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9.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Portfolio" sheetId="5" state="visible" r:id="rId5"/>
    <sheet name="State Summary" sheetId="6" state="visible" r:id="rId6"/>
    <sheet name="Bridge" sheetId="7" state="visible" r:id="rId7"/>
    <sheet name="Walkthrough" sheetId="8" state="visible" r:id="rId8"/>
    <sheet name="One-Pager" sheetId="9" state="visible" r:id="rId9"/>
    <sheet name="Flow Dashboard" sheetId="10" state="visible" r:id="rId10"/>
    <sheet name="Scenarios" sheetId="11" state="visible" r:id="rId11"/>
    <sheet name="Compare" sheetId="12" state="visible" r:id="rId12"/>
    <sheet name="Solver" sheetId="13" state="visible" r:id="rId13"/>
    <sheet name="Attribution" sheetId="14" state="visible" r:id="rId14"/>
    <sheet name="Rate Engine" sheetId="15" state="visible" r:id="rId15"/>
    <sheet name="Mod Engine" sheetId="16" state="visible" r:id="rId16"/>
    <sheet name="Checks" sheetId="17" state="visible" r:id="rId17"/>
    <sheet name="Methodology" sheetId="18" state="visible" r:id="rId18"/>
    <sheet name="_lists" sheetId="19" state="hidden" r:id="rId19"/>
    <sheet name="_calc" sheetId="20" state="hidden" r:id="rId20"/>
    <sheet name="_oracle" sheetId="21" state="hidden" r:id="rId21"/>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_FilterDatabase" localSheetId="4" hidden="1">'Portfolio'!$A$5:$O$74</definedName>
    <definedName name="_xlnm.Print_Area" localSheetId="7">'Walkthrough'!$A$1:$J$82</definedName>
    <definedName name="_xlnm.Print_Area" localSheetId="8">'One-Pager'!$A$1:$G$66</definedName>
  </definedNames>
  <calcPr calcId="124519" calcMode="auto" fullCalcOnLoad="1"/>
</workbook>
</file>

<file path=xl/styles.xml><?xml version="1.0" encoding="utf-8"?>
<styleSheet xmlns="http://schemas.openxmlformats.org/spreadsheetml/2006/main">
  <numFmts count="24">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
    <numFmt numFmtId="187"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38">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4"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78"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0" fontId="3"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22" fillId="6"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2" fillId="6" borderId="2"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0" fontId="21" fillId="0" borderId="0" pivotButton="0" quotePrefix="0" xfId="0"/>
    <xf numFmtId="0" fontId="20" fillId="0" borderId="0" pivotButton="0" quotePrefix="0" xfId="0"/>
    <xf numFmtId="0" fontId="24" fillId="6" borderId="0" pivotButton="0" quotePrefix="0" xfId="0"/>
    <xf numFmtId="177" fontId="3" fillId="0" borderId="0" applyAlignment="1" pivotButton="0" quotePrefix="0" xfId="0">
      <alignment horizontal="center" vertical="center"/>
    </xf>
    <xf numFmtId="0" fontId="6" fillId="0" borderId="0" applyAlignment="1" pivotButton="0" quotePrefix="0" xfId="0">
      <alignment horizontal="center" vertical="center"/>
    </xf>
    <xf numFmtId="176"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0" fillId="6" borderId="0" pivotButton="0" quotePrefix="0" xfId="0"/>
    <xf numFmtId="0" fontId="31" fillId="0" borderId="0" pivotButton="0" quotePrefix="0" xfId="0"/>
    <xf numFmtId="0" fontId="31"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0" fontId="32" fillId="0" borderId="0" pivotButton="0" quotePrefix="0" xfId="0"/>
    <xf numFmtId="0" fontId="22" fillId="0" borderId="2" applyAlignment="1" pivotButton="0" quotePrefix="0" xfId="0">
      <alignment horizontal="center" vertical="center"/>
    </xf>
    <xf numFmtId="164" fontId="20" fillId="6" borderId="0" applyAlignment="1" pivotButton="0" quotePrefix="0" xfId="0">
      <alignment horizontal="center" vertical="center"/>
    </xf>
    <xf numFmtId="3" fontId="17" fillId="0" borderId="0" applyAlignment="1" pivotButton="0" quotePrefix="0" xfId="0">
      <alignment horizontal="center" vertical="center"/>
    </xf>
    <xf numFmtId="168" fontId="16" fillId="0" borderId="0" pivotButton="0" quotePrefix="0" xfId="0"/>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65" fontId="16" fillId="0" borderId="0" pivotButton="0" quotePrefix="0" xfId="0"/>
    <xf numFmtId="171" fontId="16" fillId="0" borderId="0" pivotButton="0" quotePrefix="0" xfId="0"/>
    <xf numFmtId="1" fontId="13" fillId="0" borderId="2" pivotButton="0" quotePrefix="0" xfId="0"/>
    <xf numFmtId="164" fontId="22" fillId="0" borderId="0" applyAlignment="1" pivotButton="0" quotePrefix="0" xfId="0">
      <alignment horizontal="center" vertical="center"/>
    </xf>
    <xf numFmtId="164" fontId="3" fillId="0" borderId="2" applyAlignment="1" pivotButton="0" quotePrefix="0" xfId="0">
      <alignment horizontal="center" vertical="center"/>
    </xf>
    <xf numFmtId="170" fontId="3" fillId="0" borderId="2" applyAlignment="1" pivotButton="0" quotePrefix="0" xfId="0">
      <alignment horizontal="center" vertical="center"/>
    </xf>
    <xf numFmtId="168" fontId="3" fillId="0" borderId="2" pivotButton="0" quotePrefix="0" xfId="0"/>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9"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0" fontId="23" fillId="0" borderId="0"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75" fontId="16" fillId="0" borderId="0" pivotButton="0" quotePrefix="0" xfId="0"/>
    <xf numFmtId="168" fontId="22"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2" fillId="0" borderId="0" applyAlignment="1" pivotButton="0" quotePrefix="0" xfId="0">
      <alignment horizontal="center" vertical="center"/>
    </xf>
    <xf numFmtId="185" fontId="3" fillId="0" borderId="0" applyAlignment="1" pivotButton="0" quotePrefix="0" xfId="0">
      <alignment horizontal="center" vertical="center"/>
    </xf>
    <xf numFmtId="186" fontId="6" fillId="0" borderId="0" applyAlignment="1" pivotButton="0" quotePrefix="0" xfId="0">
      <alignment horizontal="center" vertical="center"/>
    </xf>
    <xf numFmtId="187"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3"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harts/chart4.xml><?xml version="1.0" encoding="utf-8"?>
<chartSpace xmlns:a="http://schemas.openxmlformats.org/drawingml/2006/main" xmlns="http://schemas.openxmlformats.org/drawingml/2006/chart">
  <style val="2"/>
  <chart>
    <title>
      <tx>
        <rich>
          <a:bodyPr/>
          <a:p>
            <a:pPr>
              <a:defRPr/>
            </a:pPr>
            <a:r>
              <a:t>Projected -&gt; plan loss ratio</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0"/>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still to earn in (unearned runway)</a:t>
            </a:r>
          </a:p>
        </rich>
      </tx>
    </title>
    <plotArea>
      <lineChart>
        <grouping val="standard"/>
        <ser>
          <idx val="0"/>
          <order val="0"/>
          <tx>
            <strRef>
              <f>'Flow Dashboard'!L80</f>
            </strRef>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0"/>
    <dispBlanksAs val="gap"/>
  </chart>
</chartSpace>
</file>

<file path=xl/charts/chart7.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0"/>
    <dispBlanksAs val="gap"/>
  </chart>
</chartSpace>
</file>

<file path=xl/charts/chart8.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0"/>
    <dispBlanksAs val="gap"/>
  </chart>
</chartSpace>
</file>

<file path=xl/charts/chart9.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0"/>
    <dispBlanksAs val="gap"/>
  </chart>
</chartSpace>
</file>

<file path=xl/charts/chart10.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11.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 Type="http://schemas.openxmlformats.org/officeDocument/2006/relationships/chart" Target="/xl/charts/chart10.xml" Id="rId5" /></Relationships>
</file>

<file path=xl/drawings/_rels/drawing6.xml.rels><Relationships xmlns="http://schemas.openxmlformats.org/package/2006/relationships"><Relationship Type="http://schemas.openxmlformats.org/officeDocument/2006/relationships/chart" Target="/xl/charts/chart11.xml" Id="rId1" /></Relationships>
</file>

<file path=xl/drawings/_rels/drawing7.xml.rels><Relationships xmlns="http://schemas.openxmlformats.org/package/2006/relationships"><Relationship Type="http://schemas.openxmlformats.org/officeDocument/2006/relationships/chart" Target="/xl/charts/chart12.xml" Id="rId1" /></Relationships>
</file>

<file path=xl/drawings/_rels/drawing8.xml.rels><Relationships xmlns="http://schemas.openxmlformats.org/package/2006/relationships"><Relationship Type="http://schemas.openxmlformats.org/officeDocument/2006/relationships/chart" Target="/xl/charts/chart13.xml" Id="rId1" /></Relationships>
</file>

<file path=xl/drawings/_rels/drawing9.xml.rels><Relationships xmlns="http://schemas.openxmlformats.org/package/2006/relationships"><Relationship Type="http://schemas.openxmlformats.org/officeDocument/2006/relationships/chart" Target="/xl/charts/chart1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6.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tabColor rgb="00D9D9D9"/>
    <outlinePr summaryBelow="1" summaryRight="1"/>
    <pageSetUpPr fitToPage="1"/>
  </sheetPr>
  <dimension ref="B2:C73"/>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General Liability</t>
        </is>
      </c>
    </row>
    <row r="3">
      <c r="B3" s="2" t="inlineStr">
        <is>
          <t>Plan year 2027  |  one workbook per LOB; rows are BU x state  |  version 2.1.0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34" customHeight="1">
      <c r="B9" s="4">
        <f>HYPERLINK("#Portfolio!A1","Portfolio")</f>
        <v/>
      </c>
      <c r="C9" s="5" t="inlineStr">
        <is>
          <t>Every BU x state combo at once, plus the Decision Board: top movers, contribution to the book, the portfolio bridge.</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HYPERLINK("#'One-Pager'!A1","One-Pager")</f>
        <v/>
      </c>
      <c r="C13" s="5" t="inlineStr">
        <is>
          <t>A print-ready brief of the selected combo — the page you hand a VP.</t>
        </is>
      </c>
    </row>
    <row r="14" ht="20" customHeight="1">
      <c r="B14" s="4">
        <f>HYPERLINK("#'Flow Dashboard'!A1","Flow Dashboard")</f>
        <v/>
      </c>
      <c r="C14" s="5" t="inlineStr">
        <is>
          <t>When rate and price actually earn in — monthly flow charts, the runway, the carryover ledger.</t>
        </is>
      </c>
    </row>
    <row r="15" ht="20" customHeight="1">
      <c r="B15" s="4">
        <f>HYPERLINK("#Scenarios!A1","Scenarios")</f>
        <v/>
      </c>
      <c r="C15" s="5" t="inlineStr">
        <is>
          <t>Four what-if lever sets side by side against Base (S1 ships seeded as a demo).</t>
        </is>
      </c>
    </row>
    <row r="16" ht="20" customHeight="1">
      <c r="B16" s="4">
        <f>HYPERLINK("#Compare!A1","Compare")</f>
        <v/>
      </c>
      <c r="C16" s="5" t="inlineStr">
        <is>
          <t>Any two combos side by side across the full factor chain.</t>
        </is>
      </c>
    </row>
    <row r="17" ht="34" customHeight="1">
      <c r="B17" s="4">
        <f>HYPERLINK("#Solver!A1","Solver")</f>
        <v/>
      </c>
      <c r="C17" s="5" t="inlineStr">
        <is>
          <t>Inverse planning: the required change for a target CY LR, and timing sensitivity — can follow Control or solve any combo.</t>
        </is>
      </c>
    </row>
    <row r="18" ht="20" customHeight="1">
      <c r="B18" s="4">
        <f>HYPERLINK("#Attribution!A1","Attribution")</f>
        <v/>
      </c>
      <c r="C18" s="5" t="inlineStr">
        <is>
          <t>After the year closes: decompose actual vs plan into rate, timing, mod, and loss.</t>
        </is>
      </c>
    </row>
    <row r="19" ht="20" customHeight="1">
      <c r="B19" s="4">
        <f>HYPERLINK("#'Rate Engine'!A1","Rate Engine")</f>
        <v/>
      </c>
      <c r="C19" s="5" t="inlineStr">
        <is>
          <t>Audit trail: 48 writing cohorts x earning matrix behind the earned rate level.</t>
        </is>
      </c>
    </row>
    <row r="20" ht="20" customHeight="1">
      <c r="B20" s="4">
        <f>HYPERLINK("#'Mod Engine'!A1","Mod Engine")</f>
        <v/>
      </c>
      <c r="C20" s="5" t="inlineStr">
        <is>
          <t>Audit trail: the written schedule-mod path and the earned mod.</t>
        </is>
      </c>
    </row>
    <row r="21" ht="20" customHeight="1">
      <c r="B21" s="4">
        <f>HYPERLINK("#Checks!A1","Checks")</f>
        <v/>
      </c>
      <c r="C21" s="5" t="inlineStr">
        <is>
          <t>The trust panel — must show ALL CHECKS PASS.</t>
        </is>
      </c>
    </row>
    <row r="22" ht="20" customHeight="1">
      <c r="B22" s="4">
        <f>HYPERLINK("#Methodology!A1","Methodology")</f>
        <v/>
      </c>
      <c r="C22" s="5" t="inlineStr">
        <is>
          <t>The full writeup: formulas as implemented, conventions, named ranges.</t>
        </is>
      </c>
    </row>
    <row r="23" ht="32" customHeight="1">
      <c r="B23" s="6" t="inlineStr">
        <is>
          <t>_lists / _calc / _oracle</t>
        </is>
      </c>
      <c r="C23" s="7" t="inlineStr">
        <is>
          <t>Hidden machinery: validation lists, the per-combo engine blocks, and the baked oracle constants. Nothing to edit there.</t>
        </is>
      </c>
    </row>
    <row r="25">
      <c r="B25" s="3" t="inlineStr">
        <is>
          <t>What this workbook does</t>
        </is>
      </c>
    </row>
    <row r="26" ht="48" customHeight="1">
      <c r="C26" s="5" t="inlineStr">
        <is>
          <t>Converts the projected loss ratio from a rate level indication (policy-year basis, rate fully earned) into a CALENDAR-YEAR plan loss ratio at the plan year's average earned rate level — the number a plan is actually written against.</t>
        </is>
      </c>
    </row>
    <row r="27" ht="48" customHeight="1">
      <c r="C27" s="5" t="inlineStr">
        <is>
          <t>Method: standard on-leveling (Werner &amp; Modlin, Basic Ratemaking, Ch. 5) through a monthly written-index x earning-matrix engine, extended with a schedule-mod adjustment, optional seasonality, and an optional net rate selection.</t>
        </is>
      </c>
    </row>
    <row r="28" ht="34" customHeight="1">
      <c r="C28" s="5" t="inlineStr">
        <is>
          <t>Every displayed figure is calculated, never typed, and ties to an independent Python oracle at build time; the Checks sheet proves the workbook's integrity live.</t>
        </is>
      </c>
    </row>
    <row r="30" ht="36" customHeight="1">
      <c r="B30" s="8" t="inlineStr">
        <is>
          <t>THE BRIDGE IN ONE LINE</t>
        </is>
      </c>
      <c r="C30" s="9" t="inlineStr">
        <is>
          <t>CY plan LR  =  projected LR (current level)  x  rate earn-in  x  mod drift  x  other adj</t>
        </is>
      </c>
    </row>
    <row r="31" ht="32" customHeight="1">
      <c r="C31" s="7" t="inlineStr">
        <is>
          <t>The following year (indicative) additionally applies one year of net trend and uses that year's earn-in factors.</t>
        </is>
      </c>
    </row>
    <row r="33">
      <c r="B33" s="3" t="inlineStr">
        <is>
          <t>Quick start</t>
        </is>
      </c>
    </row>
    <row r="34" ht="62" customHeight="1">
      <c r="B34" s="10" t="inlineStr">
        <is>
          <t>1.</t>
        </is>
      </c>
      <c r="C34"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5" ht="34" customHeight="1">
      <c r="B35" s="10" t="inlineStr">
        <is>
          <t>2.</t>
        </is>
      </c>
      <c r="C35" s="5" t="inlineStr">
        <is>
          <t>On Control, pick the plan year, BU, and state, and set the global toggles (seasonality, the mod-adjustment master switch, the default net trend).</t>
        </is>
      </c>
    </row>
    <row r="36" ht="20" customHeight="1">
      <c r="B36" s="10" t="inlineStr">
        <is>
          <t>3.</t>
        </is>
      </c>
      <c r="C36" s="5" t="inlineStr">
        <is>
          <t>Read the KPI row on Control; audit any figure through Rate Engine -&gt; Mod Engine -&gt; Bridge.</t>
        </is>
      </c>
    </row>
    <row r="37" ht="34" customHeight="1">
      <c r="B37" s="10" t="inlineStr">
        <is>
          <t>4.</t>
        </is>
      </c>
      <c r="C37" s="5" t="inlineStr">
        <is>
          <t>State Summary is the per-state exhibit (BU filter; 'All' combines on adjusted-EP weights). Portfolio shows every combo at once.</t>
        </is>
      </c>
    </row>
    <row r="38" ht="34" customHeight="1">
      <c r="B38" s="10" t="inlineStr">
        <is>
          <t>5.</t>
        </is>
      </c>
      <c r="C38" s="5" t="inlineStr">
        <is>
          <t>Scenarios: up to four lever sets (rate points, timing shift, achievement, mod path, net selection) side by side against Base.</t>
        </is>
      </c>
    </row>
    <row r="39" ht="34" customHeight="1">
      <c r="B39" s="10" t="inlineStr">
        <is>
          <t>6.</t>
        </is>
      </c>
      <c r="C39" s="5" t="inlineStr">
        <is>
          <t>Optional NET RATE SELECTION per combo (tbl_LR): a combined rate + price year-over-year target from 1/1 of the plan year — see Methodology 6b for exactly what it supersedes.</t>
        </is>
      </c>
    </row>
    <row r="40" ht="48" customHeight="1">
      <c r="B40" s="10" t="inlineStr">
        <is>
          <t>7.</t>
        </is>
      </c>
      <c r="C40" s="5" t="inlineStr">
        <is>
          <t>Solver: Mode A returns the single change needed for a target CY LR at a chosen date (it replaces the whole planned program — see the note there); Mode B shows the full-year LR under each possible start month.</t>
        </is>
      </c>
    </row>
    <row r="41" ht="34" customHeight="1">
      <c r="B41" s="10" t="inlineStr">
        <is>
          <t>8.</t>
        </is>
      </c>
      <c r="C41" s="5" t="inlineStr">
        <is>
          <t>Attribution (after the year closes): enter achieved changes, actual dates, the actual mod path, and the actual CY LR for a plan-vs-actual waterfall.</t>
        </is>
      </c>
    </row>
    <row r="42" ht="62" customHeight="1">
      <c r="B42" s="10" t="inlineStr">
        <is>
          <t>9.</t>
        </is>
      </c>
      <c r="C42"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4">
      <c r="B44" s="3" t="inlineStr">
        <is>
          <t>Color legend</t>
        </is>
      </c>
    </row>
    <row r="45">
      <c r="B45" s="11" t="inlineStr">
        <is>
          <t>Blue font on light yellow</t>
        </is>
      </c>
      <c r="C45" s="12" t="inlineStr">
        <is>
          <t>Required input — enter a value</t>
        </is>
      </c>
    </row>
    <row r="46">
      <c r="B46" s="13" t="inlineStr">
        <is>
          <t>Blue font, no fill</t>
        </is>
      </c>
      <c r="C46" s="12" t="inlineStr">
        <is>
          <t>Optional input / lever</t>
        </is>
      </c>
    </row>
    <row r="47">
      <c r="B47" s="14" t="inlineStr">
        <is>
          <t>Black font</t>
        </is>
      </c>
      <c r="C47" s="12" t="inlineStr">
        <is>
          <t>Formula calculated on the same sheet</t>
        </is>
      </c>
    </row>
    <row r="48">
      <c r="B48" s="15" t="inlineStr">
        <is>
          <t>Green font</t>
        </is>
      </c>
      <c r="C48" s="12" t="inlineStr">
        <is>
          <t>Link pulled from another sheet</t>
        </is>
      </c>
    </row>
    <row r="49">
      <c r="B49" s="16" t="inlineStr">
        <is>
          <t>Grey small font</t>
        </is>
      </c>
      <c r="C49" s="12" t="inlineStr">
        <is>
          <t>Engine helper — do not edit</t>
        </is>
      </c>
    </row>
    <row r="51">
      <c r="B51" s="3" t="inlineStr">
        <is>
          <t>Glossary — terms and symbols</t>
        </is>
      </c>
    </row>
    <row r="52" ht="34" customHeight="1">
      <c r="B52" s="17" t="inlineStr">
        <is>
          <t>Indication rate level (CRL_ind)</t>
        </is>
      </c>
      <c r="C52" s="5" t="inlineStr">
        <is>
          <t>The cumulative rate level the indication assumed FULLY EARNED — the product of all rate changes flagged 'in indication'. This is the 'assumed rate in the indication'.</t>
        </is>
      </c>
    </row>
    <row r="53" ht="48" customHeight="1">
      <c r="B53" s="17" t="inlineStr">
        <is>
          <t>Earned rate level (E_CY)</t>
        </is>
      </c>
      <c r="C53" s="5" t="inlineStr">
        <is>
          <t>The rate level the plan calendar year ACTUALLY earns. Policies written last year carry older rates into its early months, and new actions earn in only gradually as the book turns over — so the earned level rarely matches the indication's.</t>
        </is>
      </c>
    </row>
    <row r="54" ht="48" customHeight="1">
      <c r="B54" s="17" t="inlineStr">
        <is>
          <t>Rate earn-in (A_rate)</t>
        </is>
      </c>
      <c r="C54" s="5" t="inlineStr">
        <is>
          <t>Indication rate level / earned rate level. Above 1.000: the plan year earns less rate than the indication assumed, pushing the plan LR up. Below 1.000: extra rate the indication never counted earns in, pushing it down.</t>
        </is>
      </c>
    </row>
    <row r="55" ht="62" customHeight="1">
      <c r="B55" s="17" t="inlineStr">
        <is>
          <t>Schedule mods (M_ind / M_0 / M_1)</t>
        </is>
      </c>
      <c r="C55"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6" ht="34" customHeight="1">
      <c r="B56" s="17" t="inlineStr">
        <is>
          <t>Earned mod / mod drift (A_mod)</t>
        </is>
      </c>
      <c r="C56" s="5" t="inlineStr">
        <is>
          <t>The average schedule mod the plan year's premium actually carries, and A_mod = M_ind / earned mod — the identical earn-in logic applied to the price lever.</t>
        </is>
      </c>
    </row>
    <row r="57" ht="48" customHeight="1">
      <c r="B57" s="17" t="inlineStr">
        <is>
          <t>Written vs earned</t>
        </is>
      </c>
      <c r="C57" s="5" t="inlineStr">
        <is>
          <t>'Written' = the level at which new policies go on the books each month. 'Earned' = what the calendar year's premium actually carries, once each policy's term spreads it across months. Every factor in this workbook is an earned-basis answer.</t>
        </is>
      </c>
    </row>
    <row r="58" ht="48" customHeight="1">
      <c r="B58" s="17" t="inlineStr">
        <is>
          <t>Achievement %</t>
        </is>
      </c>
      <c r="C58" s="5" t="inlineStr">
        <is>
          <t>For PLANNED rate changes only: the share of the filed change you expect to realize (80% of a +5% filing = +4.0% effective). Once a change is TAKEN, enter the achieved rate directly in Filed % — achievement is ignored on taken rows.</t>
        </is>
      </c>
    </row>
    <row r="59" ht="34" customHeight="1">
      <c r="B59" s="17" t="inlineStr">
        <is>
          <t>In indication? (Y/N)</t>
        </is>
      </c>
      <c r="C59" s="5" t="inlineStr">
        <is>
          <t>Marks the rate changes the indication already counted in its projected loss ratio. They form CRL_ind; changes not counted there earn in as extra rate.</t>
        </is>
      </c>
    </row>
    <row r="60" ht="34" customHeight="1">
      <c r="B60" s="17" t="inlineStr">
        <is>
          <t>Carryover</t>
        </is>
      </c>
      <c r="C60" s="5" t="inlineStr">
        <is>
          <t>E_CY(P+1) / E_CY(P) - 1: the earned rate change already locked in for the following year by this year's actions, before any new ones.</t>
        </is>
      </c>
    </row>
    <row r="61" ht="34" customHeight="1">
      <c r="B61" s="17" t="inlineStr">
        <is>
          <t>Unearned runway</t>
        </is>
      </c>
      <c r="C61" s="5" t="inlineStr">
        <is>
          <t>Written level / earned level - 1 at a point in time: rate already on the books but not yet visible in earned premium — it will earn in over the coming months.</t>
        </is>
      </c>
    </row>
    <row r="62" ht="62" customHeight="1">
      <c r="B62" s="17" t="inlineStr">
        <is>
          <t>Net rate selection (optional)</t>
        </is>
      </c>
      <c r="C62"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3" ht="34" customHeight="1">
      <c r="B63" s="17" t="inlineStr">
        <is>
          <t>Adjusted plan EP</t>
        </is>
      </c>
      <c r="C63" s="5" t="inlineStr">
        <is>
          <t>Adjusted plan earned premium (000s) — the weight behind every EP-weighted total on Portfolio and State Summary.</t>
        </is>
      </c>
    </row>
    <row r="64" ht="34" customHeight="1">
      <c r="B64" s="17" t="inlineStr">
        <is>
          <t>Other adjustment (A_other)</t>
        </is>
      </c>
      <c r="C64" s="5" t="inlineStr">
        <is>
          <t>A manual factor for anything outside rate and mod earn-in; requires a written reason when it differs from 1.000.</t>
        </is>
      </c>
    </row>
    <row r="66">
      <c r="B66" s="3" t="inlineStr">
        <is>
          <t>Conventions and notes</t>
        </is>
      </c>
    </row>
    <row r="67" ht="20" customHeight="1">
      <c r="C67" s="5" t="inlineStr">
        <is>
          <t>Percentages are stored as decimal fractions (5.0% = 0.05) and formatted as percents.</t>
        </is>
      </c>
    </row>
    <row r="68" ht="48" customHeight="1">
      <c r="C68" s="5" t="inlineStr">
        <is>
          <t>No VBA or macros anywhere. No merged cells. No external links. No volatile functions. Automatic calculation. Classic formula mode: only Excel-2007-era functions, so the file recalculates in LibreOffice and any corporate Excel build.</t>
        </is>
      </c>
    </row>
    <row r="69" ht="34" customHeight="1">
      <c r="C69" s="5" t="inlineStr">
        <is>
          <t>Sheets are NOT protected (an intentional choice — the Checks panel is the integrity mechanism; protection without passwords would add friction without security).</t>
        </is>
      </c>
    </row>
    <row r="70" ht="48" customHeight="1">
      <c r="C70" s="5" t="inlineStr">
        <is>
          <t>First-open checklist: (1) open the file and let it calculate; (2) confirm Control shows ALL CHECKS PASS; (3) confirm the Bridge shows 63.36% for BU-A|AZ while sample data is intact; (4) replace sample inputs with your book.</t>
        </is>
      </c>
    </row>
    <row r="72">
      <c r="B72" s="3" t="inlineStr">
        <is>
          <t>Version log</t>
        </is>
      </c>
    </row>
    <row r="73">
      <c r="C73" s="12" t="inlineStr">
        <is>
          <t>v2.1.0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S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General Liability</t>
        </is>
      </c>
    </row>
    <row r="3">
      <c r="B3" s="2" t="inlineStr">
        <is>
          <t>Plan year 2027 | one workbook per LOB; combos are BU x state | generated by src/build_workbook.py v2.1.0 | classic formula mode</t>
        </is>
      </c>
    </row>
    <row r="4">
      <c r="B4" s="18" t="inlineStr">
        <is>
          <t>Jump to:</t>
        </is>
      </c>
      <c r="C4" s="19">
        <f>HYPERLINK("#Inputs!A1","Inputs")</f>
        <v/>
      </c>
      <c r="D4" s="19">
        <f>HYPERLINK("#'Rate Log'!A1","Rate Log")</f>
        <v/>
      </c>
      <c r="E4" s="19">
        <f>HYPERLINK("#Portfolio!A1","Portfolio")</f>
        <v/>
      </c>
      <c r="F4" s="19">
        <f>HYPERLINK("#'State Summary'!A1","State Summary")</f>
        <v/>
      </c>
      <c r="G4" s="19">
        <f>HYPERLINK("#Bridge!A1","Bridge")</f>
        <v/>
      </c>
      <c r="H4" s="19">
        <f>HYPERLINK("#Walkthrough!A1","Walkthrough")</f>
        <v/>
      </c>
      <c r="I4" s="19">
        <f>HYPERLINK("#One-Pager!A1","One-Pager")</f>
        <v/>
      </c>
      <c r="J4" s="19">
        <f>HYPERLINK("#'Flow Dashboard'!A1","Flow Dashboard")</f>
        <v/>
      </c>
      <c r="K4" s="19">
        <f>HYPERLINK("#Scenarios!A1","Scenarios")</f>
        <v/>
      </c>
      <c r="L4" s="19">
        <f>HYPERLINK("#Compare!A1","Compare")</f>
        <v/>
      </c>
      <c r="M4" s="19">
        <f>HYPERLINK("#Solver!A1","Solver")</f>
        <v/>
      </c>
      <c r="N4" s="19">
        <f>HYPERLINK("#Attribution!A1","Attribution")</f>
        <v/>
      </c>
      <c r="O4" s="19">
        <f>HYPERLINK("#'Rate Engine'!A1","Rate Engine")</f>
        <v/>
      </c>
      <c r="P4" s="19">
        <f>HYPERLINK("#'Mod Engine'!A1","Mod Engine")</f>
        <v/>
      </c>
      <c r="Q4" s="19">
        <f>HYPERLINK("#Checks!A1","Checks")</f>
        <v/>
      </c>
      <c r="R4" s="19">
        <f>HYPERLINK("#Methodology!A1","Methodology")</f>
        <v/>
      </c>
      <c r="S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General Liability</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General Liability</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General Liability</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28000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0.628</v>
      </c>
      <c r="D13" s="11" t="inlineStr">
        <is>
          <t>current</t>
        </is>
      </c>
      <c r="E13" s="58" t="n">
        <v>0.05</v>
      </c>
      <c r="F13" s="59" t="n">
        <v>0.95</v>
      </c>
      <c r="G13" s="59" t="n">
        <v>0.9399999999999999</v>
      </c>
      <c r="H13" s="60" t="n">
        <v>46295</v>
      </c>
      <c r="I13" s="59" t="n">
        <v>0.945</v>
      </c>
      <c r="J13" s="61" t="n"/>
      <c r="K13" s="61" t="n"/>
      <c r="L13" s="62" t="n">
        <v>73500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0.612</v>
      </c>
      <c r="D14" s="11" t="inlineStr">
        <is>
          <t>current</t>
        </is>
      </c>
      <c r="E14" s="58" t="n">
        <v>0.05</v>
      </c>
      <c r="F14" s="59" t="n">
        <v>0.95</v>
      </c>
      <c r="G14" s="59" t="n">
        <v>0.9399999999999999</v>
      </c>
      <c r="H14" s="60" t="n">
        <v>46295</v>
      </c>
      <c r="I14" s="59" t="n">
        <v>0.96</v>
      </c>
      <c r="J14" s="61" t="n"/>
      <c r="K14" s="61" t="n"/>
      <c r="L14" s="62" t="n">
        <v>59500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0.64</v>
      </c>
      <c r="D15" s="11" t="inlineStr">
        <is>
          <t>current</t>
        </is>
      </c>
      <c r="E15" s="58" t="n">
        <v>0.05</v>
      </c>
      <c r="F15" s="59" t="n">
        <v>0.95</v>
      </c>
      <c r="G15" s="59" t="n">
        <v>0.95</v>
      </c>
      <c r="H15" s="60" t="n">
        <v>46295</v>
      </c>
      <c r="I15" s="59" t="n">
        <v>0.95</v>
      </c>
      <c r="J15" s="61" t="n"/>
      <c r="K15" s="61" t="n"/>
      <c r="L15" s="62" t="n">
        <v>45500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0.624</v>
      </c>
      <c r="D16" s="11" t="inlineStr">
        <is>
          <t>current</t>
        </is>
      </c>
      <c r="E16" s="58" t="n">
        <v>0.05</v>
      </c>
      <c r="F16" s="59" t="n">
        <v>0.95</v>
      </c>
      <c r="G16" s="59" t="n">
        <v>0.9399999999999999</v>
      </c>
      <c r="H16" s="60" t="n">
        <v>46295</v>
      </c>
      <c r="I16" s="59" t="n">
        <v>0.955</v>
      </c>
      <c r="J16" s="61" t="n"/>
      <c r="K16" s="61" t="n"/>
      <c r="L16" s="62" t="n">
        <v>31500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0.608</v>
      </c>
      <c r="D17" s="11" t="inlineStr">
        <is>
          <t>current</t>
        </is>
      </c>
      <c r="E17" s="58" t="n">
        <v>0.05</v>
      </c>
      <c r="F17" s="59" t="n">
        <v>0.95</v>
      </c>
      <c r="G17" s="59" t="n">
        <v>0.9399999999999999</v>
      </c>
      <c r="H17" s="60" t="n">
        <v>46295</v>
      </c>
      <c r="I17" s="59" t="n">
        <v>0.9350000000000001</v>
      </c>
      <c r="J17" s="61" t="n">
        <v>0.93</v>
      </c>
      <c r="K17" s="61" t="n">
        <v>0.9399999999999999</v>
      </c>
      <c r="L17" s="62" t="n">
        <v>77000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0.636</v>
      </c>
      <c r="D18" s="11" t="inlineStr">
        <is>
          <t>current</t>
        </is>
      </c>
      <c r="E18" s="58" t="n">
        <v>0.05</v>
      </c>
      <c r="F18" s="59" t="n">
        <v>0.95</v>
      </c>
      <c r="G18" s="59" t="n">
        <v>0.9399999999999999</v>
      </c>
      <c r="H18" s="60" t="n">
        <v>46295</v>
      </c>
      <c r="I18" s="59" t="n">
        <v>0.95</v>
      </c>
      <c r="J18" s="61" t="n"/>
      <c r="K18" s="61" t="n"/>
      <c r="L18" s="62" t="n">
        <v>63000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0.62</v>
      </c>
      <c r="D19" s="11" t="inlineStr">
        <is>
          <t>current</t>
        </is>
      </c>
      <c r="E19" s="58" t="n">
        <v>0.05</v>
      </c>
      <c r="F19" s="59" t="n">
        <v>0.95</v>
      </c>
      <c r="G19" s="59" t="n">
        <v>0.9399999999999999</v>
      </c>
      <c r="H19" s="60" t="n">
        <v>46295</v>
      </c>
      <c r="I19" s="59" t="n">
        <v>0.93</v>
      </c>
      <c r="J19" s="61" t="n"/>
      <c r="K19" s="61" t="n"/>
      <c r="L19" s="62" t="n">
        <v>49000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0.604</v>
      </c>
      <c r="D20" s="11" t="inlineStr">
        <is>
          <t>current</t>
        </is>
      </c>
      <c r="E20" s="58" t="n">
        <v>0.05</v>
      </c>
      <c r="F20" s="59" t="n">
        <v>0.95</v>
      </c>
      <c r="G20" s="59" t="n">
        <v>0.9399999999999999</v>
      </c>
      <c r="H20" s="60" t="n">
        <v>46295</v>
      </c>
      <c r="I20" s="59" t="n">
        <v>0.945</v>
      </c>
      <c r="J20" s="61" t="n"/>
      <c r="K20" s="61" t="n"/>
      <c r="L20" s="62" t="n">
        <v>35000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0.632</v>
      </c>
      <c r="D21" s="11" t="inlineStr">
        <is>
          <t>current</t>
        </is>
      </c>
      <c r="E21" s="58" t="n">
        <v>0.05</v>
      </c>
      <c r="F21" s="59" t="n">
        <v>0.95</v>
      </c>
      <c r="G21" s="59" t="n">
        <v>0.9399999999999999</v>
      </c>
      <c r="H21" s="60" t="n">
        <v>46295</v>
      </c>
      <c r="I21" s="59" t="n">
        <v>0.96</v>
      </c>
      <c r="J21" s="61" t="n"/>
      <c r="K21" s="61" t="n"/>
      <c r="L21" s="62" t="n">
        <v>80500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0.616</v>
      </c>
      <c r="D22" s="11" t="inlineStr">
        <is>
          <t>current</t>
        </is>
      </c>
      <c r="E22" s="58" t="n">
        <v>0.05</v>
      </c>
      <c r="F22" s="59" t="n">
        <v>0.95</v>
      </c>
      <c r="G22" s="59" t="n">
        <v>0.9399999999999999</v>
      </c>
      <c r="H22" s="60" t="n">
        <v>46295</v>
      </c>
      <c r="I22" s="59" t="n">
        <v>0.9399999999999999</v>
      </c>
      <c r="J22" s="61" t="n"/>
      <c r="K22" s="61" t="n"/>
      <c r="L22" s="62" t="n">
        <v>66500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0.6</v>
      </c>
      <c r="D23" s="11" t="inlineStr">
        <is>
          <t>current</t>
        </is>
      </c>
      <c r="E23" s="58" t="n">
        <v>0.05</v>
      </c>
      <c r="F23" s="59" t="n">
        <v>0.95</v>
      </c>
      <c r="G23" s="59" t="n">
        <v>0.9399999999999999</v>
      </c>
      <c r="H23" s="60" t="n">
        <v>46295</v>
      </c>
      <c r="I23" s="59" t="n">
        <v>0.955</v>
      </c>
      <c r="J23" s="61" t="n"/>
      <c r="K23" s="61" t="n"/>
      <c r="L23" s="62" t="n">
        <v>52500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0.628</v>
      </c>
      <c r="D24" s="11" t="inlineStr">
        <is>
          <t>current</t>
        </is>
      </c>
      <c r="E24" s="58" t="n">
        <v>0.05</v>
      </c>
      <c r="F24" s="59" t="n">
        <v>0.95</v>
      </c>
      <c r="G24" s="59" t="n">
        <v>0.9399999999999999</v>
      </c>
      <c r="H24" s="60" t="n">
        <v>46295</v>
      </c>
      <c r="I24" s="59" t="n">
        <v>0.9350000000000001</v>
      </c>
      <c r="J24" s="61" t="n"/>
      <c r="K24" s="61" t="n"/>
      <c r="L24" s="62" t="n">
        <v>38500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0.612</v>
      </c>
      <c r="D25" s="11" t="inlineStr">
        <is>
          <t>current</t>
        </is>
      </c>
      <c r="E25" s="58" t="n">
        <v>0.05</v>
      </c>
      <c r="F25" s="59" t="n">
        <v>0.95</v>
      </c>
      <c r="G25" s="59" t="n">
        <v>0.9399999999999999</v>
      </c>
      <c r="H25" s="60" t="n">
        <v>46295</v>
      </c>
      <c r="I25" s="59" t="n">
        <v>0.95</v>
      </c>
      <c r="J25" s="61" t="n"/>
      <c r="K25" s="61" t="n"/>
      <c r="L25" s="62" t="n">
        <v>84000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0.64</v>
      </c>
      <c r="D26" s="11" t="inlineStr">
        <is>
          <t>current</t>
        </is>
      </c>
      <c r="E26" s="58" t="n">
        <v>0.05</v>
      </c>
      <c r="F26" s="59" t="n">
        <v>0.95</v>
      </c>
      <c r="G26" s="59" t="n">
        <v>0.9399999999999999</v>
      </c>
      <c r="H26" s="60" t="n">
        <v>46295</v>
      </c>
      <c r="I26" s="59" t="n">
        <v>0.93</v>
      </c>
      <c r="J26" s="61" t="n"/>
      <c r="K26" s="61" t="n"/>
      <c r="L26" s="62" t="n">
        <v>70000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0.624</v>
      </c>
      <c r="D27" s="11" t="inlineStr">
        <is>
          <t>current</t>
        </is>
      </c>
      <c r="E27" s="58" t="n">
        <v>0.05</v>
      </c>
      <c r="F27" s="59" t="n">
        <v>0.95</v>
      </c>
      <c r="G27" s="59" t="n">
        <v>0.9399999999999999</v>
      </c>
      <c r="H27" s="60" t="n">
        <v>46295</v>
      </c>
      <c r="I27" s="59" t="n">
        <v>0.945</v>
      </c>
      <c r="J27" s="61" t="n"/>
      <c r="K27" s="61" t="n"/>
      <c r="L27" s="62" t="n">
        <v>56000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0.608</v>
      </c>
      <c r="D28" s="11" t="inlineStr">
        <is>
          <t>current</t>
        </is>
      </c>
      <c r="E28" s="58" t="n">
        <v>0.05</v>
      </c>
      <c r="F28" s="59" t="n">
        <v>0.95</v>
      </c>
      <c r="G28" s="59" t="n">
        <v>0.9399999999999999</v>
      </c>
      <c r="H28" s="60" t="n">
        <v>46295</v>
      </c>
      <c r="I28" s="59" t="n">
        <v>0.96</v>
      </c>
      <c r="J28" s="61" t="n"/>
      <c r="K28" s="61" t="n"/>
      <c r="L28" s="62" t="n">
        <v>42000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0.636</v>
      </c>
      <c r="D29" s="11" t="inlineStr">
        <is>
          <t>current</t>
        </is>
      </c>
      <c r="E29" s="58" t="n">
        <v>0.05</v>
      </c>
      <c r="F29" s="59" t="n">
        <v>0.95</v>
      </c>
      <c r="G29" s="59" t="n">
        <v>0.9399999999999999</v>
      </c>
      <c r="H29" s="60" t="n">
        <v>46295</v>
      </c>
      <c r="I29" s="59" t="n">
        <v>0.9399999999999999</v>
      </c>
      <c r="J29" s="61" t="n"/>
      <c r="K29" s="61" t="n"/>
      <c r="L29" s="62" t="n">
        <v>28000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0.62</v>
      </c>
      <c r="D30" s="11" t="inlineStr">
        <is>
          <t>current</t>
        </is>
      </c>
      <c r="E30" s="58" t="n">
        <v>0.05</v>
      </c>
      <c r="F30" s="59" t="n">
        <v>0.95</v>
      </c>
      <c r="G30" s="59" t="n">
        <v>0.9399999999999999</v>
      </c>
      <c r="H30" s="60" t="n">
        <v>46295</v>
      </c>
      <c r="I30" s="59" t="n">
        <v>0.955</v>
      </c>
      <c r="J30" s="61" t="n"/>
      <c r="K30" s="61" t="n"/>
      <c r="L30" s="62" t="n">
        <v>73500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0.604</v>
      </c>
      <c r="D31" s="11" t="inlineStr">
        <is>
          <t>current</t>
        </is>
      </c>
      <c r="E31" s="58" t="n">
        <v>0.05</v>
      </c>
      <c r="F31" s="59" t="n">
        <v>0.95</v>
      </c>
      <c r="G31" s="59" t="n">
        <v>0.9399999999999999</v>
      </c>
      <c r="H31" s="60" t="n">
        <v>46295</v>
      </c>
      <c r="I31" s="59" t="n">
        <v>0.9350000000000001</v>
      </c>
      <c r="J31" s="61" t="n"/>
      <c r="K31" s="61" t="n"/>
      <c r="L31" s="62" t="n">
        <v>59500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0.632</v>
      </c>
      <c r="D32" s="11" t="inlineStr">
        <is>
          <t>current</t>
        </is>
      </c>
      <c r="E32" s="58" t="n">
        <v>0.05</v>
      </c>
      <c r="F32" s="59" t="n">
        <v>0.95</v>
      </c>
      <c r="G32" s="59" t="n">
        <v>0.9399999999999999</v>
      </c>
      <c r="H32" s="60" t="n">
        <v>46295</v>
      </c>
      <c r="I32" s="59" t="n">
        <v>0.95</v>
      </c>
      <c r="J32" s="61" t="n"/>
      <c r="K32" s="61" t="n"/>
      <c r="L32" s="62" t="n">
        <v>45500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0.616</v>
      </c>
      <c r="D33" s="11" t="inlineStr">
        <is>
          <t>current</t>
        </is>
      </c>
      <c r="E33" s="58" t="n">
        <v>0.05</v>
      </c>
      <c r="F33" s="59" t="n">
        <v>0.95</v>
      </c>
      <c r="G33" s="59" t="n">
        <v>0.9399999999999999</v>
      </c>
      <c r="H33" s="60" t="n">
        <v>46295</v>
      </c>
      <c r="I33" s="59" t="n">
        <v>0.93</v>
      </c>
      <c r="J33" s="61" t="n"/>
      <c r="K33" s="61" t="n"/>
      <c r="L33" s="62" t="n">
        <v>31500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0.6</v>
      </c>
      <c r="D34" s="11" t="inlineStr">
        <is>
          <t>proposed</t>
        </is>
      </c>
      <c r="E34" s="58" t="n">
        <v>0.08</v>
      </c>
      <c r="F34" s="59" t="n">
        <v>0.95</v>
      </c>
      <c r="G34" s="59" t="n">
        <v>0.9399999999999999</v>
      </c>
      <c r="H34" s="60" t="n">
        <v>46295</v>
      </c>
      <c r="I34" s="59" t="n">
        <v>0.945</v>
      </c>
      <c r="J34" s="61" t="n"/>
      <c r="K34" s="61" t="n"/>
      <c r="L34" s="62" t="n">
        <v>77000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0.628</v>
      </c>
      <c r="D35" s="11" t="inlineStr">
        <is>
          <t>current</t>
        </is>
      </c>
      <c r="E35" s="58" t="n">
        <v>0.05</v>
      </c>
      <c r="F35" s="59" t="n">
        <v>0.95</v>
      </c>
      <c r="G35" s="59" t="n">
        <v>0.9399999999999999</v>
      </c>
      <c r="H35" s="60" t="n">
        <v>46295</v>
      </c>
      <c r="I35" s="59" t="n">
        <v>0.96</v>
      </c>
      <c r="J35" s="61" t="n"/>
      <c r="K35" s="61" t="n"/>
      <c r="L35" s="62" t="n">
        <v>63000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0.612</v>
      </c>
      <c r="D36" s="11" t="inlineStr">
        <is>
          <t>current</t>
        </is>
      </c>
      <c r="E36" s="58" t="n">
        <v>0.05</v>
      </c>
      <c r="F36" s="59" t="n">
        <v>0.95</v>
      </c>
      <c r="G36" s="59" t="n">
        <v>0.9399999999999999</v>
      </c>
      <c r="H36" s="60" t="n">
        <v>46295</v>
      </c>
      <c r="I36" s="59" t="n">
        <v>0.9399999999999999</v>
      </c>
      <c r="J36" s="61" t="n"/>
      <c r="K36" s="61" t="n"/>
      <c r="L36" s="62" t="n">
        <v>49000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0.64</v>
      </c>
      <c r="D37" s="11" t="inlineStr">
        <is>
          <t>current</t>
        </is>
      </c>
      <c r="E37" s="58" t="n">
        <v>0.05</v>
      </c>
      <c r="F37" s="59" t="n">
        <v>0.95</v>
      </c>
      <c r="G37" s="59" t="n">
        <v>0.9399999999999999</v>
      </c>
      <c r="H37" s="60" t="n">
        <v>46295</v>
      </c>
      <c r="I37" s="59" t="n">
        <v>0.955</v>
      </c>
      <c r="J37" s="61" t="n"/>
      <c r="K37" s="61" t="n"/>
      <c r="L37" s="62" t="n">
        <v>35000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0.624</v>
      </c>
      <c r="D38" s="11" t="inlineStr">
        <is>
          <t>current</t>
        </is>
      </c>
      <c r="E38" s="58" t="n">
        <v>0.05</v>
      </c>
      <c r="F38" s="59" t="n">
        <v>0.95</v>
      </c>
      <c r="G38" s="59" t="n">
        <v>0.9399999999999999</v>
      </c>
      <c r="H38" s="60" t="n">
        <v>46295</v>
      </c>
      <c r="I38" s="59" t="n">
        <v>0.9350000000000001</v>
      </c>
      <c r="J38" s="61" t="n"/>
      <c r="K38" s="61" t="n"/>
      <c r="L38" s="62" t="n">
        <v>80500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0.608</v>
      </c>
      <c r="D39" s="11" t="inlineStr">
        <is>
          <t>current</t>
        </is>
      </c>
      <c r="E39" s="58" t="n">
        <v>0.05</v>
      </c>
      <c r="F39" s="59" t="n">
        <v>0.95</v>
      </c>
      <c r="G39" s="59" t="n">
        <v>0.9399999999999999</v>
      </c>
      <c r="H39" s="60" t="n">
        <v>46295</v>
      </c>
      <c r="I39" s="59" t="n">
        <v>0.95</v>
      </c>
      <c r="J39" s="61" t="n"/>
      <c r="K39" s="61" t="n"/>
      <c r="L39" s="62" t="n">
        <v>66500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0.636</v>
      </c>
      <c r="D40" s="11" t="inlineStr">
        <is>
          <t>current</t>
        </is>
      </c>
      <c r="E40" s="58" t="n">
        <v>0.05</v>
      </c>
      <c r="F40" s="59" t="n">
        <v>0.95</v>
      </c>
      <c r="G40" s="59" t="n">
        <v>0.9399999999999999</v>
      </c>
      <c r="H40" s="60" t="n">
        <v>46295</v>
      </c>
      <c r="I40" s="59" t="n">
        <v>0.93</v>
      </c>
      <c r="J40" s="61" t="n"/>
      <c r="K40" s="61" t="n"/>
      <c r="L40" s="62" t="n">
        <v>52500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0.62</v>
      </c>
      <c r="D41" s="11" t="inlineStr">
        <is>
          <t>current</t>
        </is>
      </c>
      <c r="E41" s="58" t="n">
        <v>0.05</v>
      </c>
      <c r="F41" s="59" t="n">
        <v>0.95</v>
      </c>
      <c r="G41" s="59" t="n">
        <v>0.9399999999999999</v>
      </c>
      <c r="H41" s="60" t="n">
        <v>46295</v>
      </c>
      <c r="I41" s="59" t="n">
        <v>0.945</v>
      </c>
      <c r="J41" s="61" t="n"/>
      <c r="K41" s="61" t="n"/>
      <c r="L41" s="62" t="n">
        <v>38500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0.604</v>
      </c>
      <c r="D42" s="11" t="inlineStr">
        <is>
          <t>current</t>
        </is>
      </c>
      <c r="E42" s="58" t="n">
        <v>0.05</v>
      </c>
      <c r="F42" s="59" t="n">
        <v>0.95</v>
      </c>
      <c r="G42" s="59" t="n">
        <v>0.9399999999999999</v>
      </c>
      <c r="H42" s="60" t="n">
        <v>46295</v>
      </c>
      <c r="I42" s="59" t="n">
        <v>0.96</v>
      </c>
      <c r="J42" s="61" t="n"/>
      <c r="K42" s="61" t="n"/>
      <c r="L42" s="62" t="n">
        <v>84000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0.632</v>
      </c>
      <c r="D43" s="11" t="inlineStr">
        <is>
          <t>current</t>
        </is>
      </c>
      <c r="E43" s="58" t="n">
        <v>0.05</v>
      </c>
      <c r="F43" s="59" t="n">
        <v>0.95</v>
      </c>
      <c r="G43" s="59" t="n">
        <v>0.9399999999999999</v>
      </c>
      <c r="H43" s="60" t="n">
        <v>46295</v>
      </c>
      <c r="I43" s="59" t="n">
        <v>0.9399999999999999</v>
      </c>
      <c r="J43" s="61" t="n"/>
      <c r="K43" s="61" t="n"/>
      <c r="L43" s="62" t="n">
        <v>70000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0.616</v>
      </c>
      <c r="D44" s="11" t="inlineStr">
        <is>
          <t>current</t>
        </is>
      </c>
      <c r="E44" s="58" t="n">
        <v>0.05</v>
      </c>
      <c r="F44" s="59" t="n">
        <v>0.95</v>
      </c>
      <c r="G44" s="59" t="n">
        <v>0.9399999999999999</v>
      </c>
      <c r="H44" s="60" t="n">
        <v>46295</v>
      </c>
      <c r="I44" s="59" t="n">
        <v>0.955</v>
      </c>
      <c r="J44" s="61" t="n"/>
      <c r="K44" s="61" t="n"/>
      <c r="L44" s="62" t="n">
        <v>56000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0.6</v>
      </c>
      <c r="D45" s="11" t="inlineStr">
        <is>
          <t>current</t>
        </is>
      </c>
      <c r="E45" s="58" t="n">
        <v>0.05</v>
      </c>
      <c r="F45" s="59" t="n">
        <v>0.95</v>
      </c>
      <c r="G45" s="59" t="n">
        <v>0.9399999999999999</v>
      </c>
      <c r="H45" s="60" t="n">
        <v>46295</v>
      </c>
      <c r="I45" s="59" t="n">
        <v>0.9350000000000001</v>
      </c>
      <c r="J45" s="61" t="n"/>
      <c r="K45" s="61" t="n"/>
      <c r="L45" s="62" t="n">
        <v>42000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0.628</v>
      </c>
      <c r="D46" s="11" t="inlineStr">
        <is>
          <t>current</t>
        </is>
      </c>
      <c r="E46" s="58" t="n">
        <v>0.05</v>
      </c>
      <c r="F46" s="59" t="n">
        <v>0.95</v>
      </c>
      <c r="G46" s="59" t="n">
        <v>0.9399999999999999</v>
      </c>
      <c r="H46" s="60" t="n">
        <v>46295</v>
      </c>
      <c r="I46" s="59" t="n">
        <v>0.95</v>
      </c>
      <c r="J46" s="61" t="n"/>
      <c r="K46" s="61" t="n"/>
      <c r="L46" s="62" t="n">
        <v>28000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0.612</v>
      </c>
      <c r="D47" s="11" t="inlineStr">
        <is>
          <t>current</t>
        </is>
      </c>
      <c r="E47" s="58" t="n">
        <v>0.05</v>
      </c>
      <c r="F47" s="59" t="n">
        <v>0.95</v>
      </c>
      <c r="G47" s="59" t="n">
        <v>0.9399999999999999</v>
      </c>
      <c r="H47" s="60" t="n">
        <v>46295</v>
      </c>
      <c r="I47" s="59" t="n">
        <v>0.93</v>
      </c>
      <c r="J47" s="61" t="n"/>
      <c r="K47" s="61" t="n"/>
      <c r="L47" s="62" t="n">
        <v>73500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0.64</v>
      </c>
      <c r="D48" s="11" t="inlineStr">
        <is>
          <t>current</t>
        </is>
      </c>
      <c r="E48" s="58" t="n">
        <v>0.05</v>
      </c>
      <c r="F48" s="59" t="n">
        <v>0.95</v>
      </c>
      <c r="G48" s="59" t="n">
        <v>0.9399999999999999</v>
      </c>
      <c r="H48" s="60" t="n">
        <v>46295</v>
      </c>
      <c r="I48" s="59" t="n">
        <v>0.945</v>
      </c>
      <c r="J48" s="61" t="n"/>
      <c r="K48" s="61" t="n"/>
      <c r="L48" s="62" t="n">
        <v>59500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0.624</v>
      </c>
      <c r="D49" s="11" t="inlineStr">
        <is>
          <t>current</t>
        </is>
      </c>
      <c r="E49" s="58" t="n">
        <v>0.05</v>
      </c>
      <c r="F49" s="59" t="n">
        <v>0.95</v>
      </c>
      <c r="G49" s="59" t="n">
        <v>0.9399999999999999</v>
      </c>
      <c r="H49" s="60" t="n">
        <v>46295</v>
      </c>
      <c r="I49" s="59" t="n">
        <v>0.96</v>
      </c>
      <c r="J49" s="61" t="n"/>
      <c r="K49" s="61" t="n"/>
      <c r="L49" s="62" t="n">
        <v>45500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0.608</v>
      </c>
      <c r="D50" s="11" t="inlineStr">
        <is>
          <t>current</t>
        </is>
      </c>
      <c r="E50" s="58" t="n">
        <v>0.05</v>
      </c>
      <c r="F50" s="59" t="n">
        <v>0.95</v>
      </c>
      <c r="G50" s="59" t="n">
        <v>0.9399999999999999</v>
      </c>
      <c r="H50" s="60" t="n">
        <v>46295</v>
      </c>
      <c r="I50" s="59" t="n">
        <v>0.9399999999999999</v>
      </c>
      <c r="J50" s="61" t="n"/>
      <c r="K50" s="61" t="n"/>
      <c r="L50" s="62" t="n">
        <v>31500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0.636</v>
      </c>
      <c r="D51" s="11" t="inlineStr">
        <is>
          <t>current</t>
        </is>
      </c>
      <c r="E51" s="58" t="n">
        <v>0.05</v>
      </c>
      <c r="F51" s="59" t="n">
        <v>0.95</v>
      </c>
      <c r="G51" s="59" t="n">
        <v>0.9399999999999999</v>
      </c>
      <c r="H51" s="60" t="n">
        <v>46295</v>
      </c>
      <c r="I51" s="59" t="n">
        <v>0.955</v>
      </c>
      <c r="J51" s="61" t="n"/>
      <c r="K51" s="61" t="n"/>
      <c r="L51" s="62" t="n">
        <v>77000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0.62</v>
      </c>
      <c r="D52" s="11" t="inlineStr">
        <is>
          <t>current</t>
        </is>
      </c>
      <c r="E52" s="58" t="n">
        <v>0.05</v>
      </c>
      <c r="F52" s="59" t="n">
        <v>0.95</v>
      </c>
      <c r="G52" s="59" t="n">
        <v>0.9399999999999999</v>
      </c>
      <c r="H52" s="60" t="n">
        <v>46295</v>
      </c>
      <c r="I52" s="59" t="n">
        <v>0.9350000000000001</v>
      </c>
      <c r="J52" s="61" t="n"/>
      <c r="K52" s="61" t="n"/>
      <c r="L52" s="62" t="n">
        <v>63000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0.604</v>
      </c>
      <c r="D53" s="11" t="inlineStr">
        <is>
          <t>current</t>
        </is>
      </c>
      <c r="E53" s="58" t="n">
        <v>0.05</v>
      </c>
      <c r="F53" s="59" t="n">
        <v>0.95</v>
      </c>
      <c r="G53" s="59" t="n">
        <v>0.9399999999999999</v>
      </c>
      <c r="H53" s="60" t="n">
        <v>46295</v>
      </c>
      <c r="I53" s="59" t="n">
        <v>0.95</v>
      </c>
      <c r="J53" s="61" t="n"/>
      <c r="K53" s="61" t="n"/>
      <c r="L53" s="62" t="n">
        <v>49000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0.632</v>
      </c>
      <c r="D54" s="11" t="inlineStr">
        <is>
          <t>current</t>
        </is>
      </c>
      <c r="E54" s="58" t="n">
        <v>0.05</v>
      </c>
      <c r="F54" s="59" t="n">
        <v>0.95</v>
      </c>
      <c r="G54" s="59" t="n">
        <v>0.9399999999999999</v>
      </c>
      <c r="H54" s="60" t="n">
        <v>46295</v>
      </c>
      <c r="I54" s="59" t="n">
        <v>0.93</v>
      </c>
      <c r="J54" s="61" t="n"/>
      <c r="K54" s="61" t="n"/>
      <c r="L54" s="62" t="n">
        <v>35000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0.616</v>
      </c>
      <c r="D55" s="11" t="inlineStr">
        <is>
          <t>current</t>
        </is>
      </c>
      <c r="E55" s="58" t="n">
        <v>0.05</v>
      </c>
      <c r="F55" s="59" t="n">
        <v>0.95</v>
      </c>
      <c r="G55" s="59" t="n">
        <v>0.9399999999999999</v>
      </c>
      <c r="H55" s="60" t="n">
        <v>46295</v>
      </c>
      <c r="I55" s="59" t="n">
        <v>0.945</v>
      </c>
      <c r="J55" s="61" t="n"/>
      <c r="K55" s="61" t="n"/>
      <c r="L55" s="62" t="n">
        <v>80500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0.6</v>
      </c>
      <c r="D56" s="11" t="inlineStr">
        <is>
          <t>current</t>
        </is>
      </c>
      <c r="E56" s="58" t="n">
        <v>0.05</v>
      </c>
      <c r="F56" s="59" t="n">
        <v>0.95</v>
      </c>
      <c r="G56" s="59" t="n">
        <v>0.9399999999999999</v>
      </c>
      <c r="H56" s="60" t="n">
        <v>46295</v>
      </c>
      <c r="I56" s="59" t="n">
        <v>0.96</v>
      </c>
      <c r="J56" s="61" t="n"/>
      <c r="K56" s="61" t="n"/>
      <c r="L56" s="62" t="n">
        <v>66500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0.628</v>
      </c>
      <c r="D57" s="11" t="inlineStr">
        <is>
          <t>current</t>
        </is>
      </c>
      <c r="E57" s="58" t="n">
        <v>0.05</v>
      </c>
      <c r="F57" s="59" t="n">
        <v>0.95</v>
      </c>
      <c r="G57" s="59" t="n">
        <v>0.9399999999999999</v>
      </c>
      <c r="H57" s="60" t="n">
        <v>46295</v>
      </c>
      <c r="I57" s="59" t="n">
        <v>0.9399999999999999</v>
      </c>
      <c r="J57" s="61" t="n"/>
      <c r="K57" s="61" t="n"/>
      <c r="L57" s="62" t="n">
        <v>52500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0.612</v>
      </c>
      <c r="D58" s="11" t="inlineStr">
        <is>
          <t>current</t>
        </is>
      </c>
      <c r="E58" s="58" t="n">
        <v>0.05</v>
      </c>
      <c r="F58" s="59" t="n">
        <v>0.95</v>
      </c>
      <c r="G58" s="59" t="n">
        <v>0.9399999999999999</v>
      </c>
      <c r="H58" s="60" t="n">
        <v>46295</v>
      </c>
      <c r="I58" s="59" t="n">
        <v>0.955</v>
      </c>
      <c r="J58" s="61" t="n"/>
      <c r="K58" s="61" t="n"/>
      <c r="L58" s="62" t="n">
        <v>38500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0.64</v>
      </c>
      <c r="D59" s="11" t="inlineStr">
        <is>
          <t>current</t>
        </is>
      </c>
      <c r="E59" s="58" t="n">
        <v>0.05</v>
      </c>
      <c r="F59" s="59" t="n">
        <v>0.95</v>
      </c>
      <c r="G59" s="59" t="n">
        <v>0.9399999999999999</v>
      </c>
      <c r="H59" s="60" t="n">
        <v>46295</v>
      </c>
      <c r="I59" s="59" t="n">
        <v>0.9350000000000001</v>
      </c>
      <c r="J59" s="61" t="n"/>
      <c r="K59" s="61" t="n"/>
      <c r="L59" s="62" t="n">
        <v>84000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0.624</v>
      </c>
      <c r="D60" s="11" t="inlineStr">
        <is>
          <t>current</t>
        </is>
      </c>
      <c r="E60" s="58" t="n">
        <v>0.065</v>
      </c>
      <c r="F60" s="59" t="n">
        <v>0.95</v>
      </c>
      <c r="G60" s="59" t="n">
        <v>0.9399999999999999</v>
      </c>
      <c r="H60" s="60" t="n">
        <v>46295</v>
      </c>
      <c r="I60" s="59" t="n">
        <v>0.95</v>
      </c>
      <c r="J60" s="61" t="n"/>
      <c r="K60" s="61" t="n"/>
      <c r="L60" s="62" t="n">
        <v>70000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0.608</v>
      </c>
      <c r="D61" s="11" t="inlineStr">
        <is>
          <t>current</t>
        </is>
      </c>
      <c r="E61" s="58" t="n">
        <v>0.05</v>
      </c>
      <c r="F61" s="59" t="n">
        <v>0.95</v>
      </c>
      <c r="G61" s="59" t="n">
        <v>0.9399999999999999</v>
      </c>
      <c r="H61" s="60" t="n">
        <v>46295</v>
      </c>
      <c r="I61" s="59" t="n">
        <v>0.93</v>
      </c>
      <c r="J61" s="61" t="n"/>
      <c r="K61" s="61" t="n"/>
      <c r="L61" s="62" t="n">
        <v>56000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0.636</v>
      </c>
      <c r="D62" s="11" t="inlineStr">
        <is>
          <t>current</t>
        </is>
      </c>
      <c r="E62" s="58" t="n">
        <v>0.05</v>
      </c>
      <c r="F62" s="59" t="n">
        <v>0.95</v>
      </c>
      <c r="G62" s="59" t="n">
        <v>0.9399999999999999</v>
      </c>
      <c r="H62" s="60" t="n">
        <v>46295</v>
      </c>
      <c r="I62" s="59" t="n">
        <v>0.945</v>
      </c>
      <c r="J62" s="61" t="n"/>
      <c r="K62" s="61" t="n"/>
      <c r="L62" s="62" t="n">
        <v>42000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0.62</v>
      </c>
      <c r="D63" s="11" t="inlineStr">
        <is>
          <t>current</t>
        </is>
      </c>
      <c r="E63" s="58" t="n">
        <v>0.05</v>
      </c>
      <c r="F63" s="59" t="n">
        <v>0.95</v>
      </c>
      <c r="G63" s="59" t="n">
        <v>0.9399999999999999</v>
      </c>
      <c r="H63" s="60" t="n">
        <v>46295</v>
      </c>
      <c r="I63" s="59" t="n">
        <v>0.96</v>
      </c>
      <c r="J63" s="61" t="n"/>
      <c r="K63" s="61" t="n"/>
      <c r="L63" s="62" t="n">
        <v>28000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0.604</v>
      </c>
      <c r="D64" s="11" t="inlineStr">
        <is>
          <t>current</t>
        </is>
      </c>
      <c r="E64" s="58" t="n">
        <v>0.05</v>
      </c>
      <c r="F64" s="59" t="n">
        <v>0.95</v>
      </c>
      <c r="G64" s="59" t="n">
        <v>0.9399999999999999</v>
      </c>
      <c r="H64" s="60" t="n">
        <v>46295</v>
      </c>
      <c r="I64" s="59" t="n">
        <v>0.9399999999999999</v>
      </c>
      <c r="J64" s="61" t="n"/>
      <c r="K64" s="61" t="n"/>
      <c r="L64" s="62" t="n">
        <v>73500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0.632</v>
      </c>
      <c r="D65" s="11" t="inlineStr">
        <is>
          <t>current</t>
        </is>
      </c>
      <c r="E65" s="58" t="n">
        <v>0.05</v>
      </c>
      <c r="F65" s="59" t="n">
        <v>0.95</v>
      </c>
      <c r="G65" s="59" t="n">
        <v>0.9399999999999999</v>
      </c>
      <c r="H65" s="60" t="n">
        <v>46295</v>
      </c>
      <c r="I65" s="59" t="n">
        <v>0.955</v>
      </c>
      <c r="J65" s="61" t="n"/>
      <c r="K65" s="61" t="n"/>
      <c r="L65" s="62" t="n">
        <v>59500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0.616</v>
      </c>
      <c r="D66" s="11" t="inlineStr">
        <is>
          <t>current</t>
        </is>
      </c>
      <c r="E66" s="58" t="n">
        <v>0.05</v>
      </c>
      <c r="F66" s="59" t="n">
        <v>0.95</v>
      </c>
      <c r="G66" s="59" t="n">
        <v>0.9399999999999999</v>
      </c>
      <c r="H66" s="60" t="n">
        <v>46295</v>
      </c>
      <c r="I66" s="59" t="n">
        <v>0.9350000000000001</v>
      </c>
      <c r="J66" s="61" t="n"/>
      <c r="K66" s="61" t="n"/>
      <c r="L66" s="62" t="n">
        <v>45500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0.6</v>
      </c>
      <c r="D67" s="11" t="inlineStr">
        <is>
          <t>current</t>
        </is>
      </c>
      <c r="E67" s="58" t="n">
        <v>0.05</v>
      </c>
      <c r="F67" s="59" t="n">
        <v>0.95</v>
      </c>
      <c r="G67" s="59" t="n">
        <v>0.9399999999999999</v>
      </c>
      <c r="H67" s="60" t="n">
        <v>46295</v>
      </c>
      <c r="I67" s="59" t="n">
        <v>0.95</v>
      </c>
      <c r="J67" s="61" t="n"/>
      <c r="K67" s="61" t="n"/>
      <c r="L67" s="62" t="n">
        <v>31500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0.628</v>
      </c>
      <c r="D68" s="11" t="inlineStr">
        <is>
          <t>current</t>
        </is>
      </c>
      <c r="E68" s="58" t="n">
        <v>0.05</v>
      </c>
      <c r="F68" s="59" t="n">
        <v>0.95</v>
      </c>
      <c r="G68" s="59" t="n">
        <v>0.9399999999999999</v>
      </c>
      <c r="H68" s="60" t="n">
        <v>46295</v>
      </c>
      <c r="I68" s="59" t="n">
        <v>0.93</v>
      </c>
      <c r="J68" s="61" t="n"/>
      <c r="K68" s="61" t="n"/>
      <c r="L68" s="62" t="n">
        <v>77000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0.612</v>
      </c>
      <c r="D69" s="11" t="inlineStr">
        <is>
          <t>current</t>
        </is>
      </c>
      <c r="E69" s="58" t="n">
        <v>0.05</v>
      </c>
      <c r="F69" s="59" t="n">
        <v>0.95</v>
      </c>
      <c r="G69" s="59" t="n">
        <v>0.9399999999999999</v>
      </c>
      <c r="H69" s="60" t="n">
        <v>46295</v>
      </c>
      <c r="I69" s="59" t="n">
        <v>0.945</v>
      </c>
      <c r="J69" s="61" t="n"/>
      <c r="K69" s="61" t="n"/>
      <c r="L69" s="62" t="n">
        <v>63000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0.64</v>
      </c>
      <c r="D70" s="11" t="inlineStr">
        <is>
          <t>current</t>
        </is>
      </c>
      <c r="E70" s="58" t="n">
        <v>0.05</v>
      </c>
      <c r="F70" s="59" t="n">
        <v>0.95</v>
      </c>
      <c r="G70" s="59" t="n">
        <v>0.9399999999999999</v>
      </c>
      <c r="H70" s="60" t="n">
        <v>46295</v>
      </c>
      <c r="I70" s="59" t="n">
        <v>0.96</v>
      </c>
      <c r="J70" s="61" t="n"/>
      <c r="K70" s="61" t="n"/>
      <c r="L70" s="62" t="n">
        <v>49000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0.624</v>
      </c>
      <c r="D71" s="11" t="inlineStr">
        <is>
          <t>current</t>
        </is>
      </c>
      <c r="E71" s="58" t="n">
        <v>0.05</v>
      </c>
      <c r="F71" s="59" t="n">
        <v>0.95</v>
      </c>
      <c r="G71" s="59" t="n">
        <v>0.9399999999999999</v>
      </c>
      <c r="H71" s="60" t="n">
        <v>46295</v>
      </c>
      <c r="I71" s="59" t="n">
        <v>0.9399999999999999</v>
      </c>
      <c r="J71" s="61" t="n"/>
      <c r="K71" s="61" t="n"/>
      <c r="L71" s="62" t="n">
        <v>35000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0.608</v>
      </c>
      <c r="D72" s="11" t="inlineStr">
        <is>
          <t>current</t>
        </is>
      </c>
      <c r="E72" s="58" t="n">
        <v>0.05</v>
      </c>
      <c r="F72" s="59" t="n">
        <v>0.95</v>
      </c>
      <c r="G72" s="59" t="n">
        <v>0.9399999999999999</v>
      </c>
      <c r="H72" s="60" t="n">
        <v>46295</v>
      </c>
      <c r="I72" s="59" t="n">
        <v>0.955</v>
      </c>
      <c r="J72" s="61" t="n"/>
      <c r="K72" s="61" t="n"/>
      <c r="L72" s="62" t="n">
        <v>80500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0.636</v>
      </c>
      <c r="D73" s="11" t="inlineStr">
        <is>
          <t>current</t>
        </is>
      </c>
      <c r="E73" s="58" t="n">
        <v>0.05</v>
      </c>
      <c r="F73" s="59" t="n">
        <v>0.95</v>
      </c>
      <c r="G73" s="59" t="n">
        <v>0.9399999999999999</v>
      </c>
      <c r="H73" s="60" t="n">
        <v>46295</v>
      </c>
      <c r="I73" s="59" t="n">
        <v>0.9350000000000001</v>
      </c>
      <c r="J73" s="61" t="n"/>
      <c r="K73" s="61" t="n"/>
      <c r="L73" s="62" t="n">
        <v>66500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0.62</v>
      </c>
      <c r="D74" s="11" t="inlineStr">
        <is>
          <t>current</t>
        </is>
      </c>
      <c r="E74" s="58" t="n">
        <v>0.05</v>
      </c>
      <c r="F74" s="59" t="n">
        <v>0.95</v>
      </c>
      <c r="G74" s="59" t="n">
        <v>0.9399999999999999</v>
      </c>
      <c r="H74" s="60" t="n">
        <v>46295</v>
      </c>
      <c r="I74" s="59" t="n">
        <v>0.95</v>
      </c>
      <c r="J74" s="61" t="n"/>
      <c r="K74" s="61" t="n"/>
      <c r="L74" s="62" t="n">
        <v>52500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General Liability</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(General Liability)</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78">
        <f>IF(INDEX(lr_key,1)="","",INDEX(lr_bu,1))</f>
        <v/>
      </c>
      <c r="B6" s="78">
        <f>IF(INDEX(lr_key,1)="","",INDEX(lr_state,1))</f>
        <v/>
      </c>
      <c r="C6" s="23">
        <f>INDEX(lr_key,1)</f>
        <v/>
      </c>
      <c r="D6" s="79">
        <f>IF($C6="","",N(INDEX(lr_lrproj,1)))</f>
        <v/>
      </c>
      <c r="E6" s="51">
        <f>IF($C6="","",INDEX(lr_basis,1)&amp;"")</f>
        <v/>
      </c>
      <c r="F6" s="79">
        <f>IF($C6="","",INDEX(calc_lrcur,1))</f>
        <v/>
      </c>
      <c r="G6" s="80">
        <f>IF($C6="","",INDEX(calc_cylr_p,1))</f>
        <v/>
      </c>
      <c r="H6" s="81">
        <f>IF($C6="","",(INDEX(calc_cylr_p,1)-INDEX(calc_lrcur,1))*100)</f>
        <v/>
      </c>
      <c r="I6" s="82">
        <f>IF($C6="","",INDEX(calc_arate_p,1))</f>
        <v/>
      </c>
      <c r="J6" s="82">
        <f>IF($C6="","",INDEX(calc_amod_p,1))</f>
        <v/>
      </c>
      <c r="K6" s="83">
        <f>IF($C6="","",INDEX(calc_echg,1))</f>
        <v/>
      </c>
      <c r="L6" s="83">
        <f>IF($C6="","",INDEX(calc_carry,1))</f>
        <v/>
      </c>
      <c r="M6" s="79">
        <f>IF($C6="","",INDEX(calc_cylr_p1,1))</f>
        <v/>
      </c>
      <c r="N6" s="84">
        <f>IF($C6="","",N(INDEX(lr_ep,1)))</f>
        <v/>
      </c>
      <c r="O6" s="85">
        <f>IF($C6="","",IF(SUM($N$6:$N$74)=0,0,N($N6)/SUM($N$6:$N$74)))</f>
        <v/>
      </c>
      <c r="P6" s="86">
        <f>IF($C6="","",RANK($H6,$H$6:$H$74))</f>
        <v/>
      </c>
      <c r="Q6" s="6">
        <f>IF($C6="","",$H6+ROW()/1000000000)</f>
        <v/>
      </c>
      <c r="R6" s="75">
        <f>IF(OR($C6="",$O6=""),"",N($O6)*$H6)</f>
        <v/>
      </c>
      <c r="T6" s="57" t="inlineStr">
        <is>
          <t>Combo</t>
        </is>
      </c>
      <c r="U6" s="57" t="inlineStr">
        <is>
          <t>Plan LR</t>
        </is>
      </c>
      <c r="V6" s="57" t="inlineStr">
        <is>
          <t>Chg (pts)</t>
        </is>
      </c>
      <c r="W6" s="57" t="inlineStr">
        <is>
          <t>Contribution (pts)</t>
        </is>
      </c>
    </row>
    <row r="7">
      <c r="A7" s="78">
        <f>IF(INDEX(lr_key,2)="","",INDEX(lr_bu,2))</f>
        <v/>
      </c>
      <c r="B7" s="78">
        <f>IF(INDEX(lr_key,2)="","",INDEX(lr_state,2))</f>
        <v/>
      </c>
      <c r="C7" s="23">
        <f>INDEX(lr_key,2)</f>
        <v/>
      </c>
      <c r="D7" s="79">
        <f>IF($C7="","",N(INDEX(lr_lrproj,2)))</f>
        <v/>
      </c>
      <c r="E7" s="51">
        <f>IF($C7="","",INDEX(lr_basis,2)&amp;"")</f>
        <v/>
      </c>
      <c r="F7" s="79">
        <f>IF($C7="","",INDEX(calc_lrcur,2))</f>
        <v/>
      </c>
      <c r="G7" s="80">
        <f>IF($C7="","",INDEX(calc_cylr_p,2))</f>
        <v/>
      </c>
      <c r="H7" s="81">
        <f>IF($C7="","",(INDEX(calc_cylr_p,2)-INDEX(calc_lrcur,2))*100)</f>
        <v/>
      </c>
      <c r="I7" s="82">
        <f>IF($C7="","",INDEX(calc_arate_p,2))</f>
        <v/>
      </c>
      <c r="J7" s="82">
        <f>IF($C7="","",INDEX(calc_amod_p,2))</f>
        <v/>
      </c>
      <c r="K7" s="83">
        <f>IF($C7="","",INDEX(calc_echg,2))</f>
        <v/>
      </c>
      <c r="L7" s="83">
        <f>IF($C7="","",INDEX(calc_carry,2))</f>
        <v/>
      </c>
      <c r="M7" s="79">
        <f>IF($C7="","",INDEX(calc_cylr_p1,2))</f>
        <v/>
      </c>
      <c r="N7" s="84">
        <f>IF($C7="","",N(INDEX(lr_ep,2)))</f>
        <v/>
      </c>
      <c r="O7" s="85">
        <f>IF($C7="","",IF(SUM($N$6:$N$74)=0,0,N($N7)/SUM($N$6:$N$74)))</f>
        <v/>
      </c>
      <c r="P7" s="86">
        <f>IF($C7="","",RANK($H7,$H$6:$H$74))</f>
        <v/>
      </c>
      <c r="Q7" s="6">
        <f>IF($C7="","",$H7+ROW()/1000000000)</f>
        <v/>
      </c>
      <c r="R7" s="75">
        <f>IF(OR($C7="",$O7=""),"",N($O7)*$H7)</f>
        <v/>
      </c>
      <c r="T7" s="87">
        <f>IF($Y7=0,"",INDEX($C$6:$C$74,$Y7))</f>
        <v/>
      </c>
      <c r="U7" s="88">
        <f>IF($Y7=0,"",INDEX($G$6:$G$74,$Y7))</f>
        <v/>
      </c>
      <c r="V7" s="89">
        <f>IF($Y7=0,"",INDEX($H$6:$H$74,$Y7))</f>
        <v/>
      </c>
      <c r="W7" s="90">
        <f>IF($Y7=0,"",INDEX($R$6:$R$74,$Y7))</f>
        <v/>
      </c>
      <c r="Y7" s="42">
        <f>IF(COUNT($Q$6:$Q$74)&lt;1,0,MATCH(LARGE($Q$6:$Q$74,1),$Q$6:$Q$74,0))</f>
        <v/>
      </c>
    </row>
    <row r="8">
      <c r="A8" s="78">
        <f>IF(INDEX(lr_key,3)="","",INDEX(lr_bu,3))</f>
        <v/>
      </c>
      <c r="B8" s="78">
        <f>IF(INDEX(lr_key,3)="","",INDEX(lr_state,3))</f>
        <v/>
      </c>
      <c r="C8" s="23">
        <f>INDEX(lr_key,3)</f>
        <v/>
      </c>
      <c r="D8" s="79">
        <f>IF($C8="","",N(INDEX(lr_lrproj,3)))</f>
        <v/>
      </c>
      <c r="E8" s="51">
        <f>IF($C8="","",INDEX(lr_basis,3)&amp;"")</f>
        <v/>
      </c>
      <c r="F8" s="79">
        <f>IF($C8="","",INDEX(calc_lrcur,3))</f>
        <v/>
      </c>
      <c r="G8" s="80">
        <f>IF($C8="","",INDEX(calc_cylr_p,3))</f>
        <v/>
      </c>
      <c r="H8" s="81">
        <f>IF($C8="","",(INDEX(calc_cylr_p,3)-INDEX(calc_lrcur,3))*100)</f>
        <v/>
      </c>
      <c r="I8" s="82">
        <f>IF($C8="","",INDEX(calc_arate_p,3))</f>
        <v/>
      </c>
      <c r="J8" s="82">
        <f>IF($C8="","",INDEX(calc_amod_p,3))</f>
        <v/>
      </c>
      <c r="K8" s="83">
        <f>IF($C8="","",INDEX(calc_echg,3))</f>
        <v/>
      </c>
      <c r="L8" s="83">
        <f>IF($C8="","",INDEX(calc_carry,3))</f>
        <v/>
      </c>
      <c r="M8" s="79">
        <f>IF($C8="","",INDEX(calc_cylr_p1,3))</f>
        <v/>
      </c>
      <c r="N8" s="84">
        <f>IF($C8="","",N(INDEX(lr_ep,3)))</f>
        <v/>
      </c>
      <c r="O8" s="85">
        <f>IF($C8="","",IF(SUM($N$6:$N$74)=0,0,N($N8)/SUM($N$6:$N$74)))</f>
        <v/>
      </c>
      <c r="P8" s="86">
        <f>IF($C8="","",RANK($H8,$H$6:$H$74))</f>
        <v/>
      </c>
      <c r="Q8" s="6">
        <f>IF($C8="","",$H8+ROW()/1000000000)</f>
        <v/>
      </c>
      <c r="R8" s="75">
        <f>IF(OR($C8="",$O8=""),"",N($O8)*$H8)</f>
        <v/>
      </c>
      <c r="T8" s="87">
        <f>IF($Y8=0,"",INDEX($C$6:$C$74,$Y8))</f>
        <v/>
      </c>
      <c r="U8" s="88">
        <f>IF($Y8=0,"",INDEX($G$6:$G$74,$Y8))</f>
        <v/>
      </c>
      <c r="V8" s="89">
        <f>IF($Y8=0,"",INDEX($H$6:$H$74,$Y8))</f>
        <v/>
      </c>
      <c r="W8" s="90">
        <f>IF($Y8=0,"",INDEX($R$6:$R$74,$Y8))</f>
        <v/>
      </c>
      <c r="Y8" s="42">
        <f>IF(COUNT($Q$6:$Q$74)&lt;2,0,MATCH(LARGE($Q$6:$Q$74,2),$Q$6:$Q$74,0))</f>
        <v/>
      </c>
    </row>
    <row r="9">
      <c r="A9" s="78">
        <f>IF(INDEX(lr_key,4)="","",INDEX(lr_bu,4))</f>
        <v/>
      </c>
      <c r="B9" s="78">
        <f>IF(INDEX(lr_key,4)="","",INDEX(lr_state,4))</f>
        <v/>
      </c>
      <c r="C9" s="23">
        <f>INDEX(lr_key,4)</f>
        <v/>
      </c>
      <c r="D9" s="79">
        <f>IF($C9="","",N(INDEX(lr_lrproj,4)))</f>
        <v/>
      </c>
      <c r="E9" s="51">
        <f>IF($C9="","",INDEX(lr_basis,4)&amp;"")</f>
        <v/>
      </c>
      <c r="F9" s="79">
        <f>IF($C9="","",INDEX(calc_lrcur,4))</f>
        <v/>
      </c>
      <c r="G9" s="80">
        <f>IF($C9="","",INDEX(calc_cylr_p,4))</f>
        <v/>
      </c>
      <c r="H9" s="81">
        <f>IF($C9="","",(INDEX(calc_cylr_p,4)-INDEX(calc_lrcur,4))*100)</f>
        <v/>
      </c>
      <c r="I9" s="82">
        <f>IF($C9="","",INDEX(calc_arate_p,4))</f>
        <v/>
      </c>
      <c r="J9" s="82">
        <f>IF($C9="","",INDEX(calc_amod_p,4))</f>
        <v/>
      </c>
      <c r="K9" s="83">
        <f>IF($C9="","",INDEX(calc_echg,4))</f>
        <v/>
      </c>
      <c r="L9" s="83">
        <f>IF($C9="","",INDEX(calc_carry,4))</f>
        <v/>
      </c>
      <c r="M9" s="79">
        <f>IF($C9="","",INDEX(calc_cylr_p1,4))</f>
        <v/>
      </c>
      <c r="N9" s="84">
        <f>IF($C9="","",N(INDEX(lr_ep,4)))</f>
        <v/>
      </c>
      <c r="O9" s="85">
        <f>IF($C9="","",IF(SUM($N$6:$N$74)=0,0,N($N9)/SUM($N$6:$N$74)))</f>
        <v/>
      </c>
      <c r="P9" s="86">
        <f>IF($C9="","",RANK($H9,$H$6:$H$74))</f>
        <v/>
      </c>
      <c r="Q9" s="6">
        <f>IF($C9="","",$H9+ROW()/1000000000)</f>
        <v/>
      </c>
      <c r="R9" s="75">
        <f>IF(OR($C9="",$O9=""),"",N($O9)*$H9)</f>
        <v/>
      </c>
      <c r="T9" s="87">
        <f>IF($Y9=0,"",INDEX($C$6:$C$74,$Y9))</f>
        <v/>
      </c>
      <c r="U9" s="88">
        <f>IF($Y9=0,"",INDEX($G$6:$G$74,$Y9))</f>
        <v/>
      </c>
      <c r="V9" s="89">
        <f>IF($Y9=0,"",INDEX($H$6:$H$74,$Y9))</f>
        <v/>
      </c>
      <c r="W9" s="90">
        <f>IF($Y9=0,"",INDEX($R$6:$R$74,$Y9))</f>
        <v/>
      </c>
      <c r="Y9" s="42">
        <f>IF(COUNT($Q$6:$Q$74)&lt;3,0,MATCH(LARGE($Q$6:$Q$74,3),$Q$6:$Q$74,0))</f>
        <v/>
      </c>
    </row>
    <row r="10">
      <c r="A10" s="78">
        <f>IF(INDEX(lr_key,5)="","",INDEX(lr_bu,5))</f>
        <v/>
      </c>
      <c r="B10" s="78">
        <f>IF(INDEX(lr_key,5)="","",INDEX(lr_state,5))</f>
        <v/>
      </c>
      <c r="C10" s="23">
        <f>INDEX(lr_key,5)</f>
        <v/>
      </c>
      <c r="D10" s="79">
        <f>IF($C10="","",N(INDEX(lr_lrproj,5)))</f>
        <v/>
      </c>
      <c r="E10" s="51">
        <f>IF($C10="","",INDEX(lr_basis,5)&amp;"")</f>
        <v/>
      </c>
      <c r="F10" s="79">
        <f>IF($C10="","",INDEX(calc_lrcur,5))</f>
        <v/>
      </c>
      <c r="G10" s="80">
        <f>IF($C10="","",INDEX(calc_cylr_p,5))</f>
        <v/>
      </c>
      <c r="H10" s="81">
        <f>IF($C10="","",(INDEX(calc_cylr_p,5)-INDEX(calc_lrcur,5))*100)</f>
        <v/>
      </c>
      <c r="I10" s="82">
        <f>IF($C10="","",INDEX(calc_arate_p,5))</f>
        <v/>
      </c>
      <c r="J10" s="82">
        <f>IF($C10="","",INDEX(calc_amod_p,5))</f>
        <v/>
      </c>
      <c r="K10" s="83">
        <f>IF($C10="","",INDEX(calc_echg,5))</f>
        <v/>
      </c>
      <c r="L10" s="83">
        <f>IF($C10="","",INDEX(calc_carry,5))</f>
        <v/>
      </c>
      <c r="M10" s="79">
        <f>IF($C10="","",INDEX(calc_cylr_p1,5))</f>
        <v/>
      </c>
      <c r="N10" s="84">
        <f>IF($C10="","",N(INDEX(lr_ep,5)))</f>
        <v/>
      </c>
      <c r="O10" s="85">
        <f>IF($C10="","",IF(SUM($N$6:$N$74)=0,0,N($N10)/SUM($N$6:$N$74)))</f>
        <v/>
      </c>
      <c r="P10" s="86">
        <f>IF($C10="","",RANK($H10,$H$6:$H$74))</f>
        <v/>
      </c>
      <c r="Q10" s="6">
        <f>IF($C10="","",$H10+ROW()/1000000000)</f>
        <v/>
      </c>
      <c r="R10" s="75">
        <f>IF(OR($C10="",$O10=""),"",N($O10)*$H10)</f>
        <v/>
      </c>
      <c r="T10" s="87">
        <f>IF($Y10=0,"",INDEX($C$6:$C$74,$Y10))</f>
        <v/>
      </c>
      <c r="U10" s="88">
        <f>IF($Y10=0,"",INDEX($G$6:$G$74,$Y10))</f>
        <v/>
      </c>
      <c r="V10" s="89">
        <f>IF($Y10=0,"",INDEX($H$6:$H$74,$Y10))</f>
        <v/>
      </c>
      <c r="W10" s="90">
        <f>IF($Y10=0,"",INDEX($R$6:$R$74,$Y10))</f>
        <v/>
      </c>
      <c r="Y10" s="42">
        <f>IF(COUNT($Q$6:$Q$74)&lt;4,0,MATCH(LARGE($Q$6:$Q$74,4),$Q$6:$Q$74,0))</f>
        <v/>
      </c>
    </row>
    <row r="11">
      <c r="A11" s="78">
        <f>IF(INDEX(lr_key,6)="","",INDEX(lr_bu,6))</f>
        <v/>
      </c>
      <c r="B11" s="78">
        <f>IF(INDEX(lr_key,6)="","",INDEX(lr_state,6))</f>
        <v/>
      </c>
      <c r="C11" s="23">
        <f>INDEX(lr_key,6)</f>
        <v/>
      </c>
      <c r="D11" s="79">
        <f>IF($C11="","",N(INDEX(lr_lrproj,6)))</f>
        <v/>
      </c>
      <c r="E11" s="51">
        <f>IF($C11="","",INDEX(lr_basis,6)&amp;"")</f>
        <v/>
      </c>
      <c r="F11" s="79">
        <f>IF($C11="","",INDEX(calc_lrcur,6))</f>
        <v/>
      </c>
      <c r="G11" s="80">
        <f>IF($C11="","",INDEX(calc_cylr_p,6))</f>
        <v/>
      </c>
      <c r="H11" s="81">
        <f>IF($C11="","",(INDEX(calc_cylr_p,6)-INDEX(calc_lrcur,6))*100)</f>
        <v/>
      </c>
      <c r="I11" s="82">
        <f>IF($C11="","",INDEX(calc_arate_p,6))</f>
        <v/>
      </c>
      <c r="J11" s="82">
        <f>IF($C11="","",INDEX(calc_amod_p,6))</f>
        <v/>
      </c>
      <c r="K11" s="83">
        <f>IF($C11="","",INDEX(calc_echg,6))</f>
        <v/>
      </c>
      <c r="L11" s="83">
        <f>IF($C11="","",INDEX(calc_carry,6))</f>
        <v/>
      </c>
      <c r="M11" s="79">
        <f>IF($C11="","",INDEX(calc_cylr_p1,6))</f>
        <v/>
      </c>
      <c r="N11" s="84">
        <f>IF($C11="","",N(INDEX(lr_ep,6)))</f>
        <v/>
      </c>
      <c r="O11" s="85">
        <f>IF($C11="","",IF(SUM($N$6:$N$74)=0,0,N($N11)/SUM($N$6:$N$74)))</f>
        <v/>
      </c>
      <c r="P11" s="86">
        <f>IF($C11="","",RANK($H11,$H$6:$H$74))</f>
        <v/>
      </c>
      <c r="Q11" s="6">
        <f>IF($C11="","",$H11+ROW()/1000000000)</f>
        <v/>
      </c>
      <c r="R11" s="75">
        <f>IF(OR($C11="",$O11=""),"",N($O11)*$H11)</f>
        <v/>
      </c>
      <c r="T11" s="87">
        <f>IF($Y11=0,"",INDEX($C$6:$C$74,$Y11))</f>
        <v/>
      </c>
      <c r="U11" s="88">
        <f>IF($Y11=0,"",INDEX($G$6:$G$74,$Y11))</f>
        <v/>
      </c>
      <c r="V11" s="89">
        <f>IF($Y11=0,"",INDEX($H$6:$H$74,$Y11))</f>
        <v/>
      </c>
      <c r="W11" s="90">
        <f>IF($Y11=0,"",INDEX($R$6:$R$74,$Y11))</f>
        <v/>
      </c>
      <c r="Y11" s="42">
        <f>IF(COUNT($Q$6:$Q$74)&lt;5,0,MATCH(LARGE($Q$6:$Q$74,5),$Q$6:$Q$74,0))</f>
        <v/>
      </c>
    </row>
    <row r="12">
      <c r="A12" s="78">
        <f>IF(INDEX(lr_key,7)="","",INDEX(lr_bu,7))</f>
        <v/>
      </c>
      <c r="B12" s="78">
        <f>IF(INDEX(lr_key,7)="","",INDEX(lr_state,7))</f>
        <v/>
      </c>
      <c r="C12" s="23">
        <f>INDEX(lr_key,7)</f>
        <v/>
      </c>
      <c r="D12" s="79">
        <f>IF($C12="","",N(INDEX(lr_lrproj,7)))</f>
        <v/>
      </c>
      <c r="E12" s="51">
        <f>IF($C12="","",INDEX(lr_basis,7)&amp;"")</f>
        <v/>
      </c>
      <c r="F12" s="79">
        <f>IF($C12="","",INDEX(calc_lrcur,7))</f>
        <v/>
      </c>
      <c r="G12" s="80">
        <f>IF($C12="","",INDEX(calc_cylr_p,7))</f>
        <v/>
      </c>
      <c r="H12" s="81">
        <f>IF($C12="","",(INDEX(calc_cylr_p,7)-INDEX(calc_lrcur,7))*100)</f>
        <v/>
      </c>
      <c r="I12" s="82">
        <f>IF($C12="","",INDEX(calc_arate_p,7))</f>
        <v/>
      </c>
      <c r="J12" s="82">
        <f>IF($C12="","",INDEX(calc_amod_p,7))</f>
        <v/>
      </c>
      <c r="K12" s="83">
        <f>IF($C12="","",INDEX(calc_echg,7))</f>
        <v/>
      </c>
      <c r="L12" s="83">
        <f>IF($C12="","",INDEX(calc_carry,7))</f>
        <v/>
      </c>
      <c r="M12" s="79">
        <f>IF($C12="","",INDEX(calc_cylr_p1,7))</f>
        <v/>
      </c>
      <c r="N12" s="84">
        <f>IF($C12="","",N(INDEX(lr_ep,7)))</f>
        <v/>
      </c>
      <c r="O12" s="85">
        <f>IF($C12="","",IF(SUM($N$6:$N$74)=0,0,N($N12)/SUM($N$6:$N$74)))</f>
        <v/>
      </c>
      <c r="P12" s="86">
        <f>IF($C12="","",RANK($H12,$H$6:$H$74))</f>
        <v/>
      </c>
      <c r="Q12" s="6">
        <f>IF($C12="","",$H12+ROW()/1000000000)</f>
        <v/>
      </c>
      <c r="R12" s="75">
        <f>IF(OR($C12="",$O12=""),"",N($O12)*$H12)</f>
        <v/>
      </c>
      <c r="T12" s="87">
        <f>IF($Y12=0,"",INDEX($C$6:$C$74,$Y12))</f>
        <v/>
      </c>
      <c r="U12" s="88">
        <f>IF($Y12=0,"",INDEX($G$6:$G$74,$Y12))</f>
        <v/>
      </c>
      <c r="V12" s="89">
        <f>IF($Y12=0,"",INDEX($H$6:$H$74,$Y12))</f>
        <v/>
      </c>
      <c r="W12" s="90">
        <f>IF($Y12=0,"",INDEX($R$6:$R$74,$Y12))</f>
        <v/>
      </c>
      <c r="Y12" s="42">
        <f>IF(COUNT($Q$6:$Q$74)&lt;6,0,MATCH(LARGE($Q$6:$Q$74,6),$Q$6:$Q$74,0))</f>
        <v/>
      </c>
    </row>
    <row r="13">
      <c r="A13" s="78">
        <f>IF(INDEX(lr_key,8)="","",INDEX(lr_bu,8))</f>
        <v/>
      </c>
      <c r="B13" s="78">
        <f>IF(INDEX(lr_key,8)="","",INDEX(lr_state,8))</f>
        <v/>
      </c>
      <c r="C13" s="23">
        <f>INDEX(lr_key,8)</f>
        <v/>
      </c>
      <c r="D13" s="79">
        <f>IF($C13="","",N(INDEX(lr_lrproj,8)))</f>
        <v/>
      </c>
      <c r="E13" s="51">
        <f>IF($C13="","",INDEX(lr_basis,8)&amp;"")</f>
        <v/>
      </c>
      <c r="F13" s="79">
        <f>IF($C13="","",INDEX(calc_lrcur,8))</f>
        <v/>
      </c>
      <c r="G13" s="80">
        <f>IF($C13="","",INDEX(calc_cylr_p,8))</f>
        <v/>
      </c>
      <c r="H13" s="81">
        <f>IF($C13="","",(INDEX(calc_cylr_p,8)-INDEX(calc_lrcur,8))*100)</f>
        <v/>
      </c>
      <c r="I13" s="82">
        <f>IF($C13="","",INDEX(calc_arate_p,8))</f>
        <v/>
      </c>
      <c r="J13" s="82">
        <f>IF($C13="","",INDEX(calc_amod_p,8))</f>
        <v/>
      </c>
      <c r="K13" s="83">
        <f>IF($C13="","",INDEX(calc_echg,8))</f>
        <v/>
      </c>
      <c r="L13" s="83">
        <f>IF($C13="","",INDEX(calc_carry,8))</f>
        <v/>
      </c>
      <c r="M13" s="79">
        <f>IF($C13="","",INDEX(calc_cylr_p1,8))</f>
        <v/>
      </c>
      <c r="N13" s="84">
        <f>IF($C13="","",N(INDEX(lr_ep,8)))</f>
        <v/>
      </c>
      <c r="O13" s="85">
        <f>IF($C13="","",IF(SUM($N$6:$N$74)=0,0,N($N13)/SUM($N$6:$N$74)))</f>
        <v/>
      </c>
      <c r="P13" s="86">
        <f>IF($C13="","",RANK($H13,$H$6:$H$74))</f>
        <v/>
      </c>
      <c r="Q13" s="6">
        <f>IF($C13="","",$H13+ROW()/1000000000)</f>
        <v/>
      </c>
      <c r="R13" s="75">
        <f>IF(OR($C13="",$O13=""),"",N($O13)*$H13)</f>
        <v/>
      </c>
      <c r="T13" s="87">
        <f>IF($Y13=0,"",INDEX($C$6:$C$74,$Y13))</f>
        <v/>
      </c>
      <c r="U13" s="88">
        <f>IF($Y13=0,"",INDEX($G$6:$G$74,$Y13))</f>
        <v/>
      </c>
      <c r="V13" s="89">
        <f>IF($Y13=0,"",INDEX($H$6:$H$74,$Y13))</f>
        <v/>
      </c>
      <c r="W13" s="90">
        <f>IF($Y13=0,"",INDEX($R$6:$R$74,$Y13))</f>
        <v/>
      </c>
      <c r="Y13" s="42">
        <f>IF(COUNT($Q$6:$Q$74)&lt;7,0,MATCH(LARGE($Q$6:$Q$74,7),$Q$6:$Q$74,0))</f>
        <v/>
      </c>
    </row>
    <row r="14">
      <c r="A14" s="78">
        <f>IF(INDEX(lr_key,9)="","",INDEX(lr_bu,9))</f>
        <v/>
      </c>
      <c r="B14" s="78">
        <f>IF(INDEX(lr_key,9)="","",INDEX(lr_state,9))</f>
        <v/>
      </c>
      <c r="C14" s="23">
        <f>INDEX(lr_key,9)</f>
        <v/>
      </c>
      <c r="D14" s="79">
        <f>IF($C14="","",N(INDEX(lr_lrproj,9)))</f>
        <v/>
      </c>
      <c r="E14" s="51">
        <f>IF($C14="","",INDEX(lr_basis,9)&amp;"")</f>
        <v/>
      </c>
      <c r="F14" s="79">
        <f>IF($C14="","",INDEX(calc_lrcur,9))</f>
        <v/>
      </c>
      <c r="G14" s="80">
        <f>IF($C14="","",INDEX(calc_cylr_p,9))</f>
        <v/>
      </c>
      <c r="H14" s="81">
        <f>IF($C14="","",(INDEX(calc_cylr_p,9)-INDEX(calc_lrcur,9))*100)</f>
        <v/>
      </c>
      <c r="I14" s="82">
        <f>IF($C14="","",INDEX(calc_arate_p,9))</f>
        <v/>
      </c>
      <c r="J14" s="82">
        <f>IF($C14="","",INDEX(calc_amod_p,9))</f>
        <v/>
      </c>
      <c r="K14" s="83">
        <f>IF($C14="","",INDEX(calc_echg,9))</f>
        <v/>
      </c>
      <c r="L14" s="83">
        <f>IF($C14="","",INDEX(calc_carry,9))</f>
        <v/>
      </c>
      <c r="M14" s="79">
        <f>IF($C14="","",INDEX(calc_cylr_p1,9))</f>
        <v/>
      </c>
      <c r="N14" s="84">
        <f>IF($C14="","",N(INDEX(lr_ep,9)))</f>
        <v/>
      </c>
      <c r="O14" s="85">
        <f>IF($C14="","",IF(SUM($N$6:$N$74)=0,0,N($N14)/SUM($N$6:$N$74)))</f>
        <v/>
      </c>
      <c r="P14" s="86">
        <f>IF($C14="","",RANK($H14,$H$6:$H$74))</f>
        <v/>
      </c>
      <c r="Q14" s="6">
        <f>IF($C14="","",$H14+ROW()/1000000000)</f>
        <v/>
      </c>
      <c r="R14" s="75">
        <f>IF(OR($C14="",$O14=""),"",N($O14)*$H14)</f>
        <v/>
      </c>
      <c r="T14" s="87">
        <f>IF($Y14=0,"",INDEX($C$6:$C$74,$Y14))</f>
        <v/>
      </c>
      <c r="U14" s="88">
        <f>IF($Y14=0,"",INDEX($G$6:$G$74,$Y14))</f>
        <v/>
      </c>
      <c r="V14" s="89">
        <f>IF($Y14=0,"",INDEX($H$6:$H$74,$Y14))</f>
        <v/>
      </c>
      <c r="W14" s="90">
        <f>IF($Y14=0,"",INDEX($R$6:$R$74,$Y14))</f>
        <v/>
      </c>
      <c r="Y14" s="42">
        <f>IF(COUNT($Q$6:$Q$74)&lt;8,0,MATCH(LARGE($Q$6:$Q$74,8),$Q$6:$Q$74,0))</f>
        <v/>
      </c>
    </row>
    <row r="15">
      <c r="A15" s="78">
        <f>IF(INDEX(lr_key,10)="","",INDEX(lr_bu,10))</f>
        <v/>
      </c>
      <c r="B15" s="78">
        <f>IF(INDEX(lr_key,10)="","",INDEX(lr_state,10))</f>
        <v/>
      </c>
      <c r="C15" s="23">
        <f>INDEX(lr_key,10)</f>
        <v/>
      </c>
      <c r="D15" s="79">
        <f>IF($C15="","",N(INDEX(lr_lrproj,10)))</f>
        <v/>
      </c>
      <c r="E15" s="51">
        <f>IF($C15="","",INDEX(lr_basis,10)&amp;"")</f>
        <v/>
      </c>
      <c r="F15" s="79">
        <f>IF($C15="","",INDEX(calc_lrcur,10))</f>
        <v/>
      </c>
      <c r="G15" s="80">
        <f>IF($C15="","",INDEX(calc_cylr_p,10))</f>
        <v/>
      </c>
      <c r="H15" s="81">
        <f>IF($C15="","",(INDEX(calc_cylr_p,10)-INDEX(calc_lrcur,10))*100)</f>
        <v/>
      </c>
      <c r="I15" s="82">
        <f>IF($C15="","",INDEX(calc_arate_p,10))</f>
        <v/>
      </c>
      <c r="J15" s="82">
        <f>IF($C15="","",INDEX(calc_amod_p,10))</f>
        <v/>
      </c>
      <c r="K15" s="83">
        <f>IF($C15="","",INDEX(calc_echg,10))</f>
        <v/>
      </c>
      <c r="L15" s="83">
        <f>IF($C15="","",INDEX(calc_carry,10))</f>
        <v/>
      </c>
      <c r="M15" s="79">
        <f>IF($C15="","",INDEX(calc_cylr_p1,10))</f>
        <v/>
      </c>
      <c r="N15" s="84">
        <f>IF($C15="","",N(INDEX(lr_ep,10)))</f>
        <v/>
      </c>
      <c r="O15" s="85">
        <f>IF($C15="","",IF(SUM($N$6:$N$74)=0,0,N($N15)/SUM($N$6:$N$74)))</f>
        <v/>
      </c>
      <c r="P15" s="86">
        <f>IF($C15="","",RANK($H15,$H$6:$H$74))</f>
        <v/>
      </c>
      <c r="Q15" s="6">
        <f>IF($C15="","",$H15+ROW()/1000000000)</f>
        <v/>
      </c>
      <c r="R15" s="75">
        <f>IF(OR($C15="",$O15=""),"",N($O15)*$H15)</f>
        <v/>
      </c>
      <c r="T15" s="87">
        <f>IF($Y15=0,"",INDEX($C$6:$C$74,$Y15))</f>
        <v/>
      </c>
      <c r="U15" s="88">
        <f>IF($Y15=0,"",INDEX($G$6:$G$74,$Y15))</f>
        <v/>
      </c>
      <c r="V15" s="89">
        <f>IF($Y15=0,"",INDEX($H$6:$H$74,$Y15))</f>
        <v/>
      </c>
      <c r="W15" s="90">
        <f>IF($Y15=0,"",INDEX($R$6:$R$74,$Y15))</f>
        <v/>
      </c>
      <c r="Y15" s="42">
        <f>IF(COUNT($Q$6:$Q$74)&lt;9,0,MATCH(LARGE($Q$6:$Q$74,9),$Q$6:$Q$74,0))</f>
        <v/>
      </c>
    </row>
    <row r="16">
      <c r="A16" s="78">
        <f>IF(INDEX(lr_key,11)="","",INDEX(lr_bu,11))</f>
        <v/>
      </c>
      <c r="B16" s="78">
        <f>IF(INDEX(lr_key,11)="","",INDEX(lr_state,11))</f>
        <v/>
      </c>
      <c r="C16" s="23">
        <f>INDEX(lr_key,11)</f>
        <v/>
      </c>
      <c r="D16" s="79">
        <f>IF($C16="","",N(INDEX(lr_lrproj,11)))</f>
        <v/>
      </c>
      <c r="E16" s="51">
        <f>IF($C16="","",INDEX(lr_basis,11)&amp;"")</f>
        <v/>
      </c>
      <c r="F16" s="79">
        <f>IF($C16="","",INDEX(calc_lrcur,11))</f>
        <v/>
      </c>
      <c r="G16" s="80">
        <f>IF($C16="","",INDEX(calc_cylr_p,11))</f>
        <v/>
      </c>
      <c r="H16" s="81">
        <f>IF($C16="","",(INDEX(calc_cylr_p,11)-INDEX(calc_lrcur,11))*100)</f>
        <v/>
      </c>
      <c r="I16" s="82">
        <f>IF($C16="","",INDEX(calc_arate_p,11))</f>
        <v/>
      </c>
      <c r="J16" s="82">
        <f>IF($C16="","",INDEX(calc_amod_p,11))</f>
        <v/>
      </c>
      <c r="K16" s="83">
        <f>IF($C16="","",INDEX(calc_echg,11))</f>
        <v/>
      </c>
      <c r="L16" s="83">
        <f>IF($C16="","",INDEX(calc_carry,11))</f>
        <v/>
      </c>
      <c r="M16" s="79">
        <f>IF($C16="","",INDEX(calc_cylr_p1,11))</f>
        <v/>
      </c>
      <c r="N16" s="84">
        <f>IF($C16="","",N(INDEX(lr_ep,11)))</f>
        <v/>
      </c>
      <c r="O16" s="85">
        <f>IF($C16="","",IF(SUM($N$6:$N$74)=0,0,N($N16)/SUM($N$6:$N$74)))</f>
        <v/>
      </c>
      <c r="P16" s="86">
        <f>IF($C16="","",RANK($H16,$H$6:$H$74))</f>
        <v/>
      </c>
      <c r="Q16" s="6">
        <f>IF($C16="","",$H16+ROW()/1000000000)</f>
        <v/>
      </c>
      <c r="R16" s="75">
        <f>IF(OR($C16="",$O16=""),"",N($O16)*$H16)</f>
        <v/>
      </c>
      <c r="T16" s="87">
        <f>IF($Y16=0,"",INDEX($C$6:$C$74,$Y16))</f>
        <v/>
      </c>
      <c r="U16" s="88">
        <f>IF($Y16=0,"",INDEX($G$6:$G$74,$Y16))</f>
        <v/>
      </c>
      <c r="V16" s="89">
        <f>IF($Y16=0,"",INDEX($H$6:$H$74,$Y16))</f>
        <v/>
      </c>
      <c r="W16" s="90">
        <f>IF($Y16=0,"",INDEX($R$6:$R$74,$Y16))</f>
        <v/>
      </c>
      <c r="Y16" s="42">
        <f>IF(COUNT($Q$6:$Q$74)&lt;10,0,MATCH(LARGE($Q$6:$Q$74,10),$Q$6:$Q$74,0))</f>
        <v/>
      </c>
    </row>
    <row r="17">
      <c r="A17" s="78">
        <f>IF(INDEX(lr_key,12)="","",INDEX(lr_bu,12))</f>
        <v/>
      </c>
      <c r="B17" s="78">
        <f>IF(INDEX(lr_key,12)="","",INDEX(lr_state,12))</f>
        <v/>
      </c>
      <c r="C17" s="23">
        <f>INDEX(lr_key,12)</f>
        <v/>
      </c>
      <c r="D17" s="79">
        <f>IF($C17="","",N(INDEX(lr_lrproj,12)))</f>
        <v/>
      </c>
      <c r="E17" s="51">
        <f>IF($C17="","",INDEX(lr_basis,12)&amp;"")</f>
        <v/>
      </c>
      <c r="F17" s="79">
        <f>IF($C17="","",INDEX(calc_lrcur,12))</f>
        <v/>
      </c>
      <c r="G17" s="80">
        <f>IF($C17="","",INDEX(calc_cylr_p,12))</f>
        <v/>
      </c>
      <c r="H17" s="81">
        <f>IF($C17="","",(INDEX(calc_cylr_p,12)-INDEX(calc_lrcur,12))*100)</f>
        <v/>
      </c>
      <c r="I17" s="82">
        <f>IF($C17="","",INDEX(calc_arate_p,12))</f>
        <v/>
      </c>
      <c r="J17" s="82">
        <f>IF($C17="","",INDEX(calc_amod_p,12))</f>
        <v/>
      </c>
      <c r="K17" s="83">
        <f>IF($C17="","",INDEX(calc_echg,12))</f>
        <v/>
      </c>
      <c r="L17" s="83">
        <f>IF($C17="","",INDEX(calc_carry,12))</f>
        <v/>
      </c>
      <c r="M17" s="79">
        <f>IF($C17="","",INDEX(calc_cylr_p1,12))</f>
        <v/>
      </c>
      <c r="N17" s="84">
        <f>IF($C17="","",N(INDEX(lr_ep,12)))</f>
        <v/>
      </c>
      <c r="O17" s="85">
        <f>IF($C17="","",IF(SUM($N$6:$N$74)=0,0,N($N17)/SUM($N$6:$N$74)))</f>
        <v/>
      </c>
      <c r="P17" s="86">
        <f>IF($C17="","",RANK($H17,$H$6:$H$74))</f>
        <v/>
      </c>
      <c r="Q17" s="6">
        <f>IF($C17="","",$H17+ROW()/1000000000)</f>
        <v/>
      </c>
      <c r="R17" s="75">
        <f>IF(OR($C17="",$O17=""),"",N($O17)*$H17)</f>
        <v/>
      </c>
    </row>
    <row r="18">
      <c r="A18" s="78">
        <f>IF(INDEX(lr_key,13)="","",INDEX(lr_bu,13))</f>
        <v/>
      </c>
      <c r="B18" s="78">
        <f>IF(INDEX(lr_key,13)="","",INDEX(lr_state,13))</f>
        <v/>
      </c>
      <c r="C18" s="23">
        <f>INDEX(lr_key,13)</f>
        <v/>
      </c>
      <c r="D18" s="79">
        <f>IF($C18="","",N(INDEX(lr_lrproj,13)))</f>
        <v/>
      </c>
      <c r="E18" s="51">
        <f>IF($C18="","",INDEX(lr_basis,13)&amp;"")</f>
        <v/>
      </c>
      <c r="F18" s="79">
        <f>IF($C18="","",INDEX(calc_lrcur,13))</f>
        <v/>
      </c>
      <c r="G18" s="80">
        <f>IF($C18="","",INDEX(calc_cylr_p,13))</f>
        <v/>
      </c>
      <c r="H18" s="81">
        <f>IF($C18="","",(INDEX(calc_cylr_p,13)-INDEX(calc_lrcur,13))*100)</f>
        <v/>
      </c>
      <c r="I18" s="82">
        <f>IF($C18="","",INDEX(calc_arate_p,13))</f>
        <v/>
      </c>
      <c r="J18" s="82">
        <f>IF($C18="","",INDEX(calc_amod_p,13))</f>
        <v/>
      </c>
      <c r="K18" s="83">
        <f>IF($C18="","",INDEX(calc_echg,13))</f>
        <v/>
      </c>
      <c r="L18" s="83">
        <f>IF($C18="","",INDEX(calc_carry,13))</f>
        <v/>
      </c>
      <c r="M18" s="79">
        <f>IF($C18="","",INDEX(calc_cylr_p1,13))</f>
        <v/>
      </c>
      <c r="N18" s="84">
        <f>IF($C18="","",N(INDEX(lr_ep,13)))</f>
        <v/>
      </c>
      <c r="O18" s="85">
        <f>IF($C18="","",IF(SUM($N$6:$N$74)=0,0,N($N18)/SUM($N$6:$N$74)))</f>
        <v/>
      </c>
      <c r="P18" s="86">
        <f>IF($C18="","",RANK($H18,$H$6:$H$74))</f>
        <v/>
      </c>
      <c r="Q18" s="6">
        <f>IF($C18="","",$H18+ROW()/1000000000)</f>
        <v/>
      </c>
      <c r="R18" s="75">
        <f>IF(OR($C18="",$O18=""),"",N($O18)*$H18)</f>
        <v/>
      </c>
      <c r="T18" s="50" t="inlineStr">
        <is>
          <t>Contribution = EP weight x change vs projected: which combos move the BOOK.</t>
        </is>
      </c>
    </row>
    <row r="19">
      <c r="A19" s="78">
        <f>IF(INDEX(lr_key,14)="","",INDEX(lr_bu,14))</f>
        <v/>
      </c>
      <c r="B19" s="78">
        <f>IF(INDEX(lr_key,14)="","",INDEX(lr_state,14))</f>
        <v/>
      </c>
      <c r="C19" s="23">
        <f>INDEX(lr_key,14)</f>
        <v/>
      </c>
      <c r="D19" s="79">
        <f>IF($C19="","",N(INDEX(lr_lrproj,14)))</f>
        <v/>
      </c>
      <c r="E19" s="51">
        <f>IF($C19="","",INDEX(lr_basis,14)&amp;"")</f>
        <v/>
      </c>
      <c r="F19" s="79">
        <f>IF($C19="","",INDEX(calc_lrcur,14))</f>
        <v/>
      </c>
      <c r="G19" s="80">
        <f>IF($C19="","",INDEX(calc_cylr_p,14))</f>
        <v/>
      </c>
      <c r="H19" s="81">
        <f>IF($C19="","",(INDEX(calc_cylr_p,14)-INDEX(calc_lrcur,14))*100)</f>
        <v/>
      </c>
      <c r="I19" s="82">
        <f>IF($C19="","",INDEX(calc_arate_p,14))</f>
        <v/>
      </c>
      <c r="J19" s="82">
        <f>IF($C19="","",INDEX(calc_amod_p,14))</f>
        <v/>
      </c>
      <c r="K19" s="83">
        <f>IF($C19="","",INDEX(calc_echg,14))</f>
        <v/>
      </c>
      <c r="L19" s="83">
        <f>IF($C19="","",INDEX(calc_carry,14))</f>
        <v/>
      </c>
      <c r="M19" s="79">
        <f>IF($C19="","",INDEX(calc_cylr_p1,14))</f>
        <v/>
      </c>
      <c r="N19" s="84">
        <f>IF($C19="","",N(INDEX(lr_ep,14)))</f>
        <v/>
      </c>
      <c r="O19" s="85">
        <f>IF($C19="","",IF(SUM($N$6:$N$74)=0,0,N($N19)/SUM($N$6:$N$74)))</f>
        <v/>
      </c>
      <c r="P19" s="86">
        <f>IF($C19="","",RANK($H19,$H$6:$H$74))</f>
        <v/>
      </c>
      <c r="Q19" s="6">
        <f>IF($C19="","",$H19+ROW()/1000000000)</f>
        <v/>
      </c>
      <c r="R19" s="75">
        <f>IF(OR($C19="",$O19=""),"",N($O19)*$H19)</f>
        <v/>
      </c>
    </row>
    <row r="20">
      <c r="A20" s="78">
        <f>IF(INDEX(lr_key,15)="","",INDEX(lr_bu,15))</f>
        <v/>
      </c>
      <c r="B20" s="78">
        <f>IF(INDEX(lr_key,15)="","",INDEX(lr_state,15))</f>
        <v/>
      </c>
      <c r="C20" s="23">
        <f>INDEX(lr_key,15)</f>
        <v/>
      </c>
      <c r="D20" s="79">
        <f>IF($C20="","",N(INDEX(lr_lrproj,15)))</f>
        <v/>
      </c>
      <c r="E20" s="51">
        <f>IF($C20="","",INDEX(lr_basis,15)&amp;"")</f>
        <v/>
      </c>
      <c r="F20" s="79">
        <f>IF($C20="","",INDEX(calc_lrcur,15))</f>
        <v/>
      </c>
      <c r="G20" s="80">
        <f>IF($C20="","",INDEX(calc_cylr_p,15))</f>
        <v/>
      </c>
      <c r="H20" s="81">
        <f>IF($C20="","",(INDEX(calc_cylr_p,15)-INDEX(calc_lrcur,15))*100)</f>
        <v/>
      </c>
      <c r="I20" s="82">
        <f>IF($C20="","",INDEX(calc_arate_p,15))</f>
        <v/>
      </c>
      <c r="J20" s="82">
        <f>IF($C20="","",INDEX(calc_amod_p,15))</f>
        <v/>
      </c>
      <c r="K20" s="83">
        <f>IF($C20="","",INDEX(calc_echg,15))</f>
        <v/>
      </c>
      <c r="L20" s="83">
        <f>IF($C20="","",INDEX(calc_carry,15))</f>
        <v/>
      </c>
      <c r="M20" s="79">
        <f>IF($C20="","",INDEX(calc_cylr_p1,15))</f>
        <v/>
      </c>
      <c r="N20" s="84">
        <f>IF($C20="","",N(INDEX(lr_ep,15)))</f>
        <v/>
      </c>
      <c r="O20" s="85">
        <f>IF($C20="","",IF(SUM($N$6:$N$74)=0,0,N($N20)/SUM($N$6:$N$74)))</f>
        <v/>
      </c>
      <c r="P20" s="86">
        <f>IF($C20="","",RANK($H20,$H$6:$H$74))</f>
        <v/>
      </c>
      <c r="Q20" s="6">
        <f>IF($C20="","",$H20+ROW()/1000000000)</f>
        <v/>
      </c>
      <c r="R20" s="75">
        <f>IF(OR($C20="",$O20=""),"",N($O20)*$H20)</f>
        <v/>
      </c>
      <c r="T20" s="10" t="inlineStr">
        <is>
          <t>Portfolio bridge (EP-weighted)</t>
        </is>
      </c>
    </row>
    <row r="21">
      <c r="A21" s="78">
        <f>IF(INDEX(lr_key,16)="","",INDEX(lr_bu,16))</f>
        <v/>
      </c>
      <c r="B21" s="78">
        <f>IF(INDEX(lr_key,16)="","",INDEX(lr_state,16))</f>
        <v/>
      </c>
      <c r="C21" s="23">
        <f>INDEX(lr_key,16)</f>
        <v/>
      </c>
      <c r="D21" s="79">
        <f>IF($C21="","",N(INDEX(lr_lrproj,16)))</f>
        <v/>
      </c>
      <c r="E21" s="51">
        <f>IF($C21="","",INDEX(lr_basis,16)&amp;"")</f>
        <v/>
      </c>
      <c r="F21" s="79">
        <f>IF($C21="","",INDEX(calc_lrcur,16))</f>
        <v/>
      </c>
      <c r="G21" s="80">
        <f>IF($C21="","",INDEX(calc_cylr_p,16))</f>
        <v/>
      </c>
      <c r="H21" s="81">
        <f>IF($C21="","",(INDEX(calc_cylr_p,16)-INDEX(calc_lrcur,16))*100)</f>
        <v/>
      </c>
      <c r="I21" s="82">
        <f>IF($C21="","",INDEX(calc_arate_p,16))</f>
        <v/>
      </c>
      <c r="J21" s="82">
        <f>IF($C21="","",INDEX(calc_amod_p,16))</f>
        <v/>
      </c>
      <c r="K21" s="83">
        <f>IF($C21="","",INDEX(calc_echg,16))</f>
        <v/>
      </c>
      <c r="L21" s="83">
        <f>IF($C21="","",INDEX(calc_carry,16))</f>
        <v/>
      </c>
      <c r="M21" s="79">
        <f>IF($C21="","",INDEX(calc_cylr_p1,16))</f>
        <v/>
      </c>
      <c r="N21" s="84">
        <f>IF($C21="","",N(INDEX(lr_ep,16)))</f>
        <v/>
      </c>
      <c r="O21" s="85">
        <f>IF($C21="","",IF(SUM($N$6:$N$74)=0,0,N($N21)/SUM($N$6:$N$74)))</f>
        <v/>
      </c>
      <c r="P21" s="86">
        <f>IF($C21="","",RANK($H21,$H$6:$H$74))</f>
        <v/>
      </c>
      <c r="Q21" s="6">
        <f>IF($C21="","",$H21+ROW()/1000000000)</f>
        <v/>
      </c>
      <c r="R21" s="75">
        <f>IF(OR($C21="",$O21=""),"",N($O21)*$H21)</f>
        <v/>
      </c>
      <c r="T21" s="20" t="inlineStr">
        <is>
          <t>Projected LR (current level)</t>
        </is>
      </c>
      <c r="U21" s="45">
        <f>IF(SUM(calc_ep)=0,"n/a",SUM(calc_w_lrcur)/SUM(calc_ep))</f>
        <v/>
      </c>
    </row>
    <row r="22">
      <c r="A22" s="78">
        <f>IF(INDEX(lr_key,17)="","",INDEX(lr_bu,17))</f>
        <v/>
      </c>
      <c r="B22" s="78">
        <f>IF(INDEX(lr_key,17)="","",INDEX(lr_state,17))</f>
        <v/>
      </c>
      <c r="C22" s="23">
        <f>INDEX(lr_key,17)</f>
        <v/>
      </c>
      <c r="D22" s="79">
        <f>IF($C22="","",N(INDEX(lr_lrproj,17)))</f>
        <v/>
      </c>
      <c r="E22" s="51">
        <f>IF($C22="","",INDEX(lr_basis,17)&amp;"")</f>
        <v/>
      </c>
      <c r="F22" s="79">
        <f>IF($C22="","",INDEX(calc_lrcur,17))</f>
        <v/>
      </c>
      <c r="G22" s="80">
        <f>IF($C22="","",INDEX(calc_cylr_p,17))</f>
        <v/>
      </c>
      <c r="H22" s="81">
        <f>IF($C22="","",(INDEX(calc_cylr_p,17)-INDEX(calc_lrcur,17))*100)</f>
        <v/>
      </c>
      <c r="I22" s="82">
        <f>IF($C22="","",INDEX(calc_arate_p,17))</f>
        <v/>
      </c>
      <c r="J22" s="82">
        <f>IF($C22="","",INDEX(calc_amod_p,17))</f>
        <v/>
      </c>
      <c r="K22" s="83">
        <f>IF($C22="","",INDEX(calc_echg,17))</f>
        <v/>
      </c>
      <c r="L22" s="83">
        <f>IF($C22="","",INDEX(calc_carry,17))</f>
        <v/>
      </c>
      <c r="M22" s="79">
        <f>IF($C22="","",INDEX(calc_cylr_p1,17))</f>
        <v/>
      </c>
      <c r="N22" s="84">
        <f>IF($C22="","",N(INDEX(lr_ep,17)))</f>
        <v/>
      </c>
      <c r="O22" s="85">
        <f>IF($C22="","",IF(SUM($N$6:$N$74)=0,0,N($N22)/SUM($N$6:$N$74)))</f>
        <v/>
      </c>
      <c r="P22" s="86">
        <f>IF($C22="","",RANK($H22,$H$6:$H$74))</f>
        <v/>
      </c>
      <c r="Q22" s="6">
        <f>IF($C22="","",$H22+ROW()/1000000000)</f>
        <v/>
      </c>
      <c r="R22" s="75">
        <f>IF(OR($C22="",$O22=""),"",N($O22)*$H22)</f>
        <v/>
      </c>
      <c r="T22" s="20" t="inlineStr">
        <is>
          <t>x  rate earn-in (avg factor)</t>
        </is>
      </c>
      <c r="U22" s="49">
        <f>IF(SUM(calc_ep)=0,"n/a",SUM(calc_w_arate)/SUM(calc_ep))</f>
        <v/>
      </c>
    </row>
    <row r="23">
      <c r="A23" s="78">
        <f>IF(INDEX(lr_key,18)="","",INDEX(lr_bu,18))</f>
        <v/>
      </c>
      <c r="B23" s="78">
        <f>IF(INDEX(lr_key,18)="","",INDEX(lr_state,18))</f>
        <v/>
      </c>
      <c r="C23" s="23">
        <f>INDEX(lr_key,18)</f>
        <v/>
      </c>
      <c r="D23" s="79">
        <f>IF($C23="","",N(INDEX(lr_lrproj,18)))</f>
        <v/>
      </c>
      <c r="E23" s="51">
        <f>IF($C23="","",INDEX(lr_basis,18)&amp;"")</f>
        <v/>
      </c>
      <c r="F23" s="79">
        <f>IF($C23="","",INDEX(calc_lrcur,18))</f>
        <v/>
      </c>
      <c r="G23" s="80">
        <f>IF($C23="","",INDEX(calc_cylr_p,18))</f>
        <v/>
      </c>
      <c r="H23" s="81">
        <f>IF($C23="","",(INDEX(calc_cylr_p,18)-INDEX(calc_lrcur,18))*100)</f>
        <v/>
      </c>
      <c r="I23" s="82">
        <f>IF($C23="","",INDEX(calc_arate_p,18))</f>
        <v/>
      </c>
      <c r="J23" s="82">
        <f>IF($C23="","",INDEX(calc_amod_p,18))</f>
        <v/>
      </c>
      <c r="K23" s="83">
        <f>IF($C23="","",INDEX(calc_echg,18))</f>
        <v/>
      </c>
      <c r="L23" s="83">
        <f>IF($C23="","",INDEX(calc_carry,18))</f>
        <v/>
      </c>
      <c r="M23" s="79">
        <f>IF($C23="","",INDEX(calc_cylr_p1,18))</f>
        <v/>
      </c>
      <c r="N23" s="84">
        <f>IF($C23="","",N(INDEX(lr_ep,18)))</f>
        <v/>
      </c>
      <c r="O23" s="85">
        <f>IF($C23="","",IF(SUM($N$6:$N$74)=0,0,N($N23)/SUM($N$6:$N$74)))</f>
        <v/>
      </c>
      <c r="P23" s="86">
        <f>IF($C23="","",RANK($H23,$H$6:$H$74))</f>
        <v/>
      </c>
      <c r="Q23" s="6">
        <f>IF($C23="","",$H23+ROW()/1000000000)</f>
        <v/>
      </c>
      <c r="R23" s="75">
        <f>IF(OR($C23="",$O23=""),"",N($O23)*$H23)</f>
        <v/>
      </c>
      <c r="T23" s="20" t="inlineStr">
        <is>
          <t>x  mod drift (avg factor)</t>
        </is>
      </c>
      <c r="U23" s="49">
        <f>IF(SUM(calc_ep)=0,"n/a",SUM(calc_w_amod)/SUM(calc_ep))</f>
        <v/>
      </c>
    </row>
    <row r="24">
      <c r="A24" s="78">
        <f>IF(INDEX(lr_key,19)="","",INDEX(lr_bu,19))</f>
        <v/>
      </c>
      <c r="B24" s="78">
        <f>IF(INDEX(lr_key,19)="","",INDEX(lr_state,19))</f>
        <v/>
      </c>
      <c r="C24" s="23">
        <f>INDEX(lr_key,19)</f>
        <v/>
      </c>
      <c r="D24" s="79">
        <f>IF($C24="","",N(INDEX(lr_lrproj,19)))</f>
        <v/>
      </c>
      <c r="E24" s="51">
        <f>IF($C24="","",INDEX(lr_basis,19)&amp;"")</f>
        <v/>
      </c>
      <c r="F24" s="79">
        <f>IF($C24="","",INDEX(calc_lrcur,19))</f>
        <v/>
      </c>
      <c r="G24" s="80">
        <f>IF($C24="","",INDEX(calc_cylr_p,19))</f>
        <v/>
      </c>
      <c r="H24" s="81">
        <f>IF($C24="","",(INDEX(calc_cylr_p,19)-INDEX(calc_lrcur,19))*100)</f>
        <v/>
      </c>
      <c r="I24" s="82">
        <f>IF($C24="","",INDEX(calc_arate_p,19))</f>
        <v/>
      </c>
      <c r="J24" s="82">
        <f>IF($C24="","",INDEX(calc_amod_p,19))</f>
        <v/>
      </c>
      <c r="K24" s="83">
        <f>IF($C24="","",INDEX(calc_echg,19))</f>
        <v/>
      </c>
      <c r="L24" s="83">
        <f>IF($C24="","",INDEX(calc_carry,19))</f>
        <v/>
      </c>
      <c r="M24" s="79">
        <f>IF($C24="","",INDEX(calc_cylr_p1,19))</f>
        <v/>
      </c>
      <c r="N24" s="84">
        <f>IF($C24="","",N(INDEX(lr_ep,19)))</f>
        <v/>
      </c>
      <c r="O24" s="85">
        <f>IF($C24="","",IF(SUM($N$6:$N$74)=0,0,N($N24)/SUM($N$6:$N$74)))</f>
        <v/>
      </c>
      <c r="P24" s="86">
        <f>IF($C24="","",RANK($H24,$H$6:$H$74))</f>
        <v/>
      </c>
      <c r="Q24" s="6">
        <f>IF($C24="","",$H24+ROW()/1000000000)</f>
        <v/>
      </c>
      <c r="R24" s="75">
        <f>IF(OR($C24="",$O24=""),"",N($O24)*$H24)</f>
        <v/>
      </c>
      <c r="T24" s="20" t="inlineStr">
        <is>
          <t>Mix / interaction (pts)</t>
        </is>
      </c>
      <c r="U24" s="89">
        <f>IF(OR(SUM(calc_ep)=0,NOT(ISNUMBER($G$76))),"n/a",($G$76-$U$21*$U$22*$U$23)*100)</f>
        <v/>
      </c>
    </row>
    <row r="25">
      <c r="A25" s="78">
        <f>IF(INDEX(lr_key,20)="","",INDEX(lr_bu,20))</f>
        <v/>
      </c>
      <c r="B25" s="78">
        <f>IF(INDEX(lr_key,20)="","",INDEX(lr_state,20))</f>
        <v/>
      </c>
      <c r="C25" s="23">
        <f>INDEX(lr_key,20)</f>
        <v/>
      </c>
      <c r="D25" s="79">
        <f>IF($C25="","",N(INDEX(lr_lrproj,20)))</f>
        <v/>
      </c>
      <c r="E25" s="51">
        <f>IF($C25="","",INDEX(lr_basis,20)&amp;"")</f>
        <v/>
      </c>
      <c r="F25" s="79">
        <f>IF($C25="","",INDEX(calc_lrcur,20))</f>
        <v/>
      </c>
      <c r="G25" s="80">
        <f>IF($C25="","",INDEX(calc_cylr_p,20))</f>
        <v/>
      </c>
      <c r="H25" s="81">
        <f>IF($C25="","",(INDEX(calc_cylr_p,20)-INDEX(calc_lrcur,20))*100)</f>
        <v/>
      </c>
      <c r="I25" s="82">
        <f>IF($C25="","",INDEX(calc_arate_p,20))</f>
        <v/>
      </c>
      <c r="J25" s="82">
        <f>IF($C25="","",INDEX(calc_amod_p,20))</f>
        <v/>
      </c>
      <c r="K25" s="83">
        <f>IF($C25="","",INDEX(calc_echg,20))</f>
        <v/>
      </c>
      <c r="L25" s="83">
        <f>IF($C25="","",INDEX(calc_carry,20))</f>
        <v/>
      </c>
      <c r="M25" s="79">
        <f>IF($C25="","",INDEX(calc_cylr_p1,20))</f>
        <v/>
      </c>
      <c r="N25" s="84">
        <f>IF($C25="","",N(INDEX(lr_ep,20)))</f>
        <v/>
      </c>
      <c r="O25" s="85">
        <f>IF($C25="","",IF(SUM($N$6:$N$74)=0,0,N($N25)/SUM($N$6:$N$74)))</f>
        <v/>
      </c>
      <c r="P25" s="86">
        <f>IF($C25="","",RANK($H25,$H$6:$H$74))</f>
        <v/>
      </c>
      <c r="Q25" s="6">
        <f>IF($C25="","",$H25+ROW()/1000000000)</f>
        <v/>
      </c>
      <c r="R25" s="75">
        <f>IF(OR($C25="",$O25=""),"",N($O25)*$H25)</f>
        <v/>
      </c>
      <c r="T25" s="18" t="inlineStr">
        <is>
          <t>CY plan LR — exact EP-weighted total</t>
        </is>
      </c>
      <c r="U25" s="91">
        <f>$G$76</f>
        <v/>
      </c>
    </row>
    <row r="26">
      <c r="A26" s="78">
        <f>IF(INDEX(lr_key,21)="","",INDEX(lr_bu,21))</f>
        <v/>
      </c>
      <c r="B26" s="78">
        <f>IF(INDEX(lr_key,21)="","",INDEX(lr_state,21))</f>
        <v/>
      </c>
      <c r="C26" s="23">
        <f>INDEX(lr_key,21)</f>
        <v/>
      </c>
      <c r="D26" s="79">
        <f>IF($C26="","",N(INDEX(lr_lrproj,21)))</f>
        <v/>
      </c>
      <c r="E26" s="51">
        <f>IF($C26="","",INDEX(lr_basis,21)&amp;"")</f>
        <v/>
      </c>
      <c r="F26" s="79">
        <f>IF($C26="","",INDEX(calc_lrcur,21))</f>
        <v/>
      </c>
      <c r="G26" s="80">
        <f>IF($C26="","",INDEX(calc_cylr_p,21))</f>
        <v/>
      </c>
      <c r="H26" s="81">
        <f>IF($C26="","",(INDEX(calc_cylr_p,21)-INDEX(calc_lrcur,21))*100)</f>
        <v/>
      </c>
      <c r="I26" s="82">
        <f>IF($C26="","",INDEX(calc_arate_p,21))</f>
        <v/>
      </c>
      <c r="J26" s="82">
        <f>IF($C26="","",INDEX(calc_amod_p,21))</f>
        <v/>
      </c>
      <c r="K26" s="83">
        <f>IF($C26="","",INDEX(calc_echg,21))</f>
        <v/>
      </c>
      <c r="L26" s="83">
        <f>IF($C26="","",INDEX(calc_carry,21))</f>
        <v/>
      </c>
      <c r="M26" s="79">
        <f>IF($C26="","",INDEX(calc_cylr_p1,21))</f>
        <v/>
      </c>
      <c r="N26" s="84">
        <f>IF($C26="","",N(INDEX(lr_ep,21)))</f>
        <v/>
      </c>
      <c r="O26" s="85">
        <f>IF($C26="","",IF(SUM($N$6:$N$74)=0,0,N($N26)/SUM($N$6:$N$74)))</f>
        <v/>
      </c>
      <c r="P26" s="86">
        <f>IF($C26="","",RANK($H26,$H$6:$H$74))</f>
        <v/>
      </c>
      <c r="Q26" s="6">
        <f>IF($C26="","",$H26+ROW()/1000000000)</f>
        <v/>
      </c>
      <c r="R26" s="75">
        <f>IF(OR($C26="",$O26=""),"",N($O26)*$H26)</f>
        <v/>
      </c>
    </row>
    <row r="27">
      <c r="A27" s="78">
        <f>IF(INDEX(lr_key,22)="","",INDEX(lr_bu,22))</f>
        <v/>
      </c>
      <c r="B27" s="78">
        <f>IF(INDEX(lr_key,22)="","",INDEX(lr_state,22))</f>
        <v/>
      </c>
      <c r="C27" s="23">
        <f>INDEX(lr_key,22)</f>
        <v/>
      </c>
      <c r="D27" s="79">
        <f>IF($C27="","",N(INDEX(lr_lrproj,22)))</f>
        <v/>
      </c>
      <c r="E27" s="51">
        <f>IF($C27="","",INDEX(lr_basis,22)&amp;"")</f>
        <v/>
      </c>
      <c r="F27" s="79">
        <f>IF($C27="","",INDEX(calc_lrcur,22))</f>
        <v/>
      </c>
      <c r="G27" s="80">
        <f>IF($C27="","",INDEX(calc_cylr_p,22))</f>
        <v/>
      </c>
      <c r="H27" s="81">
        <f>IF($C27="","",(INDEX(calc_cylr_p,22)-INDEX(calc_lrcur,22))*100)</f>
        <v/>
      </c>
      <c r="I27" s="82">
        <f>IF($C27="","",INDEX(calc_arate_p,22))</f>
        <v/>
      </c>
      <c r="J27" s="82">
        <f>IF($C27="","",INDEX(calc_amod_p,22))</f>
        <v/>
      </c>
      <c r="K27" s="83">
        <f>IF($C27="","",INDEX(calc_echg,22))</f>
        <v/>
      </c>
      <c r="L27" s="83">
        <f>IF($C27="","",INDEX(calc_carry,22))</f>
        <v/>
      </c>
      <c r="M27" s="79">
        <f>IF($C27="","",INDEX(calc_cylr_p1,22))</f>
        <v/>
      </c>
      <c r="N27" s="84">
        <f>IF($C27="","",N(INDEX(lr_ep,22)))</f>
        <v/>
      </c>
      <c r="O27" s="85">
        <f>IF($C27="","",IF(SUM($N$6:$N$74)=0,0,N($N27)/SUM($N$6:$N$74)))</f>
        <v/>
      </c>
      <c r="P27" s="86">
        <f>IF($C27="","",RANK($H27,$H$6:$H$74))</f>
        <v/>
      </c>
      <c r="Q27" s="6">
        <f>IF($C27="","",$H27+ROW()/1000000000)</f>
        <v/>
      </c>
      <c r="R27" s="75">
        <f>IF(OR($C27="",$O27=""),"",N($O27)*$H27)</f>
        <v/>
      </c>
      <c r="T27" s="50" t="inlineStr">
        <is>
          <t>Factor averages don't compound exactly across a mixed book — the mix line is that honest residual.</t>
        </is>
      </c>
    </row>
    <row r="28">
      <c r="A28" s="78">
        <f>IF(INDEX(lr_key,23)="","",INDEX(lr_bu,23))</f>
        <v/>
      </c>
      <c r="B28" s="78">
        <f>IF(INDEX(lr_key,23)="","",INDEX(lr_state,23))</f>
        <v/>
      </c>
      <c r="C28" s="23">
        <f>INDEX(lr_key,23)</f>
        <v/>
      </c>
      <c r="D28" s="79">
        <f>IF($C28="","",N(INDEX(lr_lrproj,23)))</f>
        <v/>
      </c>
      <c r="E28" s="51">
        <f>IF($C28="","",INDEX(lr_basis,23)&amp;"")</f>
        <v/>
      </c>
      <c r="F28" s="79">
        <f>IF($C28="","",INDEX(calc_lrcur,23))</f>
        <v/>
      </c>
      <c r="G28" s="80">
        <f>IF($C28="","",INDEX(calc_cylr_p,23))</f>
        <v/>
      </c>
      <c r="H28" s="81">
        <f>IF($C28="","",(INDEX(calc_cylr_p,23)-INDEX(calc_lrcur,23))*100)</f>
        <v/>
      </c>
      <c r="I28" s="82">
        <f>IF($C28="","",INDEX(calc_arate_p,23))</f>
        <v/>
      </c>
      <c r="J28" s="82">
        <f>IF($C28="","",INDEX(calc_amod_p,23))</f>
        <v/>
      </c>
      <c r="K28" s="83">
        <f>IF($C28="","",INDEX(calc_echg,23))</f>
        <v/>
      </c>
      <c r="L28" s="83">
        <f>IF($C28="","",INDEX(calc_carry,23))</f>
        <v/>
      </c>
      <c r="M28" s="79">
        <f>IF($C28="","",INDEX(calc_cylr_p1,23))</f>
        <v/>
      </c>
      <c r="N28" s="84">
        <f>IF($C28="","",N(INDEX(lr_ep,23)))</f>
        <v/>
      </c>
      <c r="O28" s="85">
        <f>IF($C28="","",IF(SUM($N$6:$N$74)=0,0,N($N28)/SUM($N$6:$N$74)))</f>
        <v/>
      </c>
      <c r="P28" s="86">
        <f>IF($C28="","",RANK($H28,$H$6:$H$74))</f>
        <v/>
      </c>
      <c r="Q28" s="6">
        <f>IF($C28="","",$H28+ROW()/1000000000)</f>
        <v/>
      </c>
      <c r="R28" s="75">
        <f>IF(OR($C28="",$O28=""),"",N($O28)*$H28)</f>
        <v/>
      </c>
    </row>
    <row r="29">
      <c r="A29" s="78">
        <f>IF(INDEX(lr_key,24)="","",INDEX(lr_bu,24))</f>
        <v/>
      </c>
      <c r="B29" s="78">
        <f>IF(INDEX(lr_key,24)="","",INDEX(lr_state,24))</f>
        <v/>
      </c>
      <c r="C29" s="23">
        <f>INDEX(lr_key,24)</f>
        <v/>
      </c>
      <c r="D29" s="79">
        <f>IF($C29="","",N(INDEX(lr_lrproj,24)))</f>
        <v/>
      </c>
      <c r="E29" s="51">
        <f>IF($C29="","",INDEX(lr_basis,24)&amp;"")</f>
        <v/>
      </c>
      <c r="F29" s="79">
        <f>IF($C29="","",INDEX(calc_lrcur,24))</f>
        <v/>
      </c>
      <c r="G29" s="80">
        <f>IF($C29="","",INDEX(calc_cylr_p,24))</f>
        <v/>
      </c>
      <c r="H29" s="81">
        <f>IF($C29="","",(INDEX(calc_cylr_p,24)-INDEX(calc_lrcur,24))*100)</f>
        <v/>
      </c>
      <c r="I29" s="82">
        <f>IF($C29="","",INDEX(calc_arate_p,24))</f>
        <v/>
      </c>
      <c r="J29" s="82">
        <f>IF($C29="","",INDEX(calc_amod_p,24))</f>
        <v/>
      </c>
      <c r="K29" s="83">
        <f>IF($C29="","",INDEX(calc_echg,24))</f>
        <v/>
      </c>
      <c r="L29" s="83">
        <f>IF($C29="","",INDEX(calc_carry,24))</f>
        <v/>
      </c>
      <c r="M29" s="79">
        <f>IF($C29="","",INDEX(calc_cylr_p1,24))</f>
        <v/>
      </c>
      <c r="N29" s="84">
        <f>IF($C29="","",N(INDEX(lr_ep,24)))</f>
        <v/>
      </c>
      <c r="O29" s="85">
        <f>IF($C29="","",IF(SUM($N$6:$N$74)=0,0,N($N29)/SUM($N$6:$N$74)))</f>
        <v/>
      </c>
      <c r="P29" s="86">
        <f>IF($C29="","",RANK($H29,$H$6:$H$74))</f>
        <v/>
      </c>
      <c r="Q29" s="6">
        <f>IF($C29="","",$H29+ROW()/1000000000)</f>
        <v/>
      </c>
      <c r="R29" s="75">
        <f>IF(OR($C29="",$O29=""),"",N($O29)*$H29)</f>
        <v/>
      </c>
    </row>
    <row r="30">
      <c r="A30" s="78">
        <f>IF(INDEX(lr_key,25)="","",INDEX(lr_bu,25))</f>
        <v/>
      </c>
      <c r="B30" s="78">
        <f>IF(INDEX(lr_key,25)="","",INDEX(lr_state,25))</f>
        <v/>
      </c>
      <c r="C30" s="23">
        <f>INDEX(lr_key,25)</f>
        <v/>
      </c>
      <c r="D30" s="79">
        <f>IF($C30="","",N(INDEX(lr_lrproj,25)))</f>
        <v/>
      </c>
      <c r="E30" s="51">
        <f>IF($C30="","",INDEX(lr_basis,25)&amp;"")</f>
        <v/>
      </c>
      <c r="F30" s="79">
        <f>IF($C30="","",INDEX(calc_lrcur,25))</f>
        <v/>
      </c>
      <c r="G30" s="80">
        <f>IF($C30="","",INDEX(calc_cylr_p,25))</f>
        <v/>
      </c>
      <c r="H30" s="81">
        <f>IF($C30="","",(INDEX(calc_cylr_p,25)-INDEX(calc_lrcur,25))*100)</f>
        <v/>
      </c>
      <c r="I30" s="82">
        <f>IF($C30="","",INDEX(calc_arate_p,25))</f>
        <v/>
      </c>
      <c r="J30" s="82">
        <f>IF($C30="","",INDEX(calc_amod_p,25))</f>
        <v/>
      </c>
      <c r="K30" s="83">
        <f>IF($C30="","",INDEX(calc_echg,25))</f>
        <v/>
      </c>
      <c r="L30" s="83">
        <f>IF($C30="","",INDEX(calc_carry,25))</f>
        <v/>
      </c>
      <c r="M30" s="79">
        <f>IF($C30="","",INDEX(calc_cylr_p1,25))</f>
        <v/>
      </c>
      <c r="N30" s="84">
        <f>IF($C30="","",N(INDEX(lr_ep,25)))</f>
        <v/>
      </c>
      <c r="O30" s="85">
        <f>IF($C30="","",IF(SUM($N$6:$N$74)=0,0,N($N30)/SUM($N$6:$N$74)))</f>
        <v/>
      </c>
      <c r="P30" s="86">
        <f>IF($C30="","",RANK($H30,$H$6:$H$74))</f>
        <v/>
      </c>
      <c r="Q30" s="6">
        <f>IF($C30="","",$H30+ROW()/1000000000)</f>
        <v/>
      </c>
      <c r="R30" s="75">
        <f>IF(OR($C30="",$O30=""),"",N($O30)*$H30)</f>
        <v/>
      </c>
    </row>
    <row r="31">
      <c r="A31" s="78">
        <f>IF(INDEX(lr_key,26)="","",INDEX(lr_bu,26))</f>
        <v/>
      </c>
      <c r="B31" s="78">
        <f>IF(INDEX(lr_key,26)="","",INDEX(lr_state,26))</f>
        <v/>
      </c>
      <c r="C31" s="23">
        <f>INDEX(lr_key,26)</f>
        <v/>
      </c>
      <c r="D31" s="79">
        <f>IF($C31="","",N(INDEX(lr_lrproj,26)))</f>
        <v/>
      </c>
      <c r="E31" s="51">
        <f>IF($C31="","",INDEX(lr_basis,26)&amp;"")</f>
        <v/>
      </c>
      <c r="F31" s="79">
        <f>IF($C31="","",INDEX(calc_lrcur,26))</f>
        <v/>
      </c>
      <c r="G31" s="80">
        <f>IF($C31="","",INDEX(calc_cylr_p,26))</f>
        <v/>
      </c>
      <c r="H31" s="81">
        <f>IF($C31="","",(INDEX(calc_cylr_p,26)-INDEX(calc_lrcur,26))*100)</f>
        <v/>
      </c>
      <c r="I31" s="82">
        <f>IF($C31="","",INDEX(calc_arate_p,26))</f>
        <v/>
      </c>
      <c r="J31" s="82">
        <f>IF($C31="","",INDEX(calc_amod_p,26))</f>
        <v/>
      </c>
      <c r="K31" s="83">
        <f>IF($C31="","",INDEX(calc_echg,26))</f>
        <v/>
      </c>
      <c r="L31" s="83">
        <f>IF($C31="","",INDEX(calc_carry,26))</f>
        <v/>
      </c>
      <c r="M31" s="79">
        <f>IF($C31="","",INDEX(calc_cylr_p1,26))</f>
        <v/>
      </c>
      <c r="N31" s="84">
        <f>IF($C31="","",N(INDEX(lr_ep,26)))</f>
        <v/>
      </c>
      <c r="O31" s="85">
        <f>IF($C31="","",IF(SUM($N$6:$N$74)=0,0,N($N31)/SUM($N$6:$N$74)))</f>
        <v/>
      </c>
      <c r="P31" s="86">
        <f>IF($C31="","",RANK($H31,$H$6:$H$74))</f>
        <v/>
      </c>
      <c r="Q31" s="6">
        <f>IF($C31="","",$H31+ROW()/1000000000)</f>
        <v/>
      </c>
      <c r="R31" s="75">
        <f>IF(OR($C31="",$O31=""),"",N($O31)*$H31)</f>
        <v/>
      </c>
    </row>
    <row r="32">
      <c r="A32" s="78">
        <f>IF(INDEX(lr_key,27)="","",INDEX(lr_bu,27))</f>
        <v/>
      </c>
      <c r="B32" s="78">
        <f>IF(INDEX(lr_key,27)="","",INDEX(lr_state,27))</f>
        <v/>
      </c>
      <c r="C32" s="23">
        <f>INDEX(lr_key,27)</f>
        <v/>
      </c>
      <c r="D32" s="79">
        <f>IF($C32="","",N(INDEX(lr_lrproj,27)))</f>
        <v/>
      </c>
      <c r="E32" s="51">
        <f>IF($C32="","",INDEX(lr_basis,27)&amp;"")</f>
        <v/>
      </c>
      <c r="F32" s="79">
        <f>IF($C32="","",INDEX(calc_lrcur,27))</f>
        <v/>
      </c>
      <c r="G32" s="80">
        <f>IF($C32="","",INDEX(calc_cylr_p,27))</f>
        <v/>
      </c>
      <c r="H32" s="81">
        <f>IF($C32="","",(INDEX(calc_cylr_p,27)-INDEX(calc_lrcur,27))*100)</f>
        <v/>
      </c>
      <c r="I32" s="82">
        <f>IF($C32="","",INDEX(calc_arate_p,27))</f>
        <v/>
      </c>
      <c r="J32" s="82">
        <f>IF($C32="","",INDEX(calc_amod_p,27))</f>
        <v/>
      </c>
      <c r="K32" s="83">
        <f>IF($C32="","",INDEX(calc_echg,27))</f>
        <v/>
      </c>
      <c r="L32" s="83">
        <f>IF($C32="","",INDEX(calc_carry,27))</f>
        <v/>
      </c>
      <c r="M32" s="79">
        <f>IF($C32="","",INDEX(calc_cylr_p1,27))</f>
        <v/>
      </c>
      <c r="N32" s="84">
        <f>IF($C32="","",N(INDEX(lr_ep,27)))</f>
        <v/>
      </c>
      <c r="O32" s="85">
        <f>IF($C32="","",IF(SUM($N$6:$N$74)=0,0,N($N32)/SUM($N$6:$N$74)))</f>
        <v/>
      </c>
      <c r="P32" s="86">
        <f>IF($C32="","",RANK($H32,$H$6:$H$74))</f>
        <v/>
      </c>
      <c r="Q32" s="6">
        <f>IF($C32="","",$H32+ROW()/1000000000)</f>
        <v/>
      </c>
      <c r="R32" s="75">
        <f>IF(OR($C32="",$O32=""),"",N($O32)*$H32)</f>
        <v/>
      </c>
    </row>
    <row r="33">
      <c r="A33" s="78">
        <f>IF(INDEX(lr_key,28)="","",INDEX(lr_bu,28))</f>
        <v/>
      </c>
      <c r="B33" s="78">
        <f>IF(INDEX(lr_key,28)="","",INDEX(lr_state,28))</f>
        <v/>
      </c>
      <c r="C33" s="23">
        <f>INDEX(lr_key,28)</f>
        <v/>
      </c>
      <c r="D33" s="79">
        <f>IF($C33="","",N(INDEX(lr_lrproj,28)))</f>
        <v/>
      </c>
      <c r="E33" s="51">
        <f>IF($C33="","",INDEX(lr_basis,28)&amp;"")</f>
        <v/>
      </c>
      <c r="F33" s="79">
        <f>IF($C33="","",INDEX(calc_lrcur,28))</f>
        <v/>
      </c>
      <c r="G33" s="80">
        <f>IF($C33="","",INDEX(calc_cylr_p,28))</f>
        <v/>
      </c>
      <c r="H33" s="81">
        <f>IF($C33="","",(INDEX(calc_cylr_p,28)-INDEX(calc_lrcur,28))*100)</f>
        <v/>
      </c>
      <c r="I33" s="82">
        <f>IF($C33="","",INDEX(calc_arate_p,28))</f>
        <v/>
      </c>
      <c r="J33" s="82">
        <f>IF($C33="","",INDEX(calc_amod_p,28))</f>
        <v/>
      </c>
      <c r="K33" s="83">
        <f>IF($C33="","",INDEX(calc_echg,28))</f>
        <v/>
      </c>
      <c r="L33" s="83">
        <f>IF($C33="","",INDEX(calc_carry,28))</f>
        <v/>
      </c>
      <c r="M33" s="79">
        <f>IF($C33="","",INDEX(calc_cylr_p1,28))</f>
        <v/>
      </c>
      <c r="N33" s="84">
        <f>IF($C33="","",N(INDEX(lr_ep,28)))</f>
        <v/>
      </c>
      <c r="O33" s="85">
        <f>IF($C33="","",IF(SUM($N$6:$N$74)=0,0,N($N33)/SUM($N$6:$N$74)))</f>
        <v/>
      </c>
      <c r="P33" s="86">
        <f>IF($C33="","",RANK($H33,$H$6:$H$74))</f>
        <v/>
      </c>
      <c r="Q33" s="6">
        <f>IF($C33="","",$H33+ROW()/1000000000)</f>
        <v/>
      </c>
      <c r="R33" s="75">
        <f>IF(OR($C33="",$O33=""),"",N($O33)*$H33)</f>
        <v/>
      </c>
    </row>
    <row r="34">
      <c r="A34" s="78">
        <f>IF(INDEX(lr_key,29)="","",INDEX(lr_bu,29))</f>
        <v/>
      </c>
      <c r="B34" s="78">
        <f>IF(INDEX(lr_key,29)="","",INDEX(lr_state,29))</f>
        <v/>
      </c>
      <c r="C34" s="23">
        <f>INDEX(lr_key,29)</f>
        <v/>
      </c>
      <c r="D34" s="79">
        <f>IF($C34="","",N(INDEX(lr_lrproj,29)))</f>
        <v/>
      </c>
      <c r="E34" s="51">
        <f>IF($C34="","",INDEX(lr_basis,29)&amp;"")</f>
        <v/>
      </c>
      <c r="F34" s="79">
        <f>IF($C34="","",INDEX(calc_lrcur,29))</f>
        <v/>
      </c>
      <c r="G34" s="80">
        <f>IF($C34="","",INDEX(calc_cylr_p,29))</f>
        <v/>
      </c>
      <c r="H34" s="81">
        <f>IF($C34="","",(INDEX(calc_cylr_p,29)-INDEX(calc_lrcur,29))*100)</f>
        <v/>
      </c>
      <c r="I34" s="82">
        <f>IF($C34="","",INDEX(calc_arate_p,29))</f>
        <v/>
      </c>
      <c r="J34" s="82">
        <f>IF($C34="","",INDEX(calc_amod_p,29))</f>
        <v/>
      </c>
      <c r="K34" s="83">
        <f>IF($C34="","",INDEX(calc_echg,29))</f>
        <v/>
      </c>
      <c r="L34" s="83">
        <f>IF($C34="","",INDEX(calc_carry,29))</f>
        <v/>
      </c>
      <c r="M34" s="79">
        <f>IF($C34="","",INDEX(calc_cylr_p1,29))</f>
        <v/>
      </c>
      <c r="N34" s="84">
        <f>IF($C34="","",N(INDEX(lr_ep,29)))</f>
        <v/>
      </c>
      <c r="O34" s="85">
        <f>IF($C34="","",IF(SUM($N$6:$N$74)=0,0,N($N34)/SUM($N$6:$N$74)))</f>
        <v/>
      </c>
      <c r="P34" s="86">
        <f>IF($C34="","",RANK($H34,$H$6:$H$74))</f>
        <v/>
      </c>
      <c r="Q34" s="6">
        <f>IF($C34="","",$H34+ROW()/1000000000)</f>
        <v/>
      </c>
      <c r="R34" s="75">
        <f>IF(OR($C34="",$O34=""),"",N($O34)*$H34)</f>
        <v/>
      </c>
    </row>
    <row r="35">
      <c r="A35" s="78">
        <f>IF(INDEX(lr_key,30)="","",INDEX(lr_bu,30))</f>
        <v/>
      </c>
      <c r="B35" s="78">
        <f>IF(INDEX(lr_key,30)="","",INDEX(lr_state,30))</f>
        <v/>
      </c>
      <c r="C35" s="23">
        <f>INDEX(lr_key,30)</f>
        <v/>
      </c>
      <c r="D35" s="79">
        <f>IF($C35="","",N(INDEX(lr_lrproj,30)))</f>
        <v/>
      </c>
      <c r="E35" s="51">
        <f>IF($C35="","",INDEX(lr_basis,30)&amp;"")</f>
        <v/>
      </c>
      <c r="F35" s="79">
        <f>IF($C35="","",INDEX(calc_lrcur,30))</f>
        <v/>
      </c>
      <c r="G35" s="80">
        <f>IF($C35="","",INDEX(calc_cylr_p,30))</f>
        <v/>
      </c>
      <c r="H35" s="81">
        <f>IF($C35="","",(INDEX(calc_cylr_p,30)-INDEX(calc_lrcur,30))*100)</f>
        <v/>
      </c>
      <c r="I35" s="82">
        <f>IF($C35="","",INDEX(calc_arate_p,30))</f>
        <v/>
      </c>
      <c r="J35" s="82">
        <f>IF($C35="","",INDEX(calc_amod_p,30))</f>
        <v/>
      </c>
      <c r="K35" s="83">
        <f>IF($C35="","",INDEX(calc_echg,30))</f>
        <v/>
      </c>
      <c r="L35" s="83">
        <f>IF($C35="","",INDEX(calc_carry,30))</f>
        <v/>
      </c>
      <c r="M35" s="79">
        <f>IF($C35="","",INDEX(calc_cylr_p1,30))</f>
        <v/>
      </c>
      <c r="N35" s="84">
        <f>IF($C35="","",N(INDEX(lr_ep,30)))</f>
        <v/>
      </c>
      <c r="O35" s="85">
        <f>IF($C35="","",IF(SUM($N$6:$N$74)=0,0,N($N35)/SUM($N$6:$N$74)))</f>
        <v/>
      </c>
      <c r="P35" s="86">
        <f>IF($C35="","",RANK($H35,$H$6:$H$74))</f>
        <v/>
      </c>
      <c r="Q35" s="6">
        <f>IF($C35="","",$H35+ROW()/1000000000)</f>
        <v/>
      </c>
      <c r="R35" s="75">
        <f>IF(OR($C35="",$O35=""),"",N($O35)*$H35)</f>
        <v/>
      </c>
    </row>
    <row r="36">
      <c r="A36" s="78">
        <f>IF(INDEX(lr_key,31)="","",INDEX(lr_bu,31))</f>
        <v/>
      </c>
      <c r="B36" s="78">
        <f>IF(INDEX(lr_key,31)="","",INDEX(lr_state,31))</f>
        <v/>
      </c>
      <c r="C36" s="23">
        <f>INDEX(lr_key,31)</f>
        <v/>
      </c>
      <c r="D36" s="79">
        <f>IF($C36="","",N(INDEX(lr_lrproj,31)))</f>
        <v/>
      </c>
      <c r="E36" s="51">
        <f>IF($C36="","",INDEX(lr_basis,31)&amp;"")</f>
        <v/>
      </c>
      <c r="F36" s="79">
        <f>IF($C36="","",INDEX(calc_lrcur,31))</f>
        <v/>
      </c>
      <c r="G36" s="80">
        <f>IF($C36="","",INDEX(calc_cylr_p,31))</f>
        <v/>
      </c>
      <c r="H36" s="81">
        <f>IF($C36="","",(INDEX(calc_cylr_p,31)-INDEX(calc_lrcur,31))*100)</f>
        <v/>
      </c>
      <c r="I36" s="82">
        <f>IF($C36="","",INDEX(calc_arate_p,31))</f>
        <v/>
      </c>
      <c r="J36" s="82">
        <f>IF($C36="","",INDEX(calc_amod_p,31))</f>
        <v/>
      </c>
      <c r="K36" s="83">
        <f>IF($C36="","",INDEX(calc_echg,31))</f>
        <v/>
      </c>
      <c r="L36" s="83">
        <f>IF($C36="","",INDEX(calc_carry,31))</f>
        <v/>
      </c>
      <c r="M36" s="79">
        <f>IF($C36="","",INDEX(calc_cylr_p1,31))</f>
        <v/>
      </c>
      <c r="N36" s="84">
        <f>IF($C36="","",N(INDEX(lr_ep,31)))</f>
        <v/>
      </c>
      <c r="O36" s="85">
        <f>IF($C36="","",IF(SUM($N$6:$N$74)=0,0,N($N36)/SUM($N$6:$N$74)))</f>
        <v/>
      </c>
      <c r="P36" s="86">
        <f>IF($C36="","",RANK($H36,$H$6:$H$74))</f>
        <v/>
      </c>
      <c r="Q36" s="6">
        <f>IF($C36="","",$H36+ROW()/1000000000)</f>
        <v/>
      </c>
      <c r="R36" s="75">
        <f>IF(OR($C36="",$O36=""),"",N($O36)*$H36)</f>
        <v/>
      </c>
    </row>
    <row r="37">
      <c r="A37" s="78">
        <f>IF(INDEX(lr_key,32)="","",INDEX(lr_bu,32))</f>
        <v/>
      </c>
      <c r="B37" s="78">
        <f>IF(INDEX(lr_key,32)="","",INDEX(lr_state,32))</f>
        <v/>
      </c>
      <c r="C37" s="23">
        <f>INDEX(lr_key,32)</f>
        <v/>
      </c>
      <c r="D37" s="79">
        <f>IF($C37="","",N(INDEX(lr_lrproj,32)))</f>
        <v/>
      </c>
      <c r="E37" s="51">
        <f>IF($C37="","",INDEX(lr_basis,32)&amp;"")</f>
        <v/>
      </c>
      <c r="F37" s="79">
        <f>IF($C37="","",INDEX(calc_lrcur,32))</f>
        <v/>
      </c>
      <c r="G37" s="80">
        <f>IF($C37="","",INDEX(calc_cylr_p,32))</f>
        <v/>
      </c>
      <c r="H37" s="81">
        <f>IF($C37="","",(INDEX(calc_cylr_p,32)-INDEX(calc_lrcur,32))*100)</f>
        <v/>
      </c>
      <c r="I37" s="82">
        <f>IF($C37="","",INDEX(calc_arate_p,32))</f>
        <v/>
      </c>
      <c r="J37" s="82">
        <f>IF($C37="","",INDEX(calc_amod_p,32))</f>
        <v/>
      </c>
      <c r="K37" s="83">
        <f>IF($C37="","",INDEX(calc_echg,32))</f>
        <v/>
      </c>
      <c r="L37" s="83">
        <f>IF($C37="","",INDEX(calc_carry,32))</f>
        <v/>
      </c>
      <c r="M37" s="79">
        <f>IF($C37="","",INDEX(calc_cylr_p1,32))</f>
        <v/>
      </c>
      <c r="N37" s="84">
        <f>IF($C37="","",N(INDEX(lr_ep,32)))</f>
        <v/>
      </c>
      <c r="O37" s="85">
        <f>IF($C37="","",IF(SUM($N$6:$N$74)=0,0,N($N37)/SUM($N$6:$N$74)))</f>
        <v/>
      </c>
      <c r="P37" s="86">
        <f>IF($C37="","",RANK($H37,$H$6:$H$74))</f>
        <v/>
      </c>
      <c r="Q37" s="6">
        <f>IF($C37="","",$H37+ROW()/1000000000)</f>
        <v/>
      </c>
      <c r="R37" s="75">
        <f>IF(OR($C37="",$O37=""),"",N($O37)*$H37)</f>
        <v/>
      </c>
    </row>
    <row r="38">
      <c r="A38" s="78">
        <f>IF(INDEX(lr_key,33)="","",INDEX(lr_bu,33))</f>
        <v/>
      </c>
      <c r="B38" s="78">
        <f>IF(INDEX(lr_key,33)="","",INDEX(lr_state,33))</f>
        <v/>
      </c>
      <c r="C38" s="23">
        <f>INDEX(lr_key,33)</f>
        <v/>
      </c>
      <c r="D38" s="79">
        <f>IF($C38="","",N(INDEX(lr_lrproj,33)))</f>
        <v/>
      </c>
      <c r="E38" s="51">
        <f>IF($C38="","",INDEX(lr_basis,33)&amp;"")</f>
        <v/>
      </c>
      <c r="F38" s="79">
        <f>IF($C38="","",INDEX(calc_lrcur,33))</f>
        <v/>
      </c>
      <c r="G38" s="80">
        <f>IF($C38="","",INDEX(calc_cylr_p,33))</f>
        <v/>
      </c>
      <c r="H38" s="81">
        <f>IF($C38="","",(INDEX(calc_cylr_p,33)-INDEX(calc_lrcur,33))*100)</f>
        <v/>
      </c>
      <c r="I38" s="82">
        <f>IF($C38="","",INDEX(calc_arate_p,33))</f>
        <v/>
      </c>
      <c r="J38" s="82">
        <f>IF($C38="","",INDEX(calc_amod_p,33))</f>
        <v/>
      </c>
      <c r="K38" s="83">
        <f>IF($C38="","",INDEX(calc_echg,33))</f>
        <v/>
      </c>
      <c r="L38" s="83">
        <f>IF($C38="","",INDEX(calc_carry,33))</f>
        <v/>
      </c>
      <c r="M38" s="79">
        <f>IF($C38="","",INDEX(calc_cylr_p1,33))</f>
        <v/>
      </c>
      <c r="N38" s="84">
        <f>IF($C38="","",N(INDEX(lr_ep,33)))</f>
        <v/>
      </c>
      <c r="O38" s="85">
        <f>IF($C38="","",IF(SUM($N$6:$N$74)=0,0,N($N38)/SUM($N$6:$N$74)))</f>
        <v/>
      </c>
      <c r="P38" s="86">
        <f>IF($C38="","",RANK($H38,$H$6:$H$74))</f>
        <v/>
      </c>
      <c r="Q38" s="6">
        <f>IF($C38="","",$H38+ROW()/1000000000)</f>
        <v/>
      </c>
      <c r="R38" s="75">
        <f>IF(OR($C38="",$O38=""),"",N($O38)*$H38)</f>
        <v/>
      </c>
    </row>
    <row r="39">
      <c r="A39" s="78">
        <f>IF(INDEX(lr_key,34)="","",INDEX(lr_bu,34))</f>
        <v/>
      </c>
      <c r="B39" s="78">
        <f>IF(INDEX(lr_key,34)="","",INDEX(lr_state,34))</f>
        <v/>
      </c>
      <c r="C39" s="23">
        <f>INDEX(lr_key,34)</f>
        <v/>
      </c>
      <c r="D39" s="79">
        <f>IF($C39="","",N(INDEX(lr_lrproj,34)))</f>
        <v/>
      </c>
      <c r="E39" s="51">
        <f>IF($C39="","",INDEX(lr_basis,34)&amp;"")</f>
        <v/>
      </c>
      <c r="F39" s="79">
        <f>IF($C39="","",INDEX(calc_lrcur,34))</f>
        <v/>
      </c>
      <c r="G39" s="80">
        <f>IF($C39="","",INDEX(calc_cylr_p,34))</f>
        <v/>
      </c>
      <c r="H39" s="81">
        <f>IF($C39="","",(INDEX(calc_cylr_p,34)-INDEX(calc_lrcur,34))*100)</f>
        <v/>
      </c>
      <c r="I39" s="82">
        <f>IF($C39="","",INDEX(calc_arate_p,34))</f>
        <v/>
      </c>
      <c r="J39" s="82">
        <f>IF($C39="","",INDEX(calc_amod_p,34))</f>
        <v/>
      </c>
      <c r="K39" s="83">
        <f>IF($C39="","",INDEX(calc_echg,34))</f>
        <v/>
      </c>
      <c r="L39" s="83">
        <f>IF($C39="","",INDEX(calc_carry,34))</f>
        <v/>
      </c>
      <c r="M39" s="79">
        <f>IF($C39="","",INDEX(calc_cylr_p1,34))</f>
        <v/>
      </c>
      <c r="N39" s="84">
        <f>IF($C39="","",N(INDEX(lr_ep,34)))</f>
        <v/>
      </c>
      <c r="O39" s="85">
        <f>IF($C39="","",IF(SUM($N$6:$N$74)=0,0,N($N39)/SUM($N$6:$N$74)))</f>
        <v/>
      </c>
      <c r="P39" s="86">
        <f>IF($C39="","",RANK($H39,$H$6:$H$74))</f>
        <v/>
      </c>
      <c r="Q39" s="6">
        <f>IF($C39="","",$H39+ROW()/1000000000)</f>
        <v/>
      </c>
      <c r="R39" s="75">
        <f>IF(OR($C39="",$O39=""),"",N($O39)*$H39)</f>
        <v/>
      </c>
    </row>
    <row r="40">
      <c r="A40" s="78">
        <f>IF(INDEX(lr_key,35)="","",INDEX(lr_bu,35))</f>
        <v/>
      </c>
      <c r="B40" s="78">
        <f>IF(INDEX(lr_key,35)="","",INDEX(lr_state,35))</f>
        <v/>
      </c>
      <c r="C40" s="23">
        <f>INDEX(lr_key,35)</f>
        <v/>
      </c>
      <c r="D40" s="79">
        <f>IF($C40="","",N(INDEX(lr_lrproj,35)))</f>
        <v/>
      </c>
      <c r="E40" s="51">
        <f>IF($C40="","",INDEX(lr_basis,35)&amp;"")</f>
        <v/>
      </c>
      <c r="F40" s="79">
        <f>IF($C40="","",INDEX(calc_lrcur,35))</f>
        <v/>
      </c>
      <c r="G40" s="80">
        <f>IF($C40="","",INDEX(calc_cylr_p,35))</f>
        <v/>
      </c>
      <c r="H40" s="81">
        <f>IF($C40="","",(INDEX(calc_cylr_p,35)-INDEX(calc_lrcur,35))*100)</f>
        <v/>
      </c>
      <c r="I40" s="82">
        <f>IF($C40="","",INDEX(calc_arate_p,35))</f>
        <v/>
      </c>
      <c r="J40" s="82">
        <f>IF($C40="","",INDEX(calc_amod_p,35))</f>
        <v/>
      </c>
      <c r="K40" s="83">
        <f>IF($C40="","",INDEX(calc_echg,35))</f>
        <v/>
      </c>
      <c r="L40" s="83">
        <f>IF($C40="","",INDEX(calc_carry,35))</f>
        <v/>
      </c>
      <c r="M40" s="79">
        <f>IF($C40="","",INDEX(calc_cylr_p1,35))</f>
        <v/>
      </c>
      <c r="N40" s="84">
        <f>IF($C40="","",N(INDEX(lr_ep,35)))</f>
        <v/>
      </c>
      <c r="O40" s="85">
        <f>IF($C40="","",IF(SUM($N$6:$N$74)=0,0,N($N40)/SUM($N$6:$N$74)))</f>
        <v/>
      </c>
      <c r="P40" s="86">
        <f>IF($C40="","",RANK($H40,$H$6:$H$74))</f>
        <v/>
      </c>
      <c r="Q40" s="6">
        <f>IF($C40="","",$H40+ROW()/1000000000)</f>
        <v/>
      </c>
      <c r="R40" s="75">
        <f>IF(OR($C40="",$O40=""),"",N($O40)*$H40)</f>
        <v/>
      </c>
    </row>
    <row r="41">
      <c r="A41" s="78">
        <f>IF(INDEX(lr_key,36)="","",INDEX(lr_bu,36))</f>
        <v/>
      </c>
      <c r="B41" s="78">
        <f>IF(INDEX(lr_key,36)="","",INDEX(lr_state,36))</f>
        <v/>
      </c>
      <c r="C41" s="23">
        <f>INDEX(lr_key,36)</f>
        <v/>
      </c>
      <c r="D41" s="79">
        <f>IF($C41="","",N(INDEX(lr_lrproj,36)))</f>
        <v/>
      </c>
      <c r="E41" s="51">
        <f>IF($C41="","",INDEX(lr_basis,36)&amp;"")</f>
        <v/>
      </c>
      <c r="F41" s="79">
        <f>IF($C41="","",INDEX(calc_lrcur,36))</f>
        <v/>
      </c>
      <c r="G41" s="80">
        <f>IF($C41="","",INDEX(calc_cylr_p,36))</f>
        <v/>
      </c>
      <c r="H41" s="81">
        <f>IF($C41="","",(INDEX(calc_cylr_p,36)-INDEX(calc_lrcur,36))*100)</f>
        <v/>
      </c>
      <c r="I41" s="82">
        <f>IF($C41="","",INDEX(calc_arate_p,36))</f>
        <v/>
      </c>
      <c r="J41" s="82">
        <f>IF($C41="","",INDEX(calc_amod_p,36))</f>
        <v/>
      </c>
      <c r="K41" s="83">
        <f>IF($C41="","",INDEX(calc_echg,36))</f>
        <v/>
      </c>
      <c r="L41" s="83">
        <f>IF($C41="","",INDEX(calc_carry,36))</f>
        <v/>
      </c>
      <c r="M41" s="79">
        <f>IF($C41="","",INDEX(calc_cylr_p1,36))</f>
        <v/>
      </c>
      <c r="N41" s="84">
        <f>IF($C41="","",N(INDEX(lr_ep,36)))</f>
        <v/>
      </c>
      <c r="O41" s="85">
        <f>IF($C41="","",IF(SUM($N$6:$N$74)=0,0,N($N41)/SUM($N$6:$N$74)))</f>
        <v/>
      </c>
      <c r="P41" s="86">
        <f>IF($C41="","",RANK($H41,$H$6:$H$74))</f>
        <v/>
      </c>
      <c r="Q41" s="6">
        <f>IF($C41="","",$H41+ROW()/1000000000)</f>
        <v/>
      </c>
      <c r="R41" s="75">
        <f>IF(OR($C41="",$O41=""),"",N($O41)*$H41)</f>
        <v/>
      </c>
    </row>
    <row r="42">
      <c r="A42" s="78">
        <f>IF(INDEX(lr_key,37)="","",INDEX(lr_bu,37))</f>
        <v/>
      </c>
      <c r="B42" s="78">
        <f>IF(INDEX(lr_key,37)="","",INDEX(lr_state,37))</f>
        <v/>
      </c>
      <c r="C42" s="23">
        <f>INDEX(lr_key,37)</f>
        <v/>
      </c>
      <c r="D42" s="79">
        <f>IF($C42="","",N(INDEX(lr_lrproj,37)))</f>
        <v/>
      </c>
      <c r="E42" s="51">
        <f>IF($C42="","",INDEX(lr_basis,37)&amp;"")</f>
        <v/>
      </c>
      <c r="F42" s="79">
        <f>IF($C42="","",INDEX(calc_lrcur,37))</f>
        <v/>
      </c>
      <c r="G42" s="80">
        <f>IF($C42="","",INDEX(calc_cylr_p,37))</f>
        <v/>
      </c>
      <c r="H42" s="81">
        <f>IF($C42="","",(INDEX(calc_cylr_p,37)-INDEX(calc_lrcur,37))*100)</f>
        <v/>
      </c>
      <c r="I42" s="82">
        <f>IF($C42="","",INDEX(calc_arate_p,37))</f>
        <v/>
      </c>
      <c r="J42" s="82">
        <f>IF($C42="","",INDEX(calc_amod_p,37))</f>
        <v/>
      </c>
      <c r="K42" s="83">
        <f>IF($C42="","",INDEX(calc_echg,37))</f>
        <v/>
      </c>
      <c r="L42" s="83">
        <f>IF($C42="","",INDEX(calc_carry,37))</f>
        <v/>
      </c>
      <c r="M42" s="79">
        <f>IF($C42="","",INDEX(calc_cylr_p1,37))</f>
        <v/>
      </c>
      <c r="N42" s="84">
        <f>IF($C42="","",N(INDEX(lr_ep,37)))</f>
        <v/>
      </c>
      <c r="O42" s="85">
        <f>IF($C42="","",IF(SUM($N$6:$N$74)=0,0,N($N42)/SUM($N$6:$N$74)))</f>
        <v/>
      </c>
      <c r="P42" s="86">
        <f>IF($C42="","",RANK($H42,$H$6:$H$74))</f>
        <v/>
      </c>
      <c r="Q42" s="6">
        <f>IF($C42="","",$H42+ROW()/1000000000)</f>
        <v/>
      </c>
      <c r="R42" s="75">
        <f>IF(OR($C42="",$O42=""),"",N($O42)*$H42)</f>
        <v/>
      </c>
    </row>
    <row r="43">
      <c r="A43" s="78">
        <f>IF(INDEX(lr_key,38)="","",INDEX(lr_bu,38))</f>
        <v/>
      </c>
      <c r="B43" s="78">
        <f>IF(INDEX(lr_key,38)="","",INDEX(lr_state,38))</f>
        <v/>
      </c>
      <c r="C43" s="23">
        <f>INDEX(lr_key,38)</f>
        <v/>
      </c>
      <c r="D43" s="79">
        <f>IF($C43="","",N(INDEX(lr_lrproj,38)))</f>
        <v/>
      </c>
      <c r="E43" s="51">
        <f>IF($C43="","",INDEX(lr_basis,38)&amp;"")</f>
        <v/>
      </c>
      <c r="F43" s="79">
        <f>IF($C43="","",INDEX(calc_lrcur,38))</f>
        <v/>
      </c>
      <c r="G43" s="80">
        <f>IF($C43="","",INDEX(calc_cylr_p,38))</f>
        <v/>
      </c>
      <c r="H43" s="81">
        <f>IF($C43="","",(INDEX(calc_cylr_p,38)-INDEX(calc_lrcur,38))*100)</f>
        <v/>
      </c>
      <c r="I43" s="82">
        <f>IF($C43="","",INDEX(calc_arate_p,38))</f>
        <v/>
      </c>
      <c r="J43" s="82">
        <f>IF($C43="","",INDEX(calc_amod_p,38))</f>
        <v/>
      </c>
      <c r="K43" s="83">
        <f>IF($C43="","",INDEX(calc_echg,38))</f>
        <v/>
      </c>
      <c r="L43" s="83">
        <f>IF($C43="","",INDEX(calc_carry,38))</f>
        <v/>
      </c>
      <c r="M43" s="79">
        <f>IF($C43="","",INDEX(calc_cylr_p1,38))</f>
        <v/>
      </c>
      <c r="N43" s="84">
        <f>IF($C43="","",N(INDEX(lr_ep,38)))</f>
        <v/>
      </c>
      <c r="O43" s="85">
        <f>IF($C43="","",IF(SUM($N$6:$N$74)=0,0,N($N43)/SUM($N$6:$N$74)))</f>
        <v/>
      </c>
      <c r="P43" s="86">
        <f>IF($C43="","",RANK($H43,$H$6:$H$74))</f>
        <v/>
      </c>
      <c r="Q43" s="6">
        <f>IF($C43="","",$H43+ROW()/1000000000)</f>
        <v/>
      </c>
      <c r="R43" s="75">
        <f>IF(OR($C43="",$O43=""),"",N($O43)*$H43)</f>
        <v/>
      </c>
    </row>
    <row r="44">
      <c r="A44" s="78">
        <f>IF(INDEX(lr_key,39)="","",INDEX(lr_bu,39))</f>
        <v/>
      </c>
      <c r="B44" s="78">
        <f>IF(INDEX(lr_key,39)="","",INDEX(lr_state,39))</f>
        <v/>
      </c>
      <c r="C44" s="23">
        <f>INDEX(lr_key,39)</f>
        <v/>
      </c>
      <c r="D44" s="79">
        <f>IF($C44="","",N(INDEX(lr_lrproj,39)))</f>
        <v/>
      </c>
      <c r="E44" s="51">
        <f>IF($C44="","",INDEX(lr_basis,39)&amp;"")</f>
        <v/>
      </c>
      <c r="F44" s="79">
        <f>IF($C44="","",INDEX(calc_lrcur,39))</f>
        <v/>
      </c>
      <c r="G44" s="80">
        <f>IF($C44="","",INDEX(calc_cylr_p,39))</f>
        <v/>
      </c>
      <c r="H44" s="81">
        <f>IF($C44="","",(INDEX(calc_cylr_p,39)-INDEX(calc_lrcur,39))*100)</f>
        <v/>
      </c>
      <c r="I44" s="82">
        <f>IF($C44="","",INDEX(calc_arate_p,39))</f>
        <v/>
      </c>
      <c r="J44" s="82">
        <f>IF($C44="","",INDEX(calc_amod_p,39))</f>
        <v/>
      </c>
      <c r="K44" s="83">
        <f>IF($C44="","",INDEX(calc_echg,39))</f>
        <v/>
      </c>
      <c r="L44" s="83">
        <f>IF($C44="","",INDEX(calc_carry,39))</f>
        <v/>
      </c>
      <c r="M44" s="79">
        <f>IF($C44="","",INDEX(calc_cylr_p1,39))</f>
        <v/>
      </c>
      <c r="N44" s="84">
        <f>IF($C44="","",N(INDEX(lr_ep,39)))</f>
        <v/>
      </c>
      <c r="O44" s="85">
        <f>IF($C44="","",IF(SUM($N$6:$N$74)=0,0,N($N44)/SUM($N$6:$N$74)))</f>
        <v/>
      </c>
      <c r="P44" s="86">
        <f>IF($C44="","",RANK($H44,$H$6:$H$74))</f>
        <v/>
      </c>
      <c r="Q44" s="6">
        <f>IF($C44="","",$H44+ROW()/1000000000)</f>
        <v/>
      </c>
      <c r="R44" s="75">
        <f>IF(OR($C44="",$O44=""),"",N($O44)*$H44)</f>
        <v/>
      </c>
    </row>
    <row r="45">
      <c r="A45" s="78">
        <f>IF(INDEX(lr_key,40)="","",INDEX(lr_bu,40))</f>
        <v/>
      </c>
      <c r="B45" s="78">
        <f>IF(INDEX(lr_key,40)="","",INDEX(lr_state,40))</f>
        <v/>
      </c>
      <c r="C45" s="23">
        <f>INDEX(lr_key,40)</f>
        <v/>
      </c>
      <c r="D45" s="79">
        <f>IF($C45="","",N(INDEX(lr_lrproj,40)))</f>
        <v/>
      </c>
      <c r="E45" s="51">
        <f>IF($C45="","",INDEX(lr_basis,40)&amp;"")</f>
        <v/>
      </c>
      <c r="F45" s="79">
        <f>IF($C45="","",INDEX(calc_lrcur,40))</f>
        <v/>
      </c>
      <c r="G45" s="80">
        <f>IF($C45="","",INDEX(calc_cylr_p,40))</f>
        <v/>
      </c>
      <c r="H45" s="81">
        <f>IF($C45="","",(INDEX(calc_cylr_p,40)-INDEX(calc_lrcur,40))*100)</f>
        <v/>
      </c>
      <c r="I45" s="82">
        <f>IF($C45="","",INDEX(calc_arate_p,40))</f>
        <v/>
      </c>
      <c r="J45" s="82">
        <f>IF($C45="","",INDEX(calc_amod_p,40))</f>
        <v/>
      </c>
      <c r="K45" s="83">
        <f>IF($C45="","",INDEX(calc_echg,40))</f>
        <v/>
      </c>
      <c r="L45" s="83">
        <f>IF($C45="","",INDEX(calc_carry,40))</f>
        <v/>
      </c>
      <c r="M45" s="79">
        <f>IF($C45="","",INDEX(calc_cylr_p1,40))</f>
        <v/>
      </c>
      <c r="N45" s="84">
        <f>IF($C45="","",N(INDEX(lr_ep,40)))</f>
        <v/>
      </c>
      <c r="O45" s="85">
        <f>IF($C45="","",IF(SUM($N$6:$N$74)=0,0,N($N45)/SUM($N$6:$N$74)))</f>
        <v/>
      </c>
      <c r="P45" s="86">
        <f>IF($C45="","",RANK($H45,$H$6:$H$74))</f>
        <v/>
      </c>
      <c r="Q45" s="6">
        <f>IF($C45="","",$H45+ROW()/1000000000)</f>
        <v/>
      </c>
      <c r="R45" s="75">
        <f>IF(OR($C45="",$O45=""),"",N($O45)*$H45)</f>
        <v/>
      </c>
    </row>
    <row r="46">
      <c r="A46" s="78">
        <f>IF(INDEX(lr_key,41)="","",INDEX(lr_bu,41))</f>
        <v/>
      </c>
      <c r="B46" s="78">
        <f>IF(INDEX(lr_key,41)="","",INDEX(lr_state,41))</f>
        <v/>
      </c>
      <c r="C46" s="23">
        <f>INDEX(lr_key,41)</f>
        <v/>
      </c>
      <c r="D46" s="79">
        <f>IF($C46="","",N(INDEX(lr_lrproj,41)))</f>
        <v/>
      </c>
      <c r="E46" s="51">
        <f>IF($C46="","",INDEX(lr_basis,41)&amp;"")</f>
        <v/>
      </c>
      <c r="F46" s="79">
        <f>IF($C46="","",INDEX(calc_lrcur,41))</f>
        <v/>
      </c>
      <c r="G46" s="80">
        <f>IF($C46="","",INDEX(calc_cylr_p,41))</f>
        <v/>
      </c>
      <c r="H46" s="81">
        <f>IF($C46="","",(INDEX(calc_cylr_p,41)-INDEX(calc_lrcur,41))*100)</f>
        <v/>
      </c>
      <c r="I46" s="82">
        <f>IF($C46="","",INDEX(calc_arate_p,41))</f>
        <v/>
      </c>
      <c r="J46" s="82">
        <f>IF($C46="","",INDEX(calc_amod_p,41))</f>
        <v/>
      </c>
      <c r="K46" s="83">
        <f>IF($C46="","",INDEX(calc_echg,41))</f>
        <v/>
      </c>
      <c r="L46" s="83">
        <f>IF($C46="","",INDEX(calc_carry,41))</f>
        <v/>
      </c>
      <c r="M46" s="79">
        <f>IF($C46="","",INDEX(calc_cylr_p1,41))</f>
        <v/>
      </c>
      <c r="N46" s="84">
        <f>IF($C46="","",N(INDEX(lr_ep,41)))</f>
        <v/>
      </c>
      <c r="O46" s="85">
        <f>IF($C46="","",IF(SUM($N$6:$N$74)=0,0,N($N46)/SUM($N$6:$N$74)))</f>
        <v/>
      </c>
      <c r="P46" s="86">
        <f>IF($C46="","",RANK($H46,$H$6:$H$74))</f>
        <v/>
      </c>
      <c r="Q46" s="6">
        <f>IF($C46="","",$H46+ROW()/1000000000)</f>
        <v/>
      </c>
      <c r="R46" s="75">
        <f>IF(OR($C46="",$O46=""),"",N($O46)*$H46)</f>
        <v/>
      </c>
    </row>
    <row r="47">
      <c r="A47" s="78">
        <f>IF(INDEX(lr_key,42)="","",INDEX(lr_bu,42))</f>
        <v/>
      </c>
      <c r="B47" s="78">
        <f>IF(INDEX(lr_key,42)="","",INDEX(lr_state,42))</f>
        <v/>
      </c>
      <c r="C47" s="23">
        <f>INDEX(lr_key,42)</f>
        <v/>
      </c>
      <c r="D47" s="79">
        <f>IF($C47="","",N(INDEX(lr_lrproj,42)))</f>
        <v/>
      </c>
      <c r="E47" s="51">
        <f>IF($C47="","",INDEX(lr_basis,42)&amp;"")</f>
        <v/>
      </c>
      <c r="F47" s="79">
        <f>IF($C47="","",INDEX(calc_lrcur,42))</f>
        <v/>
      </c>
      <c r="G47" s="80">
        <f>IF($C47="","",INDEX(calc_cylr_p,42))</f>
        <v/>
      </c>
      <c r="H47" s="81">
        <f>IF($C47="","",(INDEX(calc_cylr_p,42)-INDEX(calc_lrcur,42))*100)</f>
        <v/>
      </c>
      <c r="I47" s="82">
        <f>IF($C47="","",INDEX(calc_arate_p,42))</f>
        <v/>
      </c>
      <c r="J47" s="82">
        <f>IF($C47="","",INDEX(calc_amod_p,42))</f>
        <v/>
      </c>
      <c r="K47" s="83">
        <f>IF($C47="","",INDEX(calc_echg,42))</f>
        <v/>
      </c>
      <c r="L47" s="83">
        <f>IF($C47="","",INDEX(calc_carry,42))</f>
        <v/>
      </c>
      <c r="M47" s="79">
        <f>IF($C47="","",INDEX(calc_cylr_p1,42))</f>
        <v/>
      </c>
      <c r="N47" s="84">
        <f>IF($C47="","",N(INDEX(lr_ep,42)))</f>
        <v/>
      </c>
      <c r="O47" s="85">
        <f>IF($C47="","",IF(SUM($N$6:$N$74)=0,0,N($N47)/SUM($N$6:$N$74)))</f>
        <v/>
      </c>
      <c r="P47" s="86">
        <f>IF($C47="","",RANK($H47,$H$6:$H$74))</f>
        <v/>
      </c>
      <c r="Q47" s="6">
        <f>IF($C47="","",$H47+ROW()/1000000000)</f>
        <v/>
      </c>
      <c r="R47" s="75">
        <f>IF(OR($C47="",$O47=""),"",N($O47)*$H47)</f>
        <v/>
      </c>
    </row>
    <row r="48">
      <c r="A48" s="78">
        <f>IF(INDEX(lr_key,43)="","",INDEX(lr_bu,43))</f>
        <v/>
      </c>
      <c r="B48" s="78">
        <f>IF(INDEX(lr_key,43)="","",INDEX(lr_state,43))</f>
        <v/>
      </c>
      <c r="C48" s="23">
        <f>INDEX(lr_key,43)</f>
        <v/>
      </c>
      <c r="D48" s="79">
        <f>IF($C48="","",N(INDEX(lr_lrproj,43)))</f>
        <v/>
      </c>
      <c r="E48" s="51">
        <f>IF($C48="","",INDEX(lr_basis,43)&amp;"")</f>
        <v/>
      </c>
      <c r="F48" s="79">
        <f>IF($C48="","",INDEX(calc_lrcur,43))</f>
        <v/>
      </c>
      <c r="G48" s="80">
        <f>IF($C48="","",INDEX(calc_cylr_p,43))</f>
        <v/>
      </c>
      <c r="H48" s="81">
        <f>IF($C48="","",(INDEX(calc_cylr_p,43)-INDEX(calc_lrcur,43))*100)</f>
        <v/>
      </c>
      <c r="I48" s="82">
        <f>IF($C48="","",INDEX(calc_arate_p,43))</f>
        <v/>
      </c>
      <c r="J48" s="82">
        <f>IF($C48="","",INDEX(calc_amod_p,43))</f>
        <v/>
      </c>
      <c r="K48" s="83">
        <f>IF($C48="","",INDEX(calc_echg,43))</f>
        <v/>
      </c>
      <c r="L48" s="83">
        <f>IF($C48="","",INDEX(calc_carry,43))</f>
        <v/>
      </c>
      <c r="M48" s="79">
        <f>IF($C48="","",INDEX(calc_cylr_p1,43))</f>
        <v/>
      </c>
      <c r="N48" s="84">
        <f>IF($C48="","",N(INDEX(lr_ep,43)))</f>
        <v/>
      </c>
      <c r="O48" s="85">
        <f>IF($C48="","",IF(SUM($N$6:$N$74)=0,0,N($N48)/SUM($N$6:$N$74)))</f>
        <v/>
      </c>
      <c r="P48" s="86">
        <f>IF($C48="","",RANK($H48,$H$6:$H$74))</f>
        <v/>
      </c>
      <c r="Q48" s="6">
        <f>IF($C48="","",$H48+ROW()/1000000000)</f>
        <v/>
      </c>
      <c r="R48" s="75">
        <f>IF(OR($C48="",$O48=""),"",N($O48)*$H48)</f>
        <v/>
      </c>
    </row>
    <row r="49">
      <c r="A49" s="78">
        <f>IF(INDEX(lr_key,44)="","",INDEX(lr_bu,44))</f>
        <v/>
      </c>
      <c r="B49" s="78">
        <f>IF(INDEX(lr_key,44)="","",INDEX(lr_state,44))</f>
        <v/>
      </c>
      <c r="C49" s="23">
        <f>INDEX(lr_key,44)</f>
        <v/>
      </c>
      <c r="D49" s="79">
        <f>IF($C49="","",N(INDEX(lr_lrproj,44)))</f>
        <v/>
      </c>
      <c r="E49" s="51">
        <f>IF($C49="","",INDEX(lr_basis,44)&amp;"")</f>
        <v/>
      </c>
      <c r="F49" s="79">
        <f>IF($C49="","",INDEX(calc_lrcur,44))</f>
        <v/>
      </c>
      <c r="G49" s="80">
        <f>IF($C49="","",INDEX(calc_cylr_p,44))</f>
        <v/>
      </c>
      <c r="H49" s="81">
        <f>IF($C49="","",(INDEX(calc_cylr_p,44)-INDEX(calc_lrcur,44))*100)</f>
        <v/>
      </c>
      <c r="I49" s="82">
        <f>IF($C49="","",INDEX(calc_arate_p,44))</f>
        <v/>
      </c>
      <c r="J49" s="82">
        <f>IF($C49="","",INDEX(calc_amod_p,44))</f>
        <v/>
      </c>
      <c r="K49" s="83">
        <f>IF($C49="","",INDEX(calc_echg,44))</f>
        <v/>
      </c>
      <c r="L49" s="83">
        <f>IF($C49="","",INDEX(calc_carry,44))</f>
        <v/>
      </c>
      <c r="M49" s="79">
        <f>IF($C49="","",INDEX(calc_cylr_p1,44))</f>
        <v/>
      </c>
      <c r="N49" s="84">
        <f>IF($C49="","",N(INDEX(lr_ep,44)))</f>
        <v/>
      </c>
      <c r="O49" s="85">
        <f>IF($C49="","",IF(SUM($N$6:$N$74)=0,0,N($N49)/SUM($N$6:$N$74)))</f>
        <v/>
      </c>
      <c r="P49" s="86">
        <f>IF($C49="","",RANK($H49,$H$6:$H$74))</f>
        <v/>
      </c>
      <c r="Q49" s="6">
        <f>IF($C49="","",$H49+ROW()/1000000000)</f>
        <v/>
      </c>
      <c r="R49" s="75">
        <f>IF(OR($C49="",$O49=""),"",N($O49)*$H49)</f>
        <v/>
      </c>
    </row>
    <row r="50">
      <c r="A50" s="78">
        <f>IF(INDEX(lr_key,45)="","",INDEX(lr_bu,45))</f>
        <v/>
      </c>
      <c r="B50" s="78">
        <f>IF(INDEX(lr_key,45)="","",INDEX(lr_state,45))</f>
        <v/>
      </c>
      <c r="C50" s="23">
        <f>INDEX(lr_key,45)</f>
        <v/>
      </c>
      <c r="D50" s="79">
        <f>IF($C50="","",N(INDEX(lr_lrproj,45)))</f>
        <v/>
      </c>
      <c r="E50" s="51">
        <f>IF($C50="","",INDEX(lr_basis,45)&amp;"")</f>
        <v/>
      </c>
      <c r="F50" s="79">
        <f>IF($C50="","",INDEX(calc_lrcur,45))</f>
        <v/>
      </c>
      <c r="G50" s="80">
        <f>IF($C50="","",INDEX(calc_cylr_p,45))</f>
        <v/>
      </c>
      <c r="H50" s="81">
        <f>IF($C50="","",(INDEX(calc_cylr_p,45)-INDEX(calc_lrcur,45))*100)</f>
        <v/>
      </c>
      <c r="I50" s="82">
        <f>IF($C50="","",INDEX(calc_arate_p,45))</f>
        <v/>
      </c>
      <c r="J50" s="82">
        <f>IF($C50="","",INDEX(calc_amod_p,45))</f>
        <v/>
      </c>
      <c r="K50" s="83">
        <f>IF($C50="","",INDEX(calc_echg,45))</f>
        <v/>
      </c>
      <c r="L50" s="83">
        <f>IF($C50="","",INDEX(calc_carry,45))</f>
        <v/>
      </c>
      <c r="M50" s="79">
        <f>IF($C50="","",INDEX(calc_cylr_p1,45))</f>
        <v/>
      </c>
      <c r="N50" s="84">
        <f>IF($C50="","",N(INDEX(lr_ep,45)))</f>
        <v/>
      </c>
      <c r="O50" s="85">
        <f>IF($C50="","",IF(SUM($N$6:$N$74)=0,0,N($N50)/SUM($N$6:$N$74)))</f>
        <v/>
      </c>
      <c r="P50" s="86">
        <f>IF($C50="","",RANK($H50,$H$6:$H$74))</f>
        <v/>
      </c>
      <c r="Q50" s="6">
        <f>IF($C50="","",$H50+ROW()/1000000000)</f>
        <v/>
      </c>
      <c r="R50" s="75">
        <f>IF(OR($C50="",$O50=""),"",N($O50)*$H50)</f>
        <v/>
      </c>
    </row>
    <row r="51">
      <c r="A51" s="78">
        <f>IF(INDEX(lr_key,46)="","",INDEX(lr_bu,46))</f>
        <v/>
      </c>
      <c r="B51" s="78">
        <f>IF(INDEX(lr_key,46)="","",INDEX(lr_state,46))</f>
        <v/>
      </c>
      <c r="C51" s="23">
        <f>INDEX(lr_key,46)</f>
        <v/>
      </c>
      <c r="D51" s="79">
        <f>IF($C51="","",N(INDEX(lr_lrproj,46)))</f>
        <v/>
      </c>
      <c r="E51" s="51">
        <f>IF($C51="","",INDEX(lr_basis,46)&amp;"")</f>
        <v/>
      </c>
      <c r="F51" s="79">
        <f>IF($C51="","",INDEX(calc_lrcur,46))</f>
        <v/>
      </c>
      <c r="G51" s="80">
        <f>IF($C51="","",INDEX(calc_cylr_p,46))</f>
        <v/>
      </c>
      <c r="H51" s="81">
        <f>IF($C51="","",(INDEX(calc_cylr_p,46)-INDEX(calc_lrcur,46))*100)</f>
        <v/>
      </c>
      <c r="I51" s="82">
        <f>IF($C51="","",INDEX(calc_arate_p,46))</f>
        <v/>
      </c>
      <c r="J51" s="82">
        <f>IF($C51="","",INDEX(calc_amod_p,46))</f>
        <v/>
      </c>
      <c r="K51" s="83">
        <f>IF($C51="","",INDEX(calc_echg,46))</f>
        <v/>
      </c>
      <c r="L51" s="83">
        <f>IF($C51="","",INDEX(calc_carry,46))</f>
        <v/>
      </c>
      <c r="M51" s="79">
        <f>IF($C51="","",INDEX(calc_cylr_p1,46))</f>
        <v/>
      </c>
      <c r="N51" s="84">
        <f>IF($C51="","",N(INDEX(lr_ep,46)))</f>
        <v/>
      </c>
      <c r="O51" s="85">
        <f>IF($C51="","",IF(SUM($N$6:$N$74)=0,0,N($N51)/SUM($N$6:$N$74)))</f>
        <v/>
      </c>
      <c r="P51" s="86">
        <f>IF($C51="","",RANK($H51,$H$6:$H$74))</f>
        <v/>
      </c>
      <c r="Q51" s="6">
        <f>IF($C51="","",$H51+ROW()/1000000000)</f>
        <v/>
      </c>
      <c r="R51" s="75">
        <f>IF(OR($C51="",$O51=""),"",N($O51)*$H51)</f>
        <v/>
      </c>
    </row>
    <row r="52">
      <c r="A52" s="78">
        <f>IF(INDEX(lr_key,47)="","",INDEX(lr_bu,47))</f>
        <v/>
      </c>
      <c r="B52" s="78">
        <f>IF(INDEX(lr_key,47)="","",INDEX(lr_state,47))</f>
        <v/>
      </c>
      <c r="C52" s="23">
        <f>INDEX(lr_key,47)</f>
        <v/>
      </c>
      <c r="D52" s="79">
        <f>IF($C52="","",N(INDEX(lr_lrproj,47)))</f>
        <v/>
      </c>
      <c r="E52" s="51">
        <f>IF($C52="","",INDEX(lr_basis,47)&amp;"")</f>
        <v/>
      </c>
      <c r="F52" s="79">
        <f>IF($C52="","",INDEX(calc_lrcur,47))</f>
        <v/>
      </c>
      <c r="G52" s="80">
        <f>IF($C52="","",INDEX(calc_cylr_p,47))</f>
        <v/>
      </c>
      <c r="H52" s="81">
        <f>IF($C52="","",(INDEX(calc_cylr_p,47)-INDEX(calc_lrcur,47))*100)</f>
        <v/>
      </c>
      <c r="I52" s="82">
        <f>IF($C52="","",INDEX(calc_arate_p,47))</f>
        <v/>
      </c>
      <c r="J52" s="82">
        <f>IF($C52="","",INDEX(calc_amod_p,47))</f>
        <v/>
      </c>
      <c r="K52" s="83">
        <f>IF($C52="","",INDEX(calc_echg,47))</f>
        <v/>
      </c>
      <c r="L52" s="83">
        <f>IF($C52="","",INDEX(calc_carry,47))</f>
        <v/>
      </c>
      <c r="M52" s="79">
        <f>IF($C52="","",INDEX(calc_cylr_p1,47))</f>
        <v/>
      </c>
      <c r="N52" s="84">
        <f>IF($C52="","",N(INDEX(lr_ep,47)))</f>
        <v/>
      </c>
      <c r="O52" s="85">
        <f>IF($C52="","",IF(SUM($N$6:$N$74)=0,0,N($N52)/SUM($N$6:$N$74)))</f>
        <v/>
      </c>
      <c r="P52" s="86">
        <f>IF($C52="","",RANK($H52,$H$6:$H$74))</f>
        <v/>
      </c>
      <c r="Q52" s="6">
        <f>IF($C52="","",$H52+ROW()/1000000000)</f>
        <v/>
      </c>
      <c r="R52" s="75">
        <f>IF(OR($C52="",$O52=""),"",N($O52)*$H52)</f>
        <v/>
      </c>
    </row>
    <row r="53">
      <c r="A53" s="78">
        <f>IF(INDEX(lr_key,48)="","",INDEX(lr_bu,48))</f>
        <v/>
      </c>
      <c r="B53" s="78">
        <f>IF(INDEX(lr_key,48)="","",INDEX(lr_state,48))</f>
        <v/>
      </c>
      <c r="C53" s="23">
        <f>INDEX(lr_key,48)</f>
        <v/>
      </c>
      <c r="D53" s="79">
        <f>IF($C53="","",N(INDEX(lr_lrproj,48)))</f>
        <v/>
      </c>
      <c r="E53" s="51">
        <f>IF($C53="","",INDEX(lr_basis,48)&amp;"")</f>
        <v/>
      </c>
      <c r="F53" s="79">
        <f>IF($C53="","",INDEX(calc_lrcur,48))</f>
        <v/>
      </c>
      <c r="G53" s="80">
        <f>IF($C53="","",INDEX(calc_cylr_p,48))</f>
        <v/>
      </c>
      <c r="H53" s="81">
        <f>IF($C53="","",(INDEX(calc_cylr_p,48)-INDEX(calc_lrcur,48))*100)</f>
        <v/>
      </c>
      <c r="I53" s="82">
        <f>IF($C53="","",INDEX(calc_arate_p,48))</f>
        <v/>
      </c>
      <c r="J53" s="82">
        <f>IF($C53="","",INDEX(calc_amod_p,48))</f>
        <v/>
      </c>
      <c r="K53" s="83">
        <f>IF($C53="","",INDEX(calc_echg,48))</f>
        <v/>
      </c>
      <c r="L53" s="83">
        <f>IF($C53="","",INDEX(calc_carry,48))</f>
        <v/>
      </c>
      <c r="M53" s="79">
        <f>IF($C53="","",INDEX(calc_cylr_p1,48))</f>
        <v/>
      </c>
      <c r="N53" s="84">
        <f>IF($C53="","",N(INDEX(lr_ep,48)))</f>
        <v/>
      </c>
      <c r="O53" s="85">
        <f>IF($C53="","",IF(SUM($N$6:$N$74)=0,0,N($N53)/SUM($N$6:$N$74)))</f>
        <v/>
      </c>
      <c r="P53" s="86">
        <f>IF($C53="","",RANK($H53,$H$6:$H$74))</f>
        <v/>
      </c>
      <c r="Q53" s="6">
        <f>IF($C53="","",$H53+ROW()/1000000000)</f>
        <v/>
      </c>
      <c r="R53" s="75">
        <f>IF(OR($C53="",$O53=""),"",N($O53)*$H53)</f>
        <v/>
      </c>
    </row>
    <row r="54">
      <c r="A54" s="78">
        <f>IF(INDEX(lr_key,49)="","",INDEX(lr_bu,49))</f>
        <v/>
      </c>
      <c r="B54" s="78">
        <f>IF(INDEX(lr_key,49)="","",INDEX(lr_state,49))</f>
        <v/>
      </c>
      <c r="C54" s="23">
        <f>INDEX(lr_key,49)</f>
        <v/>
      </c>
      <c r="D54" s="79">
        <f>IF($C54="","",N(INDEX(lr_lrproj,49)))</f>
        <v/>
      </c>
      <c r="E54" s="51">
        <f>IF($C54="","",INDEX(lr_basis,49)&amp;"")</f>
        <v/>
      </c>
      <c r="F54" s="79">
        <f>IF($C54="","",INDEX(calc_lrcur,49))</f>
        <v/>
      </c>
      <c r="G54" s="80">
        <f>IF($C54="","",INDEX(calc_cylr_p,49))</f>
        <v/>
      </c>
      <c r="H54" s="81">
        <f>IF($C54="","",(INDEX(calc_cylr_p,49)-INDEX(calc_lrcur,49))*100)</f>
        <v/>
      </c>
      <c r="I54" s="82">
        <f>IF($C54="","",INDEX(calc_arate_p,49))</f>
        <v/>
      </c>
      <c r="J54" s="82">
        <f>IF($C54="","",INDEX(calc_amod_p,49))</f>
        <v/>
      </c>
      <c r="K54" s="83">
        <f>IF($C54="","",INDEX(calc_echg,49))</f>
        <v/>
      </c>
      <c r="L54" s="83">
        <f>IF($C54="","",INDEX(calc_carry,49))</f>
        <v/>
      </c>
      <c r="M54" s="79">
        <f>IF($C54="","",INDEX(calc_cylr_p1,49))</f>
        <v/>
      </c>
      <c r="N54" s="84">
        <f>IF($C54="","",N(INDEX(lr_ep,49)))</f>
        <v/>
      </c>
      <c r="O54" s="85">
        <f>IF($C54="","",IF(SUM($N$6:$N$74)=0,0,N($N54)/SUM($N$6:$N$74)))</f>
        <v/>
      </c>
      <c r="P54" s="86">
        <f>IF($C54="","",RANK($H54,$H$6:$H$74))</f>
        <v/>
      </c>
      <c r="Q54" s="6">
        <f>IF($C54="","",$H54+ROW()/1000000000)</f>
        <v/>
      </c>
      <c r="R54" s="75">
        <f>IF(OR($C54="",$O54=""),"",N($O54)*$H54)</f>
        <v/>
      </c>
    </row>
    <row r="55">
      <c r="A55" s="78">
        <f>IF(INDEX(lr_key,50)="","",INDEX(lr_bu,50))</f>
        <v/>
      </c>
      <c r="B55" s="78">
        <f>IF(INDEX(lr_key,50)="","",INDEX(lr_state,50))</f>
        <v/>
      </c>
      <c r="C55" s="23">
        <f>INDEX(lr_key,50)</f>
        <v/>
      </c>
      <c r="D55" s="79">
        <f>IF($C55="","",N(INDEX(lr_lrproj,50)))</f>
        <v/>
      </c>
      <c r="E55" s="51">
        <f>IF($C55="","",INDEX(lr_basis,50)&amp;"")</f>
        <v/>
      </c>
      <c r="F55" s="79">
        <f>IF($C55="","",INDEX(calc_lrcur,50))</f>
        <v/>
      </c>
      <c r="G55" s="80">
        <f>IF($C55="","",INDEX(calc_cylr_p,50))</f>
        <v/>
      </c>
      <c r="H55" s="81">
        <f>IF($C55="","",(INDEX(calc_cylr_p,50)-INDEX(calc_lrcur,50))*100)</f>
        <v/>
      </c>
      <c r="I55" s="82">
        <f>IF($C55="","",INDEX(calc_arate_p,50))</f>
        <v/>
      </c>
      <c r="J55" s="82">
        <f>IF($C55="","",INDEX(calc_amod_p,50))</f>
        <v/>
      </c>
      <c r="K55" s="83">
        <f>IF($C55="","",INDEX(calc_echg,50))</f>
        <v/>
      </c>
      <c r="L55" s="83">
        <f>IF($C55="","",INDEX(calc_carry,50))</f>
        <v/>
      </c>
      <c r="M55" s="79">
        <f>IF($C55="","",INDEX(calc_cylr_p1,50))</f>
        <v/>
      </c>
      <c r="N55" s="84">
        <f>IF($C55="","",N(INDEX(lr_ep,50)))</f>
        <v/>
      </c>
      <c r="O55" s="85">
        <f>IF($C55="","",IF(SUM($N$6:$N$74)=0,0,N($N55)/SUM($N$6:$N$74)))</f>
        <v/>
      </c>
      <c r="P55" s="86">
        <f>IF($C55="","",RANK($H55,$H$6:$H$74))</f>
        <v/>
      </c>
      <c r="Q55" s="6">
        <f>IF($C55="","",$H55+ROW()/1000000000)</f>
        <v/>
      </c>
      <c r="R55" s="75">
        <f>IF(OR($C55="",$O55=""),"",N($O55)*$H55)</f>
        <v/>
      </c>
    </row>
    <row r="56">
      <c r="A56" s="78">
        <f>IF(INDEX(lr_key,51)="","",INDEX(lr_bu,51))</f>
        <v/>
      </c>
      <c r="B56" s="78">
        <f>IF(INDEX(lr_key,51)="","",INDEX(lr_state,51))</f>
        <v/>
      </c>
      <c r="C56" s="23">
        <f>INDEX(lr_key,51)</f>
        <v/>
      </c>
      <c r="D56" s="79">
        <f>IF($C56="","",N(INDEX(lr_lrproj,51)))</f>
        <v/>
      </c>
      <c r="E56" s="51">
        <f>IF($C56="","",INDEX(lr_basis,51)&amp;"")</f>
        <v/>
      </c>
      <c r="F56" s="79">
        <f>IF($C56="","",INDEX(calc_lrcur,51))</f>
        <v/>
      </c>
      <c r="G56" s="80">
        <f>IF($C56="","",INDEX(calc_cylr_p,51))</f>
        <v/>
      </c>
      <c r="H56" s="81">
        <f>IF($C56="","",(INDEX(calc_cylr_p,51)-INDEX(calc_lrcur,51))*100)</f>
        <v/>
      </c>
      <c r="I56" s="82">
        <f>IF($C56="","",INDEX(calc_arate_p,51))</f>
        <v/>
      </c>
      <c r="J56" s="82">
        <f>IF($C56="","",INDEX(calc_amod_p,51))</f>
        <v/>
      </c>
      <c r="K56" s="83">
        <f>IF($C56="","",INDEX(calc_echg,51))</f>
        <v/>
      </c>
      <c r="L56" s="83">
        <f>IF($C56="","",INDEX(calc_carry,51))</f>
        <v/>
      </c>
      <c r="M56" s="79">
        <f>IF($C56="","",INDEX(calc_cylr_p1,51))</f>
        <v/>
      </c>
      <c r="N56" s="84">
        <f>IF($C56="","",N(INDEX(lr_ep,51)))</f>
        <v/>
      </c>
      <c r="O56" s="85">
        <f>IF($C56="","",IF(SUM($N$6:$N$74)=0,0,N($N56)/SUM($N$6:$N$74)))</f>
        <v/>
      </c>
      <c r="P56" s="86">
        <f>IF($C56="","",RANK($H56,$H$6:$H$74))</f>
        <v/>
      </c>
      <c r="Q56" s="6">
        <f>IF($C56="","",$H56+ROW()/1000000000)</f>
        <v/>
      </c>
      <c r="R56" s="75">
        <f>IF(OR($C56="",$O56=""),"",N($O56)*$H56)</f>
        <v/>
      </c>
    </row>
    <row r="57">
      <c r="A57" s="78">
        <f>IF(INDEX(lr_key,52)="","",INDEX(lr_bu,52))</f>
        <v/>
      </c>
      <c r="B57" s="78">
        <f>IF(INDEX(lr_key,52)="","",INDEX(lr_state,52))</f>
        <v/>
      </c>
      <c r="C57" s="23">
        <f>INDEX(lr_key,52)</f>
        <v/>
      </c>
      <c r="D57" s="79">
        <f>IF($C57="","",N(INDEX(lr_lrproj,52)))</f>
        <v/>
      </c>
      <c r="E57" s="51">
        <f>IF($C57="","",INDEX(lr_basis,52)&amp;"")</f>
        <v/>
      </c>
      <c r="F57" s="79">
        <f>IF($C57="","",INDEX(calc_lrcur,52))</f>
        <v/>
      </c>
      <c r="G57" s="80">
        <f>IF($C57="","",INDEX(calc_cylr_p,52))</f>
        <v/>
      </c>
      <c r="H57" s="81">
        <f>IF($C57="","",(INDEX(calc_cylr_p,52)-INDEX(calc_lrcur,52))*100)</f>
        <v/>
      </c>
      <c r="I57" s="82">
        <f>IF($C57="","",INDEX(calc_arate_p,52))</f>
        <v/>
      </c>
      <c r="J57" s="82">
        <f>IF($C57="","",INDEX(calc_amod_p,52))</f>
        <v/>
      </c>
      <c r="K57" s="83">
        <f>IF($C57="","",INDEX(calc_echg,52))</f>
        <v/>
      </c>
      <c r="L57" s="83">
        <f>IF($C57="","",INDEX(calc_carry,52))</f>
        <v/>
      </c>
      <c r="M57" s="79">
        <f>IF($C57="","",INDEX(calc_cylr_p1,52))</f>
        <v/>
      </c>
      <c r="N57" s="84">
        <f>IF($C57="","",N(INDEX(lr_ep,52)))</f>
        <v/>
      </c>
      <c r="O57" s="85">
        <f>IF($C57="","",IF(SUM($N$6:$N$74)=0,0,N($N57)/SUM($N$6:$N$74)))</f>
        <v/>
      </c>
      <c r="P57" s="86">
        <f>IF($C57="","",RANK($H57,$H$6:$H$74))</f>
        <v/>
      </c>
      <c r="Q57" s="6">
        <f>IF($C57="","",$H57+ROW()/1000000000)</f>
        <v/>
      </c>
      <c r="R57" s="75">
        <f>IF(OR($C57="",$O57=""),"",N($O57)*$H57)</f>
        <v/>
      </c>
    </row>
    <row r="58">
      <c r="A58" s="78">
        <f>IF(INDEX(lr_key,53)="","",INDEX(lr_bu,53))</f>
        <v/>
      </c>
      <c r="B58" s="78">
        <f>IF(INDEX(lr_key,53)="","",INDEX(lr_state,53))</f>
        <v/>
      </c>
      <c r="C58" s="23">
        <f>INDEX(lr_key,53)</f>
        <v/>
      </c>
      <c r="D58" s="79">
        <f>IF($C58="","",N(INDEX(lr_lrproj,53)))</f>
        <v/>
      </c>
      <c r="E58" s="51">
        <f>IF($C58="","",INDEX(lr_basis,53)&amp;"")</f>
        <v/>
      </c>
      <c r="F58" s="79">
        <f>IF($C58="","",INDEX(calc_lrcur,53))</f>
        <v/>
      </c>
      <c r="G58" s="80">
        <f>IF($C58="","",INDEX(calc_cylr_p,53))</f>
        <v/>
      </c>
      <c r="H58" s="81">
        <f>IF($C58="","",(INDEX(calc_cylr_p,53)-INDEX(calc_lrcur,53))*100)</f>
        <v/>
      </c>
      <c r="I58" s="82">
        <f>IF($C58="","",INDEX(calc_arate_p,53))</f>
        <v/>
      </c>
      <c r="J58" s="82">
        <f>IF($C58="","",INDEX(calc_amod_p,53))</f>
        <v/>
      </c>
      <c r="K58" s="83">
        <f>IF($C58="","",INDEX(calc_echg,53))</f>
        <v/>
      </c>
      <c r="L58" s="83">
        <f>IF($C58="","",INDEX(calc_carry,53))</f>
        <v/>
      </c>
      <c r="M58" s="79">
        <f>IF($C58="","",INDEX(calc_cylr_p1,53))</f>
        <v/>
      </c>
      <c r="N58" s="84">
        <f>IF($C58="","",N(INDEX(lr_ep,53)))</f>
        <v/>
      </c>
      <c r="O58" s="85">
        <f>IF($C58="","",IF(SUM($N$6:$N$74)=0,0,N($N58)/SUM($N$6:$N$74)))</f>
        <v/>
      </c>
      <c r="P58" s="86">
        <f>IF($C58="","",RANK($H58,$H$6:$H$74))</f>
        <v/>
      </c>
      <c r="Q58" s="6">
        <f>IF($C58="","",$H58+ROW()/1000000000)</f>
        <v/>
      </c>
      <c r="R58" s="75">
        <f>IF(OR($C58="",$O58=""),"",N($O58)*$H58)</f>
        <v/>
      </c>
    </row>
    <row r="59">
      <c r="A59" s="78">
        <f>IF(INDEX(lr_key,54)="","",INDEX(lr_bu,54))</f>
        <v/>
      </c>
      <c r="B59" s="78">
        <f>IF(INDEX(lr_key,54)="","",INDEX(lr_state,54))</f>
        <v/>
      </c>
      <c r="C59" s="23">
        <f>INDEX(lr_key,54)</f>
        <v/>
      </c>
      <c r="D59" s="79">
        <f>IF($C59="","",N(INDEX(lr_lrproj,54)))</f>
        <v/>
      </c>
      <c r="E59" s="51">
        <f>IF($C59="","",INDEX(lr_basis,54)&amp;"")</f>
        <v/>
      </c>
      <c r="F59" s="79">
        <f>IF($C59="","",INDEX(calc_lrcur,54))</f>
        <v/>
      </c>
      <c r="G59" s="80">
        <f>IF($C59="","",INDEX(calc_cylr_p,54))</f>
        <v/>
      </c>
      <c r="H59" s="81">
        <f>IF($C59="","",(INDEX(calc_cylr_p,54)-INDEX(calc_lrcur,54))*100)</f>
        <v/>
      </c>
      <c r="I59" s="82">
        <f>IF($C59="","",INDEX(calc_arate_p,54))</f>
        <v/>
      </c>
      <c r="J59" s="82">
        <f>IF($C59="","",INDEX(calc_amod_p,54))</f>
        <v/>
      </c>
      <c r="K59" s="83">
        <f>IF($C59="","",INDEX(calc_echg,54))</f>
        <v/>
      </c>
      <c r="L59" s="83">
        <f>IF($C59="","",INDEX(calc_carry,54))</f>
        <v/>
      </c>
      <c r="M59" s="79">
        <f>IF($C59="","",INDEX(calc_cylr_p1,54))</f>
        <v/>
      </c>
      <c r="N59" s="84">
        <f>IF($C59="","",N(INDEX(lr_ep,54)))</f>
        <v/>
      </c>
      <c r="O59" s="85">
        <f>IF($C59="","",IF(SUM($N$6:$N$74)=0,0,N($N59)/SUM($N$6:$N$74)))</f>
        <v/>
      </c>
      <c r="P59" s="86">
        <f>IF($C59="","",RANK($H59,$H$6:$H$74))</f>
        <v/>
      </c>
      <c r="Q59" s="6">
        <f>IF($C59="","",$H59+ROW()/1000000000)</f>
        <v/>
      </c>
      <c r="R59" s="75">
        <f>IF(OR($C59="",$O59=""),"",N($O59)*$H59)</f>
        <v/>
      </c>
    </row>
    <row r="60">
      <c r="A60" s="78">
        <f>IF(INDEX(lr_key,55)="","",INDEX(lr_bu,55))</f>
        <v/>
      </c>
      <c r="B60" s="78">
        <f>IF(INDEX(lr_key,55)="","",INDEX(lr_state,55))</f>
        <v/>
      </c>
      <c r="C60" s="23">
        <f>INDEX(lr_key,55)</f>
        <v/>
      </c>
      <c r="D60" s="79">
        <f>IF($C60="","",N(INDEX(lr_lrproj,55)))</f>
        <v/>
      </c>
      <c r="E60" s="51">
        <f>IF($C60="","",INDEX(lr_basis,55)&amp;"")</f>
        <v/>
      </c>
      <c r="F60" s="79">
        <f>IF($C60="","",INDEX(calc_lrcur,55))</f>
        <v/>
      </c>
      <c r="G60" s="80">
        <f>IF($C60="","",INDEX(calc_cylr_p,55))</f>
        <v/>
      </c>
      <c r="H60" s="81">
        <f>IF($C60="","",(INDEX(calc_cylr_p,55)-INDEX(calc_lrcur,55))*100)</f>
        <v/>
      </c>
      <c r="I60" s="82">
        <f>IF($C60="","",INDEX(calc_arate_p,55))</f>
        <v/>
      </c>
      <c r="J60" s="82">
        <f>IF($C60="","",INDEX(calc_amod_p,55))</f>
        <v/>
      </c>
      <c r="K60" s="83">
        <f>IF($C60="","",INDEX(calc_echg,55))</f>
        <v/>
      </c>
      <c r="L60" s="83">
        <f>IF($C60="","",INDEX(calc_carry,55))</f>
        <v/>
      </c>
      <c r="M60" s="79">
        <f>IF($C60="","",INDEX(calc_cylr_p1,55))</f>
        <v/>
      </c>
      <c r="N60" s="84">
        <f>IF($C60="","",N(INDEX(lr_ep,55)))</f>
        <v/>
      </c>
      <c r="O60" s="85">
        <f>IF($C60="","",IF(SUM($N$6:$N$74)=0,0,N($N60)/SUM($N$6:$N$74)))</f>
        <v/>
      </c>
      <c r="P60" s="86">
        <f>IF($C60="","",RANK($H60,$H$6:$H$74))</f>
        <v/>
      </c>
      <c r="Q60" s="6">
        <f>IF($C60="","",$H60+ROW()/1000000000)</f>
        <v/>
      </c>
      <c r="R60" s="75">
        <f>IF(OR($C60="",$O60=""),"",N($O60)*$H60)</f>
        <v/>
      </c>
    </row>
    <row r="61">
      <c r="A61" s="78">
        <f>IF(INDEX(lr_key,56)="","",INDEX(lr_bu,56))</f>
        <v/>
      </c>
      <c r="B61" s="78">
        <f>IF(INDEX(lr_key,56)="","",INDEX(lr_state,56))</f>
        <v/>
      </c>
      <c r="C61" s="23">
        <f>INDEX(lr_key,56)</f>
        <v/>
      </c>
      <c r="D61" s="79">
        <f>IF($C61="","",N(INDEX(lr_lrproj,56)))</f>
        <v/>
      </c>
      <c r="E61" s="51">
        <f>IF($C61="","",INDEX(lr_basis,56)&amp;"")</f>
        <v/>
      </c>
      <c r="F61" s="79">
        <f>IF($C61="","",INDEX(calc_lrcur,56))</f>
        <v/>
      </c>
      <c r="G61" s="80">
        <f>IF($C61="","",INDEX(calc_cylr_p,56))</f>
        <v/>
      </c>
      <c r="H61" s="81">
        <f>IF($C61="","",(INDEX(calc_cylr_p,56)-INDEX(calc_lrcur,56))*100)</f>
        <v/>
      </c>
      <c r="I61" s="82">
        <f>IF($C61="","",INDEX(calc_arate_p,56))</f>
        <v/>
      </c>
      <c r="J61" s="82">
        <f>IF($C61="","",INDEX(calc_amod_p,56))</f>
        <v/>
      </c>
      <c r="K61" s="83">
        <f>IF($C61="","",INDEX(calc_echg,56))</f>
        <v/>
      </c>
      <c r="L61" s="83">
        <f>IF($C61="","",INDEX(calc_carry,56))</f>
        <v/>
      </c>
      <c r="M61" s="79">
        <f>IF($C61="","",INDEX(calc_cylr_p1,56))</f>
        <v/>
      </c>
      <c r="N61" s="84">
        <f>IF($C61="","",N(INDEX(lr_ep,56)))</f>
        <v/>
      </c>
      <c r="O61" s="85">
        <f>IF($C61="","",IF(SUM($N$6:$N$74)=0,0,N($N61)/SUM($N$6:$N$74)))</f>
        <v/>
      </c>
      <c r="P61" s="86">
        <f>IF($C61="","",RANK($H61,$H$6:$H$74))</f>
        <v/>
      </c>
      <c r="Q61" s="6">
        <f>IF($C61="","",$H61+ROW()/1000000000)</f>
        <v/>
      </c>
      <c r="R61" s="75">
        <f>IF(OR($C61="",$O61=""),"",N($O61)*$H61)</f>
        <v/>
      </c>
    </row>
    <row r="62">
      <c r="A62" s="78">
        <f>IF(INDEX(lr_key,57)="","",INDEX(lr_bu,57))</f>
        <v/>
      </c>
      <c r="B62" s="78">
        <f>IF(INDEX(lr_key,57)="","",INDEX(lr_state,57))</f>
        <v/>
      </c>
      <c r="C62" s="23">
        <f>INDEX(lr_key,57)</f>
        <v/>
      </c>
      <c r="D62" s="79">
        <f>IF($C62="","",N(INDEX(lr_lrproj,57)))</f>
        <v/>
      </c>
      <c r="E62" s="51">
        <f>IF($C62="","",INDEX(lr_basis,57)&amp;"")</f>
        <v/>
      </c>
      <c r="F62" s="79">
        <f>IF($C62="","",INDEX(calc_lrcur,57))</f>
        <v/>
      </c>
      <c r="G62" s="80">
        <f>IF($C62="","",INDEX(calc_cylr_p,57))</f>
        <v/>
      </c>
      <c r="H62" s="81">
        <f>IF($C62="","",(INDEX(calc_cylr_p,57)-INDEX(calc_lrcur,57))*100)</f>
        <v/>
      </c>
      <c r="I62" s="82">
        <f>IF($C62="","",INDEX(calc_arate_p,57))</f>
        <v/>
      </c>
      <c r="J62" s="82">
        <f>IF($C62="","",INDEX(calc_amod_p,57))</f>
        <v/>
      </c>
      <c r="K62" s="83">
        <f>IF($C62="","",INDEX(calc_echg,57))</f>
        <v/>
      </c>
      <c r="L62" s="83">
        <f>IF($C62="","",INDEX(calc_carry,57))</f>
        <v/>
      </c>
      <c r="M62" s="79">
        <f>IF($C62="","",INDEX(calc_cylr_p1,57))</f>
        <v/>
      </c>
      <c r="N62" s="84">
        <f>IF($C62="","",N(INDEX(lr_ep,57)))</f>
        <v/>
      </c>
      <c r="O62" s="85">
        <f>IF($C62="","",IF(SUM($N$6:$N$74)=0,0,N($N62)/SUM($N$6:$N$74)))</f>
        <v/>
      </c>
      <c r="P62" s="86">
        <f>IF($C62="","",RANK($H62,$H$6:$H$74))</f>
        <v/>
      </c>
      <c r="Q62" s="6">
        <f>IF($C62="","",$H62+ROW()/1000000000)</f>
        <v/>
      </c>
      <c r="R62" s="75">
        <f>IF(OR($C62="",$O62=""),"",N($O62)*$H62)</f>
        <v/>
      </c>
    </row>
    <row r="63">
      <c r="A63" s="78">
        <f>IF(INDEX(lr_key,58)="","",INDEX(lr_bu,58))</f>
        <v/>
      </c>
      <c r="B63" s="78">
        <f>IF(INDEX(lr_key,58)="","",INDEX(lr_state,58))</f>
        <v/>
      </c>
      <c r="C63" s="23">
        <f>INDEX(lr_key,58)</f>
        <v/>
      </c>
      <c r="D63" s="79">
        <f>IF($C63="","",N(INDEX(lr_lrproj,58)))</f>
        <v/>
      </c>
      <c r="E63" s="51">
        <f>IF($C63="","",INDEX(lr_basis,58)&amp;"")</f>
        <v/>
      </c>
      <c r="F63" s="79">
        <f>IF($C63="","",INDEX(calc_lrcur,58))</f>
        <v/>
      </c>
      <c r="G63" s="80">
        <f>IF($C63="","",INDEX(calc_cylr_p,58))</f>
        <v/>
      </c>
      <c r="H63" s="81">
        <f>IF($C63="","",(INDEX(calc_cylr_p,58)-INDEX(calc_lrcur,58))*100)</f>
        <v/>
      </c>
      <c r="I63" s="82">
        <f>IF($C63="","",INDEX(calc_arate_p,58))</f>
        <v/>
      </c>
      <c r="J63" s="82">
        <f>IF($C63="","",INDEX(calc_amod_p,58))</f>
        <v/>
      </c>
      <c r="K63" s="83">
        <f>IF($C63="","",INDEX(calc_echg,58))</f>
        <v/>
      </c>
      <c r="L63" s="83">
        <f>IF($C63="","",INDEX(calc_carry,58))</f>
        <v/>
      </c>
      <c r="M63" s="79">
        <f>IF($C63="","",INDEX(calc_cylr_p1,58))</f>
        <v/>
      </c>
      <c r="N63" s="84">
        <f>IF($C63="","",N(INDEX(lr_ep,58)))</f>
        <v/>
      </c>
      <c r="O63" s="85">
        <f>IF($C63="","",IF(SUM($N$6:$N$74)=0,0,N($N63)/SUM($N$6:$N$74)))</f>
        <v/>
      </c>
      <c r="P63" s="86">
        <f>IF($C63="","",RANK($H63,$H$6:$H$74))</f>
        <v/>
      </c>
      <c r="Q63" s="6">
        <f>IF($C63="","",$H63+ROW()/1000000000)</f>
        <v/>
      </c>
      <c r="R63" s="75">
        <f>IF(OR($C63="",$O63=""),"",N($O63)*$H63)</f>
        <v/>
      </c>
    </row>
    <row r="64">
      <c r="A64" s="78">
        <f>IF(INDEX(lr_key,59)="","",INDEX(lr_bu,59))</f>
        <v/>
      </c>
      <c r="B64" s="78">
        <f>IF(INDEX(lr_key,59)="","",INDEX(lr_state,59))</f>
        <v/>
      </c>
      <c r="C64" s="23">
        <f>INDEX(lr_key,59)</f>
        <v/>
      </c>
      <c r="D64" s="79">
        <f>IF($C64="","",N(INDEX(lr_lrproj,59)))</f>
        <v/>
      </c>
      <c r="E64" s="51">
        <f>IF($C64="","",INDEX(lr_basis,59)&amp;"")</f>
        <v/>
      </c>
      <c r="F64" s="79">
        <f>IF($C64="","",INDEX(calc_lrcur,59))</f>
        <v/>
      </c>
      <c r="G64" s="80">
        <f>IF($C64="","",INDEX(calc_cylr_p,59))</f>
        <v/>
      </c>
      <c r="H64" s="81">
        <f>IF($C64="","",(INDEX(calc_cylr_p,59)-INDEX(calc_lrcur,59))*100)</f>
        <v/>
      </c>
      <c r="I64" s="82">
        <f>IF($C64="","",INDEX(calc_arate_p,59))</f>
        <v/>
      </c>
      <c r="J64" s="82">
        <f>IF($C64="","",INDEX(calc_amod_p,59))</f>
        <v/>
      </c>
      <c r="K64" s="83">
        <f>IF($C64="","",INDEX(calc_echg,59))</f>
        <v/>
      </c>
      <c r="L64" s="83">
        <f>IF($C64="","",INDEX(calc_carry,59))</f>
        <v/>
      </c>
      <c r="M64" s="79">
        <f>IF($C64="","",INDEX(calc_cylr_p1,59))</f>
        <v/>
      </c>
      <c r="N64" s="84">
        <f>IF($C64="","",N(INDEX(lr_ep,59)))</f>
        <v/>
      </c>
      <c r="O64" s="85">
        <f>IF($C64="","",IF(SUM($N$6:$N$74)=0,0,N($N64)/SUM($N$6:$N$74)))</f>
        <v/>
      </c>
      <c r="P64" s="86">
        <f>IF($C64="","",RANK($H64,$H$6:$H$74))</f>
        <v/>
      </c>
      <c r="Q64" s="6">
        <f>IF($C64="","",$H64+ROW()/1000000000)</f>
        <v/>
      </c>
      <c r="R64" s="75">
        <f>IF(OR($C64="",$O64=""),"",N($O64)*$H64)</f>
        <v/>
      </c>
    </row>
    <row r="65">
      <c r="A65" s="78">
        <f>IF(INDEX(lr_key,60)="","",INDEX(lr_bu,60))</f>
        <v/>
      </c>
      <c r="B65" s="78">
        <f>IF(INDEX(lr_key,60)="","",INDEX(lr_state,60))</f>
        <v/>
      </c>
      <c r="C65" s="23">
        <f>INDEX(lr_key,60)</f>
        <v/>
      </c>
      <c r="D65" s="79">
        <f>IF($C65="","",N(INDEX(lr_lrproj,60)))</f>
        <v/>
      </c>
      <c r="E65" s="51">
        <f>IF($C65="","",INDEX(lr_basis,60)&amp;"")</f>
        <v/>
      </c>
      <c r="F65" s="79">
        <f>IF($C65="","",INDEX(calc_lrcur,60))</f>
        <v/>
      </c>
      <c r="G65" s="80">
        <f>IF($C65="","",INDEX(calc_cylr_p,60))</f>
        <v/>
      </c>
      <c r="H65" s="81">
        <f>IF($C65="","",(INDEX(calc_cylr_p,60)-INDEX(calc_lrcur,60))*100)</f>
        <v/>
      </c>
      <c r="I65" s="82">
        <f>IF($C65="","",INDEX(calc_arate_p,60))</f>
        <v/>
      </c>
      <c r="J65" s="82">
        <f>IF($C65="","",INDEX(calc_amod_p,60))</f>
        <v/>
      </c>
      <c r="K65" s="83">
        <f>IF($C65="","",INDEX(calc_echg,60))</f>
        <v/>
      </c>
      <c r="L65" s="83">
        <f>IF($C65="","",INDEX(calc_carry,60))</f>
        <v/>
      </c>
      <c r="M65" s="79">
        <f>IF($C65="","",INDEX(calc_cylr_p1,60))</f>
        <v/>
      </c>
      <c r="N65" s="84">
        <f>IF($C65="","",N(INDEX(lr_ep,60)))</f>
        <v/>
      </c>
      <c r="O65" s="85">
        <f>IF($C65="","",IF(SUM($N$6:$N$74)=0,0,N($N65)/SUM($N$6:$N$74)))</f>
        <v/>
      </c>
      <c r="P65" s="86">
        <f>IF($C65="","",RANK($H65,$H$6:$H$74))</f>
        <v/>
      </c>
      <c r="Q65" s="6">
        <f>IF($C65="","",$H65+ROW()/1000000000)</f>
        <v/>
      </c>
      <c r="R65" s="75">
        <f>IF(OR($C65="",$O65=""),"",N($O65)*$H65)</f>
        <v/>
      </c>
    </row>
    <row r="66">
      <c r="A66" s="78">
        <f>IF(INDEX(lr_key,61)="","",INDEX(lr_bu,61))</f>
        <v/>
      </c>
      <c r="B66" s="78">
        <f>IF(INDEX(lr_key,61)="","",INDEX(lr_state,61))</f>
        <v/>
      </c>
      <c r="C66" s="23">
        <f>INDEX(lr_key,61)</f>
        <v/>
      </c>
      <c r="D66" s="79">
        <f>IF($C66="","",N(INDEX(lr_lrproj,61)))</f>
        <v/>
      </c>
      <c r="E66" s="51">
        <f>IF($C66="","",INDEX(lr_basis,61)&amp;"")</f>
        <v/>
      </c>
      <c r="F66" s="79">
        <f>IF($C66="","",INDEX(calc_lrcur,61))</f>
        <v/>
      </c>
      <c r="G66" s="80">
        <f>IF($C66="","",INDEX(calc_cylr_p,61))</f>
        <v/>
      </c>
      <c r="H66" s="81">
        <f>IF($C66="","",(INDEX(calc_cylr_p,61)-INDEX(calc_lrcur,61))*100)</f>
        <v/>
      </c>
      <c r="I66" s="82">
        <f>IF($C66="","",INDEX(calc_arate_p,61))</f>
        <v/>
      </c>
      <c r="J66" s="82">
        <f>IF($C66="","",INDEX(calc_amod_p,61))</f>
        <v/>
      </c>
      <c r="K66" s="83">
        <f>IF($C66="","",INDEX(calc_echg,61))</f>
        <v/>
      </c>
      <c r="L66" s="83">
        <f>IF($C66="","",INDEX(calc_carry,61))</f>
        <v/>
      </c>
      <c r="M66" s="79">
        <f>IF($C66="","",INDEX(calc_cylr_p1,61))</f>
        <v/>
      </c>
      <c r="N66" s="84">
        <f>IF($C66="","",N(INDEX(lr_ep,61)))</f>
        <v/>
      </c>
      <c r="O66" s="85">
        <f>IF($C66="","",IF(SUM($N$6:$N$74)=0,0,N($N66)/SUM($N$6:$N$74)))</f>
        <v/>
      </c>
      <c r="P66" s="86">
        <f>IF($C66="","",RANK($H66,$H$6:$H$74))</f>
        <v/>
      </c>
      <c r="Q66" s="6">
        <f>IF($C66="","",$H66+ROW()/1000000000)</f>
        <v/>
      </c>
      <c r="R66" s="75">
        <f>IF(OR($C66="",$O66=""),"",N($O66)*$H66)</f>
        <v/>
      </c>
    </row>
    <row r="67">
      <c r="A67" s="78">
        <f>IF(INDEX(lr_key,62)="","",INDEX(lr_bu,62))</f>
        <v/>
      </c>
      <c r="B67" s="78">
        <f>IF(INDEX(lr_key,62)="","",INDEX(lr_state,62))</f>
        <v/>
      </c>
      <c r="C67" s="23">
        <f>INDEX(lr_key,62)</f>
        <v/>
      </c>
      <c r="D67" s="79">
        <f>IF($C67="","",N(INDEX(lr_lrproj,62)))</f>
        <v/>
      </c>
      <c r="E67" s="51">
        <f>IF($C67="","",INDEX(lr_basis,62)&amp;"")</f>
        <v/>
      </c>
      <c r="F67" s="79">
        <f>IF($C67="","",INDEX(calc_lrcur,62))</f>
        <v/>
      </c>
      <c r="G67" s="80">
        <f>IF($C67="","",INDEX(calc_cylr_p,62))</f>
        <v/>
      </c>
      <c r="H67" s="81">
        <f>IF($C67="","",(INDEX(calc_cylr_p,62)-INDEX(calc_lrcur,62))*100)</f>
        <v/>
      </c>
      <c r="I67" s="82">
        <f>IF($C67="","",INDEX(calc_arate_p,62))</f>
        <v/>
      </c>
      <c r="J67" s="82">
        <f>IF($C67="","",INDEX(calc_amod_p,62))</f>
        <v/>
      </c>
      <c r="K67" s="83">
        <f>IF($C67="","",INDEX(calc_echg,62))</f>
        <v/>
      </c>
      <c r="L67" s="83">
        <f>IF($C67="","",INDEX(calc_carry,62))</f>
        <v/>
      </c>
      <c r="M67" s="79">
        <f>IF($C67="","",INDEX(calc_cylr_p1,62))</f>
        <v/>
      </c>
      <c r="N67" s="84">
        <f>IF($C67="","",N(INDEX(lr_ep,62)))</f>
        <v/>
      </c>
      <c r="O67" s="85">
        <f>IF($C67="","",IF(SUM($N$6:$N$74)=0,0,N($N67)/SUM($N$6:$N$74)))</f>
        <v/>
      </c>
      <c r="P67" s="86">
        <f>IF($C67="","",RANK($H67,$H$6:$H$74))</f>
        <v/>
      </c>
      <c r="Q67" s="6">
        <f>IF($C67="","",$H67+ROW()/1000000000)</f>
        <v/>
      </c>
      <c r="R67" s="75">
        <f>IF(OR($C67="",$O67=""),"",N($O67)*$H67)</f>
        <v/>
      </c>
    </row>
    <row r="68">
      <c r="A68" s="78">
        <f>IF(INDEX(lr_key,63)="","",INDEX(lr_bu,63))</f>
        <v/>
      </c>
      <c r="B68" s="78">
        <f>IF(INDEX(lr_key,63)="","",INDEX(lr_state,63))</f>
        <v/>
      </c>
      <c r="C68" s="23">
        <f>INDEX(lr_key,63)</f>
        <v/>
      </c>
      <c r="D68" s="79">
        <f>IF($C68="","",N(INDEX(lr_lrproj,63)))</f>
        <v/>
      </c>
      <c r="E68" s="51">
        <f>IF($C68="","",INDEX(lr_basis,63)&amp;"")</f>
        <v/>
      </c>
      <c r="F68" s="79">
        <f>IF($C68="","",INDEX(calc_lrcur,63))</f>
        <v/>
      </c>
      <c r="G68" s="80">
        <f>IF($C68="","",INDEX(calc_cylr_p,63))</f>
        <v/>
      </c>
      <c r="H68" s="81">
        <f>IF($C68="","",(INDEX(calc_cylr_p,63)-INDEX(calc_lrcur,63))*100)</f>
        <v/>
      </c>
      <c r="I68" s="82">
        <f>IF($C68="","",INDEX(calc_arate_p,63))</f>
        <v/>
      </c>
      <c r="J68" s="82">
        <f>IF($C68="","",INDEX(calc_amod_p,63))</f>
        <v/>
      </c>
      <c r="K68" s="83">
        <f>IF($C68="","",INDEX(calc_echg,63))</f>
        <v/>
      </c>
      <c r="L68" s="83">
        <f>IF($C68="","",INDEX(calc_carry,63))</f>
        <v/>
      </c>
      <c r="M68" s="79">
        <f>IF($C68="","",INDEX(calc_cylr_p1,63))</f>
        <v/>
      </c>
      <c r="N68" s="84">
        <f>IF($C68="","",N(INDEX(lr_ep,63)))</f>
        <v/>
      </c>
      <c r="O68" s="85">
        <f>IF($C68="","",IF(SUM($N$6:$N$74)=0,0,N($N68)/SUM($N$6:$N$74)))</f>
        <v/>
      </c>
      <c r="P68" s="86">
        <f>IF($C68="","",RANK($H68,$H$6:$H$74))</f>
        <v/>
      </c>
      <c r="Q68" s="6">
        <f>IF($C68="","",$H68+ROW()/1000000000)</f>
        <v/>
      </c>
      <c r="R68" s="75">
        <f>IF(OR($C68="",$O68=""),"",N($O68)*$H68)</f>
        <v/>
      </c>
    </row>
    <row r="69">
      <c r="A69" s="78">
        <f>IF(INDEX(lr_key,64)="","",INDEX(lr_bu,64))</f>
        <v/>
      </c>
      <c r="B69" s="78">
        <f>IF(INDEX(lr_key,64)="","",INDEX(lr_state,64))</f>
        <v/>
      </c>
      <c r="C69" s="23">
        <f>INDEX(lr_key,64)</f>
        <v/>
      </c>
      <c r="D69" s="79">
        <f>IF($C69="","",N(INDEX(lr_lrproj,64)))</f>
        <v/>
      </c>
      <c r="E69" s="51">
        <f>IF($C69="","",INDEX(lr_basis,64)&amp;"")</f>
        <v/>
      </c>
      <c r="F69" s="79">
        <f>IF($C69="","",INDEX(calc_lrcur,64))</f>
        <v/>
      </c>
      <c r="G69" s="80">
        <f>IF($C69="","",INDEX(calc_cylr_p,64))</f>
        <v/>
      </c>
      <c r="H69" s="81">
        <f>IF($C69="","",(INDEX(calc_cylr_p,64)-INDEX(calc_lrcur,64))*100)</f>
        <v/>
      </c>
      <c r="I69" s="82">
        <f>IF($C69="","",INDEX(calc_arate_p,64))</f>
        <v/>
      </c>
      <c r="J69" s="82">
        <f>IF($C69="","",INDEX(calc_amod_p,64))</f>
        <v/>
      </c>
      <c r="K69" s="83">
        <f>IF($C69="","",INDEX(calc_echg,64))</f>
        <v/>
      </c>
      <c r="L69" s="83">
        <f>IF($C69="","",INDEX(calc_carry,64))</f>
        <v/>
      </c>
      <c r="M69" s="79">
        <f>IF($C69="","",INDEX(calc_cylr_p1,64))</f>
        <v/>
      </c>
      <c r="N69" s="84">
        <f>IF($C69="","",N(INDEX(lr_ep,64)))</f>
        <v/>
      </c>
      <c r="O69" s="85">
        <f>IF($C69="","",IF(SUM($N$6:$N$74)=0,0,N($N69)/SUM($N$6:$N$74)))</f>
        <v/>
      </c>
      <c r="P69" s="86">
        <f>IF($C69="","",RANK($H69,$H$6:$H$74))</f>
        <v/>
      </c>
      <c r="Q69" s="6">
        <f>IF($C69="","",$H69+ROW()/1000000000)</f>
        <v/>
      </c>
      <c r="R69" s="75">
        <f>IF(OR($C69="",$O69=""),"",N($O69)*$H69)</f>
        <v/>
      </c>
    </row>
    <row r="70">
      <c r="A70" s="78">
        <f>IF(INDEX(lr_key,65)="","",INDEX(lr_bu,65))</f>
        <v/>
      </c>
      <c r="B70" s="78">
        <f>IF(INDEX(lr_key,65)="","",INDEX(lr_state,65))</f>
        <v/>
      </c>
      <c r="C70" s="23">
        <f>INDEX(lr_key,65)</f>
        <v/>
      </c>
      <c r="D70" s="79">
        <f>IF($C70="","",N(INDEX(lr_lrproj,65)))</f>
        <v/>
      </c>
      <c r="E70" s="51">
        <f>IF($C70="","",INDEX(lr_basis,65)&amp;"")</f>
        <v/>
      </c>
      <c r="F70" s="79">
        <f>IF($C70="","",INDEX(calc_lrcur,65))</f>
        <v/>
      </c>
      <c r="G70" s="80">
        <f>IF($C70="","",INDEX(calc_cylr_p,65))</f>
        <v/>
      </c>
      <c r="H70" s="81">
        <f>IF($C70="","",(INDEX(calc_cylr_p,65)-INDEX(calc_lrcur,65))*100)</f>
        <v/>
      </c>
      <c r="I70" s="82">
        <f>IF($C70="","",INDEX(calc_arate_p,65))</f>
        <v/>
      </c>
      <c r="J70" s="82">
        <f>IF($C70="","",INDEX(calc_amod_p,65))</f>
        <v/>
      </c>
      <c r="K70" s="83">
        <f>IF($C70="","",INDEX(calc_echg,65))</f>
        <v/>
      </c>
      <c r="L70" s="83">
        <f>IF($C70="","",INDEX(calc_carry,65))</f>
        <v/>
      </c>
      <c r="M70" s="79">
        <f>IF($C70="","",INDEX(calc_cylr_p1,65))</f>
        <v/>
      </c>
      <c r="N70" s="84">
        <f>IF($C70="","",N(INDEX(lr_ep,65)))</f>
        <v/>
      </c>
      <c r="O70" s="85">
        <f>IF($C70="","",IF(SUM($N$6:$N$74)=0,0,N($N70)/SUM($N$6:$N$74)))</f>
        <v/>
      </c>
      <c r="P70" s="86">
        <f>IF($C70="","",RANK($H70,$H$6:$H$74))</f>
        <v/>
      </c>
      <c r="Q70" s="6">
        <f>IF($C70="","",$H70+ROW()/1000000000)</f>
        <v/>
      </c>
      <c r="R70" s="75">
        <f>IF(OR($C70="",$O70=""),"",N($O70)*$H70)</f>
        <v/>
      </c>
    </row>
    <row r="71">
      <c r="A71" s="78">
        <f>IF(INDEX(lr_key,66)="","",INDEX(lr_bu,66))</f>
        <v/>
      </c>
      <c r="B71" s="78">
        <f>IF(INDEX(lr_key,66)="","",INDEX(lr_state,66))</f>
        <v/>
      </c>
      <c r="C71" s="23">
        <f>INDEX(lr_key,66)</f>
        <v/>
      </c>
      <c r="D71" s="79">
        <f>IF($C71="","",N(INDEX(lr_lrproj,66)))</f>
        <v/>
      </c>
      <c r="E71" s="51">
        <f>IF($C71="","",INDEX(lr_basis,66)&amp;"")</f>
        <v/>
      </c>
      <c r="F71" s="79">
        <f>IF($C71="","",INDEX(calc_lrcur,66))</f>
        <v/>
      </c>
      <c r="G71" s="80">
        <f>IF($C71="","",INDEX(calc_cylr_p,66))</f>
        <v/>
      </c>
      <c r="H71" s="81">
        <f>IF($C71="","",(INDEX(calc_cylr_p,66)-INDEX(calc_lrcur,66))*100)</f>
        <v/>
      </c>
      <c r="I71" s="82">
        <f>IF($C71="","",INDEX(calc_arate_p,66))</f>
        <v/>
      </c>
      <c r="J71" s="82">
        <f>IF($C71="","",INDEX(calc_amod_p,66))</f>
        <v/>
      </c>
      <c r="K71" s="83">
        <f>IF($C71="","",INDEX(calc_echg,66))</f>
        <v/>
      </c>
      <c r="L71" s="83">
        <f>IF($C71="","",INDEX(calc_carry,66))</f>
        <v/>
      </c>
      <c r="M71" s="79">
        <f>IF($C71="","",INDEX(calc_cylr_p1,66))</f>
        <v/>
      </c>
      <c r="N71" s="84">
        <f>IF($C71="","",N(INDEX(lr_ep,66)))</f>
        <v/>
      </c>
      <c r="O71" s="85">
        <f>IF($C71="","",IF(SUM($N$6:$N$74)=0,0,N($N71)/SUM($N$6:$N$74)))</f>
        <v/>
      </c>
      <c r="P71" s="86">
        <f>IF($C71="","",RANK($H71,$H$6:$H$74))</f>
        <v/>
      </c>
      <c r="Q71" s="6">
        <f>IF($C71="","",$H71+ROW()/1000000000)</f>
        <v/>
      </c>
      <c r="R71" s="75">
        <f>IF(OR($C71="",$O71=""),"",N($O71)*$H71)</f>
        <v/>
      </c>
    </row>
    <row r="72">
      <c r="A72" s="78">
        <f>IF(INDEX(lr_key,67)="","",INDEX(lr_bu,67))</f>
        <v/>
      </c>
      <c r="B72" s="78">
        <f>IF(INDEX(lr_key,67)="","",INDEX(lr_state,67))</f>
        <v/>
      </c>
      <c r="C72" s="23">
        <f>INDEX(lr_key,67)</f>
        <v/>
      </c>
      <c r="D72" s="79">
        <f>IF($C72="","",N(INDEX(lr_lrproj,67)))</f>
        <v/>
      </c>
      <c r="E72" s="51">
        <f>IF($C72="","",INDEX(lr_basis,67)&amp;"")</f>
        <v/>
      </c>
      <c r="F72" s="79">
        <f>IF($C72="","",INDEX(calc_lrcur,67))</f>
        <v/>
      </c>
      <c r="G72" s="80">
        <f>IF($C72="","",INDEX(calc_cylr_p,67))</f>
        <v/>
      </c>
      <c r="H72" s="81">
        <f>IF($C72="","",(INDEX(calc_cylr_p,67)-INDEX(calc_lrcur,67))*100)</f>
        <v/>
      </c>
      <c r="I72" s="82">
        <f>IF($C72="","",INDEX(calc_arate_p,67))</f>
        <v/>
      </c>
      <c r="J72" s="82">
        <f>IF($C72="","",INDEX(calc_amod_p,67))</f>
        <v/>
      </c>
      <c r="K72" s="83">
        <f>IF($C72="","",INDEX(calc_echg,67))</f>
        <v/>
      </c>
      <c r="L72" s="83">
        <f>IF($C72="","",INDEX(calc_carry,67))</f>
        <v/>
      </c>
      <c r="M72" s="79">
        <f>IF($C72="","",INDEX(calc_cylr_p1,67))</f>
        <v/>
      </c>
      <c r="N72" s="84">
        <f>IF($C72="","",N(INDEX(lr_ep,67)))</f>
        <v/>
      </c>
      <c r="O72" s="85">
        <f>IF($C72="","",IF(SUM($N$6:$N$74)=0,0,N($N72)/SUM($N$6:$N$74)))</f>
        <v/>
      </c>
      <c r="P72" s="86">
        <f>IF($C72="","",RANK($H72,$H$6:$H$74))</f>
        <v/>
      </c>
      <c r="Q72" s="6">
        <f>IF($C72="","",$H72+ROW()/1000000000)</f>
        <v/>
      </c>
      <c r="R72" s="75">
        <f>IF(OR($C72="",$O72=""),"",N($O72)*$H72)</f>
        <v/>
      </c>
    </row>
    <row r="73">
      <c r="A73" s="78">
        <f>IF(INDEX(lr_key,68)="","",INDEX(lr_bu,68))</f>
        <v/>
      </c>
      <c r="B73" s="78">
        <f>IF(INDEX(lr_key,68)="","",INDEX(lr_state,68))</f>
        <v/>
      </c>
      <c r="C73" s="23">
        <f>INDEX(lr_key,68)</f>
        <v/>
      </c>
      <c r="D73" s="79">
        <f>IF($C73="","",N(INDEX(lr_lrproj,68)))</f>
        <v/>
      </c>
      <c r="E73" s="51">
        <f>IF($C73="","",INDEX(lr_basis,68)&amp;"")</f>
        <v/>
      </c>
      <c r="F73" s="79">
        <f>IF($C73="","",INDEX(calc_lrcur,68))</f>
        <v/>
      </c>
      <c r="G73" s="80">
        <f>IF($C73="","",INDEX(calc_cylr_p,68))</f>
        <v/>
      </c>
      <c r="H73" s="81">
        <f>IF($C73="","",(INDEX(calc_cylr_p,68)-INDEX(calc_lrcur,68))*100)</f>
        <v/>
      </c>
      <c r="I73" s="82">
        <f>IF($C73="","",INDEX(calc_arate_p,68))</f>
        <v/>
      </c>
      <c r="J73" s="82">
        <f>IF($C73="","",INDEX(calc_amod_p,68))</f>
        <v/>
      </c>
      <c r="K73" s="83">
        <f>IF($C73="","",INDEX(calc_echg,68))</f>
        <v/>
      </c>
      <c r="L73" s="83">
        <f>IF($C73="","",INDEX(calc_carry,68))</f>
        <v/>
      </c>
      <c r="M73" s="79">
        <f>IF($C73="","",INDEX(calc_cylr_p1,68))</f>
        <v/>
      </c>
      <c r="N73" s="84">
        <f>IF($C73="","",N(INDEX(lr_ep,68)))</f>
        <v/>
      </c>
      <c r="O73" s="85">
        <f>IF($C73="","",IF(SUM($N$6:$N$74)=0,0,N($N73)/SUM($N$6:$N$74)))</f>
        <v/>
      </c>
      <c r="P73" s="86">
        <f>IF($C73="","",RANK($H73,$H$6:$H$74))</f>
        <v/>
      </c>
      <c r="Q73" s="6">
        <f>IF($C73="","",$H73+ROW()/1000000000)</f>
        <v/>
      </c>
      <c r="R73" s="75">
        <f>IF(OR($C73="",$O73=""),"",N($O73)*$H73)</f>
        <v/>
      </c>
    </row>
    <row r="74">
      <c r="A74" s="78">
        <f>IF(INDEX(lr_key,69)="","",INDEX(lr_bu,69))</f>
        <v/>
      </c>
      <c r="B74" s="78">
        <f>IF(INDEX(lr_key,69)="","",INDEX(lr_state,69))</f>
        <v/>
      </c>
      <c r="C74" s="23">
        <f>INDEX(lr_key,69)</f>
        <v/>
      </c>
      <c r="D74" s="79">
        <f>IF($C74="","",N(INDEX(lr_lrproj,69)))</f>
        <v/>
      </c>
      <c r="E74" s="51">
        <f>IF($C74="","",INDEX(lr_basis,69)&amp;"")</f>
        <v/>
      </c>
      <c r="F74" s="79">
        <f>IF($C74="","",INDEX(calc_lrcur,69))</f>
        <v/>
      </c>
      <c r="G74" s="80">
        <f>IF($C74="","",INDEX(calc_cylr_p,69))</f>
        <v/>
      </c>
      <c r="H74" s="81">
        <f>IF($C74="","",(INDEX(calc_cylr_p,69)-INDEX(calc_lrcur,69))*100)</f>
        <v/>
      </c>
      <c r="I74" s="82">
        <f>IF($C74="","",INDEX(calc_arate_p,69))</f>
        <v/>
      </c>
      <c r="J74" s="82">
        <f>IF($C74="","",INDEX(calc_amod_p,69))</f>
        <v/>
      </c>
      <c r="K74" s="83">
        <f>IF($C74="","",INDEX(calc_echg,69))</f>
        <v/>
      </c>
      <c r="L74" s="83">
        <f>IF($C74="","",INDEX(calc_carry,69))</f>
        <v/>
      </c>
      <c r="M74" s="79">
        <f>IF($C74="","",INDEX(calc_cylr_p1,69))</f>
        <v/>
      </c>
      <c r="N74" s="84">
        <f>IF($C74="","",N(INDEX(lr_ep,69)))</f>
        <v/>
      </c>
      <c r="O74" s="85">
        <f>IF($C74="","",IF(SUM($N$6:$N$74)=0,0,N($N74)/SUM($N$6:$N$74)))</f>
        <v/>
      </c>
      <c r="P74" s="86">
        <f>IF($C74="","",RANK($H74,$H$6:$H$74))</f>
        <v/>
      </c>
      <c r="Q74" s="6">
        <f>IF($C74="","",$H74+ROW()/1000000000)</f>
        <v/>
      </c>
      <c r="R74" s="75">
        <f>IF(OR($C74="",$O74=""),"",N($O74)*$H74)</f>
        <v/>
      </c>
    </row>
    <row r="76">
      <c r="B76" s="8" t="inlineStr">
        <is>
          <t>EP-weighted total *</t>
        </is>
      </c>
      <c r="F76" s="92">
        <f>IF(SUM($N$6:$N$74)=0,"n/a",SUMPRODUCT(F$6:F$74,$N$6:$N$74)/SUM($N$6:$N$74))</f>
        <v/>
      </c>
      <c r="G76" s="91">
        <f>IF(SUM($N$6:$N$74)=0,"n/a",SUMPRODUCT(G$6:G$74,$N$6:$N$74)/SUM($N$6:$N$74))</f>
        <v/>
      </c>
      <c r="H76" s="93">
        <f>IF(ISNUMBER($G$76),($G$76-$F$76)*100,"")</f>
        <v/>
      </c>
      <c r="K76" s="94">
        <f>IF(SUM($N$6:$N$74)=0,"n/a",SUMPRODUCT(K$6:K$74,$N$6:$N$74)/SUM($N$6:$N$74))</f>
        <v/>
      </c>
      <c r="L76" s="94">
        <f>IF(SUM($N$6:$N$74)=0,"n/a",SUMPRODUCT(L$6:L$74,$N$6:$N$74)/SUM($N$6:$N$74))</f>
        <v/>
      </c>
      <c r="M76" s="92">
        <f>IF(SUM($N$6:$N$74)=0,"n/a",SUMPRODUCT(M$6:M$74,$N$6:$N$74)/SUM($N$6:$N$74))</f>
        <v/>
      </c>
      <c r="N76" s="95">
        <f>SUM($N$6:$N$74)</f>
        <v/>
      </c>
    </row>
    <row r="77">
      <c r="B77" s="18" t="inlineStr">
        <is>
          <t>Simple average</t>
        </is>
      </c>
      <c r="F77" s="45">
        <f>IF(SUMPRODUCT(($C$6:$C$74&lt;&gt;"")*1)=0,"n/a",SUM(F$6:F$74)/SUMPRODUCT(($C$6:$C$74&lt;&gt;"")*1))</f>
        <v/>
      </c>
      <c r="G77" s="45">
        <f>IF(SUMPRODUCT(($C$6:$C$74&lt;&gt;"")*1)=0,"n/a",SUM(G$6:G$74)/SUMPRODUCT(($C$6:$C$74&lt;&gt;"")*1))</f>
        <v/>
      </c>
      <c r="K77" s="96">
        <f>IF(SUMPRODUCT(($C$6:$C$74&lt;&gt;"")*1)=0,"n/a",SUM(K$6:K$74)/SUMPRODUCT(($C$6:$C$74&lt;&gt;"")*1))</f>
        <v/>
      </c>
      <c r="L77" s="96">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General Liability</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97" t="inlineStr">
        <is>
          <t>All</t>
        </is>
      </c>
      <c r="C4" s="98">
        <f>"Showing: "&amp;IF($B$4="All","all business units combined (adj-EP weighted)",$B$4)</f>
        <v/>
      </c>
      <c r="AA4" s="23">
        <f>IF($B$4="All","*",$B$4)</f>
        <v/>
      </c>
    </row>
    <row r="6">
      <c r="A6" s="99" t="inlineStr"/>
      <c r="B6" s="99" t="inlineStr">
        <is>
          <t>Volume</t>
        </is>
      </c>
      <c r="C6" s="100" t="inlineStr">
        <is>
          <t>Schedule mods</t>
        </is>
      </c>
      <c r="D6" s="99" t="n"/>
      <c r="E6" s="99" t="n"/>
      <c r="F6" s="100" t="inlineStr">
        <is>
          <t>Rate change history — chronological (single-BU view)</t>
        </is>
      </c>
      <c r="G6" s="99" t="n"/>
      <c r="H6" s="99" t="n"/>
      <c r="I6" s="99" t="n"/>
      <c r="J6" s="99" t="n"/>
      <c r="K6" s="99" t="n"/>
      <c r="L6" s="99" t="n"/>
      <c r="M6" s="99" t="n"/>
      <c r="N6" s="99" t="n"/>
      <c r="O6" s="100" t="inlineStr">
        <is>
          <t>Engine results</t>
        </is>
      </c>
      <c r="P6" s="99" t="n"/>
      <c r="Q6" s="99" t="n"/>
      <c r="R6" s="99" t="n"/>
      <c r="S6" s="99" t="n"/>
      <c r="T6" s="100">
        <f>"CY "&amp;nr_PlanYear&amp;" plan"</f>
        <v/>
      </c>
      <c r="U6" s="99" t="n"/>
      <c r="V6" s="100">
        <f>"CY "&amp;(nr_PlanYear+1)&amp;" indicative"</f>
        <v/>
      </c>
      <c r="W6" s="99" t="n"/>
      <c r="X6" s="99" t="n"/>
      <c r="Y6" s="99" t="n"/>
      <c r="Z6" s="100" t="inlineStr">
        <is>
          <t>Net</t>
        </is>
      </c>
    </row>
    <row r="7" ht="42" customHeight="1">
      <c r="A7" s="55" t="inlineStr">
        <is>
          <t>State</t>
        </is>
      </c>
      <c r="B7" s="55" t="inlineStr">
        <is>
          <t>Adj plan EP (000s)</t>
        </is>
      </c>
      <c r="C7" s="101" t="inlineStr">
        <is>
          <t>Mod in indication</t>
        </is>
      </c>
      <c r="D7" s="55" t="inlineStr">
        <is>
          <t>Current mod</t>
        </is>
      </c>
      <c r="E7" s="55" t="inlineStr">
        <is>
          <t>Proj. mod, plan-yr end</t>
        </is>
      </c>
      <c r="F7" s="101"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01" t="inlineStr">
        <is>
          <t>Indication rate level</t>
        </is>
      </c>
      <c r="P7" s="55">
        <f>nr_PlanYear&amp;" earned rate level"</f>
        <v/>
      </c>
      <c r="Q7" s="55" t="inlineStr">
        <is>
          <t>Rate earn-in (A_rate)</t>
        </is>
      </c>
      <c r="R7" s="55">
        <f>nr_PlanYear&amp;" earned mod"</f>
        <v/>
      </c>
      <c r="S7" s="55" t="inlineStr">
        <is>
          <t>Mod drift (A_mod)</t>
        </is>
      </c>
      <c r="T7" s="101" t="inlineStr">
        <is>
          <t>Projected LR (current level)</t>
        </is>
      </c>
      <c r="U7" s="55">
        <f>"CY "&amp;nr_PlanYear&amp;" plan LR"</f>
        <v/>
      </c>
      <c r="V7" s="101">
        <f>"Net trend ("&amp;(nr_PlanYear+1)&amp;")"</f>
        <v/>
      </c>
      <c r="W7" s="55">
        <f>(nr_PlanYear+1)&amp;" rate earn-in"</f>
        <v/>
      </c>
      <c r="X7" s="55">
        <f>(nr_PlanYear+1)&amp;" mod drift"</f>
        <v/>
      </c>
      <c r="Y7" s="55">
        <f>"CY "&amp;(nr_PlanYear+1)&amp;" plan LR"</f>
        <v/>
      </c>
      <c r="Z7" s="101" t="inlineStr">
        <is>
          <t>Net rate sel</t>
        </is>
      </c>
    </row>
    <row r="8">
      <c r="A8" s="102">
        <f>_lists!$B$3</f>
        <v/>
      </c>
      <c r="B8" s="103">
        <f>IF($AA8=0,"",SUMIFS(calc_ep,calc_state,$A8,calc_bu,$AA$4))</f>
        <v/>
      </c>
      <c r="C8" s="104">
        <f>IF($AA8=0,"",IF($B8&gt;0,SUMIFS(calc_w_mind,calc_state,$A8,calc_bu,$AA$4)/$B8,SUMIFS(lr_mind,lr_state,$A8,lr_bu,$AA$4)/$AA8))</f>
        <v/>
      </c>
      <c r="D8" s="105">
        <f>IF($AA8=0,"",IF($B8&gt;0,SUMIFS(calc_w_m0,calc_state,$A8,calc_bu,$AA$4)/$B8,SUMIFS(lr_m0,lr_state,$A8,lr_bu,$AA$4)/$AA8))</f>
        <v/>
      </c>
      <c r="E8" s="105">
        <f>IF($AA8=0,"",IF($B8&gt;0,SUMIFS(calc_w_m1,calc_state,$A8,calc_bu,$AA$4)/$B8,SUMIFS(lr_m1,lr_state,$A8,lr_bu,$AA$4)/$AA8))</f>
        <v/>
      </c>
      <c r="F8" s="106">
        <f>IF($AB8="","",IF(COUNTIFS(rl_key,$AB8,rl_seq,1)=0,"",SUMIFS(rl_eff,rl_key,$AB8,rl_seq,1)))</f>
        <v/>
      </c>
      <c r="G8" s="107">
        <f>IF($AB8="","",IF(COUNTIFS(rl_key,$AB8,rl_seq,1)=0,"",SUMIFS(rl_reff,rl_key,$AB8,rl_seq,1)))</f>
        <v/>
      </c>
      <c r="H8" s="108">
        <f>IF($AB8="","",IF(COUNTIFS(rl_key,$AB8,rl_seq,2)=0,"",SUMIFS(rl_eff,rl_key,$AB8,rl_seq,2)))</f>
        <v/>
      </c>
      <c r="I8" s="107">
        <f>IF($AB8="","",IF(COUNTIFS(rl_key,$AB8,rl_seq,2)=0,"",SUMIFS(rl_reff,rl_key,$AB8,rl_seq,2)))</f>
        <v/>
      </c>
      <c r="J8" s="108">
        <f>IF($AB8="","",IF(COUNTIFS(rl_key,$AB8,rl_seq,3)=0,"",SUMIFS(rl_eff,rl_key,$AB8,rl_seq,3)))</f>
        <v/>
      </c>
      <c r="K8" s="107">
        <f>IF($AB8="","",IF(COUNTIFS(rl_key,$AB8,rl_seq,3)=0,"",SUMIFS(rl_reff,rl_key,$AB8,rl_seq,3)))</f>
        <v/>
      </c>
      <c r="L8" s="108">
        <f>IF($AB8="","",IF(COUNTIFS(rl_key,$AB8,rl_seq,4)=0,"",SUMIFS(rl_eff,rl_key,$AB8,rl_seq,4)))</f>
        <v/>
      </c>
      <c r="M8" s="107">
        <f>IF($AB8="","",IF(COUNTIFS(rl_key,$AB8,rl_seq,4)=0,"",SUMIFS(rl_reff,rl_key,$AB8,rl_seq,4)))</f>
        <v/>
      </c>
      <c r="N8" s="109">
        <f>IF($AA8=0,"",IF($AB8="",COUNTIFS(rl_state,$A8,rl_eff,"&lt;&gt;"),COUNTIFS(rl_key,$AB8,rl_eff,"&lt;&gt;")))</f>
        <v/>
      </c>
      <c r="O8" s="110">
        <f>IF($AA8=0,"",IF($B8&gt;0,SUMIFS(calc_w_crl,calc_state,$A8,calc_bu,$AA$4)/$B8,SUMIFS(calc_crl,calc_state,$A8,calc_bu,$AA$4)/$AA8))</f>
        <v/>
      </c>
      <c r="P8" s="111">
        <f>IF($AA8=0,"",IF($B8&gt;0,SUMIFS(calc_w_ecy,calc_state,$A8,calc_bu,$AA$4)/$B8,SUMIFS(calc_ecy_p,calc_state,$A8,calc_bu,$AA$4)/$AA8))</f>
        <v/>
      </c>
      <c r="Q8" s="111">
        <f>IF($AA8=0,"",IF($B8&gt;0,SUMIFS(calc_w_arate,calc_state,$A8,calc_bu,$AA$4)/$B8,SUMIFS(calc_arate_p,calc_state,$A8,calc_bu,$AA$4)/$AA8))</f>
        <v/>
      </c>
      <c r="R8" s="105">
        <f>IF($AA8=0,"",IF($B8&gt;0,SUMIFS(calc_w_mbar,calc_state,$A8,calc_bu,$AA$4)/$B8,SUMIFS(calc_mbar_p,calc_state,$A8,calc_bu,$AA$4)/$AA8))</f>
        <v/>
      </c>
      <c r="S8" s="111">
        <f>IF($AA8=0,"",IF($B8&gt;0,SUMIFS(calc_w_amod,calc_state,$A8,calc_bu,$AA$4)/$B8,SUMIFS(calc_amod_p,calc_state,$A8,calc_bu,$AA$4)/$AA8))</f>
        <v/>
      </c>
      <c r="T8" s="112">
        <f>IF($AA8=0,"",IF($B8&gt;0,SUMIFS(calc_w_lrcur,calc_state,$A8,calc_bu,$AA$4)/$B8,SUMIFS(calc_lrcur,calc_state,$A8,calc_bu,$AA$4)/$AA8))</f>
        <v/>
      </c>
      <c r="U8" s="113">
        <f>IF($AA8=0,"",IF($B8&gt;0,SUMIFS(calc_w_cylr,calc_state,$A8,calc_bu,$AA$4)/$B8,SUMIFS(calc_cylr_p,calc_state,$A8,calc_bu,$AA$4)/$AA8))</f>
        <v/>
      </c>
      <c r="V8" s="114">
        <f>IF($AA8=0,"",IF($B8&gt;0,SUMIFS(calc_w_trend,calc_state,$A8,calc_bu,$AA$4)/$B8,SUMIFS(calc_trend,calc_state,$A8,calc_bu,$AA$4)/$AA8))</f>
        <v/>
      </c>
      <c r="W8" s="111">
        <f>IF($AA8=0,"",IF($B8&gt;0,SUMIFS(calc_w_arate1,calc_state,$A8,calc_bu,$AA$4)/$B8,SUMIFS(calc_arate_p1,calc_state,$A8,calc_bu,$AA$4)/$AA8))</f>
        <v/>
      </c>
      <c r="X8" s="111">
        <f>IF($AA8=0,"",IF($B8&gt;0,SUMIFS(calc_w_amod1,calc_state,$A8,calc_bu,$AA$4)/$B8,SUMIFS(calc_amod_p1,calc_state,$A8,calc_bu,$AA$4)/$AA8))</f>
        <v/>
      </c>
      <c r="Y8" s="113">
        <f>IF($AA8=0,"",IF($B8&gt;0,SUMIFS(calc_w_cylr1,calc_state,$A8,calc_bu,$AA$4)/$B8,SUMIFS(calc_cylr_p1,calc_state,$A8,calc_bu,$AA$4)/$AA8))</f>
        <v/>
      </c>
      <c r="Z8" s="114">
        <f>IF($AA8=0,"",IF($AC8=0,"—",SUMIFS(calc_netx,calc_state,$A8,calc_bu,$AA$4)/$AC8))</f>
        <v/>
      </c>
      <c r="AA8" s="42">
        <f>COUNTIFS(calc_state,$A8,calc_bu,$AA$4)</f>
        <v/>
      </c>
      <c r="AB8" s="23">
        <f>IF($B$4="All","",$B$4&amp;"|"&amp;$A8)</f>
        <v/>
      </c>
      <c r="AC8" s="42">
        <f>SUMIFS(calc_netmode,calc_state,$A8,calc_bu,$AA$4)</f>
        <v/>
      </c>
    </row>
    <row r="9">
      <c r="A9" s="115">
        <f>_lists!$B$4</f>
        <v/>
      </c>
      <c r="B9" s="116">
        <f>IF($AA9=0,"",SUMIFS(calc_ep,calc_state,$A9,calc_bu,$AA$4))</f>
        <v/>
      </c>
      <c r="C9" s="117">
        <f>IF($AA9=0,"",IF($B9&gt;0,SUMIFS(calc_w_mind,calc_state,$A9,calc_bu,$AA$4)/$B9,SUMIFS(lr_mind,lr_state,$A9,lr_bu,$AA$4)/$AA9))</f>
        <v/>
      </c>
      <c r="D9" s="118">
        <f>IF($AA9=0,"",IF($B9&gt;0,SUMIFS(calc_w_m0,calc_state,$A9,calc_bu,$AA$4)/$B9,SUMIFS(lr_m0,lr_state,$A9,lr_bu,$AA$4)/$AA9))</f>
        <v/>
      </c>
      <c r="E9" s="118">
        <f>IF($AA9=0,"",IF($B9&gt;0,SUMIFS(calc_w_m1,calc_state,$A9,calc_bu,$AA$4)/$B9,SUMIFS(lr_m1,lr_state,$A9,lr_bu,$AA$4)/$AA9))</f>
        <v/>
      </c>
      <c r="F9" s="119">
        <f>IF($AB9="","",IF(COUNTIFS(rl_key,$AB9,rl_seq,1)=0,"",SUMIFS(rl_eff,rl_key,$AB9,rl_seq,1)))</f>
        <v/>
      </c>
      <c r="G9" s="120">
        <f>IF($AB9="","",IF(COUNTIFS(rl_key,$AB9,rl_seq,1)=0,"",SUMIFS(rl_reff,rl_key,$AB9,rl_seq,1)))</f>
        <v/>
      </c>
      <c r="H9" s="121">
        <f>IF($AB9="","",IF(COUNTIFS(rl_key,$AB9,rl_seq,2)=0,"",SUMIFS(rl_eff,rl_key,$AB9,rl_seq,2)))</f>
        <v/>
      </c>
      <c r="I9" s="120">
        <f>IF($AB9="","",IF(COUNTIFS(rl_key,$AB9,rl_seq,2)=0,"",SUMIFS(rl_reff,rl_key,$AB9,rl_seq,2)))</f>
        <v/>
      </c>
      <c r="J9" s="121">
        <f>IF($AB9="","",IF(COUNTIFS(rl_key,$AB9,rl_seq,3)=0,"",SUMIFS(rl_eff,rl_key,$AB9,rl_seq,3)))</f>
        <v/>
      </c>
      <c r="K9" s="120">
        <f>IF($AB9="","",IF(COUNTIFS(rl_key,$AB9,rl_seq,3)=0,"",SUMIFS(rl_reff,rl_key,$AB9,rl_seq,3)))</f>
        <v/>
      </c>
      <c r="L9" s="121">
        <f>IF($AB9="","",IF(COUNTIFS(rl_key,$AB9,rl_seq,4)=0,"",SUMIFS(rl_eff,rl_key,$AB9,rl_seq,4)))</f>
        <v/>
      </c>
      <c r="M9" s="120">
        <f>IF($AB9="","",IF(COUNTIFS(rl_key,$AB9,rl_seq,4)=0,"",SUMIFS(rl_reff,rl_key,$AB9,rl_seq,4)))</f>
        <v/>
      </c>
      <c r="N9" s="122">
        <f>IF($AA9=0,"",IF($AB9="",COUNTIFS(rl_state,$A9,rl_eff,"&lt;&gt;"),COUNTIFS(rl_key,$AB9,rl_eff,"&lt;&gt;")))</f>
        <v/>
      </c>
      <c r="O9" s="123">
        <f>IF($AA9=0,"",IF($B9&gt;0,SUMIFS(calc_w_crl,calc_state,$A9,calc_bu,$AA$4)/$B9,SUMIFS(calc_crl,calc_state,$A9,calc_bu,$AA$4)/$AA9))</f>
        <v/>
      </c>
      <c r="P9" s="124">
        <f>IF($AA9=0,"",IF($B9&gt;0,SUMIFS(calc_w_ecy,calc_state,$A9,calc_bu,$AA$4)/$B9,SUMIFS(calc_ecy_p,calc_state,$A9,calc_bu,$AA$4)/$AA9))</f>
        <v/>
      </c>
      <c r="Q9" s="124">
        <f>IF($AA9=0,"",IF($B9&gt;0,SUMIFS(calc_w_arate,calc_state,$A9,calc_bu,$AA$4)/$B9,SUMIFS(calc_arate_p,calc_state,$A9,calc_bu,$AA$4)/$AA9))</f>
        <v/>
      </c>
      <c r="R9" s="118">
        <f>IF($AA9=0,"",IF($B9&gt;0,SUMIFS(calc_w_mbar,calc_state,$A9,calc_bu,$AA$4)/$B9,SUMIFS(calc_mbar_p,calc_state,$A9,calc_bu,$AA$4)/$AA9))</f>
        <v/>
      </c>
      <c r="S9" s="124">
        <f>IF($AA9=0,"",IF($B9&gt;0,SUMIFS(calc_w_amod,calc_state,$A9,calc_bu,$AA$4)/$B9,SUMIFS(calc_amod_p,calc_state,$A9,calc_bu,$AA$4)/$AA9))</f>
        <v/>
      </c>
      <c r="T9" s="125">
        <f>IF($AA9=0,"",IF($B9&gt;0,SUMIFS(calc_w_lrcur,calc_state,$A9,calc_bu,$AA$4)/$B9,SUMIFS(calc_lrcur,calc_state,$A9,calc_bu,$AA$4)/$AA9))</f>
        <v/>
      </c>
      <c r="U9" s="126">
        <f>IF($AA9=0,"",IF($B9&gt;0,SUMIFS(calc_w_cylr,calc_state,$A9,calc_bu,$AA$4)/$B9,SUMIFS(calc_cylr_p,calc_state,$A9,calc_bu,$AA$4)/$AA9))</f>
        <v/>
      </c>
      <c r="V9" s="127">
        <f>IF($AA9=0,"",IF($B9&gt;0,SUMIFS(calc_w_trend,calc_state,$A9,calc_bu,$AA$4)/$B9,SUMIFS(calc_trend,calc_state,$A9,calc_bu,$AA$4)/$AA9))</f>
        <v/>
      </c>
      <c r="W9" s="124">
        <f>IF($AA9=0,"",IF($B9&gt;0,SUMIFS(calc_w_arate1,calc_state,$A9,calc_bu,$AA$4)/$B9,SUMIFS(calc_arate_p1,calc_state,$A9,calc_bu,$AA$4)/$AA9))</f>
        <v/>
      </c>
      <c r="X9" s="124">
        <f>IF($AA9=0,"",IF($B9&gt;0,SUMIFS(calc_w_amod1,calc_state,$A9,calc_bu,$AA$4)/$B9,SUMIFS(calc_amod_p1,calc_state,$A9,calc_bu,$AA$4)/$AA9))</f>
        <v/>
      </c>
      <c r="Y9" s="126">
        <f>IF($AA9=0,"",IF($B9&gt;0,SUMIFS(calc_w_cylr1,calc_state,$A9,calc_bu,$AA$4)/$B9,SUMIFS(calc_cylr_p1,calc_state,$A9,calc_bu,$AA$4)/$AA9))</f>
        <v/>
      </c>
      <c r="Z9" s="127">
        <f>IF($AA9=0,"",IF($AC9=0,"—",SUMIFS(calc_netx,calc_state,$A9,calc_bu,$AA$4)/$AC9))</f>
        <v/>
      </c>
      <c r="AA9" s="42">
        <f>COUNTIFS(calc_state,$A9,calc_bu,$AA$4)</f>
        <v/>
      </c>
      <c r="AB9" s="23">
        <f>IF($B$4="All","",$B$4&amp;"|"&amp;$A9)</f>
        <v/>
      </c>
      <c r="AC9" s="42">
        <f>SUMIFS(calc_netmode,calc_state,$A9,calc_bu,$AA$4)</f>
        <v/>
      </c>
    </row>
    <row r="10">
      <c r="A10" s="102">
        <f>_lists!$B$5</f>
        <v/>
      </c>
      <c r="B10" s="103">
        <f>IF($AA10=0,"",SUMIFS(calc_ep,calc_state,$A10,calc_bu,$AA$4))</f>
        <v/>
      </c>
      <c r="C10" s="104">
        <f>IF($AA10=0,"",IF($B10&gt;0,SUMIFS(calc_w_mind,calc_state,$A10,calc_bu,$AA$4)/$B10,SUMIFS(lr_mind,lr_state,$A10,lr_bu,$AA$4)/$AA10))</f>
        <v/>
      </c>
      <c r="D10" s="105">
        <f>IF($AA10=0,"",IF($B10&gt;0,SUMIFS(calc_w_m0,calc_state,$A10,calc_bu,$AA$4)/$B10,SUMIFS(lr_m0,lr_state,$A10,lr_bu,$AA$4)/$AA10))</f>
        <v/>
      </c>
      <c r="E10" s="105">
        <f>IF($AA10=0,"",IF($B10&gt;0,SUMIFS(calc_w_m1,calc_state,$A10,calc_bu,$AA$4)/$B10,SUMIFS(lr_m1,lr_state,$A10,lr_bu,$AA$4)/$AA10))</f>
        <v/>
      </c>
      <c r="F10" s="106">
        <f>IF($AB10="","",IF(COUNTIFS(rl_key,$AB10,rl_seq,1)=0,"",SUMIFS(rl_eff,rl_key,$AB10,rl_seq,1)))</f>
        <v/>
      </c>
      <c r="G10" s="107">
        <f>IF($AB10="","",IF(COUNTIFS(rl_key,$AB10,rl_seq,1)=0,"",SUMIFS(rl_reff,rl_key,$AB10,rl_seq,1)))</f>
        <v/>
      </c>
      <c r="H10" s="108">
        <f>IF($AB10="","",IF(COUNTIFS(rl_key,$AB10,rl_seq,2)=0,"",SUMIFS(rl_eff,rl_key,$AB10,rl_seq,2)))</f>
        <v/>
      </c>
      <c r="I10" s="107">
        <f>IF($AB10="","",IF(COUNTIFS(rl_key,$AB10,rl_seq,2)=0,"",SUMIFS(rl_reff,rl_key,$AB10,rl_seq,2)))</f>
        <v/>
      </c>
      <c r="J10" s="108">
        <f>IF($AB10="","",IF(COUNTIFS(rl_key,$AB10,rl_seq,3)=0,"",SUMIFS(rl_eff,rl_key,$AB10,rl_seq,3)))</f>
        <v/>
      </c>
      <c r="K10" s="107">
        <f>IF($AB10="","",IF(COUNTIFS(rl_key,$AB10,rl_seq,3)=0,"",SUMIFS(rl_reff,rl_key,$AB10,rl_seq,3)))</f>
        <v/>
      </c>
      <c r="L10" s="108">
        <f>IF($AB10="","",IF(COUNTIFS(rl_key,$AB10,rl_seq,4)=0,"",SUMIFS(rl_eff,rl_key,$AB10,rl_seq,4)))</f>
        <v/>
      </c>
      <c r="M10" s="107">
        <f>IF($AB10="","",IF(COUNTIFS(rl_key,$AB10,rl_seq,4)=0,"",SUMIFS(rl_reff,rl_key,$AB10,rl_seq,4)))</f>
        <v/>
      </c>
      <c r="N10" s="109">
        <f>IF($AA10=0,"",IF($AB10="",COUNTIFS(rl_state,$A10,rl_eff,"&lt;&gt;"),COUNTIFS(rl_key,$AB10,rl_eff,"&lt;&gt;")))</f>
        <v/>
      </c>
      <c r="O10" s="110">
        <f>IF($AA10=0,"",IF($B10&gt;0,SUMIFS(calc_w_crl,calc_state,$A10,calc_bu,$AA$4)/$B10,SUMIFS(calc_crl,calc_state,$A10,calc_bu,$AA$4)/$AA10))</f>
        <v/>
      </c>
      <c r="P10" s="111">
        <f>IF($AA10=0,"",IF($B10&gt;0,SUMIFS(calc_w_ecy,calc_state,$A10,calc_bu,$AA$4)/$B10,SUMIFS(calc_ecy_p,calc_state,$A10,calc_bu,$AA$4)/$AA10))</f>
        <v/>
      </c>
      <c r="Q10" s="111">
        <f>IF($AA10=0,"",IF($B10&gt;0,SUMIFS(calc_w_arate,calc_state,$A10,calc_bu,$AA$4)/$B10,SUMIFS(calc_arate_p,calc_state,$A10,calc_bu,$AA$4)/$AA10))</f>
        <v/>
      </c>
      <c r="R10" s="105">
        <f>IF($AA10=0,"",IF($B10&gt;0,SUMIFS(calc_w_mbar,calc_state,$A10,calc_bu,$AA$4)/$B10,SUMIFS(calc_mbar_p,calc_state,$A10,calc_bu,$AA$4)/$AA10))</f>
        <v/>
      </c>
      <c r="S10" s="111">
        <f>IF($AA10=0,"",IF($B10&gt;0,SUMIFS(calc_w_amod,calc_state,$A10,calc_bu,$AA$4)/$B10,SUMIFS(calc_amod_p,calc_state,$A10,calc_bu,$AA$4)/$AA10))</f>
        <v/>
      </c>
      <c r="T10" s="112">
        <f>IF($AA10=0,"",IF($B10&gt;0,SUMIFS(calc_w_lrcur,calc_state,$A10,calc_bu,$AA$4)/$B10,SUMIFS(calc_lrcur,calc_state,$A10,calc_bu,$AA$4)/$AA10))</f>
        <v/>
      </c>
      <c r="U10" s="113">
        <f>IF($AA10=0,"",IF($B10&gt;0,SUMIFS(calc_w_cylr,calc_state,$A10,calc_bu,$AA$4)/$B10,SUMIFS(calc_cylr_p,calc_state,$A10,calc_bu,$AA$4)/$AA10))</f>
        <v/>
      </c>
      <c r="V10" s="114">
        <f>IF($AA10=0,"",IF($B10&gt;0,SUMIFS(calc_w_trend,calc_state,$A10,calc_bu,$AA$4)/$B10,SUMIFS(calc_trend,calc_state,$A10,calc_bu,$AA$4)/$AA10))</f>
        <v/>
      </c>
      <c r="W10" s="111">
        <f>IF($AA10=0,"",IF($B10&gt;0,SUMIFS(calc_w_arate1,calc_state,$A10,calc_bu,$AA$4)/$B10,SUMIFS(calc_arate_p1,calc_state,$A10,calc_bu,$AA$4)/$AA10))</f>
        <v/>
      </c>
      <c r="X10" s="111">
        <f>IF($AA10=0,"",IF($B10&gt;0,SUMIFS(calc_w_amod1,calc_state,$A10,calc_bu,$AA$4)/$B10,SUMIFS(calc_amod_p1,calc_state,$A10,calc_bu,$AA$4)/$AA10))</f>
        <v/>
      </c>
      <c r="Y10" s="113">
        <f>IF($AA10=0,"",IF($B10&gt;0,SUMIFS(calc_w_cylr1,calc_state,$A10,calc_bu,$AA$4)/$B10,SUMIFS(calc_cylr_p1,calc_state,$A10,calc_bu,$AA$4)/$AA10))</f>
        <v/>
      </c>
      <c r="Z10" s="114">
        <f>IF($AA10=0,"",IF($AC10=0,"—",SUMIFS(calc_netx,calc_state,$A10,calc_bu,$AA$4)/$AC10))</f>
        <v/>
      </c>
      <c r="AA10" s="42">
        <f>COUNTIFS(calc_state,$A10,calc_bu,$AA$4)</f>
        <v/>
      </c>
      <c r="AB10" s="23">
        <f>IF($B$4="All","",$B$4&amp;"|"&amp;$A10)</f>
        <v/>
      </c>
      <c r="AC10" s="42">
        <f>SUMIFS(calc_netmode,calc_state,$A10,calc_bu,$AA$4)</f>
        <v/>
      </c>
    </row>
    <row r="11">
      <c r="A11" s="115">
        <f>_lists!$B$6</f>
        <v/>
      </c>
      <c r="B11" s="116">
        <f>IF($AA11=0,"",SUMIFS(calc_ep,calc_state,$A11,calc_bu,$AA$4))</f>
        <v/>
      </c>
      <c r="C11" s="117">
        <f>IF($AA11=0,"",IF($B11&gt;0,SUMIFS(calc_w_mind,calc_state,$A11,calc_bu,$AA$4)/$B11,SUMIFS(lr_mind,lr_state,$A11,lr_bu,$AA$4)/$AA11))</f>
        <v/>
      </c>
      <c r="D11" s="118">
        <f>IF($AA11=0,"",IF($B11&gt;0,SUMIFS(calc_w_m0,calc_state,$A11,calc_bu,$AA$4)/$B11,SUMIFS(lr_m0,lr_state,$A11,lr_bu,$AA$4)/$AA11))</f>
        <v/>
      </c>
      <c r="E11" s="118">
        <f>IF($AA11=0,"",IF($B11&gt;0,SUMIFS(calc_w_m1,calc_state,$A11,calc_bu,$AA$4)/$B11,SUMIFS(lr_m1,lr_state,$A11,lr_bu,$AA$4)/$AA11))</f>
        <v/>
      </c>
      <c r="F11" s="119">
        <f>IF($AB11="","",IF(COUNTIFS(rl_key,$AB11,rl_seq,1)=0,"",SUMIFS(rl_eff,rl_key,$AB11,rl_seq,1)))</f>
        <v/>
      </c>
      <c r="G11" s="120">
        <f>IF($AB11="","",IF(COUNTIFS(rl_key,$AB11,rl_seq,1)=0,"",SUMIFS(rl_reff,rl_key,$AB11,rl_seq,1)))</f>
        <v/>
      </c>
      <c r="H11" s="121">
        <f>IF($AB11="","",IF(COUNTIFS(rl_key,$AB11,rl_seq,2)=0,"",SUMIFS(rl_eff,rl_key,$AB11,rl_seq,2)))</f>
        <v/>
      </c>
      <c r="I11" s="120">
        <f>IF($AB11="","",IF(COUNTIFS(rl_key,$AB11,rl_seq,2)=0,"",SUMIFS(rl_reff,rl_key,$AB11,rl_seq,2)))</f>
        <v/>
      </c>
      <c r="J11" s="121">
        <f>IF($AB11="","",IF(COUNTIFS(rl_key,$AB11,rl_seq,3)=0,"",SUMIFS(rl_eff,rl_key,$AB11,rl_seq,3)))</f>
        <v/>
      </c>
      <c r="K11" s="120">
        <f>IF($AB11="","",IF(COUNTIFS(rl_key,$AB11,rl_seq,3)=0,"",SUMIFS(rl_reff,rl_key,$AB11,rl_seq,3)))</f>
        <v/>
      </c>
      <c r="L11" s="121">
        <f>IF($AB11="","",IF(COUNTIFS(rl_key,$AB11,rl_seq,4)=0,"",SUMIFS(rl_eff,rl_key,$AB11,rl_seq,4)))</f>
        <v/>
      </c>
      <c r="M11" s="120">
        <f>IF($AB11="","",IF(COUNTIFS(rl_key,$AB11,rl_seq,4)=0,"",SUMIFS(rl_reff,rl_key,$AB11,rl_seq,4)))</f>
        <v/>
      </c>
      <c r="N11" s="122">
        <f>IF($AA11=0,"",IF($AB11="",COUNTIFS(rl_state,$A11,rl_eff,"&lt;&gt;"),COUNTIFS(rl_key,$AB11,rl_eff,"&lt;&gt;")))</f>
        <v/>
      </c>
      <c r="O11" s="123">
        <f>IF($AA11=0,"",IF($B11&gt;0,SUMIFS(calc_w_crl,calc_state,$A11,calc_bu,$AA$4)/$B11,SUMIFS(calc_crl,calc_state,$A11,calc_bu,$AA$4)/$AA11))</f>
        <v/>
      </c>
      <c r="P11" s="124">
        <f>IF($AA11=0,"",IF($B11&gt;0,SUMIFS(calc_w_ecy,calc_state,$A11,calc_bu,$AA$4)/$B11,SUMIFS(calc_ecy_p,calc_state,$A11,calc_bu,$AA$4)/$AA11))</f>
        <v/>
      </c>
      <c r="Q11" s="124">
        <f>IF($AA11=0,"",IF($B11&gt;0,SUMIFS(calc_w_arate,calc_state,$A11,calc_bu,$AA$4)/$B11,SUMIFS(calc_arate_p,calc_state,$A11,calc_bu,$AA$4)/$AA11))</f>
        <v/>
      </c>
      <c r="R11" s="118">
        <f>IF($AA11=0,"",IF($B11&gt;0,SUMIFS(calc_w_mbar,calc_state,$A11,calc_bu,$AA$4)/$B11,SUMIFS(calc_mbar_p,calc_state,$A11,calc_bu,$AA$4)/$AA11))</f>
        <v/>
      </c>
      <c r="S11" s="124">
        <f>IF($AA11=0,"",IF($B11&gt;0,SUMIFS(calc_w_amod,calc_state,$A11,calc_bu,$AA$4)/$B11,SUMIFS(calc_amod_p,calc_state,$A11,calc_bu,$AA$4)/$AA11))</f>
        <v/>
      </c>
      <c r="T11" s="125">
        <f>IF($AA11=0,"",IF($B11&gt;0,SUMIFS(calc_w_lrcur,calc_state,$A11,calc_bu,$AA$4)/$B11,SUMIFS(calc_lrcur,calc_state,$A11,calc_bu,$AA$4)/$AA11))</f>
        <v/>
      </c>
      <c r="U11" s="126">
        <f>IF($AA11=0,"",IF($B11&gt;0,SUMIFS(calc_w_cylr,calc_state,$A11,calc_bu,$AA$4)/$B11,SUMIFS(calc_cylr_p,calc_state,$A11,calc_bu,$AA$4)/$AA11))</f>
        <v/>
      </c>
      <c r="V11" s="127">
        <f>IF($AA11=0,"",IF($B11&gt;0,SUMIFS(calc_w_trend,calc_state,$A11,calc_bu,$AA$4)/$B11,SUMIFS(calc_trend,calc_state,$A11,calc_bu,$AA$4)/$AA11))</f>
        <v/>
      </c>
      <c r="W11" s="124">
        <f>IF($AA11=0,"",IF($B11&gt;0,SUMIFS(calc_w_arate1,calc_state,$A11,calc_bu,$AA$4)/$B11,SUMIFS(calc_arate_p1,calc_state,$A11,calc_bu,$AA$4)/$AA11))</f>
        <v/>
      </c>
      <c r="X11" s="124">
        <f>IF($AA11=0,"",IF($B11&gt;0,SUMIFS(calc_w_amod1,calc_state,$A11,calc_bu,$AA$4)/$B11,SUMIFS(calc_amod_p1,calc_state,$A11,calc_bu,$AA$4)/$AA11))</f>
        <v/>
      </c>
      <c r="Y11" s="126">
        <f>IF($AA11=0,"",IF($B11&gt;0,SUMIFS(calc_w_cylr1,calc_state,$A11,calc_bu,$AA$4)/$B11,SUMIFS(calc_cylr_p1,calc_state,$A11,calc_bu,$AA$4)/$AA11))</f>
        <v/>
      </c>
      <c r="Z11" s="127">
        <f>IF($AA11=0,"",IF($AC11=0,"—",SUMIFS(calc_netx,calc_state,$A11,calc_bu,$AA$4)/$AC11))</f>
        <v/>
      </c>
      <c r="AA11" s="42">
        <f>COUNTIFS(calc_state,$A11,calc_bu,$AA$4)</f>
        <v/>
      </c>
      <c r="AB11" s="23">
        <f>IF($B$4="All","",$B$4&amp;"|"&amp;$A11)</f>
        <v/>
      </c>
      <c r="AC11" s="42">
        <f>SUMIFS(calc_netmode,calc_state,$A11,calc_bu,$AA$4)</f>
        <v/>
      </c>
    </row>
    <row r="12">
      <c r="A12" s="102">
        <f>_lists!$B$7</f>
        <v/>
      </c>
      <c r="B12" s="103">
        <f>IF($AA12=0,"",SUMIFS(calc_ep,calc_state,$A12,calc_bu,$AA$4))</f>
        <v/>
      </c>
      <c r="C12" s="104">
        <f>IF($AA12=0,"",IF($B12&gt;0,SUMIFS(calc_w_mind,calc_state,$A12,calc_bu,$AA$4)/$B12,SUMIFS(lr_mind,lr_state,$A12,lr_bu,$AA$4)/$AA12))</f>
        <v/>
      </c>
      <c r="D12" s="105">
        <f>IF($AA12=0,"",IF($B12&gt;0,SUMIFS(calc_w_m0,calc_state,$A12,calc_bu,$AA$4)/$B12,SUMIFS(lr_m0,lr_state,$A12,lr_bu,$AA$4)/$AA12))</f>
        <v/>
      </c>
      <c r="E12" s="105">
        <f>IF($AA12=0,"",IF($B12&gt;0,SUMIFS(calc_w_m1,calc_state,$A12,calc_bu,$AA$4)/$B12,SUMIFS(lr_m1,lr_state,$A12,lr_bu,$AA$4)/$AA12))</f>
        <v/>
      </c>
      <c r="F12" s="106">
        <f>IF($AB12="","",IF(COUNTIFS(rl_key,$AB12,rl_seq,1)=0,"",SUMIFS(rl_eff,rl_key,$AB12,rl_seq,1)))</f>
        <v/>
      </c>
      <c r="G12" s="107">
        <f>IF($AB12="","",IF(COUNTIFS(rl_key,$AB12,rl_seq,1)=0,"",SUMIFS(rl_reff,rl_key,$AB12,rl_seq,1)))</f>
        <v/>
      </c>
      <c r="H12" s="108">
        <f>IF($AB12="","",IF(COUNTIFS(rl_key,$AB12,rl_seq,2)=0,"",SUMIFS(rl_eff,rl_key,$AB12,rl_seq,2)))</f>
        <v/>
      </c>
      <c r="I12" s="107">
        <f>IF($AB12="","",IF(COUNTIFS(rl_key,$AB12,rl_seq,2)=0,"",SUMIFS(rl_reff,rl_key,$AB12,rl_seq,2)))</f>
        <v/>
      </c>
      <c r="J12" s="108">
        <f>IF($AB12="","",IF(COUNTIFS(rl_key,$AB12,rl_seq,3)=0,"",SUMIFS(rl_eff,rl_key,$AB12,rl_seq,3)))</f>
        <v/>
      </c>
      <c r="K12" s="107">
        <f>IF($AB12="","",IF(COUNTIFS(rl_key,$AB12,rl_seq,3)=0,"",SUMIFS(rl_reff,rl_key,$AB12,rl_seq,3)))</f>
        <v/>
      </c>
      <c r="L12" s="108">
        <f>IF($AB12="","",IF(COUNTIFS(rl_key,$AB12,rl_seq,4)=0,"",SUMIFS(rl_eff,rl_key,$AB12,rl_seq,4)))</f>
        <v/>
      </c>
      <c r="M12" s="107">
        <f>IF($AB12="","",IF(COUNTIFS(rl_key,$AB12,rl_seq,4)=0,"",SUMIFS(rl_reff,rl_key,$AB12,rl_seq,4)))</f>
        <v/>
      </c>
      <c r="N12" s="109">
        <f>IF($AA12=0,"",IF($AB12="",COUNTIFS(rl_state,$A12,rl_eff,"&lt;&gt;"),COUNTIFS(rl_key,$AB12,rl_eff,"&lt;&gt;")))</f>
        <v/>
      </c>
      <c r="O12" s="110">
        <f>IF($AA12=0,"",IF($B12&gt;0,SUMIFS(calc_w_crl,calc_state,$A12,calc_bu,$AA$4)/$B12,SUMIFS(calc_crl,calc_state,$A12,calc_bu,$AA$4)/$AA12))</f>
        <v/>
      </c>
      <c r="P12" s="111">
        <f>IF($AA12=0,"",IF($B12&gt;0,SUMIFS(calc_w_ecy,calc_state,$A12,calc_bu,$AA$4)/$B12,SUMIFS(calc_ecy_p,calc_state,$A12,calc_bu,$AA$4)/$AA12))</f>
        <v/>
      </c>
      <c r="Q12" s="111">
        <f>IF($AA12=0,"",IF($B12&gt;0,SUMIFS(calc_w_arate,calc_state,$A12,calc_bu,$AA$4)/$B12,SUMIFS(calc_arate_p,calc_state,$A12,calc_bu,$AA$4)/$AA12))</f>
        <v/>
      </c>
      <c r="R12" s="105">
        <f>IF($AA12=0,"",IF($B12&gt;0,SUMIFS(calc_w_mbar,calc_state,$A12,calc_bu,$AA$4)/$B12,SUMIFS(calc_mbar_p,calc_state,$A12,calc_bu,$AA$4)/$AA12))</f>
        <v/>
      </c>
      <c r="S12" s="111">
        <f>IF($AA12=0,"",IF($B12&gt;0,SUMIFS(calc_w_amod,calc_state,$A12,calc_bu,$AA$4)/$B12,SUMIFS(calc_amod_p,calc_state,$A12,calc_bu,$AA$4)/$AA12))</f>
        <v/>
      </c>
      <c r="T12" s="112">
        <f>IF($AA12=0,"",IF($B12&gt;0,SUMIFS(calc_w_lrcur,calc_state,$A12,calc_bu,$AA$4)/$B12,SUMIFS(calc_lrcur,calc_state,$A12,calc_bu,$AA$4)/$AA12))</f>
        <v/>
      </c>
      <c r="U12" s="113">
        <f>IF($AA12=0,"",IF($B12&gt;0,SUMIFS(calc_w_cylr,calc_state,$A12,calc_bu,$AA$4)/$B12,SUMIFS(calc_cylr_p,calc_state,$A12,calc_bu,$AA$4)/$AA12))</f>
        <v/>
      </c>
      <c r="V12" s="114">
        <f>IF($AA12=0,"",IF($B12&gt;0,SUMIFS(calc_w_trend,calc_state,$A12,calc_bu,$AA$4)/$B12,SUMIFS(calc_trend,calc_state,$A12,calc_bu,$AA$4)/$AA12))</f>
        <v/>
      </c>
      <c r="W12" s="111">
        <f>IF($AA12=0,"",IF($B12&gt;0,SUMIFS(calc_w_arate1,calc_state,$A12,calc_bu,$AA$4)/$B12,SUMIFS(calc_arate_p1,calc_state,$A12,calc_bu,$AA$4)/$AA12))</f>
        <v/>
      </c>
      <c r="X12" s="111">
        <f>IF($AA12=0,"",IF($B12&gt;0,SUMIFS(calc_w_amod1,calc_state,$A12,calc_bu,$AA$4)/$B12,SUMIFS(calc_amod_p1,calc_state,$A12,calc_bu,$AA$4)/$AA12))</f>
        <v/>
      </c>
      <c r="Y12" s="113">
        <f>IF($AA12=0,"",IF($B12&gt;0,SUMIFS(calc_w_cylr1,calc_state,$A12,calc_bu,$AA$4)/$B12,SUMIFS(calc_cylr_p1,calc_state,$A12,calc_bu,$AA$4)/$AA12))</f>
        <v/>
      </c>
      <c r="Z12" s="114">
        <f>IF($AA12=0,"",IF($AC12=0,"—",SUMIFS(calc_netx,calc_state,$A12,calc_bu,$AA$4)/$AC12))</f>
        <v/>
      </c>
      <c r="AA12" s="42">
        <f>COUNTIFS(calc_state,$A12,calc_bu,$AA$4)</f>
        <v/>
      </c>
      <c r="AB12" s="23">
        <f>IF($B$4="All","",$B$4&amp;"|"&amp;$A12)</f>
        <v/>
      </c>
      <c r="AC12" s="42">
        <f>SUMIFS(calc_netmode,calc_state,$A12,calc_bu,$AA$4)</f>
        <v/>
      </c>
    </row>
    <row r="13">
      <c r="A13" s="115">
        <f>_lists!$B$8</f>
        <v/>
      </c>
      <c r="B13" s="116">
        <f>IF($AA13=0,"",SUMIFS(calc_ep,calc_state,$A13,calc_bu,$AA$4))</f>
        <v/>
      </c>
      <c r="C13" s="117">
        <f>IF($AA13=0,"",IF($B13&gt;0,SUMIFS(calc_w_mind,calc_state,$A13,calc_bu,$AA$4)/$B13,SUMIFS(lr_mind,lr_state,$A13,lr_bu,$AA$4)/$AA13))</f>
        <v/>
      </c>
      <c r="D13" s="118">
        <f>IF($AA13=0,"",IF($B13&gt;0,SUMIFS(calc_w_m0,calc_state,$A13,calc_bu,$AA$4)/$B13,SUMIFS(lr_m0,lr_state,$A13,lr_bu,$AA$4)/$AA13))</f>
        <v/>
      </c>
      <c r="E13" s="118">
        <f>IF($AA13=0,"",IF($B13&gt;0,SUMIFS(calc_w_m1,calc_state,$A13,calc_bu,$AA$4)/$B13,SUMIFS(lr_m1,lr_state,$A13,lr_bu,$AA$4)/$AA13))</f>
        <v/>
      </c>
      <c r="F13" s="119">
        <f>IF($AB13="","",IF(COUNTIFS(rl_key,$AB13,rl_seq,1)=0,"",SUMIFS(rl_eff,rl_key,$AB13,rl_seq,1)))</f>
        <v/>
      </c>
      <c r="G13" s="120">
        <f>IF($AB13="","",IF(COUNTIFS(rl_key,$AB13,rl_seq,1)=0,"",SUMIFS(rl_reff,rl_key,$AB13,rl_seq,1)))</f>
        <v/>
      </c>
      <c r="H13" s="121">
        <f>IF($AB13="","",IF(COUNTIFS(rl_key,$AB13,rl_seq,2)=0,"",SUMIFS(rl_eff,rl_key,$AB13,rl_seq,2)))</f>
        <v/>
      </c>
      <c r="I13" s="120">
        <f>IF($AB13="","",IF(COUNTIFS(rl_key,$AB13,rl_seq,2)=0,"",SUMIFS(rl_reff,rl_key,$AB13,rl_seq,2)))</f>
        <v/>
      </c>
      <c r="J13" s="121">
        <f>IF($AB13="","",IF(COUNTIFS(rl_key,$AB13,rl_seq,3)=0,"",SUMIFS(rl_eff,rl_key,$AB13,rl_seq,3)))</f>
        <v/>
      </c>
      <c r="K13" s="120">
        <f>IF($AB13="","",IF(COUNTIFS(rl_key,$AB13,rl_seq,3)=0,"",SUMIFS(rl_reff,rl_key,$AB13,rl_seq,3)))</f>
        <v/>
      </c>
      <c r="L13" s="121">
        <f>IF($AB13="","",IF(COUNTIFS(rl_key,$AB13,rl_seq,4)=0,"",SUMIFS(rl_eff,rl_key,$AB13,rl_seq,4)))</f>
        <v/>
      </c>
      <c r="M13" s="120">
        <f>IF($AB13="","",IF(COUNTIFS(rl_key,$AB13,rl_seq,4)=0,"",SUMIFS(rl_reff,rl_key,$AB13,rl_seq,4)))</f>
        <v/>
      </c>
      <c r="N13" s="122">
        <f>IF($AA13=0,"",IF($AB13="",COUNTIFS(rl_state,$A13,rl_eff,"&lt;&gt;"),COUNTIFS(rl_key,$AB13,rl_eff,"&lt;&gt;")))</f>
        <v/>
      </c>
      <c r="O13" s="123">
        <f>IF($AA13=0,"",IF($B13&gt;0,SUMIFS(calc_w_crl,calc_state,$A13,calc_bu,$AA$4)/$B13,SUMIFS(calc_crl,calc_state,$A13,calc_bu,$AA$4)/$AA13))</f>
        <v/>
      </c>
      <c r="P13" s="124">
        <f>IF($AA13=0,"",IF($B13&gt;0,SUMIFS(calc_w_ecy,calc_state,$A13,calc_bu,$AA$4)/$B13,SUMIFS(calc_ecy_p,calc_state,$A13,calc_bu,$AA$4)/$AA13))</f>
        <v/>
      </c>
      <c r="Q13" s="124">
        <f>IF($AA13=0,"",IF($B13&gt;0,SUMIFS(calc_w_arate,calc_state,$A13,calc_bu,$AA$4)/$B13,SUMIFS(calc_arate_p,calc_state,$A13,calc_bu,$AA$4)/$AA13))</f>
        <v/>
      </c>
      <c r="R13" s="118">
        <f>IF($AA13=0,"",IF($B13&gt;0,SUMIFS(calc_w_mbar,calc_state,$A13,calc_bu,$AA$4)/$B13,SUMIFS(calc_mbar_p,calc_state,$A13,calc_bu,$AA$4)/$AA13))</f>
        <v/>
      </c>
      <c r="S13" s="124">
        <f>IF($AA13=0,"",IF($B13&gt;0,SUMIFS(calc_w_amod,calc_state,$A13,calc_bu,$AA$4)/$B13,SUMIFS(calc_amod_p,calc_state,$A13,calc_bu,$AA$4)/$AA13))</f>
        <v/>
      </c>
      <c r="T13" s="125">
        <f>IF($AA13=0,"",IF($B13&gt;0,SUMIFS(calc_w_lrcur,calc_state,$A13,calc_bu,$AA$4)/$B13,SUMIFS(calc_lrcur,calc_state,$A13,calc_bu,$AA$4)/$AA13))</f>
        <v/>
      </c>
      <c r="U13" s="126">
        <f>IF($AA13=0,"",IF($B13&gt;0,SUMIFS(calc_w_cylr,calc_state,$A13,calc_bu,$AA$4)/$B13,SUMIFS(calc_cylr_p,calc_state,$A13,calc_bu,$AA$4)/$AA13))</f>
        <v/>
      </c>
      <c r="V13" s="127">
        <f>IF($AA13=0,"",IF($B13&gt;0,SUMIFS(calc_w_trend,calc_state,$A13,calc_bu,$AA$4)/$B13,SUMIFS(calc_trend,calc_state,$A13,calc_bu,$AA$4)/$AA13))</f>
        <v/>
      </c>
      <c r="W13" s="124">
        <f>IF($AA13=0,"",IF($B13&gt;0,SUMIFS(calc_w_arate1,calc_state,$A13,calc_bu,$AA$4)/$B13,SUMIFS(calc_arate_p1,calc_state,$A13,calc_bu,$AA$4)/$AA13))</f>
        <v/>
      </c>
      <c r="X13" s="124">
        <f>IF($AA13=0,"",IF($B13&gt;0,SUMIFS(calc_w_amod1,calc_state,$A13,calc_bu,$AA$4)/$B13,SUMIFS(calc_amod_p1,calc_state,$A13,calc_bu,$AA$4)/$AA13))</f>
        <v/>
      </c>
      <c r="Y13" s="126">
        <f>IF($AA13=0,"",IF($B13&gt;0,SUMIFS(calc_w_cylr1,calc_state,$A13,calc_bu,$AA$4)/$B13,SUMIFS(calc_cylr_p1,calc_state,$A13,calc_bu,$AA$4)/$AA13))</f>
        <v/>
      </c>
      <c r="Z13" s="127">
        <f>IF($AA13=0,"",IF($AC13=0,"—",SUMIFS(calc_netx,calc_state,$A13,calc_bu,$AA$4)/$AC13))</f>
        <v/>
      </c>
      <c r="AA13" s="42">
        <f>COUNTIFS(calc_state,$A13,calc_bu,$AA$4)</f>
        <v/>
      </c>
      <c r="AB13" s="23">
        <f>IF($B$4="All","",$B$4&amp;"|"&amp;$A13)</f>
        <v/>
      </c>
      <c r="AC13" s="42">
        <f>SUMIFS(calc_netmode,calc_state,$A13,calc_bu,$AA$4)</f>
        <v/>
      </c>
    </row>
    <row r="14">
      <c r="A14" s="102">
        <f>_lists!$B$9</f>
        <v/>
      </c>
      <c r="B14" s="103">
        <f>IF($AA14=0,"",SUMIFS(calc_ep,calc_state,$A14,calc_bu,$AA$4))</f>
        <v/>
      </c>
      <c r="C14" s="104">
        <f>IF($AA14=0,"",IF($B14&gt;0,SUMIFS(calc_w_mind,calc_state,$A14,calc_bu,$AA$4)/$B14,SUMIFS(lr_mind,lr_state,$A14,lr_bu,$AA$4)/$AA14))</f>
        <v/>
      </c>
      <c r="D14" s="105">
        <f>IF($AA14=0,"",IF($B14&gt;0,SUMIFS(calc_w_m0,calc_state,$A14,calc_bu,$AA$4)/$B14,SUMIFS(lr_m0,lr_state,$A14,lr_bu,$AA$4)/$AA14))</f>
        <v/>
      </c>
      <c r="E14" s="105">
        <f>IF($AA14=0,"",IF($B14&gt;0,SUMIFS(calc_w_m1,calc_state,$A14,calc_bu,$AA$4)/$B14,SUMIFS(lr_m1,lr_state,$A14,lr_bu,$AA$4)/$AA14))</f>
        <v/>
      </c>
      <c r="F14" s="106">
        <f>IF($AB14="","",IF(COUNTIFS(rl_key,$AB14,rl_seq,1)=0,"",SUMIFS(rl_eff,rl_key,$AB14,rl_seq,1)))</f>
        <v/>
      </c>
      <c r="G14" s="107">
        <f>IF($AB14="","",IF(COUNTIFS(rl_key,$AB14,rl_seq,1)=0,"",SUMIFS(rl_reff,rl_key,$AB14,rl_seq,1)))</f>
        <v/>
      </c>
      <c r="H14" s="108">
        <f>IF($AB14="","",IF(COUNTIFS(rl_key,$AB14,rl_seq,2)=0,"",SUMIFS(rl_eff,rl_key,$AB14,rl_seq,2)))</f>
        <v/>
      </c>
      <c r="I14" s="107">
        <f>IF($AB14="","",IF(COUNTIFS(rl_key,$AB14,rl_seq,2)=0,"",SUMIFS(rl_reff,rl_key,$AB14,rl_seq,2)))</f>
        <v/>
      </c>
      <c r="J14" s="108">
        <f>IF($AB14="","",IF(COUNTIFS(rl_key,$AB14,rl_seq,3)=0,"",SUMIFS(rl_eff,rl_key,$AB14,rl_seq,3)))</f>
        <v/>
      </c>
      <c r="K14" s="107">
        <f>IF($AB14="","",IF(COUNTIFS(rl_key,$AB14,rl_seq,3)=0,"",SUMIFS(rl_reff,rl_key,$AB14,rl_seq,3)))</f>
        <v/>
      </c>
      <c r="L14" s="108">
        <f>IF($AB14="","",IF(COUNTIFS(rl_key,$AB14,rl_seq,4)=0,"",SUMIFS(rl_eff,rl_key,$AB14,rl_seq,4)))</f>
        <v/>
      </c>
      <c r="M14" s="107">
        <f>IF($AB14="","",IF(COUNTIFS(rl_key,$AB14,rl_seq,4)=0,"",SUMIFS(rl_reff,rl_key,$AB14,rl_seq,4)))</f>
        <v/>
      </c>
      <c r="N14" s="109">
        <f>IF($AA14=0,"",IF($AB14="",COUNTIFS(rl_state,$A14,rl_eff,"&lt;&gt;"),COUNTIFS(rl_key,$AB14,rl_eff,"&lt;&gt;")))</f>
        <v/>
      </c>
      <c r="O14" s="110">
        <f>IF($AA14=0,"",IF($B14&gt;0,SUMIFS(calc_w_crl,calc_state,$A14,calc_bu,$AA$4)/$B14,SUMIFS(calc_crl,calc_state,$A14,calc_bu,$AA$4)/$AA14))</f>
        <v/>
      </c>
      <c r="P14" s="111">
        <f>IF($AA14=0,"",IF($B14&gt;0,SUMIFS(calc_w_ecy,calc_state,$A14,calc_bu,$AA$4)/$B14,SUMIFS(calc_ecy_p,calc_state,$A14,calc_bu,$AA$4)/$AA14))</f>
        <v/>
      </c>
      <c r="Q14" s="111">
        <f>IF($AA14=0,"",IF($B14&gt;0,SUMIFS(calc_w_arate,calc_state,$A14,calc_bu,$AA$4)/$B14,SUMIFS(calc_arate_p,calc_state,$A14,calc_bu,$AA$4)/$AA14))</f>
        <v/>
      </c>
      <c r="R14" s="105">
        <f>IF($AA14=0,"",IF($B14&gt;0,SUMIFS(calc_w_mbar,calc_state,$A14,calc_bu,$AA$4)/$B14,SUMIFS(calc_mbar_p,calc_state,$A14,calc_bu,$AA$4)/$AA14))</f>
        <v/>
      </c>
      <c r="S14" s="111">
        <f>IF($AA14=0,"",IF($B14&gt;0,SUMIFS(calc_w_amod,calc_state,$A14,calc_bu,$AA$4)/$B14,SUMIFS(calc_amod_p,calc_state,$A14,calc_bu,$AA$4)/$AA14))</f>
        <v/>
      </c>
      <c r="T14" s="112">
        <f>IF($AA14=0,"",IF($B14&gt;0,SUMIFS(calc_w_lrcur,calc_state,$A14,calc_bu,$AA$4)/$B14,SUMIFS(calc_lrcur,calc_state,$A14,calc_bu,$AA$4)/$AA14))</f>
        <v/>
      </c>
      <c r="U14" s="113">
        <f>IF($AA14=0,"",IF($B14&gt;0,SUMIFS(calc_w_cylr,calc_state,$A14,calc_bu,$AA$4)/$B14,SUMIFS(calc_cylr_p,calc_state,$A14,calc_bu,$AA$4)/$AA14))</f>
        <v/>
      </c>
      <c r="V14" s="114">
        <f>IF($AA14=0,"",IF($B14&gt;0,SUMIFS(calc_w_trend,calc_state,$A14,calc_bu,$AA$4)/$B14,SUMIFS(calc_trend,calc_state,$A14,calc_bu,$AA$4)/$AA14))</f>
        <v/>
      </c>
      <c r="W14" s="111">
        <f>IF($AA14=0,"",IF($B14&gt;0,SUMIFS(calc_w_arate1,calc_state,$A14,calc_bu,$AA$4)/$B14,SUMIFS(calc_arate_p1,calc_state,$A14,calc_bu,$AA$4)/$AA14))</f>
        <v/>
      </c>
      <c r="X14" s="111">
        <f>IF($AA14=0,"",IF($B14&gt;0,SUMIFS(calc_w_amod1,calc_state,$A14,calc_bu,$AA$4)/$B14,SUMIFS(calc_amod_p1,calc_state,$A14,calc_bu,$AA$4)/$AA14))</f>
        <v/>
      </c>
      <c r="Y14" s="113">
        <f>IF($AA14=0,"",IF($B14&gt;0,SUMIFS(calc_w_cylr1,calc_state,$A14,calc_bu,$AA$4)/$B14,SUMIFS(calc_cylr_p1,calc_state,$A14,calc_bu,$AA$4)/$AA14))</f>
        <v/>
      </c>
      <c r="Z14" s="114">
        <f>IF($AA14=0,"",IF($AC14=0,"—",SUMIFS(calc_netx,calc_state,$A14,calc_bu,$AA$4)/$AC14))</f>
        <v/>
      </c>
      <c r="AA14" s="42">
        <f>COUNTIFS(calc_state,$A14,calc_bu,$AA$4)</f>
        <v/>
      </c>
      <c r="AB14" s="23">
        <f>IF($B$4="All","",$B$4&amp;"|"&amp;$A14)</f>
        <v/>
      </c>
      <c r="AC14" s="42">
        <f>SUMIFS(calc_netmode,calc_state,$A14,calc_bu,$AA$4)</f>
        <v/>
      </c>
    </row>
    <row r="15">
      <c r="A15" s="115">
        <f>_lists!$B$10</f>
        <v/>
      </c>
      <c r="B15" s="116">
        <f>IF($AA15=0,"",SUMIFS(calc_ep,calc_state,$A15,calc_bu,$AA$4))</f>
        <v/>
      </c>
      <c r="C15" s="117">
        <f>IF($AA15=0,"",IF($B15&gt;0,SUMIFS(calc_w_mind,calc_state,$A15,calc_bu,$AA$4)/$B15,SUMIFS(lr_mind,lr_state,$A15,lr_bu,$AA$4)/$AA15))</f>
        <v/>
      </c>
      <c r="D15" s="118">
        <f>IF($AA15=0,"",IF($B15&gt;0,SUMIFS(calc_w_m0,calc_state,$A15,calc_bu,$AA$4)/$B15,SUMIFS(lr_m0,lr_state,$A15,lr_bu,$AA$4)/$AA15))</f>
        <v/>
      </c>
      <c r="E15" s="118">
        <f>IF($AA15=0,"",IF($B15&gt;0,SUMIFS(calc_w_m1,calc_state,$A15,calc_bu,$AA$4)/$B15,SUMIFS(lr_m1,lr_state,$A15,lr_bu,$AA$4)/$AA15))</f>
        <v/>
      </c>
      <c r="F15" s="119">
        <f>IF($AB15="","",IF(COUNTIFS(rl_key,$AB15,rl_seq,1)=0,"",SUMIFS(rl_eff,rl_key,$AB15,rl_seq,1)))</f>
        <v/>
      </c>
      <c r="G15" s="120">
        <f>IF($AB15="","",IF(COUNTIFS(rl_key,$AB15,rl_seq,1)=0,"",SUMIFS(rl_reff,rl_key,$AB15,rl_seq,1)))</f>
        <v/>
      </c>
      <c r="H15" s="121">
        <f>IF($AB15="","",IF(COUNTIFS(rl_key,$AB15,rl_seq,2)=0,"",SUMIFS(rl_eff,rl_key,$AB15,rl_seq,2)))</f>
        <v/>
      </c>
      <c r="I15" s="120">
        <f>IF($AB15="","",IF(COUNTIFS(rl_key,$AB15,rl_seq,2)=0,"",SUMIFS(rl_reff,rl_key,$AB15,rl_seq,2)))</f>
        <v/>
      </c>
      <c r="J15" s="121">
        <f>IF($AB15="","",IF(COUNTIFS(rl_key,$AB15,rl_seq,3)=0,"",SUMIFS(rl_eff,rl_key,$AB15,rl_seq,3)))</f>
        <v/>
      </c>
      <c r="K15" s="120">
        <f>IF($AB15="","",IF(COUNTIFS(rl_key,$AB15,rl_seq,3)=0,"",SUMIFS(rl_reff,rl_key,$AB15,rl_seq,3)))</f>
        <v/>
      </c>
      <c r="L15" s="121">
        <f>IF($AB15="","",IF(COUNTIFS(rl_key,$AB15,rl_seq,4)=0,"",SUMIFS(rl_eff,rl_key,$AB15,rl_seq,4)))</f>
        <v/>
      </c>
      <c r="M15" s="120">
        <f>IF($AB15="","",IF(COUNTIFS(rl_key,$AB15,rl_seq,4)=0,"",SUMIFS(rl_reff,rl_key,$AB15,rl_seq,4)))</f>
        <v/>
      </c>
      <c r="N15" s="122">
        <f>IF($AA15=0,"",IF($AB15="",COUNTIFS(rl_state,$A15,rl_eff,"&lt;&gt;"),COUNTIFS(rl_key,$AB15,rl_eff,"&lt;&gt;")))</f>
        <v/>
      </c>
      <c r="O15" s="123">
        <f>IF($AA15=0,"",IF($B15&gt;0,SUMIFS(calc_w_crl,calc_state,$A15,calc_bu,$AA$4)/$B15,SUMIFS(calc_crl,calc_state,$A15,calc_bu,$AA$4)/$AA15))</f>
        <v/>
      </c>
      <c r="P15" s="124">
        <f>IF($AA15=0,"",IF($B15&gt;0,SUMIFS(calc_w_ecy,calc_state,$A15,calc_bu,$AA$4)/$B15,SUMIFS(calc_ecy_p,calc_state,$A15,calc_bu,$AA$4)/$AA15))</f>
        <v/>
      </c>
      <c r="Q15" s="124">
        <f>IF($AA15=0,"",IF($B15&gt;0,SUMIFS(calc_w_arate,calc_state,$A15,calc_bu,$AA$4)/$B15,SUMIFS(calc_arate_p,calc_state,$A15,calc_bu,$AA$4)/$AA15))</f>
        <v/>
      </c>
      <c r="R15" s="118">
        <f>IF($AA15=0,"",IF($B15&gt;0,SUMIFS(calc_w_mbar,calc_state,$A15,calc_bu,$AA$4)/$B15,SUMIFS(calc_mbar_p,calc_state,$A15,calc_bu,$AA$4)/$AA15))</f>
        <v/>
      </c>
      <c r="S15" s="124">
        <f>IF($AA15=0,"",IF($B15&gt;0,SUMIFS(calc_w_amod,calc_state,$A15,calc_bu,$AA$4)/$B15,SUMIFS(calc_amod_p,calc_state,$A15,calc_bu,$AA$4)/$AA15))</f>
        <v/>
      </c>
      <c r="T15" s="125">
        <f>IF($AA15=0,"",IF($B15&gt;0,SUMIFS(calc_w_lrcur,calc_state,$A15,calc_bu,$AA$4)/$B15,SUMIFS(calc_lrcur,calc_state,$A15,calc_bu,$AA$4)/$AA15))</f>
        <v/>
      </c>
      <c r="U15" s="126">
        <f>IF($AA15=0,"",IF($B15&gt;0,SUMIFS(calc_w_cylr,calc_state,$A15,calc_bu,$AA$4)/$B15,SUMIFS(calc_cylr_p,calc_state,$A15,calc_bu,$AA$4)/$AA15))</f>
        <v/>
      </c>
      <c r="V15" s="127">
        <f>IF($AA15=0,"",IF($B15&gt;0,SUMIFS(calc_w_trend,calc_state,$A15,calc_bu,$AA$4)/$B15,SUMIFS(calc_trend,calc_state,$A15,calc_bu,$AA$4)/$AA15))</f>
        <v/>
      </c>
      <c r="W15" s="124">
        <f>IF($AA15=0,"",IF($B15&gt;0,SUMIFS(calc_w_arate1,calc_state,$A15,calc_bu,$AA$4)/$B15,SUMIFS(calc_arate_p1,calc_state,$A15,calc_bu,$AA$4)/$AA15))</f>
        <v/>
      </c>
      <c r="X15" s="124">
        <f>IF($AA15=0,"",IF($B15&gt;0,SUMIFS(calc_w_amod1,calc_state,$A15,calc_bu,$AA$4)/$B15,SUMIFS(calc_amod_p1,calc_state,$A15,calc_bu,$AA$4)/$AA15))</f>
        <v/>
      </c>
      <c r="Y15" s="126">
        <f>IF($AA15=0,"",IF($B15&gt;0,SUMIFS(calc_w_cylr1,calc_state,$A15,calc_bu,$AA$4)/$B15,SUMIFS(calc_cylr_p1,calc_state,$A15,calc_bu,$AA$4)/$AA15))</f>
        <v/>
      </c>
      <c r="Z15" s="127">
        <f>IF($AA15=0,"",IF($AC15=0,"—",SUMIFS(calc_netx,calc_state,$A15,calc_bu,$AA$4)/$AC15))</f>
        <v/>
      </c>
      <c r="AA15" s="42">
        <f>COUNTIFS(calc_state,$A15,calc_bu,$AA$4)</f>
        <v/>
      </c>
      <c r="AB15" s="23">
        <f>IF($B$4="All","",$B$4&amp;"|"&amp;$A15)</f>
        <v/>
      </c>
      <c r="AC15" s="42">
        <f>SUMIFS(calc_netmode,calc_state,$A15,calc_bu,$AA$4)</f>
        <v/>
      </c>
    </row>
    <row r="16">
      <c r="A16" s="102">
        <f>_lists!$B$11</f>
        <v/>
      </c>
      <c r="B16" s="103">
        <f>IF($AA16=0,"",SUMIFS(calc_ep,calc_state,$A16,calc_bu,$AA$4))</f>
        <v/>
      </c>
      <c r="C16" s="104">
        <f>IF($AA16=0,"",IF($B16&gt;0,SUMIFS(calc_w_mind,calc_state,$A16,calc_bu,$AA$4)/$B16,SUMIFS(lr_mind,lr_state,$A16,lr_bu,$AA$4)/$AA16))</f>
        <v/>
      </c>
      <c r="D16" s="105">
        <f>IF($AA16=0,"",IF($B16&gt;0,SUMIFS(calc_w_m0,calc_state,$A16,calc_bu,$AA$4)/$B16,SUMIFS(lr_m0,lr_state,$A16,lr_bu,$AA$4)/$AA16))</f>
        <v/>
      </c>
      <c r="E16" s="105">
        <f>IF($AA16=0,"",IF($B16&gt;0,SUMIFS(calc_w_m1,calc_state,$A16,calc_bu,$AA$4)/$B16,SUMIFS(lr_m1,lr_state,$A16,lr_bu,$AA$4)/$AA16))</f>
        <v/>
      </c>
      <c r="F16" s="106">
        <f>IF($AB16="","",IF(COUNTIFS(rl_key,$AB16,rl_seq,1)=0,"",SUMIFS(rl_eff,rl_key,$AB16,rl_seq,1)))</f>
        <v/>
      </c>
      <c r="G16" s="107">
        <f>IF($AB16="","",IF(COUNTIFS(rl_key,$AB16,rl_seq,1)=0,"",SUMIFS(rl_reff,rl_key,$AB16,rl_seq,1)))</f>
        <v/>
      </c>
      <c r="H16" s="108">
        <f>IF($AB16="","",IF(COUNTIFS(rl_key,$AB16,rl_seq,2)=0,"",SUMIFS(rl_eff,rl_key,$AB16,rl_seq,2)))</f>
        <v/>
      </c>
      <c r="I16" s="107">
        <f>IF($AB16="","",IF(COUNTIFS(rl_key,$AB16,rl_seq,2)=0,"",SUMIFS(rl_reff,rl_key,$AB16,rl_seq,2)))</f>
        <v/>
      </c>
      <c r="J16" s="108">
        <f>IF($AB16="","",IF(COUNTIFS(rl_key,$AB16,rl_seq,3)=0,"",SUMIFS(rl_eff,rl_key,$AB16,rl_seq,3)))</f>
        <v/>
      </c>
      <c r="K16" s="107">
        <f>IF($AB16="","",IF(COUNTIFS(rl_key,$AB16,rl_seq,3)=0,"",SUMIFS(rl_reff,rl_key,$AB16,rl_seq,3)))</f>
        <v/>
      </c>
      <c r="L16" s="108">
        <f>IF($AB16="","",IF(COUNTIFS(rl_key,$AB16,rl_seq,4)=0,"",SUMIFS(rl_eff,rl_key,$AB16,rl_seq,4)))</f>
        <v/>
      </c>
      <c r="M16" s="107">
        <f>IF($AB16="","",IF(COUNTIFS(rl_key,$AB16,rl_seq,4)=0,"",SUMIFS(rl_reff,rl_key,$AB16,rl_seq,4)))</f>
        <v/>
      </c>
      <c r="N16" s="109">
        <f>IF($AA16=0,"",IF($AB16="",COUNTIFS(rl_state,$A16,rl_eff,"&lt;&gt;"),COUNTIFS(rl_key,$AB16,rl_eff,"&lt;&gt;")))</f>
        <v/>
      </c>
      <c r="O16" s="110">
        <f>IF($AA16=0,"",IF($B16&gt;0,SUMIFS(calc_w_crl,calc_state,$A16,calc_bu,$AA$4)/$B16,SUMIFS(calc_crl,calc_state,$A16,calc_bu,$AA$4)/$AA16))</f>
        <v/>
      </c>
      <c r="P16" s="111">
        <f>IF($AA16=0,"",IF($B16&gt;0,SUMIFS(calc_w_ecy,calc_state,$A16,calc_bu,$AA$4)/$B16,SUMIFS(calc_ecy_p,calc_state,$A16,calc_bu,$AA$4)/$AA16))</f>
        <v/>
      </c>
      <c r="Q16" s="111">
        <f>IF($AA16=0,"",IF($B16&gt;0,SUMIFS(calc_w_arate,calc_state,$A16,calc_bu,$AA$4)/$B16,SUMIFS(calc_arate_p,calc_state,$A16,calc_bu,$AA$4)/$AA16))</f>
        <v/>
      </c>
      <c r="R16" s="105">
        <f>IF($AA16=0,"",IF($B16&gt;0,SUMIFS(calc_w_mbar,calc_state,$A16,calc_bu,$AA$4)/$B16,SUMIFS(calc_mbar_p,calc_state,$A16,calc_bu,$AA$4)/$AA16))</f>
        <v/>
      </c>
      <c r="S16" s="111">
        <f>IF($AA16=0,"",IF($B16&gt;0,SUMIFS(calc_w_amod,calc_state,$A16,calc_bu,$AA$4)/$B16,SUMIFS(calc_amod_p,calc_state,$A16,calc_bu,$AA$4)/$AA16))</f>
        <v/>
      </c>
      <c r="T16" s="112">
        <f>IF($AA16=0,"",IF($B16&gt;0,SUMIFS(calc_w_lrcur,calc_state,$A16,calc_bu,$AA$4)/$B16,SUMIFS(calc_lrcur,calc_state,$A16,calc_bu,$AA$4)/$AA16))</f>
        <v/>
      </c>
      <c r="U16" s="113">
        <f>IF($AA16=0,"",IF($B16&gt;0,SUMIFS(calc_w_cylr,calc_state,$A16,calc_bu,$AA$4)/$B16,SUMIFS(calc_cylr_p,calc_state,$A16,calc_bu,$AA$4)/$AA16))</f>
        <v/>
      </c>
      <c r="V16" s="114">
        <f>IF($AA16=0,"",IF($B16&gt;0,SUMIFS(calc_w_trend,calc_state,$A16,calc_bu,$AA$4)/$B16,SUMIFS(calc_trend,calc_state,$A16,calc_bu,$AA$4)/$AA16))</f>
        <v/>
      </c>
      <c r="W16" s="111">
        <f>IF($AA16=0,"",IF($B16&gt;0,SUMIFS(calc_w_arate1,calc_state,$A16,calc_bu,$AA$4)/$B16,SUMIFS(calc_arate_p1,calc_state,$A16,calc_bu,$AA$4)/$AA16))</f>
        <v/>
      </c>
      <c r="X16" s="111">
        <f>IF($AA16=0,"",IF($B16&gt;0,SUMIFS(calc_w_amod1,calc_state,$A16,calc_bu,$AA$4)/$B16,SUMIFS(calc_amod_p1,calc_state,$A16,calc_bu,$AA$4)/$AA16))</f>
        <v/>
      </c>
      <c r="Y16" s="113">
        <f>IF($AA16=0,"",IF($B16&gt;0,SUMIFS(calc_w_cylr1,calc_state,$A16,calc_bu,$AA$4)/$B16,SUMIFS(calc_cylr_p1,calc_state,$A16,calc_bu,$AA$4)/$AA16))</f>
        <v/>
      </c>
      <c r="Z16" s="114">
        <f>IF($AA16=0,"",IF($AC16=0,"—",SUMIFS(calc_netx,calc_state,$A16,calc_bu,$AA$4)/$AC16))</f>
        <v/>
      </c>
      <c r="AA16" s="42">
        <f>COUNTIFS(calc_state,$A16,calc_bu,$AA$4)</f>
        <v/>
      </c>
      <c r="AB16" s="23">
        <f>IF($B$4="All","",$B$4&amp;"|"&amp;$A16)</f>
        <v/>
      </c>
      <c r="AC16" s="42">
        <f>SUMIFS(calc_netmode,calc_state,$A16,calc_bu,$AA$4)</f>
        <v/>
      </c>
    </row>
    <row r="17">
      <c r="A17" s="115">
        <f>_lists!$B$12</f>
        <v/>
      </c>
      <c r="B17" s="116">
        <f>IF($AA17=0,"",SUMIFS(calc_ep,calc_state,$A17,calc_bu,$AA$4))</f>
        <v/>
      </c>
      <c r="C17" s="117">
        <f>IF($AA17=0,"",IF($B17&gt;0,SUMIFS(calc_w_mind,calc_state,$A17,calc_bu,$AA$4)/$B17,SUMIFS(lr_mind,lr_state,$A17,lr_bu,$AA$4)/$AA17))</f>
        <v/>
      </c>
      <c r="D17" s="118">
        <f>IF($AA17=0,"",IF($B17&gt;0,SUMIFS(calc_w_m0,calc_state,$A17,calc_bu,$AA$4)/$B17,SUMIFS(lr_m0,lr_state,$A17,lr_bu,$AA$4)/$AA17))</f>
        <v/>
      </c>
      <c r="E17" s="118">
        <f>IF($AA17=0,"",IF($B17&gt;0,SUMIFS(calc_w_m1,calc_state,$A17,calc_bu,$AA$4)/$B17,SUMIFS(lr_m1,lr_state,$A17,lr_bu,$AA$4)/$AA17))</f>
        <v/>
      </c>
      <c r="F17" s="119">
        <f>IF($AB17="","",IF(COUNTIFS(rl_key,$AB17,rl_seq,1)=0,"",SUMIFS(rl_eff,rl_key,$AB17,rl_seq,1)))</f>
        <v/>
      </c>
      <c r="G17" s="120">
        <f>IF($AB17="","",IF(COUNTIFS(rl_key,$AB17,rl_seq,1)=0,"",SUMIFS(rl_reff,rl_key,$AB17,rl_seq,1)))</f>
        <v/>
      </c>
      <c r="H17" s="121">
        <f>IF($AB17="","",IF(COUNTIFS(rl_key,$AB17,rl_seq,2)=0,"",SUMIFS(rl_eff,rl_key,$AB17,rl_seq,2)))</f>
        <v/>
      </c>
      <c r="I17" s="120">
        <f>IF($AB17="","",IF(COUNTIFS(rl_key,$AB17,rl_seq,2)=0,"",SUMIFS(rl_reff,rl_key,$AB17,rl_seq,2)))</f>
        <v/>
      </c>
      <c r="J17" s="121">
        <f>IF($AB17="","",IF(COUNTIFS(rl_key,$AB17,rl_seq,3)=0,"",SUMIFS(rl_eff,rl_key,$AB17,rl_seq,3)))</f>
        <v/>
      </c>
      <c r="K17" s="120">
        <f>IF($AB17="","",IF(COUNTIFS(rl_key,$AB17,rl_seq,3)=0,"",SUMIFS(rl_reff,rl_key,$AB17,rl_seq,3)))</f>
        <v/>
      </c>
      <c r="L17" s="121">
        <f>IF($AB17="","",IF(COUNTIFS(rl_key,$AB17,rl_seq,4)=0,"",SUMIFS(rl_eff,rl_key,$AB17,rl_seq,4)))</f>
        <v/>
      </c>
      <c r="M17" s="120">
        <f>IF($AB17="","",IF(COUNTIFS(rl_key,$AB17,rl_seq,4)=0,"",SUMIFS(rl_reff,rl_key,$AB17,rl_seq,4)))</f>
        <v/>
      </c>
      <c r="N17" s="122">
        <f>IF($AA17=0,"",IF($AB17="",COUNTIFS(rl_state,$A17,rl_eff,"&lt;&gt;"),COUNTIFS(rl_key,$AB17,rl_eff,"&lt;&gt;")))</f>
        <v/>
      </c>
      <c r="O17" s="123">
        <f>IF($AA17=0,"",IF($B17&gt;0,SUMIFS(calc_w_crl,calc_state,$A17,calc_bu,$AA$4)/$B17,SUMIFS(calc_crl,calc_state,$A17,calc_bu,$AA$4)/$AA17))</f>
        <v/>
      </c>
      <c r="P17" s="124">
        <f>IF($AA17=0,"",IF($B17&gt;0,SUMIFS(calc_w_ecy,calc_state,$A17,calc_bu,$AA$4)/$B17,SUMIFS(calc_ecy_p,calc_state,$A17,calc_bu,$AA$4)/$AA17))</f>
        <v/>
      </c>
      <c r="Q17" s="124">
        <f>IF($AA17=0,"",IF($B17&gt;0,SUMIFS(calc_w_arate,calc_state,$A17,calc_bu,$AA$4)/$B17,SUMIFS(calc_arate_p,calc_state,$A17,calc_bu,$AA$4)/$AA17))</f>
        <v/>
      </c>
      <c r="R17" s="118">
        <f>IF($AA17=0,"",IF($B17&gt;0,SUMIFS(calc_w_mbar,calc_state,$A17,calc_bu,$AA$4)/$B17,SUMIFS(calc_mbar_p,calc_state,$A17,calc_bu,$AA$4)/$AA17))</f>
        <v/>
      </c>
      <c r="S17" s="124">
        <f>IF($AA17=0,"",IF($B17&gt;0,SUMIFS(calc_w_amod,calc_state,$A17,calc_bu,$AA$4)/$B17,SUMIFS(calc_amod_p,calc_state,$A17,calc_bu,$AA$4)/$AA17))</f>
        <v/>
      </c>
      <c r="T17" s="125">
        <f>IF($AA17=0,"",IF($B17&gt;0,SUMIFS(calc_w_lrcur,calc_state,$A17,calc_bu,$AA$4)/$B17,SUMIFS(calc_lrcur,calc_state,$A17,calc_bu,$AA$4)/$AA17))</f>
        <v/>
      </c>
      <c r="U17" s="126">
        <f>IF($AA17=0,"",IF($B17&gt;0,SUMIFS(calc_w_cylr,calc_state,$A17,calc_bu,$AA$4)/$B17,SUMIFS(calc_cylr_p,calc_state,$A17,calc_bu,$AA$4)/$AA17))</f>
        <v/>
      </c>
      <c r="V17" s="127">
        <f>IF($AA17=0,"",IF($B17&gt;0,SUMIFS(calc_w_trend,calc_state,$A17,calc_bu,$AA$4)/$B17,SUMIFS(calc_trend,calc_state,$A17,calc_bu,$AA$4)/$AA17))</f>
        <v/>
      </c>
      <c r="W17" s="124">
        <f>IF($AA17=0,"",IF($B17&gt;0,SUMIFS(calc_w_arate1,calc_state,$A17,calc_bu,$AA$4)/$B17,SUMIFS(calc_arate_p1,calc_state,$A17,calc_bu,$AA$4)/$AA17))</f>
        <v/>
      </c>
      <c r="X17" s="124">
        <f>IF($AA17=0,"",IF($B17&gt;0,SUMIFS(calc_w_amod1,calc_state,$A17,calc_bu,$AA$4)/$B17,SUMIFS(calc_amod_p1,calc_state,$A17,calc_bu,$AA$4)/$AA17))</f>
        <v/>
      </c>
      <c r="Y17" s="126">
        <f>IF($AA17=0,"",IF($B17&gt;0,SUMIFS(calc_w_cylr1,calc_state,$A17,calc_bu,$AA$4)/$B17,SUMIFS(calc_cylr_p1,calc_state,$A17,calc_bu,$AA$4)/$AA17))</f>
        <v/>
      </c>
      <c r="Z17" s="127">
        <f>IF($AA17=0,"",IF($AC17=0,"—",SUMIFS(calc_netx,calc_state,$A17,calc_bu,$AA$4)/$AC17))</f>
        <v/>
      </c>
      <c r="AA17" s="42">
        <f>COUNTIFS(calc_state,$A17,calc_bu,$AA$4)</f>
        <v/>
      </c>
      <c r="AB17" s="23">
        <f>IF($B$4="All","",$B$4&amp;"|"&amp;$A17)</f>
        <v/>
      </c>
      <c r="AC17" s="42">
        <f>SUMIFS(calc_netmode,calc_state,$A17,calc_bu,$AA$4)</f>
        <v/>
      </c>
    </row>
    <row r="18">
      <c r="A18" s="102">
        <f>_lists!$B$13</f>
        <v/>
      </c>
      <c r="B18" s="103">
        <f>IF($AA18=0,"",SUMIFS(calc_ep,calc_state,$A18,calc_bu,$AA$4))</f>
        <v/>
      </c>
      <c r="C18" s="104">
        <f>IF($AA18=0,"",IF($B18&gt;0,SUMIFS(calc_w_mind,calc_state,$A18,calc_bu,$AA$4)/$B18,SUMIFS(lr_mind,lr_state,$A18,lr_bu,$AA$4)/$AA18))</f>
        <v/>
      </c>
      <c r="D18" s="105">
        <f>IF($AA18=0,"",IF($B18&gt;0,SUMIFS(calc_w_m0,calc_state,$A18,calc_bu,$AA$4)/$B18,SUMIFS(lr_m0,lr_state,$A18,lr_bu,$AA$4)/$AA18))</f>
        <v/>
      </c>
      <c r="E18" s="105">
        <f>IF($AA18=0,"",IF($B18&gt;0,SUMIFS(calc_w_m1,calc_state,$A18,calc_bu,$AA$4)/$B18,SUMIFS(lr_m1,lr_state,$A18,lr_bu,$AA$4)/$AA18))</f>
        <v/>
      </c>
      <c r="F18" s="106">
        <f>IF($AB18="","",IF(COUNTIFS(rl_key,$AB18,rl_seq,1)=0,"",SUMIFS(rl_eff,rl_key,$AB18,rl_seq,1)))</f>
        <v/>
      </c>
      <c r="G18" s="107">
        <f>IF($AB18="","",IF(COUNTIFS(rl_key,$AB18,rl_seq,1)=0,"",SUMIFS(rl_reff,rl_key,$AB18,rl_seq,1)))</f>
        <v/>
      </c>
      <c r="H18" s="108">
        <f>IF($AB18="","",IF(COUNTIFS(rl_key,$AB18,rl_seq,2)=0,"",SUMIFS(rl_eff,rl_key,$AB18,rl_seq,2)))</f>
        <v/>
      </c>
      <c r="I18" s="107">
        <f>IF($AB18="","",IF(COUNTIFS(rl_key,$AB18,rl_seq,2)=0,"",SUMIFS(rl_reff,rl_key,$AB18,rl_seq,2)))</f>
        <v/>
      </c>
      <c r="J18" s="108">
        <f>IF($AB18="","",IF(COUNTIFS(rl_key,$AB18,rl_seq,3)=0,"",SUMIFS(rl_eff,rl_key,$AB18,rl_seq,3)))</f>
        <v/>
      </c>
      <c r="K18" s="107">
        <f>IF($AB18="","",IF(COUNTIFS(rl_key,$AB18,rl_seq,3)=0,"",SUMIFS(rl_reff,rl_key,$AB18,rl_seq,3)))</f>
        <v/>
      </c>
      <c r="L18" s="108">
        <f>IF($AB18="","",IF(COUNTIFS(rl_key,$AB18,rl_seq,4)=0,"",SUMIFS(rl_eff,rl_key,$AB18,rl_seq,4)))</f>
        <v/>
      </c>
      <c r="M18" s="107">
        <f>IF($AB18="","",IF(COUNTIFS(rl_key,$AB18,rl_seq,4)=0,"",SUMIFS(rl_reff,rl_key,$AB18,rl_seq,4)))</f>
        <v/>
      </c>
      <c r="N18" s="109">
        <f>IF($AA18=0,"",IF($AB18="",COUNTIFS(rl_state,$A18,rl_eff,"&lt;&gt;"),COUNTIFS(rl_key,$AB18,rl_eff,"&lt;&gt;")))</f>
        <v/>
      </c>
      <c r="O18" s="110">
        <f>IF($AA18=0,"",IF($B18&gt;0,SUMIFS(calc_w_crl,calc_state,$A18,calc_bu,$AA$4)/$B18,SUMIFS(calc_crl,calc_state,$A18,calc_bu,$AA$4)/$AA18))</f>
        <v/>
      </c>
      <c r="P18" s="111">
        <f>IF($AA18=0,"",IF($B18&gt;0,SUMIFS(calc_w_ecy,calc_state,$A18,calc_bu,$AA$4)/$B18,SUMIFS(calc_ecy_p,calc_state,$A18,calc_bu,$AA$4)/$AA18))</f>
        <v/>
      </c>
      <c r="Q18" s="111">
        <f>IF($AA18=0,"",IF($B18&gt;0,SUMIFS(calc_w_arate,calc_state,$A18,calc_bu,$AA$4)/$B18,SUMIFS(calc_arate_p,calc_state,$A18,calc_bu,$AA$4)/$AA18))</f>
        <v/>
      </c>
      <c r="R18" s="105">
        <f>IF($AA18=0,"",IF($B18&gt;0,SUMIFS(calc_w_mbar,calc_state,$A18,calc_bu,$AA$4)/$B18,SUMIFS(calc_mbar_p,calc_state,$A18,calc_bu,$AA$4)/$AA18))</f>
        <v/>
      </c>
      <c r="S18" s="111">
        <f>IF($AA18=0,"",IF($B18&gt;0,SUMIFS(calc_w_amod,calc_state,$A18,calc_bu,$AA$4)/$B18,SUMIFS(calc_amod_p,calc_state,$A18,calc_bu,$AA$4)/$AA18))</f>
        <v/>
      </c>
      <c r="T18" s="112">
        <f>IF($AA18=0,"",IF($B18&gt;0,SUMIFS(calc_w_lrcur,calc_state,$A18,calc_bu,$AA$4)/$B18,SUMIFS(calc_lrcur,calc_state,$A18,calc_bu,$AA$4)/$AA18))</f>
        <v/>
      </c>
      <c r="U18" s="113">
        <f>IF($AA18=0,"",IF($B18&gt;0,SUMIFS(calc_w_cylr,calc_state,$A18,calc_bu,$AA$4)/$B18,SUMIFS(calc_cylr_p,calc_state,$A18,calc_bu,$AA$4)/$AA18))</f>
        <v/>
      </c>
      <c r="V18" s="114">
        <f>IF($AA18=0,"",IF($B18&gt;0,SUMIFS(calc_w_trend,calc_state,$A18,calc_bu,$AA$4)/$B18,SUMIFS(calc_trend,calc_state,$A18,calc_bu,$AA$4)/$AA18))</f>
        <v/>
      </c>
      <c r="W18" s="111">
        <f>IF($AA18=0,"",IF($B18&gt;0,SUMIFS(calc_w_arate1,calc_state,$A18,calc_bu,$AA$4)/$B18,SUMIFS(calc_arate_p1,calc_state,$A18,calc_bu,$AA$4)/$AA18))</f>
        <v/>
      </c>
      <c r="X18" s="111">
        <f>IF($AA18=0,"",IF($B18&gt;0,SUMIFS(calc_w_amod1,calc_state,$A18,calc_bu,$AA$4)/$B18,SUMIFS(calc_amod_p1,calc_state,$A18,calc_bu,$AA$4)/$AA18))</f>
        <v/>
      </c>
      <c r="Y18" s="113">
        <f>IF($AA18=0,"",IF($B18&gt;0,SUMIFS(calc_w_cylr1,calc_state,$A18,calc_bu,$AA$4)/$B18,SUMIFS(calc_cylr_p1,calc_state,$A18,calc_bu,$AA$4)/$AA18))</f>
        <v/>
      </c>
      <c r="Z18" s="114">
        <f>IF($AA18=0,"",IF($AC18=0,"—",SUMIFS(calc_netx,calc_state,$A18,calc_bu,$AA$4)/$AC18))</f>
        <v/>
      </c>
      <c r="AA18" s="42">
        <f>COUNTIFS(calc_state,$A18,calc_bu,$AA$4)</f>
        <v/>
      </c>
      <c r="AB18" s="23">
        <f>IF($B$4="All","",$B$4&amp;"|"&amp;$A18)</f>
        <v/>
      </c>
      <c r="AC18" s="42">
        <f>SUMIFS(calc_netmode,calc_state,$A18,calc_bu,$AA$4)</f>
        <v/>
      </c>
    </row>
    <row r="19">
      <c r="A19" s="115">
        <f>_lists!$B$14</f>
        <v/>
      </c>
      <c r="B19" s="116">
        <f>IF($AA19=0,"",SUMIFS(calc_ep,calc_state,$A19,calc_bu,$AA$4))</f>
        <v/>
      </c>
      <c r="C19" s="117">
        <f>IF($AA19=0,"",IF($B19&gt;0,SUMIFS(calc_w_mind,calc_state,$A19,calc_bu,$AA$4)/$B19,SUMIFS(lr_mind,lr_state,$A19,lr_bu,$AA$4)/$AA19))</f>
        <v/>
      </c>
      <c r="D19" s="118">
        <f>IF($AA19=0,"",IF($B19&gt;0,SUMIFS(calc_w_m0,calc_state,$A19,calc_bu,$AA$4)/$B19,SUMIFS(lr_m0,lr_state,$A19,lr_bu,$AA$4)/$AA19))</f>
        <v/>
      </c>
      <c r="E19" s="118">
        <f>IF($AA19=0,"",IF($B19&gt;0,SUMIFS(calc_w_m1,calc_state,$A19,calc_bu,$AA$4)/$B19,SUMIFS(lr_m1,lr_state,$A19,lr_bu,$AA$4)/$AA19))</f>
        <v/>
      </c>
      <c r="F19" s="119">
        <f>IF($AB19="","",IF(COUNTIFS(rl_key,$AB19,rl_seq,1)=0,"",SUMIFS(rl_eff,rl_key,$AB19,rl_seq,1)))</f>
        <v/>
      </c>
      <c r="G19" s="120">
        <f>IF($AB19="","",IF(COUNTIFS(rl_key,$AB19,rl_seq,1)=0,"",SUMIFS(rl_reff,rl_key,$AB19,rl_seq,1)))</f>
        <v/>
      </c>
      <c r="H19" s="121">
        <f>IF($AB19="","",IF(COUNTIFS(rl_key,$AB19,rl_seq,2)=0,"",SUMIFS(rl_eff,rl_key,$AB19,rl_seq,2)))</f>
        <v/>
      </c>
      <c r="I19" s="120">
        <f>IF($AB19="","",IF(COUNTIFS(rl_key,$AB19,rl_seq,2)=0,"",SUMIFS(rl_reff,rl_key,$AB19,rl_seq,2)))</f>
        <v/>
      </c>
      <c r="J19" s="121">
        <f>IF($AB19="","",IF(COUNTIFS(rl_key,$AB19,rl_seq,3)=0,"",SUMIFS(rl_eff,rl_key,$AB19,rl_seq,3)))</f>
        <v/>
      </c>
      <c r="K19" s="120">
        <f>IF($AB19="","",IF(COUNTIFS(rl_key,$AB19,rl_seq,3)=0,"",SUMIFS(rl_reff,rl_key,$AB19,rl_seq,3)))</f>
        <v/>
      </c>
      <c r="L19" s="121">
        <f>IF($AB19="","",IF(COUNTIFS(rl_key,$AB19,rl_seq,4)=0,"",SUMIFS(rl_eff,rl_key,$AB19,rl_seq,4)))</f>
        <v/>
      </c>
      <c r="M19" s="120">
        <f>IF($AB19="","",IF(COUNTIFS(rl_key,$AB19,rl_seq,4)=0,"",SUMIFS(rl_reff,rl_key,$AB19,rl_seq,4)))</f>
        <v/>
      </c>
      <c r="N19" s="122">
        <f>IF($AA19=0,"",IF($AB19="",COUNTIFS(rl_state,$A19,rl_eff,"&lt;&gt;"),COUNTIFS(rl_key,$AB19,rl_eff,"&lt;&gt;")))</f>
        <v/>
      </c>
      <c r="O19" s="123">
        <f>IF($AA19=0,"",IF($B19&gt;0,SUMIFS(calc_w_crl,calc_state,$A19,calc_bu,$AA$4)/$B19,SUMIFS(calc_crl,calc_state,$A19,calc_bu,$AA$4)/$AA19))</f>
        <v/>
      </c>
      <c r="P19" s="124">
        <f>IF($AA19=0,"",IF($B19&gt;0,SUMIFS(calc_w_ecy,calc_state,$A19,calc_bu,$AA$4)/$B19,SUMIFS(calc_ecy_p,calc_state,$A19,calc_bu,$AA$4)/$AA19))</f>
        <v/>
      </c>
      <c r="Q19" s="124">
        <f>IF($AA19=0,"",IF($B19&gt;0,SUMIFS(calc_w_arate,calc_state,$A19,calc_bu,$AA$4)/$B19,SUMIFS(calc_arate_p,calc_state,$A19,calc_bu,$AA$4)/$AA19))</f>
        <v/>
      </c>
      <c r="R19" s="118">
        <f>IF($AA19=0,"",IF($B19&gt;0,SUMIFS(calc_w_mbar,calc_state,$A19,calc_bu,$AA$4)/$B19,SUMIFS(calc_mbar_p,calc_state,$A19,calc_bu,$AA$4)/$AA19))</f>
        <v/>
      </c>
      <c r="S19" s="124">
        <f>IF($AA19=0,"",IF($B19&gt;0,SUMIFS(calc_w_amod,calc_state,$A19,calc_bu,$AA$4)/$B19,SUMIFS(calc_amod_p,calc_state,$A19,calc_bu,$AA$4)/$AA19))</f>
        <v/>
      </c>
      <c r="T19" s="125">
        <f>IF($AA19=0,"",IF($B19&gt;0,SUMIFS(calc_w_lrcur,calc_state,$A19,calc_bu,$AA$4)/$B19,SUMIFS(calc_lrcur,calc_state,$A19,calc_bu,$AA$4)/$AA19))</f>
        <v/>
      </c>
      <c r="U19" s="126">
        <f>IF($AA19=0,"",IF($B19&gt;0,SUMIFS(calc_w_cylr,calc_state,$A19,calc_bu,$AA$4)/$B19,SUMIFS(calc_cylr_p,calc_state,$A19,calc_bu,$AA$4)/$AA19))</f>
        <v/>
      </c>
      <c r="V19" s="127">
        <f>IF($AA19=0,"",IF($B19&gt;0,SUMIFS(calc_w_trend,calc_state,$A19,calc_bu,$AA$4)/$B19,SUMIFS(calc_trend,calc_state,$A19,calc_bu,$AA$4)/$AA19))</f>
        <v/>
      </c>
      <c r="W19" s="124">
        <f>IF($AA19=0,"",IF($B19&gt;0,SUMIFS(calc_w_arate1,calc_state,$A19,calc_bu,$AA$4)/$B19,SUMIFS(calc_arate_p1,calc_state,$A19,calc_bu,$AA$4)/$AA19))</f>
        <v/>
      </c>
      <c r="X19" s="124">
        <f>IF($AA19=0,"",IF($B19&gt;0,SUMIFS(calc_w_amod1,calc_state,$A19,calc_bu,$AA$4)/$B19,SUMIFS(calc_amod_p1,calc_state,$A19,calc_bu,$AA$4)/$AA19))</f>
        <v/>
      </c>
      <c r="Y19" s="126">
        <f>IF($AA19=0,"",IF($B19&gt;0,SUMIFS(calc_w_cylr1,calc_state,$A19,calc_bu,$AA$4)/$B19,SUMIFS(calc_cylr_p1,calc_state,$A19,calc_bu,$AA$4)/$AA19))</f>
        <v/>
      </c>
      <c r="Z19" s="127">
        <f>IF($AA19=0,"",IF($AC19=0,"—",SUMIFS(calc_netx,calc_state,$A19,calc_bu,$AA$4)/$AC19))</f>
        <v/>
      </c>
      <c r="AA19" s="42">
        <f>COUNTIFS(calc_state,$A19,calc_bu,$AA$4)</f>
        <v/>
      </c>
      <c r="AB19" s="23">
        <f>IF($B$4="All","",$B$4&amp;"|"&amp;$A19)</f>
        <v/>
      </c>
      <c r="AC19" s="42">
        <f>SUMIFS(calc_netmode,calc_state,$A19,calc_bu,$AA$4)</f>
        <v/>
      </c>
    </row>
    <row r="20">
      <c r="A20" s="102">
        <f>_lists!$B$15</f>
        <v/>
      </c>
      <c r="B20" s="103">
        <f>IF($AA20=0,"",SUMIFS(calc_ep,calc_state,$A20,calc_bu,$AA$4))</f>
        <v/>
      </c>
      <c r="C20" s="104">
        <f>IF($AA20=0,"",IF($B20&gt;0,SUMIFS(calc_w_mind,calc_state,$A20,calc_bu,$AA$4)/$B20,SUMIFS(lr_mind,lr_state,$A20,lr_bu,$AA$4)/$AA20))</f>
        <v/>
      </c>
      <c r="D20" s="105">
        <f>IF($AA20=0,"",IF($B20&gt;0,SUMIFS(calc_w_m0,calc_state,$A20,calc_bu,$AA$4)/$B20,SUMIFS(lr_m0,lr_state,$A20,lr_bu,$AA$4)/$AA20))</f>
        <v/>
      </c>
      <c r="E20" s="105">
        <f>IF($AA20=0,"",IF($B20&gt;0,SUMIFS(calc_w_m1,calc_state,$A20,calc_bu,$AA$4)/$B20,SUMIFS(lr_m1,lr_state,$A20,lr_bu,$AA$4)/$AA20))</f>
        <v/>
      </c>
      <c r="F20" s="106">
        <f>IF($AB20="","",IF(COUNTIFS(rl_key,$AB20,rl_seq,1)=0,"",SUMIFS(rl_eff,rl_key,$AB20,rl_seq,1)))</f>
        <v/>
      </c>
      <c r="G20" s="107">
        <f>IF($AB20="","",IF(COUNTIFS(rl_key,$AB20,rl_seq,1)=0,"",SUMIFS(rl_reff,rl_key,$AB20,rl_seq,1)))</f>
        <v/>
      </c>
      <c r="H20" s="108">
        <f>IF($AB20="","",IF(COUNTIFS(rl_key,$AB20,rl_seq,2)=0,"",SUMIFS(rl_eff,rl_key,$AB20,rl_seq,2)))</f>
        <v/>
      </c>
      <c r="I20" s="107">
        <f>IF($AB20="","",IF(COUNTIFS(rl_key,$AB20,rl_seq,2)=0,"",SUMIFS(rl_reff,rl_key,$AB20,rl_seq,2)))</f>
        <v/>
      </c>
      <c r="J20" s="108">
        <f>IF($AB20="","",IF(COUNTIFS(rl_key,$AB20,rl_seq,3)=0,"",SUMIFS(rl_eff,rl_key,$AB20,rl_seq,3)))</f>
        <v/>
      </c>
      <c r="K20" s="107">
        <f>IF($AB20="","",IF(COUNTIFS(rl_key,$AB20,rl_seq,3)=0,"",SUMIFS(rl_reff,rl_key,$AB20,rl_seq,3)))</f>
        <v/>
      </c>
      <c r="L20" s="108">
        <f>IF($AB20="","",IF(COUNTIFS(rl_key,$AB20,rl_seq,4)=0,"",SUMIFS(rl_eff,rl_key,$AB20,rl_seq,4)))</f>
        <v/>
      </c>
      <c r="M20" s="107">
        <f>IF($AB20="","",IF(COUNTIFS(rl_key,$AB20,rl_seq,4)=0,"",SUMIFS(rl_reff,rl_key,$AB20,rl_seq,4)))</f>
        <v/>
      </c>
      <c r="N20" s="109">
        <f>IF($AA20=0,"",IF($AB20="",COUNTIFS(rl_state,$A20,rl_eff,"&lt;&gt;"),COUNTIFS(rl_key,$AB20,rl_eff,"&lt;&gt;")))</f>
        <v/>
      </c>
      <c r="O20" s="110">
        <f>IF($AA20=0,"",IF($B20&gt;0,SUMIFS(calc_w_crl,calc_state,$A20,calc_bu,$AA$4)/$B20,SUMIFS(calc_crl,calc_state,$A20,calc_bu,$AA$4)/$AA20))</f>
        <v/>
      </c>
      <c r="P20" s="111">
        <f>IF($AA20=0,"",IF($B20&gt;0,SUMIFS(calc_w_ecy,calc_state,$A20,calc_bu,$AA$4)/$B20,SUMIFS(calc_ecy_p,calc_state,$A20,calc_bu,$AA$4)/$AA20))</f>
        <v/>
      </c>
      <c r="Q20" s="111">
        <f>IF($AA20=0,"",IF($B20&gt;0,SUMIFS(calc_w_arate,calc_state,$A20,calc_bu,$AA$4)/$B20,SUMIFS(calc_arate_p,calc_state,$A20,calc_bu,$AA$4)/$AA20))</f>
        <v/>
      </c>
      <c r="R20" s="105">
        <f>IF($AA20=0,"",IF($B20&gt;0,SUMIFS(calc_w_mbar,calc_state,$A20,calc_bu,$AA$4)/$B20,SUMIFS(calc_mbar_p,calc_state,$A20,calc_bu,$AA$4)/$AA20))</f>
        <v/>
      </c>
      <c r="S20" s="111">
        <f>IF($AA20=0,"",IF($B20&gt;0,SUMIFS(calc_w_amod,calc_state,$A20,calc_bu,$AA$4)/$B20,SUMIFS(calc_amod_p,calc_state,$A20,calc_bu,$AA$4)/$AA20))</f>
        <v/>
      </c>
      <c r="T20" s="112">
        <f>IF($AA20=0,"",IF($B20&gt;0,SUMIFS(calc_w_lrcur,calc_state,$A20,calc_bu,$AA$4)/$B20,SUMIFS(calc_lrcur,calc_state,$A20,calc_bu,$AA$4)/$AA20))</f>
        <v/>
      </c>
      <c r="U20" s="113">
        <f>IF($AA20=0,"",IF($B20&gt;0,SUMIFS(calc_w_cylr,calc_state,$A20,calc_bu,$AA$4)/$B20,SUMIFS(calc_cylr_p,calc_state,$A20,calc_bu,$AA$4)/$AA20))</f>
        <v/>
      </c>
      <c r="V20" s="114">
        <f>IF($AA20=0,"",IF($B20&gt;0,SUMIFS(calc_w_trend,calc_state,$A20,calc_bu,$AA$4)/$B20,SUMIFS(calc_trend,calc_state,$A20,calc_bu,$AA$4)/$AA20))</f>
        <v/>
      </c>
      <c r="W20" s="111">
        <f>IF($AA20=0,"",IF($B20&gt;0,SUMIFS(calc_w_arate1,calc_state,$A20,calc_bu,$AA$4)/$B20,SUMIFS(calc_arate_p1,calc_state,$A20,calc_bu,$AA$4)/$AA20))</f>
        <v/>
      </c>
      <c r="X20" s="111">
        <f>IF($AA20=0,"",IF($B20&gt;0,SUMIFS(calc_w_amod1,calc_state,$A20,calc_bu,$AA$4)/$B20,SUMIFS(calc_amod_p1,calc_state,$A20,calc_bu,$AA$4)/$AA20))</f>
        <v/>
      </c>
      <c r="Y20" s="113">
        <f>IF($AA20=0,"",IF($B20&gt;0,SUMIFS(calc_w_cylr1,calc_state,$A20,calc_bu,$AA$4)/$B20,SUMIFS(calc_cylr_p1,calc_state,$A20,calc_bu,$AA$4)/$AA20))</f>
        <v/>
      </c>
      <c r="Z20" s="114">
        <f>IF($AA20=0,"",IF($AC20=0,"—",SUMIFS(calc_netx,calc_state,$A20,calc_bu,$AA$4)/$AC20))</f>
        <v/>
      </c>
      <c r="AA20" s="42">
        <f>COUNTIFS(calc_state,$A20,calc_bu,$AA$4)</f>
        <v/>
      </c>
      <c r="AB20" s="23">
        <f>IF($B$4="All","",$B$4&amp;"|"&amp;$A20)</f>
        <v/>
      </c>
      <c r="AC20" s="42">
        <f>SUMIFS(calc_netmode,calc_state,$A20,calc_bu,$AA$4)</f>
        <v/>
      </c>
    </row>
    <row r="21">
      <c r="A21" s="115">
        <f>_lists!$B$16</f>
        <v/>
      </c>
      <c r="B21" s="116">
        <f>IF($AA21=0,"",SUMIFS(calc_ep,calc_state,$A21,calc_bu,$AA$4))</f>
        <v/>
      </c>
      <c r="C21" s="117">
        <f>IF($AA21=0,"",IF($B21&gt;0,SUMIFS(calc_w_mind,calc_state,$A21,calc_bu,$AA$4)/$B21,SUMIFS(lr_mind,lr_state,$A21,lr_bu,$AA$4)/$AA21))</f>
        <v/>
      </c>
      <c r="D21" s="118">
        <f>IF($AA21=0,"",IF($B21&gt;0,SUMIFS(calc_w_m0,calc_state,$A21,calc_bu,$AA$4)/$B21,SUMIFS(lr_m0,lr_state,$A21,lr_bu,$AA$4)/$AA21))</f>
        <v/>
      </c>
      <c r="E21" s="118">
        <f>IF($AA21=0,"",IF($B21&gt;0,SUMIFS(calc_w_m1,calc_state,$A21,calc_bu,$AA$4)/$B21,SUMIFS(lr_m1,lr_state,$A21,lr_bu,$AA$4)/$AA21))</f>
        <v/>
      </c>
      <c r="F21" s="119">
        <f>IF($AB21="","",IF(COUNTIFS(rl_key,$AB21,rl_seq,1)=0,"",SUMIFS(rl_eff,rl_key,$AB21,rl_seq,1)))</f>
        <v/>
      </c>
      <c r="G21" s="120">
        <f>IF($AB21="","",IF(COUNTIFS(rl_key,$AB21,rl_seq,1)=0,"",SUMIFS(rl_reff,rl_key,$AB21,rl_seq,1)))</f>
        <v/>
      </c>
      <c r="H21" s="121">
        <f>IF($AB21="","",IF(COUNTIFS(rl_key,$AB21,rl_seq,2)=0,"",SUMIFS(rl_eff,rl_key,$AB21,rl_seq,2)))</f>
        <v/>
      </c>
      <c r="I21" s="120">
        <f>IF($AB21="","",IF(COUNTIFS(rl_key,$AB21,rl_seq,2)=0,"",SUMIFS(rl_reff,rl_key,$AB21,rl_seq,2)))</f>
        <v/>
      </c>
      <c r="J21" s="121">
        <f>IF($AB21="","",IF(COUNTIFS(rl_key,$AB21,rl_seq,3)=0,"",SUMIFS(rl_eff,rl_key,$AB21,rl_seq,3)))</f>
        <v/>
      </c>
      <c r="K21" s="120">
        <f>IF($AB21="","",IF(COUNTIFS(rl_key,$AB21,rl_seq,3)=0,"",SUMIFS(rl_reff,rl_key,$AB21,rl_seq,3)))</f>
        <v/>
      </c>
      <c r="L21" s="121">
        <f>IF($AB21="","",IF(COUNTIFS(rl_key,$AB21,rl_seq,4)=0,"",SUMIFS(rl_eff,rl_key,$AB21,rl_seq,4)))</f>
        <v/>
      </c>
      <c r="M21" s="120">
        <f>IF($AB21="","",IF(COUNTIFS(rl_key,$AB21,rl_seq,4)=0,"",SUMIFS(rl_reff,rl_key,$AB21,rl_seq,4)))</f>
        <v/>
      </c>
      <c r="N21" s="122">
        <f>IF($AA21=0,"",IF($AB21="",COUNTIFS(rl_state,$A21,rl_eff,"&lt;&gt;"),COUNTIFS(rl_key,$AB21,rl_eff,"&lt;&gt;")))</f>
        <v/>
      </c>
      <c r="O21" s="123">
        <f>IF($AA21=0,"",IF($B21&gt;0,SUMIFS(calc_w_crl,calc_state,$A21,calc_bu,$AA$4)/$B21,SUMIFS(calc_crl,calc_state,$A21,calc_bu,$AA$4)/$AA21))</f>
        <v/>
      </c>
      <c r="P21" s="124">
        <f>IF($AA21=0,"",IF($B21&gt;0,SUMIFS(calc_w_ecy,calc_state,$A21,calc_bu,$AA$4)/$B21,SUMIFS(calc_ecy_p,calc_state,$A21,calc_bu,$AA$4)/$AA21))</f>
        <v/>
      </c>
      <c r="Q21" s="124">
        <f>IF($AA21=0,"",IF($B21&gt;0,SUMIFS(calc_w_arate,calc_state,$A21,calc_bu,$AA$4)/$B21,SUMIFS(calc_arate_p,calc_state,$A21,calc_bu,$AA$4)/$AA21))</f>
        <v/>
      </c>
      <c r="R21" s="118">
        <f>IF($AA21=0,"",IF($B21&gt;0,SUMIFS(calc_w_mbar,calc_state,$A21,calc_bu,$AA$4)/$B21,SUMIFS(calc_mbar_p,calc_state,$A21,calc_bu,$AA$4)/$AA21))</f>
        <v/>
      </c>
      <c r="S21" s="124">
        <f>IF($AA21=0,"",IF($B21&gt;0,SUMIFS(calc_w_amod,calc_state,$A21,calc_bu,$AA$4)/$B21,SUMIFS(calc_amod_p,calc_state,$A21,calc_bu,$AA$4)/$AA21))</f>
        <v/>
      </c>
      <c r="T21" s="125">
        <f>IF($AA21=0,"",IF($B21&gt;0,SUMIFS(calc_w_lrcur,calc_state,$A21,calc_bu,$AA$4)/$B21,SUMIFS(calc_lrcur,calc_state,$A21,calc_bu,$AA$4)/$AA21))</f>
        <v/>
      </c>
      <c r="U21" s="126">
        <f>IF($AA21=0,"",IF($B21&gt;0,SUMIFS(calc_w_cylr,calc_state,$A21,calc_bu,$AA$4)/$B21,SUMIFS(calc_cylr_p,calc_state,$A21,calc_bu,$AA$4)/$AA21))</f>
        <v/>
      </c>
      <c r="V21" s="127">
        <f>IF($AA21=0,"",IF($B21&gt;0,SUMIFS(calc_w_trend,calc_state,$A21,calc_bu,$AA$4)/$B21,SUMIFS(calc_trend,calc_state,$A21,calc_bu,$AA$4)/$AA21))</f>
        <v/>
      </c>
      <c r="W21" s="124">
        <f>IF($AA21=0,"",IF($B21&gt;0,SUMIFS(calc_w_arate1,calc_state,$A21,calc_bu,$AA$4)/$B21,SUMIFS(calc_arate_p1,calc_state,$A21,calc_bu,$AA$4)/$AA21))</f>
        <v/>
      </c>
      <c r="X21" s="124">
        <f>IF($AA21=0,"",IF($B21&gt;0,SUMIFS(calc_w_amod1,calc_state,$A21,calc_bu,$AA$4)/$B21,SUMIFS(calc_amod_p1,calc_state,$A21,calc_bu,$AA$4)/$AA21))</f>
        <v/>
      </c>
      <c r="Y21" s="126">
        <f>IF($AA21=0,"",IF($B21&gt;0,SUMIFS(calc_w_cylr1,calc_state,$A21,calc_bu,$AA$4)/$B21,SUMIFS(calc_cylr_p1,calc_state,$A21,calc_bu,$AA$4)/$AA21))</f>
        <v/>
      </c>
      <c r="Z21" s="127">
        <f>IF($AA21=0,"",IF($AC21=0,"—",SUMIFS(calc_netx,calc_state,$A21,calc_bu,$AA$4)/$AC21))</f>
        <v/>
      </c>
      <c r="AA21" s="42">
        <f>COUNTIFS(calc_state,$A21,calc_bu,$AA$4)</f>
        <v/>
      </c>
      <c r="AB21" s="23">
        <f>IF($B$4="All","",$B$4&amp;"|"&amp;$A21)</f>
        <v/>
      </c>
      <c r="AC21" s="42">
        <f>SUMIFS(calc_netmode,calc_state,$A21,calc_bu,$AA$4)</f>
        <v/>
      </c>
    </row>
    <row r="22">
      <c r="A22" s="102">
        <f>_lists!$B$17</f>
        <v/>
      </c>
      <c r="B22" s="103">
        <f>IF($AA22=0,"",SUMIFS(calc_ep,calc_state,$A22,calc_bu,$AA$4))</f>
        <v/>
      </c>
      <c r="C22" s="104">
        <f>IF($AA22=0,"",IF($B22&gt;0,SUMIFS(calc_w_mind,calc_state,$A22,calc_bu,$AA$4)/$B22,SUMIFS(lr_mind,lr_state,$A22,lr_bu,$AA$4)/$AA22))</f>
        <v/>
      </c>
      <c r="D22" s="105">
        <f>IF($AA22=0,"",IF($B22&gt;0,SUMIFS(calc_w_m0,calc_state,$A22,calc_bu,$AA$4)/$B22,SUMIFS(lr_m0,lr_state,$A22,lr_bu,$AA$4)/$AA22))</f>
        <v/>
      </c>
      <c r="E22" s="105">
        <f>IF($AA22=0,"",IF($B22&gt;0,SUMIFS(calc_w_m1,calc_state,$A22,calc_bu,$AA$4)/$B22,SUMIFS(lr_m1,lr_state,$A22,lr_bu,$AA$4)/$AA22))</f>
        <v/>
      </c>
      <c r="F22" s="106">
        <f>IF($AB22="","",IF(COUNTIFS(rl_key,$AB22,rl_seq,1)=0,"",SUMIFS(rl_eff,rl_key,$AB22,rl_seq,1)))</f>
        <v/>
      </c>
      <c r="G22" s="107">
        <f>IF($AB22="","",IF(COUNTIFS(rl_key,$AB22,rl_seq,1)=0,"",SUMIFS(rl_reff,rl_key,$AB22,rl_seq,1)))</f>
        <v/>
      </c>
      <c r="H22" s="108">
        <f>IF($AB22="","",IF(COUNTIFS(rl_key,$AB22,rl_seq,2)=0,"",SUMIFS(rl_eff,rl_key,$AB22,rl_seq,2)))</f>
        <v/>
      </c>
      <c r="I22" s="107">
        <f>IF($AB22="","",IF(COUNTIFS(rl_key,$AB22,rl_seq,2)=0,"",SUMIFS(rl_reff,rl_key,$AB22,rl_seq,2)))</f>
        <v/>
      </c>
      <c r="J22" s="108">
        <f>IF($AB22="","",IF(COUNTIFS(rl_key,$AB22,rl_seq,3)=0,"",SUMIFS(rl_eff,rl_key,$AB22,rl_seq,3)))</f>
        <v/>
      </c>
      <c r="K22" s="107">
        <f>IF($AB22="","",IF(COUNTIFS(rl_key,$AB22,rl_seq,3)=0,"",SUMIFS(rl_reff,rl_key,$AB22,rl_seq,3)))</f>
        <v/>
      </c>
      <c r="L22" s="108">
        <f>IF($AB22="","",IF(COUNTIFS(rl_key,$AB22,rl_seq,4)=0,"",SUMIFS(rl_eff,rl_key,$AB22,rl_seq,4)))</f>
        <v/>
      </c>
      <c r="M22" s="107">
        <f>IF($AB22="","",IF(COUNTIFS(rl_key,$AB22,rl_seq,4)=0,"",SUMIFS(rl_reff,rl_key,$AB22,rl_seq,4)))</f>
        <v/>
      </c>
      <c r="N22" s="109">
        <f>IF($AA22=0,"",IF($AB22="",COUNTIFS(rl_state,$A22,rl_eff,"&lt;&gt;"),COUNTIFS(rl_key,$AB22,rl_eff,"&lt;&gt;")))</f>
        <v/>
      </c>
      <c r="O22" s="110">
        <f>IF($AA22=0,"",IF($B22&gt;0,SUMIFS(calc_w_crl,calc_state,$A22,calc_bu,$AA$4)/$B22,SUMIFS(calc_crl,calc_state,$A22,calc_bu,$AA$4)/$AA22))</f>
        <v/>
      </c>
      <c r="P22" s="111">
        <f>IF($AA22=0,"",IF($B22&gt;0,SUMIFS(calc_w_ecy,calc_state,$A22,calc_bu,$AA$4)/$B22,SUMIFS(calc_ecy_p,calc_state,$A22,calc_bu,$AA$4)/$AA22))</f>
        <v/>
      </c>
      <c r="Q22" s="111">
        <f>IF($AA22=0,"",IF($B22&gt;0,SUMIFS(calc_w_arate,calc_state,$A22,calc_bu,$AA$4)/$B22,SUMIFS(calc_arate_p,calc_state,$A22,calc_bu,$AA$4)/$AA22))</f>
        <v/>
      </c>
      <c r="R22" s="105">
        <f>IF($AA22=0,"",IF($B22&gt;0,SUMIFS(calc_w_mbar,calc_state,$A22,calc_bu,$AA$4)/$B22,SUMIFS(calc_mbar_p,calc_state,$A22,calc_bu,$AA$4)/$AA22))</f>
        <v/>
      </c>
      <c r="S22" s="111">
        <f>IF($AA22=0,"",IF($B22&gt;0,SUMIFS(calc_w_amod,calc_state,$A22,calc_bu,$AA$4)/$B22,SUMIFS(calc_amod_p,calc_state,$A22,calc_bu,$AA$4)/$AA22))</f>
        <v/>
      </c>
      <c r="T22" s="112">
        <f>IF($AA22=0,"",IF($B22&gt;0,SUMIFS(calc_w_lrcur,calc_state,$A22,calc_bu,$AA$4)/$B22,SUMIFS(calc_lrcur,calc_state,$A22,calc_bu,$AA$4)/$AA22))</f>
        <v/>
      </c>
      <c r="U22" s="113">
        <f>IF($AA22=0,"",IF($B22&gt;0,SUMIFS(calc_w_cylr,calc_state,$A22,calc_bu,$AA$4)/$B22,SUMIFS(calc_cylr_p,calc_state,$A22,calc_bu,$AA$4)/$AA22))</f>
        <v/>
      </c>
      <c r="V22" s="114">
        <f>IF($AA22=0,"",IF($B22&gt;0,SUMIFS(calc_w_trend,calc_state,$A22,calc_bu,$AA$4)/$B22,SUMIFS(calc_trend,calc_state,$A22,calc_bu,$AA$4)/$AA22))</f>
        <v/>
      </c>
      <c r="W22" s="111">
        <f>IF($AA22=0,"",IF($B22&gt;0,SUMIFS(calc_w_arate1,calc_state,$A22,calc_bu,$AA$4)/$B22,SUMIFS(calc_arate_p1,calc_state,$A22,calc_bu,$AA$4)/$AA22))</f>
        <v/>
      </c>
      <c r="X22" s="111">
        <f>IF($AA22=0,"",IF($B22&gt;0,SUMIFS(calc_w_amod1,calc_state,$A22,calc_bu,$AA$4)/$B22,SUMIFS(calc_amod_p1,calc_state,$A22,calc_bu,$AA$4)/$AA22))</f>
        <v/>
      </c>
      <c r="Y22" s="113">
        <f>IF($AA22=0,"",IF($B22&gt;0,SUMIFS(calc_w_cylr1,calc_state,$A22,calc_bu,$AA$4)/$B22,SUMIFS(calc_cylr_p1,calc_state,$A22,calc_bu,$AA$4)/$AA22))</f>
        <v/>
      </c>
      <c r="Z22" s="114">
        <f>IF($AA22=0,"",IF($AC22=0,"—",SUMIFS(calc_netx,calc_state,$A22,calc_bu,$AA$4)/$AC22))</f>
        <v/>
      </c>
      <c r="AA22" s="42">
        <f>COUNTIFS(calc_state,$A22,calc_bu,$AA$4)</f>
        <v/>
      </c>
      <c r="AB22" s="23">
        <f>IF($B$4="All","",$B$4&amp;"|"&amp;$A22)</f>
        <v/>
      </c>
      <c r="AC22" s="42">
        <f>SUMIFS(calc_netmode,calc_state,$A22,calc_bu,$AA$4)</f>
        <v/>
      </c>
    </row>
    <row r="23">
      <c r="A23" s="115">
        <f>_lists!$B$18</f>
        <v/>
      </c>
      <c r="B23" s="116">
        <f>IF($AA23=0,"",SUMIFS(calc_ep,calc_state,$A23,calc_bu,$AA$4))</f>
        <v/>
      </c>
      <c r="C23" s="117">
        <f>IF($AA23=0,"",IF($B23&gt;0,SUMIFS(calc_w_mind,calc_state,$A23,calc_bu,$AA$4)/$B23,SUMIFS(lr_mind,lr_state,$A23,lr_bu,$AA$4)/$AA23))</f>
        <v/>
      </c>
      <c r="D23" s="118">
        <f>IF($AA23=0,"",IF($B23&gt;0,SUMIFS(calc_w_m0,calc_state,$A23,calc_bu,$AA$4)/$B23,SUMIFS(lr_m0,lr_state,$A23,lr_bu,$AA$4)/$AA23))</f>
        <v/>
      </c>
      <c r="E23" s="118">
        <f>IF($AA23=0,"",IF($B23&gt;0,SUMIFS(calc_w_m1,calc_state,$A23,calc_bu,$AA$4)/$B23,SUMIFS(lr_m1,lr_state,$A23,lr_bu,$AA$4)/$AA23))</f>
        <v/>
      </c>
      <c r="F23" s="119">
        <f>IF($AB23="","",IF(COUNTIFS(rl_key,$AB23,rl_seq,1)=0,"",SUMIFS(rl_eff,rl_key,$AB23,rl_seq,1)))</f>
        <v/>
      </c>
      <c r="G23" s="120">
        <f>IF($AB23="","",IF(COUNTIFS(rl_key,$AB23,rl_seq,1)=0,"",SUMIFS(rl_reff,rl_key,$AB23,rl_seq,1)))</f>
        <v/>
      </c>
      <c r="H23" s="121">
        <f>IF($AB23="","",IF(COUNTIFS(rl_key,$AB23,rl_seq,2)=0,"",SUMIFS(rl_eff,rl_key,$AB23,rl_seq,2)))</f>
        <v/>
      </c>
      <c r="I23" s="120">
        <f>IF($AB23="","",IF(COUNTIFS(rl_key,$AB23,rl_seq,2)=0,"",SUMIFS(rl_reff,rl_key,$AB23,rl_seq,2)))</f>
        <v/>
      </c>
      <c r="J23" s="121">
        <f>IF($AB23="","",IF(COUNTIFS(rl_key,$AB23,rl_seq,3)=0,"",SUMIFS(rl_eff,rl_key,$AB23,rl_seq,3)))</f>
        <v/>
      </c>
      <c r="K23" s="120">
        <f>IF($AB23="","",IF(COUNTIFS(rl_key,$AB23,rl_seq,3)=0,"",SUMIFS(rl_reff,rl_key,$AB23,rl_seq,3)))</f>
        <v/>
      </c>
      <c r="L23" s="121">
        <f>IF($AB23="","",IF(COUNTIFS(rl_key,$AB23,rl_seq,4)=0,"",SUMIFS(rl_eff,rl_key,$AB23,rl_seq,4)))</f>
        <v/>
      </c>
      <c r="M23" s="120">
        <f>IF($AB23="","",IF(COUNTIFS(rl_key,$AB23,rl_seq,4)=0,"",SUMIFS(rl_reff,rl_key,$AB23,rl_seq,4)))</f>
        <v/>
      </c>
      <c r="N23" s="122">
        <f>IF($AA23=0,"",IF($AB23="",COUNTIFS(rl_state,$A23,rl_eff,"&lt;&gt;"),COUNTIFS(rl_key,$AB23,rl_eff,"&lt;&gt;")))</f>
        <v/>
      </c>
      <c r="O23" s="123">
        <f>IF($AA23=0,"",IF($B23&gt;0,SUMIFS(calc_w_crl,calc_state,$A23,calc_bu,$AA$4)/$B23,SUMIFS(calc_crl,calc_state,$A23,calc_bu,$AA$4)/$AA23))</f>
        <v/>
      </c>
      <c r="P23" s="124">
        <f>IF($AA23=0,"",IF($B23&gt;0,SUMIFS(calc_w_ecy,calc_state,$A23,calc_bu,$AA$4)/$B23,SUMIFS(calc_ecy_p,calc_state,$A23,calc_bu,$AA$4)/$AA23))</f>
        <v/>
      </c>
      <c r="Q23" s="124">
        <f>IF($AA23=0,"",IF($B23&gt;0,SUMIFS(calc_w_arate,calc_state,$A23,calc_bu,$AA$4)/$B23,SUMIFS(calc_arate_p,calc_state,$A23,calc_bu,$AA$4)/$AA23))</f>
        <v/>
      </c>
      <c r="R23" s="118">
        <f>IF($AA23=0,"",IF($B23&gt;0,SUMIFS(calc_w_mbar,calc_state,$A23,calc_bu,$AA$4)/$B23,SUMIFS(calc_mbar_p,calc_state,$A23,calc_bu,$AA$4)/$AA23))</f>
        <v/>
      </c>
      <c r="S23" s="124">
        <f>IF($AA23=0,"",IF($B23&gt;0,SUMIFS(calc_w_amod,calc_state,$A23,calc_bu,$AA$4)/$B23,SUMIFS(calc_amod_p,calc_state,$A23,calc_bu,$AA$4)/$AA23))</f>
        <v/>
      </c>
      <c r="T23" s="125">
        <f>IF($AA23=0,"",IF($B23&gt;0,SUMIFS(calc_w_lrcur,calc_state,$A23,calc_bu,$AA$4)/$B23,SUMIFS(calc_lrcur,calc_state,$A23,calc_bu,$AA$4)/$AA23))</f>
        <v/>
      </c>
      <c r="U23" s="126">
        <f>IF($AA23=0,"",IF($B23&gt;0,SUMIFS(calc_w_cylr,calc_state,$A23,calc_bu,$AA$4)/$B23,SUMIFS(calc_cylr_p,calc_state,$A23,calc_bu,$AA$4)/$AA23))</f>
        <v/>
      </c>
      <c r="V23" s="127">
        <f>IF($AA23=0,"",IF($B23&gt;0,SUMIFS(calc_w_trend,calc_state,$A23,calc_bu,$AA$4)/$B23,SUMIFS(calc_trend,calc_state,$A23,calc_bu,$AA$4)/$AA23))</f>
        <v/>
      </c>
      <c r="W23" s="124">
        <f>IF($AA23=0,"",IF($B23&gt;0,SUMIFS(calc_w_arate1,calc_state,$A23,calc_bu,$AA$4)/$B23,SUMIFS(calc_arate_p1,calc_state,$A23,calc_bu,$AA$4)/$AA23))</f>
        <v/>
      </c>
      <c r="X23" s="124">
        <f>IF($AA23=0,"",IF($B23&gt;0,SUMIFS(calc_w_amod1,calc_state,$A23,calc_bu,$AA$4)/$B23,SUMIFS(calc_amod_p1,calc_state,$A23,calc_bu,$AA$4)/$AA23))</f>
        <v/>
      </c>
      <c r="Y23" s="126">
        <f>IF($AA23=0,"",IF($B23&gt;0,SUMIFS(calc_w_cylr1,calc_state,$A23,calc_bu,$AA$4)/$B23,SUMIFS(calc_cylr_p1,calc_state,$A23,calc_bu,$AA$4)/$AA23))</f>
        <v/>
      </c>
      <c r="Z23" s="127">
        <f>IF($AA23=0,"",IF($AC23=0,"—",SUMIFS(calc_netx,calc_state,$A23,calc_bu,$AA$4)/$AC23))</f>
        <v/>
      </c>
      <c r="AA23" s="42">
        <f>COUNTIFS(calc_state,$A23,calc_bu,$AA$4)</f>
        <v/>
      </c>
      <c r="AB23" s="23">
        <f>IF($B$4="All","",$B$4&amp;"|"&amp;$A23)</f>
        <v/>
      </c>
      <c r="AC23" s="42">
        <f>SUMIFS(calc_netmode,calc_state,$A23,calc_bu,$AA$4)</f>
        <v/>
      </c>
    </row>
    <row r="24">
      <c r="A24" s="102">
        <f>_lists!$B$19</f>
        <v/>
      </c>
      <c r="B24" s="103">
        <f>IF($AA24=0,"",SUMIFS(calc_ep,calc_state,$A24,calc_bu,$AA$4))</f>
        <v/>
      </c>
      <c r="C24" s="104">
        <f>IF($AA24=0,"",IF($B24&gt;0,SUMIFS(calc_w_mind,calc_state,$A24,calc_bu,$AA$4)/$B24,SUMIFS(lr_mind,lr_state,$A24,lr_bu,$AA$4)/$AA24))</f>
        <v/>
      </c>
      <c r="D24" s="105">
        <f>IF($AA24=0,"",IF($B24&gt;0,SUMIFS(calc_w_m0,calc_state,$A24,calc_bu,$AA$4)/$B24,SUMIFS(lr_m0,lr_state,$A24,lr_bu,$AA$4)/$AA24))</f>
        <v/>
      </c>
      <c r="E24" s="105">
        <f>IF($AA24=0,"",IF($B24&gt;0,SUMIFS(calc_w_m1,calc_state,$A24,calc_bu,$AA$4)/$B24,SUMIFS(lr_m1,lr_state,$A24,lr_bu,$AA$4)/$AA24))</f>
        <v/>
      </c>
      <c r="F24" s="106">
        <f>IF($AB24="","",IF(COUNTIFS(rl_key,$AB24,rl_seq,1)=0,"",SUMIFS(rl_eff,rl_key,$AB24,rl_seq,1)))</f>
        <v/>
      </c>
      <c r="G24" s="107">
        <f>IF($AB24="","",IF(COUNTIFS(rl_key,$AB24,rl_seq,1)=0,"",SUMIFS(rl_reff,rl_key,$AB24,rl_seq,1)))</f>
        <v/>
      </c>
      <c r="H24" s="108">
        <f>IF($AB24="","",IF(COUNTIFS(rl_key,$AB24,rl_seq,2)=0,"",SUMIFS(rl_eff,rl_key,$AB24,rl_seq,2)))</f>
        <v/>
      </c>
      <c r="I24" s="107">
        <f>IF($AB24="","",IF(COUNTIFS(rl_key,$AB24,rl_seq,2)=0,"",SUMIFS(rl_reff,rl_key,$AB24,rl_seq,2)))</f>
        <v/>
      </c>
      <c r="J24" s="108">
        <f>IF($AB24="","",IF(COUNTIFS(rl_key,$AB24,rl_seq,3)=0,"",SUMIFS(rl_eff,rl_key,$AB24,rl_seq,3)))</f>
        <v/>
      </c>
      <c r="K24" s="107">
        <f>IF($AB24="","",IF(COUNTIFS(rl_key,$AB24,rl_seq,3)=0,"",SUMIFS(rl_reff,rl_key,$AB24,rl_seq,3)))</f>
        <v/>
      </c>
      <c r="L24" s="108">
        <f>IF($AB24="","",IF(COUNTIFS(rl_key,$AB24,rl_seq,4)=0,"",SUMIFS(rl_eff,rl_key,$AB24,rl_seq,4)))</f>
        <v/>
      </c>
      <c r="M24" s="107">
        <f>IF($AB24="","",IF(COUNTIFS(rl_key,$AB24,rl_seq,4)=0,"",SUMIFS(rl_reff,rl_key,$AB24,rl_seq,4)))</f>
        <v/>
      </c>
      <c r="N24" s="109">
        <f>IF($AA24=0,"",IF($AB24="",COUNTIFS(rl_state,$A24,rl_eff,"&lt;&gt;"),COUNTIFS(rl_key,$AB24,rl_eff,"&lt;&gt;")))</f>
        <v/>
      </c>
      <c r="O24" s="110">
        <f>IF($AA24=0,"",IF($B24&gt;0,SUMIFS(calc_w_crl,calc_state,$A24,calc_bu,$AA$4)/$B24,SUMIFS(calc_crl,calc_state,$A24,calc_bu,$AA$4)/$AA24))</f>
        <v/>
      </c>
      <c r="P24" s="111">
        <f>IF($AA24=0,"",IF($B24&gt;0,SUMIFS(calc_w_ecy,calc_state,$A24,calc_bu,$AA$4)/$B24,SUMIFS(calc_ecy_p,calc_state,$A24,calc_bu,$AA$4)/$AA24))</f>
        <v/>
      </c>
      <c r="Q24" s="111">
        <f>IF($AA24=0,"",IF($B24&gt;0,SUMIFS(calc_w_arate,calc_state,$A24,calc_bu,$AA$4)/$B24,SUMIFS(calc_arate_p,calc_state,$A24,calc_bu,$AA$4)/$AA24))</f>
        <v/>
      </c>
      <c r="R24" s="105">
        <f>IF($AA24=0,"",IF($B24&gt;0,SUMIFS(calc_w_mbar,calc_state,$A24,calc_bu,$AA$4)/$B24,SUMIFS(calc_mbar_p,calc_state,$A24,calc_bu,$AA$4)/$AA24))</f>
        <v/>
      </c>
      <c r="S24" s="111">
        <f>IF($AA24=0,"",IF($B24&gt;0,SUMIFS(calc_w_amod,calc_state,$A24,calc_bu,$AA$4)/$B24,SUMIFS(calc_amod_p,calc_state,$A24,calc_bu,$AA$4)/$AA24))</f>
        <v/>
      </c>
      <c r="T24" s="112">
        <f>IF($AA24=0,"",IF($B24&gt;0,SUMIFS(calc_w_lrcur,calc_state,$A24,calc_bu,$AA$4)/$B24,SUMIFS(calc_lrcur,calc_state,$A24,calc_bu,$AA$4)/$AA24))</f>
        <v/>
      </c>
      <c r="U24" s="113">
        <f>IF($AA24=0,"",IF($B24&gt;0,SUMIFS(calc_w_cylr,calc_state,$A24,calc_bu,$AA$4)/$B24,SUMIFS(calc_cylr_p,calc_state,$A24,calc_bu,$AA$4)/$AA24))</f>
        <v/>
      </c>
      <c r="V24" s="114">
        <f>IF($AA24=0,"",IF($B24&gt;0,SUMIFS(calc_w_trend,calc_state,$A24,calc_bu,$AA$4)/$B24,SUMIFS(calc_trend,calc_state,$A24,calc_bu,$AA$4)/$AA24))</f>
        <v/>
      </c>
      <c r="W24" s="111">
        <f>IF($AA24=0,"",IF($B24&gt;0,SUMIFS(calc_w_arate1,calc_state,$A24,calc_bu,$AA$4)/$B24,SUMIFS(calc_arate_p1,calc_state,$A24,calc_bu,$AA$4)/$AA24))</f>
        <v/>
      </c>
      <c r="X24" s="111">
        <f>IF($AA24=0,"",IF($B24&gt;0,SUMIFS(calc_w_amod1,calc_state,$A24,calc_bu,$AA$4)/$B24,SUMIFS(calc_amod_p1,calc_state,$A24,calc_bu,$AA$4)/$AA24))</f>
        <v/>
      </c>
      <c r="Y24" s="113">
        <f>IF($AA24=0,"",IF($B24&gt;0,SUMIFS(calc_w_cylr1,calc_state,$A24,calc_bu,$AA$4)/$B24,SUMIFS(calc_cylr_p1,calc_state,$A24,calc_bu,$AA$4)/$AA24))</f>
        <v/>
      </c>
      <c r="Z24" s="114">
        <f>IF($AA24=0,"",IF($AC24=0,"—",SUMIFS(calc_netx,calc_state,$A24,calc_bu,$AA$4)/$AC24))</f>
        <v/>
      </c>
      <c r="AA24" s="42">
        <f>COUNTIFS(calc_state,$A24,calc_bu,$AA$4)</f>
        <v/>
      </c>
      <c r="AB24" s="23">
        <f>IF($B$4="All","",$B$4&amp;"|"&amp;$A24)</f>
        <v/>
      </c>
      <c r="AC24" s="42">
        <f>SUMIFS(calc_netmode,calc_state,$A24,calc_bu,$AA$4)</f>
        <v/>
      </c>
    </row>
    <row r="25">
      <c r="A25" s="115">
        <f>_lists!$B$20</f>
        <v/>
      </c>
      <c r="B25" s="116">
        <f>IF($AA25=0,"",SUMIFS(calc_ep,calc_state,$A25,calc_bu,$AA$4))</f>
        <v/>
      </c>
      <c r="C25" s="117">
        <f>IF($AA25=0,"",IF($B25&gt;0,SUMIFS(calc_w_mind,calc_state,$A25,calc_bu,$AA$4)/$B25,SUMIFS(lr_mind,lr_state,$A25,lr_bu,$AA$4)/$AA25))</f>
        <v/>
      </c>
      <c r="D25" s="118">
        <f>IF($AA25=0,"",IF($B25&gt;0,SUMIFS(calc_w_m0,calc_state,$A25,calc_bu,$AA$4)/$B25,SUMIFS(lr_m0,lr_state,$A25,lr_bu,$AA$4)/$AA25))</f>
        <v/>
      </c>
      <c r="E25" s="118">
        <f>IF($AA25=0,"",IF($B25&gt;0,SUMIFS(calc_w_m1,calc_state,$A25,calc_bu,$AA$4)/$B25,SUMIFS(lr_m1,lr_state,$A25,lr_bu,$AA$4)/$AA25))</f>
        <v/>
      </c>
      <c r="F25" s="119">
        <f>IF($AB25="","",IF(COUNTIFS(rl_key,$AB25,rl_seq,1)=0,"",SUMIFS(rl_eff,rl_key,$AB25,rl_seq,1)))</f>
        <v/>
      </c>
      <c r="G25" s="120">
        <f>IF($AB25="","",IF(COUNTIFS(rl_key,$AB25,rl_seq,1)=0,"",SUMIFS(rl_reff,rl_key,$AB25,rl_seq,1)))</f>
        <v/>
      </c>
      <c r="H25" s="121">
        <f>IF($AB25="","",IF(COUNTIFS(rl_key,$AB25,rl_seq,2)=0,"",SUMIFS(rl_eff,rl_key,$AB25,rl_seq,2)))</f>
        <v/>
      </c>
      <c r="I25" s="120">
        <f>IF($AB25="","",IF(COUNTIFS(rl_key,$AB25,rl_seq,2)=0,"",SUMIFS(rl_reff,rl_key,$AB25,rl_seq,2)))</f>
        <v/>
      </c>
      <c r="J25" s="121">
        <f>IF($AB25="","",IF(COUNTIFS(rl_key,$AB25,rl_seq,3)=0,"",SUMIFS(rl_eff,rl_key,$AB25,rl_seq,3)))</f>
        <v/>
      </c>
      <c r="K25" s="120">
        <f>IF($AB25="","",IF(COUNTIFS(rl_key,$AB25,rl_seq,3)=0,"",SUMIFS(rl_reff,rl_key,$AB25,rl_seq,3)))</f>
        <v/>
      </c>
      <c r="L25" s="121">
        <f>IF($AB25="","",IF(COUNTIFS(rl_key,$AB25,rl_seq,4)=0,"",SUMIFS(rl_eff,rl_key,$AB25,rl_seq,4)))</f>
        <v/>
      </c>
      <c r="M25" s="120">
        <f>IF($AB25="","",IF(COUNTIFS(rl_key,$AB25,rl_seq,4)=0,"",SUMIFS(rl_reff,rl_key,$AB25,rl_seq,4)))</f>
        <v/>
      </c>
      <c r="N25" s="122">
        <f>IF($AA25=0,"",IF($AB25="",COUNTIFS(rl_state,$A25,rl_eff,"&lt;&gt;"),COUNTIFS(rl_key,$AB25,rl_eff,"&lt;&gt;")))</f>
        <v/>
      </c>
      <c r="O25" s="123">
        <f>IF($AA25=0,"",IF($B25&gt;0,SUMIFS(calc_w_crl,calc_state,$A25,calc_bu,$AA$4)/$B25,SUMIFS(calc_crl,calc_state,$A25,calc_bu,$AA$4)/$AA25))</f>
        <v/>
      </c>
      <c r="P25" s="124">
        <f>IF($AA25=0,"",IF($B25&gt;0,SUMIFS(calc_w_ecy,calc_state,$A25,calc_bu,$AA$4)/$B25,SUMIFS(calc_ecy_p,calc_state,$A25,calc_bu,$AA$4)/$AA25))</f>
        <v/>
      </c>
      <c r="Q25" s="124">
        <f>IF($AA25=0,"",IF($B25&gt;0,SUMIFS(calc_w_arate,calc_state,$A25,calc_bu,$AA$4)/$B25,SUMIFS(calc_arate_p,calc_state,$A25,calc_bu,$AA$4)/$AA25))</f>
        <v/>
      </c>
      <c r="R25" s="118">
        <f>IF($AA25=0,"",IF($B25&gt;0,SUMIFS(calc_w_mbar,calc_state,$A25,calc_bu,$AA$4)/$B25,SUMIFS(calc_mbar_p,calc_state,$A25,calc_bu,$AA$4)/$AA25))</f>
        <v/>
      </c>
      <c r="S25" s="124">
        <f>IF($AA25=0,"",IF($B25&gt;0,SUMIFS(calc_w_amod,calc_state,$A25,calc_bu,$AA$4)/$B25,SUMIFS(calc_amod_p,calc_state,$A25,calc_bu,$AA$4)/$AA25))</f>
        <v/>
      </c>
      <c r="T25" s="125">
        <f>IF($AA25=0,"",IF($B25&gt;0,SUMIFS(calc_w_lrcur,calc_state,$A25,calc_bu,$AA$4)/$B25,SUMIFS(calc_lrcur,calc_state,$A25,calc_bu,$AA$4)/$AA25))</f>
        <v/>
      </c>
      <c r="U25" s="126">
        <f>IF($AA25=0,"",IF($B25&gt;0,SUMIFS(calc_w_cylr,calc_state,$A25,calc_bu,$AA$4)/$B25,SUMIFS(calc_cylr_p,calc_state,$A25,calc_bu,$AA$4)/$AA25))</f>
        <v/>
      </c>
      <c r="V25" s="127">
        <f>IF($AA25=0,"",IF($B25&gt;0,SUMIFS(calc_w_trend,calc_state,$A25,calc_bu,$AA$4)/$B25,SUMIFS(calc_trend,calc_state,$A25,calc_bu,$AA$4)/$AA25))</f>
        <v/>
      </c>
      <c r="W25" s="124">
        <f>IF($AA25=0,"",IF($B25&gt;0,SUMIFS(calc_w_arate1,calc_state,$A25,calc_bu,$AA$4)/$B25,SUMIFS(calc_arate_p1,calc_state,$A25,calc_bu,$AA$4)/$AA25))</f>
        <v/>
      </c>
      <c r="X25" s="124">
        <f>IF($AA25=0,"",IF($B25&gt;0,SUMIFS(calc_w_amod1,calc_state,$A25,calc_bu,$AA$4)/$B25,SUMIFS(calc_amod_p1,calc_state,$A25,calc_bu,$AA$4)/$AA25))</f>
        <v/>
      </c>
      <c r="Y25" s="126">
        <f>IF($AA25=0,"",IF($B25&gt;0,SUMIFS(calc_w_cylr1,calc_state,$A25,calc_bu,$AA$4)/$B25,SUMIFS(calc_cylr_p1,calc_state,$A25,calc_bu,$AA$4)/$AA25))</f>
        <v/>
      </c>
      <c r="Z25" s="127">
        <f>IF($AA25=0,"",IF($AC25=0,"—",SUMIFS(calc_netx,calc_state,$A25,calc_bu,$AA$4)/$AC25))</f>
        <v/>
      </c>
      <c r="AA25" s="42">
        <f>COUNTIFS(calc_state,$A25,calc_bu,$AA$4)</f>
        <v/>
      </c>
      <c r="AB25" s="23">
        <f>IF($B$4="All","",$B$4&amp;"|"&amp;$A25)</f>
        <v/>
      </c>
      <c r="AC25" s="42">
        <f>SUMIFS(calc_netmode,calc_state,$A25,calc_bu,$AA$4)</f>
        <v/>
      </c>
    </row>
    <row r="26">
      <c r="A26" s="102">
        <f>_lists!$B$21</f>
        <v/>
      </c>
      <c r="B26" s="103">
        <f>IF($AA26=0,"",SUMIFS(calc_ep,calc_state,$A26,calc_bu,$AA$4))</f>
        <v/>
      </c>
      <c r="C26" s="104">
        <f>IF($AA26=0,"",IF($B26&gt;0,SUMIFS(calc_w_mind,calc_state,$A26,calc_bu,$AA$4)/$B26,SUMIFS(lr_mind,lr_state,$A26,lr_bu,$AA$4)/$AA26))</f>
        <v/>
      </c>
      <c r="D26" s="105">
        <f>IF($AA26=0,"",IF($B26&gt;0,SUMIFS(calc_w_m0,calc_state,$A26,calc_bu,$AA$4)/$B26,SUMIFS(lr_m0,lr_state,$A26,lr_bu,$AA$4)/$AA26))</f>
        <v/>
      </c>
      <c r="E26" s="105">
        <f>IF($AA26=0,"",IF($B26&gt;0,SUMIFS(calc_w_m1,calc_state,$A26,calc_bu,$AA$4)/$B26,SUMIFS(lr_m1,lr_state,$A26,lr_bu,$AA$4)/$AA26))</f>
        <v/>
      </c>
      <c r="F26" s="106">
        <f>IF($AB26="","",IF(COUNTIFS(rl_key,$AB26,rl_seq,1)=0,"",SUMIFS(rl_eff,rl_key,$AB26,rl_seq,1)))</f>
        <v/>
      </c>
      <c r="G26" s="107">
        <f>IF($AB26="","",IF(COUNTIFS(rl_key,$AB26,rl_seq,1)=0,"",SUMIFS(rl_reff,rl_key,$AB26,rl_seq,1)))</f>
        <v/>
      </c>
      <c r="H26" s="108">
        <f>IF($AB26="","",IF(COUNTIFS(rl_key,$AB26,rl_seq,2)=0,"",SUMIFS(rl_eff,rl_key,$AB26,rl_seq,2)))</f>
        <v/>
      </c>
      <c r="I26" s="107">
        <f>IF($AB26="","",IF(COUNTIFS(rl_key,$AB26,rl_seq,2)=0,"",SUMIFS(rl_reff,rl_key,$AB26,rl_seq,2)))</f>
        <v/>
      </c>
      <c r="J26" s="108">
        <f>IF($AB26="","",IF(COUNTIFS(rl_key,$AB26,rl_seq,3)=0,"",SUMIFS(rl_eff,rl_key,$AB26,rl_seq,3)))</f>
        <v/>
      </c>
      <c r="K26" s="107">
        <f>IF($AB26="","",IF(COUNTIFS(rl_key,$AB26,rl_seq,3)=0,"",SUMIFS(rl_reff,rl_key,$AB26,rl_seq,3)))</f>
        <v/>
      </c>
      <c r="L26" s="108">
        <f>IF($AB26="","",IF(COUNTIFS(rl_key,$AB26,rl_seq,4)=0,"",SUMIFS(rl_eff,rl_key,$AB26,rl_seq,4)))</f>
        <v/>
      </c>
      <c r="M26" s="107">
        <f>IF($AB26="","",IF(COUNTIFS(rl_key,$AB26,rl_seq,4)=0,"",SUMIFS(rl_reff,rl_key,$AB26,rl_seq,4)))</f>
        <v/>
      </c>
      <c r="N26" s="109">
        <f>IF($AA26=0,"",IF($AB26="",COUNTIFS(rl_state,$A26,rl_eff,"&lt;&gt;"),COUNTIFS(rl_key,$AB26,rl_eff,"&lt;&gt;")))</f>
        <v/>
      </c>
      <c r="O26" s="110">
        <f>IF($AA26=0,"",IF($B26&gt;0,SUMIFS(calc_w_crl,calc_state,$A26,calc_bu,$AA$4)/$B26,SUMIFS(calc_crl,calc_state,$A26,calc_bu,$AA$4)/$AA26))</f>
        <v/>
      </c>
      <c r="P26" s="111">
        <f>IF($AA26=0,"",IF($B26&gt;0,SUMIFS(calc_w_ecy,calc_state,$A26,calc_bu,$AA$4)/$B26,SUMIFS(calc_ecy_p,calc_state,$A26,calc_bu,$AA$4)/$AA26))</f>
        <v/>
      </c>
      <c r="Q26" s="111">
        <f>IF($AA26=0,"",IF($B26&gt;0,SUMIFS(calc_w_arate,calc_state,$A26,calc_bu,$AA$4)/$B26,SUMIFS(calc_arate_p,calc_state,$A26,calc_bu,$AA$4)/$AA26))</f>
        <v/>
      </c>
      <c r="R26" s="105">
        <f>IF($AA26=0,"",IF($B26&gt;0,SUMIFS(calc_w_mbar,calc_state,$A26,calc_bu,$AA$4)/$B26,SUMIFS(calc_mbar_p,calc_state,$A26,calc_bu,$AA$4)/$AA26))</f>
        <v/>
      </c>
      <c r="S26" s="111">
        <f>IF($AA26=0,"",IF($B26&gt;0,SUMIFS(calc_w_amod,calc_state,$A26,calc_bu,$AA$4)/$B26,SUMIFS(calc_amod_p,calc_state,$A26,calc_bu,$AA$4)/$AA26))</f>
        <v/>
      </c>
      <c r="T26" s="112">
        <f>IF($AA26=0,"",IF($B26&gt;0,SUMIFS(calc_w_lrcur,calc_state,$A26,calc_bu,$AA$4)/$B26,SUMIFS(calc_lrcur,calc_state,$A26,calc_bu,$AA$4)/$AA26))</f>
        <v/>
      </c>
      <c r="U26" s="113">
        <f>IF($AA26=0,"",IF($B26&gt;0,SUMIFS(calc_w_cylr,calc_state,$A26,calc_bu,$AA$4)/$B26,SUMIFS(calc_cylr_p,calc_state,$A26,calc_bu,$AA$4)/$AA26))</f>
        <v/>
      </c>
      <c r="V26" s="114">
        <f>IF($AA26=0,"",IF($B26&gt;0,SUMIFS(calc_w_trend,calc_state,$A26,calc_bu,$AA$4)/$B26,SUMIFS(calc_trend,calc_state,$A26,calc_bu,$AA$4)/$AA26))</f>
        <v/>
      </c>
      <c r="W26" s="111">
        <f>IF($AA26=0,"",IF($B26&gt;0,SUMIFS(calc_w_arate1,calc_state,$A26,calc_bu,$AA$4)/$B26,SUMIFS(calc_arate_p1,calc_state,$A26,calc_bu,$AA$4)/$AA26))</f>
        <v/>
      </c>
      <c r="X26" s="111">
        <f>IF($AA26=0,"",IF($B26&gt;0,SUMIFS(calc_w_amod1,calc_state,$A26,calc_bu,$AA$4)/$B26,SUMIFS(calc_amod_p1,calc_state,$A26,calc_bu,$AA$4)/$AA26))</f>
        <v/>
      </c>
      <c r="Y26" s="113">
        <f>IF($AA26=0,"",IF($B26&gt;0,SUMIFS(calc_w_cylr1,calc_state,$A26,calc_bu,$AA$4)/$B26,SUMIFS(calc_cylr_p1,calc_state,$A26,calc_bu,$AA$4)/$AA26))</f>
        <v/>
      </c>
      <c r="Z26" s="114">
        <f>IF($AA26=0,"",IF($AC26=0,"—",SUMIFS(calc_netx,calc_state,$A26,calc_bu,$AA$4)/$AC26))</f>
        <v/>
      </c>
      <c r="AA26" s="42">
        <f>COUNTIFS(calc_state,$A26,calc_bu,$AA$4)</f>
        <v/>
      </c>
      <c r="AB26" s="23">
        <f>IF($B$4="All","",$B$4&amp;"|"&amp;$A26)</f>
        <v/>
      </c>
      <c r="AC26" s="42">
        <f>SUMIFS(calc_netmode,calc_state,$A26,calc_bu,$AA$4)</f>
        <v/>
      </c>
    </row>
    <row r="27">
      <c r="A27" s="115">
        <f>_lists!$B$22</f>
        <v/>
      </c>
      <c r="B27" s="116">
        <f>IF($AA27=0,"",SUMIFS(calc_ep,calc_state,$A27,calc_bu,$AA$4))</f>
        <v/>
      </c>
      <c r="C27" s="117">
        <f>IF($AA27=0,"",IF($B27&gt;0,SUMIFS(calc_w_mind,calc_state,$A27,calc_bu,$AA$4)/$B27,SUMIFS(lr_mind,lr_state,$A27,lr_bu,$AA$4)/$AA27))</f>
        <v/>
      </c>
      <c r="D27" s="118">
        <f>IF($AA27=0,"",IF($B27&gt;0,SUMIFS(calc_w_m0,calc_state,$A27,calc_bu,$AA$4)/$B27,SUMIFS(lr_m0,lr_state,$A27,lr_bu,$AA$4)/$AA27))</f>
        <v/>
      </c>
      <c r="E27" s="118">
        <f>IF($AA27=0,"",IF($B27&gt;0,SUMIFS(calc_w_m1,calc_state,$A27,calc_bu,$AA$4)/$B27,SUMIFS(lr_m1,lr_state,$A27,lr_bu,$AA$4)/$AA27))</f>
        <v/>
      </c>
      <c r="F27" s="119">
        <f>IF($AB27="","",IF(COUNTIFS(rl_key,$AB27,rl_seq,1)=0,"",SUMIFS(rl_eff,rl_key,$AB27,rl_seq,1)))</f>
        <v/>
      </c>
      <c r="G27" s="120">
        <f>IF($AB27="","",IF(COUNTIFS(rl_key,$AB27,rl_seq,1)=0,"",SUMIFS(rl_reff,rl_key,$AB27,rl_seq,1)))</f>
        <v/>
      </c>
      <c r="H27" s="121">
        <f>IF($AB27="","",IF(COUNTIFS(rl_key,$AB27,rl_seq,2)=0,"",SUMIFS(rl_eff,rl_key,$AB27,rl_seq,2)))</f>
        <v/>
      </c>
      <c r="I27" s="120">
        <f>IF($AB27="","",IF(COUNTIFS(rl_key,$AB27,rl_seq,2)=0,"",SUMIFS(rl_reff,rl_key,$AB27,rl_seq,2)))</f>
        <v/>
      </c>
      <c r="J27" s="121">
        <f>IF($AB27="","",IF(COUNTIFS(rl_key,$AB27,rl_seq,3)=0,"",SUMIFS(rl_eff,rl_key,$AB27,rl_seq,3)))</f>
        <v/>
      </c>
      <c r="K27" s="120">
        <f>IF($AB27="","",IF(COUNTIFS(rl_key,$AB27,rl_seq,3)=0,"",SUMIFS(rl_reff,rl_key,$AB27,rl_seq,3)))</f>
        <v/>
      </c>
      <c r="L27" s="121">
        <f>IF($AB27="","",IF(COUNTIFS(rl_key,$AB27,rl_seq,4)=0,"",SUMIFS(rl_eff,rl_key,$AB27,rl_seq,4)))</f>
        <v/>
      </c>
      <c r="M27" s="120">
        <f>IF($AB27="","",IF(COUNTIFS(rl_key,$AB27,rl_seq,4)=0,"",SUMIFS(rl_reff,rl_key,$AB27,rl_seq,4)))</f>
        <v/>
      </c>
      <c r="N27" s="122">
        <f>IF($AA27=0,"",IF($AB27="",COUNTIFS(rl_state,$A27,rl_eff,"&lt;&gt;"),COUNTIFS(rl_key,$AB27,rl_eff,"&lt;&gt;")))</f>
        <v/>
      </c>
      <c r="O27" s="123">
        <f>IF($AA27=0,"",IF($B27&gt;0,SUMIFS(calc_w_crl,calc_state,$A27,calc_bu,$AA$4)/$B27,SUMIFS(calc_crl,calc_state,$A27,calc_bu,$AA$4)/$AA27))</f>
        <v/>
      </c>
      <c r="P27" s="124">
        <f>IF($AA27=0,"",IF($B27&gt;0,SUMIFS(calc_w_ecy,calc_state,$A27,calc_bu,$AA$4)/$B27,SUMIFS(calc_ecy_p,calc_state,$A27,calc_bu,$AA$4)/$AA27))</f>
        <v/>
      </c>
      <c r="Q27" s="124">
        <f>IF($AA27=0,"",IF($B27&gt;0,SUMIFS(calc_w_arate,calc_state,$A27,calc_bu,$AA$4)/$B27,SUMIFS(calc_arate_p,calc_state,$A27,calc_bu,$AA$4)/$AA27))</f>
        <v/>
      </c>
      <c r="R27" s="118">
        <f>IF($AA27=0,"",IF($B27&gt;0,SUMIFS(calc_w_mbar,calc_state,$A27,calc_bu,$AA$4)/$B27,SUMIFS(calc_mbar_p,calc_state,$A27,calc_bu,$AA$4)/$AA27))</f>
        <v/>
      </c>
      <c r="S27" s="124">
        <f>IF($AA27=0,"",IF($B27&gt;0,SUMIFS(calc_w_amod,calc_state,$A27,calc_bu,$AA$4)/$B27,SUMIFS(calc_amod_p,calc_state,$A27,calc_bu,$AA$4)/$AA27))</f>
        <v/>
      </c>
      <c r="T27" s="125">
        <f>IF($AA27=0,"",IF($B27&gt;0,SUMIFS(calc_w_lrcur,calc_state,$A27,calc_bu,$AA$4)/$B27,SUMIFS(calc_lrcur,calc_state,$A27,calc_bu,$AA$4)/$AA27))</f>
        <v/>
      </c>
      <c r="U27" s="126">
        <f>IF($AA27=0,"",IF($B27&gt;0,SUMIFS(calc_w_cylr,calc_state,$A27,calc_bu,$AA$4)/$B27,SUMIFS(calc_cylr_p,calc_state,$A27,calc_bu,$AA$4)/$AA27))</f>
        <v/>
      </c>
      <c r="V27" s="127">
        <f>IF($AA27=0,"",IF($B27&gt;0,SUMIFS(calc_w_trend,calc_state,$A27,calc_bu,$AA$4)/$B27,SUMIFS(calc_trend,calc_state,$A27,calc_bu,$AA$4)/$AA27))</f>
        <v/>
      </c>
      <c r="W27" s="124">
        <f>IF($AA27=0,"",IF($B27&gt;0,SUMIFS(calc_w_arate1,calc_state,$A27,calc_bu,$AA$4)/$B27,SUMIFS(calc_arate_p1,calc_state,$A27,calc_bu,$AA$4)/$AA27))</f>
        <v/>
      </c>
      <c r="X27" s="124">
        <f>IF($AA27=0,"",IF($B27&gt;0,SUMIFS(calc_w_amod1,calc_state,$A27,calc_bu,$AA$4)/$B27,SUMIFS(calc_amod_p1,calc_state,$A27,calc_bu,$AA$4)/$AA27))</f>
        <v/>
      </c>
      <c r="Y27" s="126">
        <f>IF($AA27=0,"",IF($B27&gt;0,SUMIFS(calc_w_cylr1,calc_state,$A27,calc_bu,$AA$4)/$B27,SUMIFS(calc_cylr_p1,calc_state,$A27,calc_bu,$AA$4)/$AA27))</f>
        <v/>
      </c>
      <c r="Z27" s="127">
        <f>IF($AA27=0,"",IF($AC27=0,"—",SUMIFS(calc_netx,calc_state,$A27,calc_bu,$AA$4)/$AC27))</f>
        <v/>
      </c>
      <c r="AA27" s="42">
        <f>COUNTIFS(calc_state,$A27,calc_bu,$AA$4)</f>
        <v/>
      </c>
      <c r="AB27" s="23">
        <f>IF($B$4="All","",$B$4&amp;"|"&amp;$A27)</f>
        <v/>
      </c>
      <c r="AC27" s="42">
        <f>SUMIFS(calc_netmode,calc_state,$A27,calc_bu,$AA$4)</f>
        <v/>
      </c>
    </row>
    <row r="28">
      <c r="A28" s="102">
        <f>_lists!$B$23</f>
        <v/>
      </c>
      <c r="B28" s="103">
        <f>IF($AA28=0,"",SUMIFS(calc_ep,calc_state,$A28,calc_bu,$AA$4))</f>
        <v/>
      </c>
      <c r="C28" s="104">
        <f>IF($AA28=0,"",IF($B28&gt;0,SUMIFS(calc_w_mind,calc_state,$A28,calc_bu,$AA$4)/$B28,SUMIFS(lr_mind,lr_state,$A28,lr_bu,$AA$4)/$AA28))</f>
        <v/>
      </c>
      <c r="D28" s="105">
        <f>IF($AA28=0,"",IF($B28&gt;0,SUMIFS(calc_w_m0,calc_state,$A28,calc_bu,$AA$4)/$B28,SUMIFS(lr_m0,lr_state,$A28,lr_bu,$AA$4)/$AA28))</f>
        <v/>
      </c>
      <c r="E28" s="105">
        <f>IF($AA28=0,"",IF($B28&gt;0,SUMIFS(calc_w_m1,calc_state,$A28,calc_bu,$AA$4)/$B28,SUMIFS(lr_m1,lr_state,$A28,lr_bu,$AA$4)/$AA28))</f>
        <v/>
      </c>
      <c r="F28" s="106">
        <f>IF($AB28="","",IF(COUNTIFS(rl_key,$AB28,rl_seq,1)=0,"",SUMIFS(rl_eff,rl_key,$AB28,rl_seq,1)))</f>
        <v/>
      </c>
      <c r="G28" s="107">
        <f>IF($AB28="","",IF(COUNTIFS(rl_key,$AB28,rl_seq,1)=0,"",SUMIFS(rl_reff,rl_key,$AB28,rl_seq,1)))</f>
        <v/>
      </c>
      <c r="H28" s="108">
        <f>IF($AB28="","",IF(COUNTIFS(rl_key,$AB28,rl_seq,2)=0,"",SUMIFS(rl_eff,rl_key,$AB28,rl_seq,2)))</f>
        <v/>
      </c>
      <c r="I28" s="107">
        <f>IF($AB28="","",IF(COUNTIFS(rl_key,$AB28,rl_seq,2)=0,"",SUMIFS(rl_reff,rl_key,$AB28,rl_seq,2)))</f>
        <v/>
      </c>
      <c r="J28" s="108">
        <f>IF($AB28="","",IF(COUNTIFS(rl_key,$AB28,rl_seq,3)=0,"",SUMIFS(rl_eff,rl_key,$AB28,rl_seq,3)))</f>
        <v/>
      </c>
      <c r="K28" s="107">
        <f>IF($AB28="","",IF(COUNTIFS(rl_key,$AB28,rl_seq,3)=0,"",SUMIFS(rl_reff,rl_key,$AB28,rl_seq,3)))</f>
        <v/>
      </c>
      <c r="L28" s="108">
        <f>IF($AB28="","",IF(COUNTIFS(rl_key,$AB28,rl_seq,4)=0,"",SUMIFS(rl_eff,rl_key,$AB28,rl_seq,4)))</f>
        <v/>
      </c>
      <c r="M28" s="107">
        <f>IF($AB28="","",IF(COUNTIFS(rl_key,$AB28,rl_seq,4)=0,"",SUMIFS(rl_reff,rl_key,$AB28,rl_seq,4)))</f>
        <v/>
      </c>
      <c r="N28" s="109">
        <f>IF($AA28=0,"",IF($AB28="",COUNTIFS(rl_state,$A28,rl_eff,"&lt;&gt;"),COUNTIFS(rl_key,$AB28,rl_eff,"&lt;&gt;")))</f>
        <v/>
      </c>
      <c r="O28" s="110">
        <f>IF($AA28=0,"",IF($B28&gt;0,SUMIFS(calc_w_crl,calc_state,$A28,calc_bu,$AA$4)/$B28,SUMIFS(calc_crl,calc_state,$A28,calc_bu,$AA$4)/$AA28))</f>
        <v/>
      </c>
      <c r="P28" s="111">
        <f>IF($AA28=0,"",IF($B28&gt;0,SUMIFS(calc_w_ecy,calc_state,$A28,calc_bu,$AA$4)/$B28,SUMIFS(calc_ecy_p,calc_state,$A28,calc_bu,$AA$4)/$AA28))</f>
        <v/>
      </c>
      <c r="Q28" s="111">
        <f>IF($AA28=0,"",IF($B28&gt;0,SUMIFS(calc_w_arate,calc_state,$A28,calc_bu,$AA$4)/$B28,SUMIFS(calc_arate_p,calc_state,$A28,calc_bu,$AA$4)/$AA28))</f>
        <v/>
      </c>
      <c r="R28" s="105">
        <f>IF($AA28=0,"",IF($B28&gt;0,SUMIFS(calc_w_mbar,calc_state,$A28,calc_bu,$AA$4)/$B28,SUMIFS(calc_mbar_p,calc_state,$A28,calc_bu,$AA$4)/$AA28))</f>
        <v/>
      </c>
      <c r="S28" s="111">
        <f>IF($AA28=0,"",IF($B28&gt;0,SUMIFS(calc_w_amod,calc_state,$A28,calc_bu,$AA$4)/$B28,SUMIFS(calc_amod_p,calc_state,$A28,calc_bu,$AA$4)/$AA28))</f>
        <v/>
      </c>
      <c r="T28" s="112">
        <f>IF($AA28=0,"",IF($B28&gt;0,SUMIFS(calc_w_lrcur,calc_state,$A28,calc_bu,$AA$4)/$B28,SUMIFS(calc_lrcur,calc_state,$A28,calc_bu,$AA$4)/$AA28))</f>
        <v/>
      </c>
      <c r="U28" s="113">
        <f>IF($AA28=0,"",IF($B28&gt;0,SUMIFS(calc_w_cylr,calc_state,$A28,calc_bu,$AA$4)/$B28,SUMIFS(calc_cylr_p,calc_state,$A28,calc_bu,$AA$4)/$AA28))</f>
        <v/>
      </c>
      <c r="V28" s="114">
        <f>IF($AA28=0,"",IF($B28&gt;0,SUMIFS(calc_w_trend,calc_state,$A28,calc_bu,$AA$4)/$B28,SUMIFS(calc_trend,calc_state,$A28,calc_bu,$AA$4)/$AA28))</f>
        <v/>
      </c>
      <c r="W28" s="111">
        <f>IF($AA28=0,"",IF($B28&gt;0,SUMIFS(calc_w_arate1,calc_state,$A28,calc_bu,$AA$4)/$B28,SUMIFS(calc_arate_p1,calc_state,$A28,calc_bu,$AA$4)/$AA28))</f>
        <v/>
      </c>
      <c r="X28" s="111">
        <f>IF($AA28=0,"",IF($B28&gt;0,SUMIFS(calc_w_amod1,calc_state,$A28,calc_bu,$AA$4)/$B28,SUMIFS(calc_amod_p1,calc_state,$A28,calc_bu,$AA$4)/$AA28))</f>
        <v/>
      </c>
      <c r="Y28" s="113">
        <f>IF($AA28=0,"",IF($B28&gt;0,SUMIFS(calc_w_cylr1,calc_state,$A28,calc_bu,$AA$4)/$B28,SUMIFS(calc_cylr_p1,calc_state,$A28,calc_bu,$AA$4)/$AA28))</f>
        <v/>
      </c>
      <c r="Z28" s="114">
        <f>IF($AA28=0,"",IF($AC28=0,"—",SUMIFS(calc_netx,calc_state,$A28,calc_bu,$AA$4)/$AC28))</f>
        <v/>
      </c>
      <c r="AA28" s="42">
        <f>COUNTIFS(calc_state,$A28,calc_bu,$AA$4)</f>
        <v/>
      </c>
      <c r="AB28" s="23">
        <f>IF($B$4="All","",$B$4&amp;"|"&amp;$A28)</f>
        <v/>
      </c>
      <c r="AC28" s="42">
        <f>SUMIFS(calc_netmode,calc_state,$A28,calc_bu,$AA$4)</f>
        <v/>
      </c>
    </row>
    <row r="29">
      <c r="A29" s="115">
        <f>_lists!$B$24</f>
        <v/>
      </c>
      <c r="B29" s="116">
        <f>IF($AA29=0,"",SUMIFS(calc_ep,calc_state,$A29,calc_bu,$AA$4))</f>
        <v/>
      </c>
      <c r="C29" s="117">
        <f>IF($AA29=0,"",IF($B29&gt;0,SUMIFS(calc_w_mind,calc_state,$A29,calc_bu,$AA$4)/$B29,SUMIFS(lr_mind,lr_state,$A29,lr_bu,$AA$4)/$AA29))</f>
        <v/>
      </c>
      <c r="D29" s="118">
        <f>IF($AA29=0,"",IF($B29&gt;0,SUMIFS(calc_w_m0,calc_state,$A29,calc_bu,$AA$4)/$B29,SUMIFS(lr_m0,lr_state,$A29,lr_bu,$AA$4)/$AA29))</f>
        <v/>
      </c>
      <c r="E29" s="118">
        <f>IF($AA29=0,"",IF($B29&gt;0,SUMIFS(calc_w_m1,calc_state,$A29,calc_bu,$AA$4)/$B29,SUMIFS(lr_m1,lr_state,$A29,lr_bu,$AA$4)/$AA29))</f>
        <v/>
      </c>
      <c r="F29" s="119">
        <f>IF($AB29="","",IF(COUNTIFS(rl_key,$AB29,rl_seq,1)=0,"",SUMIFS(rl_eff,rl_key,$AB29,rl_seq,1)))</f>
        <v/>
      </c>
      <c r="G29" s="120">
        <f>IF($AB29="","",IF(COUNTIFS(rl_key,$AB29,rl_seq,1)=0,"",SUMIFS(rl_reff,rl_key,$AB29,rl_seq,1)))</f>
        <v/>
      </c>
      <c r="H29" s="121">
        <f>IF($AB29="","",IF(COUNTIFS(rl_key,$AB29,rl_seq,2)=0,"",SUMIFS(rl_eff,rl_key,$AB29,rl_seq,2)))</f>
        <v/>
      </c>
      <c r="I29" s="120">
        <f>IF($AB29="","",IF(COUNTIFS(rl_key,$AB29,rl_seq,2)=0,"",SUMIFS(rl_reff,rl_key,$AB29,rl_seq,2)))</f>
        <v/>
      </c>
      <c r="J29" s="121">
        <f>IF($AB29="","",IF(COUNTIFS(rl_key,$AB29,rl_seq,3)=0,"",SUMIFS(rl_eff,rl_key,$AB29,rl_seq,3)))</f>
        <v/>
      </c>
      <c r="K29" s="120">
        <f>IF($AB29="","",IF(COUNTIFS(rl_key,$AB29,rl_seq,3)=0,"",SUMIFS(rl_reff,rl_key,$AB29,rl_seq,3)))</f>
        <v/>
      </c>
      <c r="L29" s="121">
        <f>IF($AB29="","",IF(COUNTIFS(rl_key,$AB29,rl_seq,4)=0,"",SUMIFS(rl_eff,rl_key,$AB29,rl_seq,4)))</f>
        <v/>
      </c>
      <c r="M29" s="120">
        <f>IF($AB29="","",IF(COUNTIFS(rl_key,$AB29,rl_seq,4)=0,"",SUMIFS(rl_reff,rl_key,$AB29,rl_seq,4)))</f>
        <v/>
      </c>
      <c r="N29" s="122">
        <f>IF($AA29=0,"",IF($AB29="",COUNTIFS(rl_state,$A29,rl_eff,"&lt;&gt;"),COUNTIFS(rl_key,$AB29,rl_eff,"&lt;&gt;")))</f>
        <v/>
      </c>
      <c r="O29" s="123">
        <f>IF($AA29=0,"",IF($B29&gt;0,SUMIFS(calc_w_crl,calc_state,$A29,calc_bu,$AA$4)/$B29,SUMIFS(calc_crl,calc_state,$A29,calc_bu,$AA$4)/$AA29))</f>
        <v/>
      </c>
      <c r="P29" s="124">
        <f>IF($AA29=0,"",IF($B29&gt;0,SUMIFS(calc_w_ecy,calc_state,$A29,calc_bu,$AA$4)/$B29,SUMIFS(calc_ecy_p,calc_state,$A29,calc_bu,$AA$4)/$AA29))</f>
        <v/>
      </c>
      <c r="Q29" s="124">
        <f>IF($AA29=0,"",IF($B29&gt;0,SUMIFS(calc_w_arate,calc_state,$A29,calc_bu,$AA$4)/$B29,SUMIFS(calc_arate_p,calc_state,$A29,calc_bu,$AA$4)/$AA29))</f>
        <v/>
      </c>
      <c r="R29" s="118">
        <f>IF($AA29=0,"",IF($B29&gt;0,SUMIFS(calc_w_mbar,calc_state,$A29,calc_bu,$AA$4)/$B29,SUMIFS(calc_mbar_p,calc_state,$A29,calc_bu,$AA$4)/$AA29))</f>
        <v/>
      </c>
      <c r="S29" s="124">
        <f>IF($AA29=0,"",IF($B29&gt;0,SUMIFS(calc_w_amod,calc_state,$A29,calc_bu,$AA$4)/$B29,SUMIFS(calc_amod_p,calc_state,$A29,calc_bu,$AA$4)/$AA29))</f>
        <v/>
      </c>
      <c r="T29" s="125">
        <f>IF($AA29=0,"",IF($B29&gt;0,SUMIFS(calc_w_lrcur,calc_state,$A29,calc_bu,$AA$4)/$B29,SUMIFS(calc_lrcur,calc_state,$A29,calc_bu,$AA$4)/$AA29))</f>
        <v/>
      </c>
      <c r="U29" s="126">
        <f>IF($AA29=0,"",IF($B29&gt;0,SUMIFS(calc_w_cylr,calc_state,$A29,calc_bu,$AA$4)/$B29,SUMIFS(calc_cylr_p,calc_state,$A29,calc_bu,$AA$4)/$AA29))</f>
        <v/>
      </c>
      <c r="V29" s="127">
        <f>IF($AA29=0,"",IF($B29&gt;0,SUMIFS(calc_w_trend,calc_state,$A29,calc_bu,$AA$4)/$B29,SUMIFS(calc_trend,calc_state,$A29,calc_bu,$AA$4)/$AA29))</f>
        <v/>
      </c>
      <c r="W29" s="124">
        <f>IF($AA29=0,"",IF($B29&gt;0,SUMIFS(calc_w_arate1,calc_state,$A29,calc_bu,$AA$4)/$B29,SUMIFS(calc_arate_p1,calc_state,$A29,calc_bu,$AA$4)/$AA29))</f>
        <v/>
      </c>
      <c r="X29" s="124">
        <f>IF($AA29=0,"",IF($B29&gt;0,SUMIFS(calc_w_amod1,calc_state,$A29,calc_bu,$AA$4)/$B29,SUMIFS(calc_amod_p1,calc_state,$A29,calc_bu,$AA$4)/$AA29))</f>
        <v/>
      </c>
      <c r="Y29" s="126">
        <f>IF($AA29=0,"",IF($B29&gt;0,SUMIFS(calc_w_cylr1,calc_state,$A29,calc_bu,$AA$4)/$B29,SUMIFS(calc_cylr_p1,calc_state,$A29,calc_bu,$AA$4)/$AA29))</f>
        <v/>
      </c>
      <c r="Z29" s="127">
        <f>IF($AA29=0,"",IF($AC29=0,"—",SUMIFS(calc_netx,calc_state,$A29,calc_bu,$AA$4)/$AC29))</f>
        <v/>
      </c>
      <c r="AA29" s="42">
        <f>COUNTIFS(calc_state,$A29,calc_bu,$AA$4)</f>
        <v/>
      </c>
      <c r="AB29" s="23">
        <f>IF($B$4="All","",$B$4&amp;"|"&amp;$A29)</f>
        <v/>
      </c>
      <c r="AC29" s="42">
        <f>SUMIFS(calc_netmode,calc_state,$A29,calc_bu,$AA$4)</f>
        <v/>
      </c>
    </row>
    <row r="30">
      <c r="A30" s="102">
        <f>_lists!$B$25</f>
        <v/>
      </c>
      <c r="B30" s="103">
        <f>IF($AA30=0,"",SUMIFS(calc_ep,calc_state,$A30,calc_bu,$AA$4))</f>
        <v/>
      </c>
      <c r="C30" s="104">
        <f>IF($AA30=0,"",IF($B30&gt;0,SUMIFS(calc_w_mind,calc_state,$A30,calc_bu,$AA$4)/$B30,SUMIFS(lr_mind,lr_state,$A30,lr_bu,$AA$4)/$AA30))</f>
        <v/>
      </c>
      <c r="D30" s="105">
        <f>IF($AA30=0,"",IF($B30&gt;0,SUMIFS(calc_w_m0,calc_state,$A30,calc_bu,$AA$4)/$B30,SUMIFS(lr_m0,lr_state,$A30,lr_bu,$AA$4)/$AA30))</f>
        <v/>
      </c>
      <c r="E30" s="105">
        <f>IF($AA30=0,"",IF($B30&gt;0,SUMIFS(calc_w_m1,calc_state,$A30,calc_bu,$AA$4)/$B30,SUMIFS(lr_m1,lr_state,$A30,lr_bu,$AA$4)/$AA30))</f>
        <v/>
      </c>
      <c r="F30" s="106">
        <f>IF($AB30="","",IF(COUNTIFS(rl_key,$AB30,rl_seq,1)=0,"",SUMIFS(rl_eff,rl_key,$AB30,rl_seq,1)))</f>
        <v/>
      </c>
      <c r="G30" s="107">
        <f>IF($AB30="","",IF(COUNTIFS(rl_key,$AB30,rl_seq,1)=0,"",SUMIFS(rl_reff,rl_key,$AB30,rl_seq,1)))</f>
        <v/>
      </c>
      <c r="H30" s="108">
        <f>IF($AB30="","",IF(COUNTIFS(rl_key,$AB30,rl_seq,2)=0,"",SUMIFS(rl_eff,rl_key,$AB30,rl_seq,2)))</f>
        <v/>
      </c>
      <c r="I30" s="107">
        <f>IF($AB30="","",IF(COUNTIFS(rl_key,$AB30,rl_seq,2)=0,"",SUMIFS(rl_reff,rl_key,$AB30,rl_seq,2)))</f>
        <v/>
      </c>
      <c r="J30" s="108">
        <f>IF($AB30="","",IF(COUNTIFS(rl_key,$AB30,rl_seq,3)=0,"",SUMIFS(rl_eff,rl_key,$AB30,rl_seq,3)))</f>
        <v/>
      </c>
      <c r="K30" s="107">
        <f>IF($AB30="","",IF(COUNTIFS(rl_key,$AB30,rl_seq,3)=0,"",SUMIFS(rl_reff,rl_key,$AB30,rl_seq,3)))</f>
        <v/>
      </c>
      <c r="L30" s="108">
        <f>IF($AB30="","",IF(COUNTIFS(rl_key,$AB30,rl_seq,4)=0,"",SUMIFS(rl_eff,rl_key,$AB30,rl_seq,4)))</f>
        <v/>
      </c>
      <c r="M30" s="107">
        <f>IF($AB30="","",IF(COUNTIFS(rl_key,$AB30,rl_seq,4)=0,"",SUMIFS(rl_reff,rl_key,$AB30,rl_seq,4)))</f>
        <v/>
      </c>
      <c r="N30" s="109">
        <f>IF($AA30=0,"",IF($AB30="",COUNTIFS(rl_state,$A30,rl_eff,"&lt;&gt;"),COUNTIFS(rl_key,$AB30,rl_eff,"&lt;&gt;")))</f>
        <v/>
      </c>
      <c r="O30" s="110">
        <f>IF($AA30=0,"",IF($B30&gt;0,SUMIFS(calc_w_crl,calc_state,$A30,calc_bu,$AA$4)/$B30,SUMIFS(calc_crl,calc_state,$A30,calc_bu,$AA$4)/$AA30))</f>
        <v/>
      </c>
      <c r="P30" s="111">
        <f>IF($AA30=0,"",IF($B30&gt;0,SUMIFS(calc_w_ecy,calc_state,$A30,calc_bu,$AA$4)/$B30,SUMIFS(calc_ecy_p,calc_state,$A30,calc_bu,$AA$4)/$AA30))</f>
        <v/>
      </c>
      <c r="Q30" s="111">
        <f>IF($AA30=0,"",IF($B30&gt;0,SUMIFS(calc_w_arate,calc_state,$A30,calc_bu,$AA$4)/$B30,SUMIFS(calc_arate_p,calc_state,$A30,calc_bu,$AA$4)/$AA30))</f>
        <v/>
      </c>
      <c r="R30" s="105">
        <f>IF($AA30=0,"",IF($B30&gt;0,SUMIFS(calc_w_mbar,calc_state,$A30,calc_bu,$AA$4)/$B30,SUMIFS(calc_mbar_p,calc_state,$A30,calc_bu,$AA$4)/$AA30))</f>
        <v/>
      </c>
      <c r="S30" s="111">
        <f>IF($AA30=0,"",IF($B30&gt;0,SUMIFS(calc_w_amod,calc_state,$A30,calc_bu,$AA$4)/$B30,SUMIFS(calc_amod_p,calc_state,$A30,calc_bu,$AA$4)/$AA30))</f>
        <v/>
      </c>
      <c r="T30" s="112">
        <f>IF($AA30=0,"",IF($B30&gt;0,SUMIFS(calc_w_lrcur,calc_state,$A30,calc_bu,$AA$4)/$B30,SUMIFS(calc_lrcur,calc_state,$A30,calc_bu,$AA$4)/$AA30))</f>
        <v/>
      </c>
      <c r="U30" s="113">
        <f>IF($AA30=0,"",IF($B30&gt;0,SUMIFS(calc_w_cylr,calc_state,$A30,calc_bu,$AA$4)/$B30,SUMIFS(calc_cylr_p,calc_state,$A30,calc_bu,$AA$4)/$AA30))</f>
        <v/>
      </c>
      <c r="V30" s="114">
        <f>IF($AA30=0,"",IF($B30&gt;0,SUMIFS(calc_w_trend,calc_state,$A30,calc_bu,$AA$4)/$B30,SUMIFS(calc_trend,calc_state,$A30,calc_bu,$AA$4)/$AA30))</f>
        <v/>
      </c>
      <c r="W30" s="111">
        <f>IF($AA30=0,"",IF($B30&gt;0,SUMIFS(calc_w_arate1,calc_state,$A30,calc_bu,$AA$4)/$B30,SUMIFS(calc_arate_p1,calc_state,$A30,calc_bu,$AA$4)/$AA30))</f>
        <v/>
      </c>
      <c r="X30" s="111">
        <f>IF($AA30=0,"",IF($B30&gt;0,SUMIFS(calc_w_amod1,calc_state,$A30,calc_bu,$AA$4)/$B30,SUMIFS(calc_amod_p1,calc_state,$A30,calc_bu,$AA$4)/$AA30))</f>
        <v/>
      </c>
      <c r="Y30" s="113">
        <f>IF($AA30=0,"",IF($B30&gt;0,SUMIFS(calc_w_cylr1,calc_state,$A30,calc_bu,$AA$4)/$B30,SUMIFS(calc_cylr_p1,calc_state,$A30,calc_bu,$AA$4)/$AA30))</f>
        <v/>
      </c>
      <c r="Z30" s="114">
        <f>IF($AA30=0,"",IF($AC30=0,"—",SUMIFS(calc_netx,calc_state,$A30,calc_bu,$AA$4)/$AC30))</f>
        <v/>
      </c>
      <c r="AA30" s="42">
        <f>COUNTIFS(calc_state,$A30,calc_bu,$AA$4)</f>
        <v/>
      </c>
      <c r="AB30" s="23">
        <f>IF($B$4="All","",$B$4&amp;"|"&amp;$A30)</f>
        <v/>
      </c>
      <c r="AC30" s="42">
        <f>SUMIFS(calc_netmode,calc_state,$A30,calc_bu,$AA$4)</f>
        <v/>
      </c>
    </row>
    <row r="31">
      <c r="A31" s="115">
        <f>_lists!$B$26</f>
        <v/>
      </c>
      <c r="B31" s="116">
        <f>IF($AA31=0,"",SUMIFS(calc_ep,calc_state,$A31,calc_bu,$AA$4))</f>
        <v/>
      </c>
      <c r="C31" s="117">
        <f>IF($AA31=0,"",IF($B31&gt;0,SUMIFS(calc_w_mind,calc_state,$A31,calc_bu,$AA$4)/$B31,SUMIFS(lr_mind,lr_state,$A31,lr_bu,$AA$4)/$AA31))</f>
        <v/>
      </c>
      <c r="D31" s="118">
        <f>IF($AA31=0,"",IF($B31&gt;0,SUMIFS(calc_w_m0,calc_state,$A31,calc_bu,$AA$4)/$B31,SUMIFS(lr_m0,lr_state,$A31,lr_bu,$AA$4)/$AA31))</f>
        <v/>
      </c>
      <c r="E31" s="118">
        <f>IF($AA31=0,"",IF($B31&gt;0,SUMIFS(calc_w_m1,calc_state,$A31,calc_bu,$AA$4)/$B31,SUMIFS(lr_m1,lr_state,$A31,lr_bu,$AA$4)/$AA31))</f>
        <v/>
      </c>
      <c r="F31" s="119">
        <f>IF($AB31="","",IF(COUNTIFS(rl_key,$AB31,rl_seq,1)=0,"",SUMIFS(rl_eff,rl_key,$AB31,rl_seq,1)))</f>
        <v/>
      </c>
      <c r="G31" s="120">
        <f>IF($AB31="","",IF(COUNTIFS(rl_key,$AB31,rl_seq,1)=0,"",SUMIFS(rl_reff,rl_key,$AB31,rl_seq,1)))</f>
        <v/>
      </c>
      <c r="H31" s="121">
        <f>IF($AB31="","",IF(COUNTIFS(rl_key,$AB31,rl_seq,2)=0,"",SUMIFS(rl_eff,rl_key,$AB31,rl_seq,2)))</f>
        <v/>
      </c>
      <c r="I31" s="120">
        <f>IF($AB31="","",IF(COUNTIFS(rl_key,$AB31,rl_seq,2)=0,"",SUMIFS(rl_reff,rl_key,$AB31,rl_seq,2)))</f>
        <v/>
      </c>
      <c r="J31" s="121">
        <f>IF($AB31="","",IF(COUNTIFS(rl_key,$AB31,rl_seq,3)=0,"",SUMIFS(rl_eff,rl_key,$AB31,rl_seq,3)))</f>
        <v/>
      </c>
      <c r="K31" s="120">
        <f>IF($AB31="","",IF(COUNTIFS(rl_key,$AB31,rl_seq,3)=0,"",SUMIFS(rl_reff,rl_key,$AB31,rl_seq,3)))</f>
        <v/>
      </c>
      <c r="L31" s="121">
        <f>IF($AB31="","",IF(COUNTIFS(rl_key,$AB31,rl_seq,4)=0,"",SUMIFS(rl_eff,rl_key,$AB31,rl_seq,4)))</f>
        <v/>
      </c>
      <c r="M31" s="120">
        <f>IF($AB31="","",IF(COUNTIFS(rl_key,$AB31,rl_seq,4)=0,"",SUMIFS(rl_reff,rl_key,$AB31,rl_seq,4)))</f>
        <v/>
      </c>
      <c r="N31" s="122">
        <f>IF($AA31=0,"",IF($AB31="",COUNTIFS(rl_state,$A31,rl_eff,"&lt;&gt;"),COUNTIFS(rl_key,$AB31,rl_eff,"&lt;&gt;")))</f>
        <v/>
      </c>
      <c r="O31" s="123">
        <f>IF($AA31=0,"",IF($B31&gt;0,SUMIFS(calc_w_crl,calc_state,$A31,calc_bu,$AA$4)/$B31,SUMIFS(calc_crl,calc_state,$A31,calc_bu,$AA$4)/$AA31))</f>
        <v/>
      </c>
      <c r="P31" s="124">
        <f>IF($AA31=0,"",IF($B31&gt;0,SUMIFS(calc_w_ecy,calc_state,$A31,calc_bu,$AA$4)/$B31,SUMIFS(calc_ecy_p,calc_state,$A31,calc_bu,$AA$4)/$AA31))</f>
        <v/>
      </c>
      <c r="Q31" s="124">
        <f>IF($AA31=0,"",IF($B31&gt;0,SUMIFS(calc_w_arate,calc_state,$A31,calc_bu,$AA$4)/$B31,SUMIFS(calc_arate_p,calc_state,$A31,calc_bu,$AA$4)/$AA31))</f>
        <v/>
      </c>
      <c r="R31" s="118">
        <f>IF($AA31=0,"",IF($B31&gt;0,SUMIFS(calc_w_mbar,calc_state,$A31,calc_bu,$AA$4)/$B31,SUMIFS(calc_mbar_p,calc_state,$A31,calc_bu,$AA$4)/$AA31))</f>
        <v/>
      </c>
      <c r="S31" s="124">
        <f>IF($AA31=0,"",IF($B31&gt;0,SUMIFS(calc_w_amod,calc_state,$A31,calc_bu,$AA$4)/$B31,SUMIFS(calc_amod_p,calc_state,$A31,calc_bu,$AA$4)/$AA31))</f>
        <v/>
      </c>
      <c r="T31" s="125">
        <f>IF($AA31=0,"",IF($B31&gt;0,SUMIFS(calc_w_lrcur,calc_state,$A31,calc_bu,$AA$4)/$B31,SUMIFS(calc_lrcur,calc_state,$A31,calc_bu,$AA$4)/$AA31))</f>
        <v/>
      </c>
      <c r="U31" s="126">
        <f>IF($AA31=0,"",IF($B31&gt;0,SUMIFS(calc_w_cylr,calc_state,$A31,calc_bu,$AA$4)/$B31,SUMIFS(calc_cylr_p,calc_state,$A31,calc_bu,$AA$4)/$AA31))</f>
        <v/>
      </c>
      <c r="V31" s="127">
        <f>IF($AA31=0,"",IF($B31&gt;0,SUMIFS(calc_w_trend,calc_state,$A31,calc_bu,$AA$4)/$B31,SUMIFS(calc_trend,calc_state,$A31,calc_bu,$AA$4)/$AA31))</f>
        <v/>
      </c>
      <c r="W31" s="124">
        <f>IF($AA31=0,"",IF($B31&gt;0,SUMIFS(calc_w_arate1,calc_state,$A31,calc_bu,$AA$4)/$B31,SUMIFS(calc_arate_p1,calc_state,$A31,calc_bu,$AA$4)/$AA31))</f>
        <v/>
      </c>
      <c r="X31" s="124">
        <f>IF($AA31=0,"",IF($B31&gt;0,SUMIFS(calc_w_amod1,calc_state,$A31,calc_bu,$AA$4)/$B31,SUMIFS(calc_amod_p1,calc_state,$A31,calc_bu,$AA$4)/$AA31))</f>
        <v/>
      </c>
      <c r="Y31" s="126">
        <f>IF($AA31=0,"",IF($B31&gt;0,SUMIFS(calc_w_cylr1,calc_state,$A31,calc_bu,$AA$4)/$B31,SUMIFS(calc_cylr_p1,calc_state,$A31,calc_bu,$AA$4)/$AA31))</f>
        <v/>
      </c>
      <c r="Z31" s="127">
        <f>IF($AA31=0,"",IF($AC31=0,"—",SUMIFS(calc_netx,calc_state,$A31,calc_bu,$AA$4)/$AC31))</f>
        <v/>
      </c>
      <c r="AA31" s="42">
        <f>COUNTIFS(calc_state,$A31,calc_bu,$AA$4)</f>
        <v/>
      </c>
      <c r="AB31" s="23">
        <f>IF($B$4="All","",$B$4&amp;"|"&amp;$A31)</f>
        <v/>
      </c>
      <c r="AC31" s="42">
        <f>SUMIFS(calc_netmode,calc_state,$A31,calc_bu,$AA$4)</f>
        <v/>
      </c>
    </row>
    <row r="32">
      <c r="C32" s="128" t="n"/>
      <c r="F32" s="128" t="n"/>
      <c r="O32" s="128" t="n"/>
      <c r="T32" s="128" t="n"/>
      <c r="V32" s="128" t="n"/>
      <c r="Z32" s="128" t="n"/>
    </row>
    <row r="33">
      <c r="A33" s="129" t="inlineStr">
        <is>
          <t>TOTAL</t>
        </is>
      </c>
      <c r="B33" s="130">
        <f>SUMIFS(calc_ep,calc_bu,$AA$4)</f>
        <v/>
      </c>
      <c r="C33" s="131">
        <f>IF($B$33=0,"n/a",SUMIFS(calc_w_mind,calc_bu,$AA$4)/$B$33)</f>
        <v/>
      </c>
      <c r="D33" s="132">
        <f>IF($B$33=0,"n/a",SUMIFS(calc_w_m0,calc_bu,$AA$4)/$B$33)</f>
        <v/>
      </c>
      <c r="E33" s="132">
        <f>IF($B$33=0,"n/a",SUMIFS(calc_w_m1,calc_bu,$AA$4)/$B$33)</f>
        <v/>
      </c>
      <c r="F33" s="133" t="n"/>
      <c r="G33" s="134" t="n"/>
      <c r="H33" s="134" t="n"/>
      <c r="I33" s="134" t="n"/>
      <c r="J33" s="134" t="n"/>
      <c r="K33" s="134" t="n"/>
      <c r="L33" s="134" t="n"/>
      <c r="M33" s="134" t="n"/>
      <c r="N33" s="135">
        <f>IF($B$4="All",COUNTIFS(rl_eff,"&lt;&gt;"),COUNTIFS(rl_bu,$B$4,rl_eff,"&lt;&gt;"))</f>
        <v/>
      </c>
      <c r="O33" s="136">
        <f>IF($B$33=0,"n/a",SUMIFS(calc_w_crl,calc_bu,$AA$4)/$B$33)</f>
        <v/>
      </c>
      <c r="P33" s="137">
        <f>IF($B$33=0,"n/a",SUMIFS(calc_w_ecy,calc_bu,$AA$4)/$B$33)</f>
        <v/>
      </c>
      <c r="Q33" s="137">
        <f>IF($B$33=0,"n/a",SUMIFS(calc_w_arate,calc_bu,$AA$4)/$B$33)</f>
        <v/>
      </c>
      <c r="R33" s="132">
        <f>IF($B$33=0,"n/a",SUMIFS(calc_w_mbar,calc_bu,$AA$4)/$B$33)</f>
        <v/>
      </c>
      <c r="S33" s="137">
        <f>IF($B$33=0,"n/a",SUMIFS(calc_w_amod,calc_bu,$AA$4)/$B$33)</f>
        <v/>
      </c>
      <c r="T33" s="138">
        <f>IF($B$33=0,"n/a",SUMIFS(calc_w_lrcur,calc_bu,$AA$4)/$B$33)</f>
        <v/>
      </c>
      <c r="U33" s="139">
        <f>IF($B$33=0,"n/a",SUMIFS(calc_w_cylr,calc_bu,$AA$4)/$B$33)</f>
        <v/>
      </c>
      <c r="V33" s="140">
        <f>IF($B$33=0,"n/a",SUMIFS(calc_w_trend,calc_bu,$AA$4)/$B$33)</f>
        <v/>
      </c>
      <c r="W33" s="137">
        <f>IF($B$33=0,"n/a",SUMIFS(calc_w_arate1,calc_bu,$AA$4)/$B$33)</f>
        <v/>
      </c>
      <c r="X33" s="137">
        <f>IF($B$33=0,"n/a",SUMIFS(calc_w_amod1,calc_bu,$AA$4)/$B$33)</f>
        <v/>
      </c>
      <c r="Y33" s="139">
        <f>IF($B$33=0,"n/a",SUMIFS(calc_w_cylr1,calc_bu,$AA$4)/$B$33)</f>
        <v/>
      </c>
      <c r="Z33" s="140">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141">
        <f>HYPERLINK("#'Walkthrough'!A1","Worked example — every calculation for the selected combo, start to finish &gt;")</f>
        <v/>
      </c>
    </row>
    <row r="47">
      <c r="A47" s="141">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(General Liability)</t>
        </is>
      </c>
    </row>
    <row r="3">
      <c r="B3" s="2" t="inlineStr">
        <is>
          <t>The selected combo's answer, factor by factor. Expand the grouped rows at the bottom to audit exactly which inputs feed the engines.</t>
        </is>
      </c>
    </row>
    <row r="4">
      <c r="E4" s="20" t="inlineStr">
        <is>
          <t>Selected:</t>
        </is>
      </c>
      <c r="F4" s="142">
        <f>nr_SelKey</f>
        <v/>
      </c>
      <c r="H4" s="141">
        <f>HYPERLINK("#Control!C7","Change BU/state selection &gt;")</f>
        <v/>
      </c>
    </row>
    <row r="5">
      <c r="B5" s="143">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44">
        <f>($D10-$D9)*100</f>
        <v/>
      </c>
      <c r="F10" s="49">
        <f>IF(nr_Basis="proposed",1+nr_SelS,1)</f>
        <v/>
      </c>
      <c r="G10" s="45">
        <f>$G9*$F10</f>
        <v/>
      </c>
      <c r="H10" s="144">
        <f>($G10-$G9)*100</f>
        <v/>
      </c>
    </row>
    <row r="11">
      <c r="B11" s="20">
        <f>"Net trend (applies to "&amp;(nr_PlanYear+1)&amp;" only)"</f>
        <v/>
      </c>
      <c r="C11" s="49">
        <f>1</f>
        <v/>
      </c>
      <c r="D11" s="45">
        <f>$D10*$C11</f>
        <v/>
      </c>
      <c r="E11" s="144">
        <f>($D11-$D10)*100</f>
        <v/>
      </c>
      <c r="F11" s="49">
        <f>1+nr_Trend</f>
        <v/>
      </c>
      <c r="G11" s="45">
        <f>$G10*$F11</f>
        <v/>
      </c>
      <c r="H11" s="144">
        <f>($G11-$G10)*100</f>
        <v/>
      </c>
    </row>
    <row r="12">
      <c r="B12" s="20">
        <f>IF(nr_NetMode,"Rate + price earn-in (net)  A_net","Rate earn-in  A_rate")</f>
        <v/>
      </c>
      <c r="C12" s="49">
        <f>nr_Arate_P</f>
        <v/>
      </c>
      <c r="D12" s="45">
        <f>$D11*$C12</f>
        <v/>
      </c>
      <c r="E12" s="144">
        <f>($D12-$D11)*100</f>
        <v/>
      </c>
      <c r="F12" s="49">
        <f>nr_Arate_P1</f>
        <v/>
      </c>
      <c r="G12" s="45">
        <f>$G11*$F12</f>
        <v/>
      </c>
      <c r="H12" s="144">
        <f>($G12-$G11)*100</f>
        <v/>
      </c>
    </row>
    <row r="13">
      <c r="B13" s="20">
        <f>IF(nr_NetMode,"Mod drift (merged into A_net)","Schedule mod drift  A_mod")</f>
        <v/>
      </c>
      <c r="C13" s="49">
        <f>nr_Amod_P</f>
        <v/>
      </c>
      <c r="D13" s="45">
        <f>$D12*$C13</f>
        <v/>
      </c>
      <c r="E13" s="144">
        <f>($D13-$D12)*100</f>
        <v/>
      </c>
      <c r="F13" s="49">
        <f>nr_Amod_P1</f>
        <v/>
      </c>
      <c r="G13" s="45">
        <f>$G12*$F13</f>
        <v/>
      </c>
      <c r="H13" s="144">
        <f>($G13-$G12)*100</f>
        <v/>
      </c>
    </row>
    <row r="14">
      <c r="B14" s="20" t="inlineStr">
        <is>
          <t>Other  A_other</t>
        </is>
      </c>
      <c r="C14" s="49">
        <f>nr_AOther</f>
        <v/>
      </c>
      <c r="D14" s="45">
        <f>$D13*$C14</f>
        <v/>
      </c>
      <c r="E14" s="144">
        <f>($D14-$D13)*100</f>
        <v/>
      </c>
      <c r="F14" s="49">
        <f>nr_AOther</f>
        <v/>
      </c>
      <c r="G14" s="45">
        <f>$G13*$F14</f>
        <v/>
      </c>
      <c r="H14" s="144">
        <f>($G14-$G13)*100</f>
        <v/>
      </c>
    </row>
    <row r="15">
      <c r="B15" s="8" t="inlineStr">
        <is>
          <t>CY plan loss ratio</t>
        </is>
      </c>
      <c r="D15" s="91">
        <f>$D14</f>
        <v/>
      </c>
      <c r="E15" s="93">
        <f>($D15-$D9)*100</f>
        <v/>
      </c>
      <c r="G15" s="91">
        <f>$G14</f>
        <v/>
      </c>
      <c r="H15" s="93">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83">
        <f>nr_EChgVsInd</f>
        <v/>
      </c>
    </row>
    <row r="21">
      <c r="B21" s="20">
        <f>"Earned rate chg "&amp;(nr_PlanYear-1)&amp;" -&gt; "&amp;nr_PlanYear</f>
        <v/>
      </c>
      <c r="D21" s="83">
        <f>nr_YoY_P</f>
        <v/>
      </c>
    </row>
    <row r="22">
      <c r="B22" s="20">
        <f>"Earned rate chg "&amp;nr_PlanYear&amp;" -&gt; "&amp;(nr_PlanYear+1)&amp;" (carryover + new actions)"</f>
        <v/>
      </c>
      <c r="D22" s="83">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145" t="n">
        <v>1</v>
      </c>
      <c r="C26" s="146">
        <f>IF(COUNTIFS(rl_key,nr_SelKey,rl_seq,1)=0,"",SUMIFS(rl_eff,rl_key,nr_SelKey,rl_seq,1))</f>
        <v/>
      </c>
      <c r="D26" s="45">
        <f>IF(COUNTIFS(rl_key,nr_SelKey,rl_seq,1)=0,"",SUMIFS(rl_filed,rl_key,nr_SelKey,rl_seq,1))</f>
        <v/>
      </c>
      <c r="E26" s="87">
        <f>IF(COUNTIFS(rl_key,nr_SelKey,rl_seq,1)=0,"",IF(COUNTIFS(rl_key,nr_SelKey,rl_seq,1,rl_status,"planned")&gt;0,"planned","taken"))</f>
        <v/>
      </c>
      <c r="F26" s="87">
        <f>IF(COUNTIFS(rl_key,nr_SelKey,rl_seq,1)=0,"",IF(COUNTIFS(rl_key,nr_SelKey,rl_seq,1,rl_cons,"Y")&gt;0,"Y","N"))</f>
        <v/>
      </c>
      <c r="G26" s="52">
        <f>IF(COUNTIFS(rl_key,nr_SelKey,rl_seq,1)=0,"",SUMIFS(rl_reff,rl_key,nr_SelKey,rl_seq,1))</f>
        <v/>
      </c>
    </row>
    <row r="27">
      <c r="B27" s="145" t="n">
        <v>2</v>
      </c>
      <c r="C27" s="146">
        <f>IF(COUNTIFS(rl_key,nr_SelKey,rl_seq,2)=0,"",SUMIFS(rl_eff,rl_key,nr_SelKey,rl_seq,2))</f>
        <v/>
      </c>
      <c r="D27" s="45">
        <f>IF(COUNTIFS(rl_key,nr_SelKey,rl_seq,2)=0,"",SUMIFS(rl_filed,rl_key,nr_SelKey,rl_seq,2))</f>
        <v/>
      </c>
      <c r="E27" s="87">
        <f>IF(COUNTIFS(rl_key,nr_SelKey,rl_seq,2)=0,"",IF(COUNTIFS(rl_key,nr_SelKey,rl_seq,2,rl_status,"planned")&gt;0,"planned","taken"))</f>
        <v/>
      </c>
      <c r="F27" s="87">
        <f>IF(COUNTIFS(rl_key,nr_SelKey,rl_seq,2)=0,"",IF(COUNTIFS(rl_key,nr_SelKey,rl_seq,2,rl_cons,"Y")&gt;0,"Y","N"))</f>
        <v/>
      </c>
      <c r="G27" s="52">
        <f>IF(COUNTIFS(rl_key,nr_SelKey,rl_seq,2)=0,"",SUMIFS(rl_reff,rl_key,nr_SelKey,rl_seq,2))</f>
        <v/>
      </c>
    </row>
    <row r="28">
      <c r="B28" s="145" t="n">
        <v>3</v>
      </c>
      <c r="C28" s="146">
        <f>IF(COUNTIFS(rl_key,nr_SelKey,rl_seq,3)=0,"",SUMIFS(rl_eff,rl_key,nr_SelKey,rl_seq,3))</f>
        <v/>
      </c>
      <c r="D28" s="45">
        <f>IF(COUNTIFS(rl_key,nr_SelKey,rl_seq,3)=0,"",SUMIFS(rl_filed,rl_key,nr_SelKey,rl_seq,3))</f>
        <v/>
      </c>
      <c r="E28" s="87">
        <f>IF(COUNTIFS(rl_key,nr_SelKey,rl_seq,3)=0,"",IF(COUNTIFS(rl_key,nr_SelKey,rl_seq,3,rl_status,"planned")&gt;0,"planned","taken"))</f>
        <v/>
      </c>
      <c r="F28" s="87">
        <f>IF(COUNTIFS(rl_key,nr_SelKey,rl_seq,3)=0,"",IF(COUNTIFS(rl_key,nr_SelKey,rl_seq,3,rl_cons,"Y")&gt;0,"Y","N"))</f>
        <v/>
      </c>
      <c r="G28" s="52">
        <f>IF(COUNTIFS(rl_key,nr_SelKey,rl_seq,3)=0,"",SUMIFS(rl_reff,rl_key,nr_SelKey,rl_seq,3))</f>
        <v/>
      </c>
    </row>
    <row r="29">
      <c r="B29" s="145" t="n">
        <v>4</v>
      </c>
      <c r="C29" s="146">
        <f>IF(COUNTIFS(rl_key,nr_SelKey,rl_seq,4)=0,"",SUMIFS(rl_eff,rl_key,nr_SelKey,rl_seq,4))</f>
        <v/>
      </c>
      <c r="D29" s="45">
        <f>IF(COUNTIFS(rl_key,nr_SelKey,rl_seq,4)=0,"",SUMIFS(rl_filed,rl_key,nr_SelKey,rl_seq,4))</f>
        <v/>
      </c>
      <c r="E29" s="87">
        <f>IF(COUNTIFS(rl_key,nr_SelKey,rl_seq,4)=0,"",IF(COUNTIFS(rl_key,nr_SelKey,rl_seq,4,rl_status,"planned")&gt;0,"planned","taken"))</f>
        <v/>
      </c>
      <c r="F29" s="87">
        <f>IF(COUNTIFS(rl_key,nr_SelKey,rl_seq,4)=0,"",IF(COUNTIFS(rl_key,nr_SelKey,rl_seq,4,rl_cons,"Y")&gt;0,"Y","N"))</f>
        <v/>
      </c>
      <c r="G29" s="52">
        <f>IF(COUNTIFS(rl_key,nr_SelKey,rl_seq,4)=0,"",SUMIFS(rl_reff,rl_key,nr_SelKey,rl_seq,4))</f>
        <v/>
      </c>
    </row>
    <row r="30">
      <c r="B30" s="145" t="n">
        <v>5</v>
      </c>
      <c r="C30" s="146">
        <f>IF(COUNTIFS(rl_key,nr_SelKey,rl_seq,5)=0,"",SUMIFS(rl_eff,rl_key,nr_SelKey,rl_seq,5))</f>
        <v/>
      </c>
      <c r="D30" s="45">
        <f>IF(COUNTIFS(rl_key,nr_SelKey,rl_seq,5)=0,"",SUMIFS(rl_filed,rl_key,nr_SelKey,rl_seq,5))</f>
        <v/>
      </c>
      <c r="E30" s="87">
        <f>IF(COUNTIFS(rl_key,nr_SelKey,rl_seq,5)=0,"",IF(COUNTIFS(rl_key,nr_SelKey,rl_seq,5,rl_status,"planned")&gt;0,"planned","taken"))</f>
        <v/>
      </c>
      <c r="F30" s="87">
        <f>IF(COUNTIFS(rl_key,nr_SelKey,rl_seq,5)=0,"",IF(COUNTIFS(rl_key,nr_SelKey,rl_seq,5,rl_cons,"Y")&gt;0,"Y","N"))</f>
        <v/>
      </c>
      <c r="G30" s="52">
        <f>IF(COUNTIFS(rl_key,nr_SelKey,rl_seq,5)=0,"",SUMIFS(rl_reff,rl_key,nr_SelKey,rl_seq,5))</f>
        <v/>
      </c>
    </row>
    <row r="31">
      <c r="B31" s="145" t="n">
        <v>6</v>
      </c>
      <c r="C31" s="146">
        <f>IF(COUNTIFS(rl_key,nr_SelKey,rl_seq,6)=0,"",SUMIFS(rl_eff,rl_key,nr_SelKey,rl_seq,6))</f>
        <v/>
      </c>
      <c r="D31" s="45">
        <f>IF(COUNTIFS(rl_key,nr_SelKey,rl_seq,6)=0,"",SUMIFS(rl_filed,rl_key,nr_SelKey,rl_seq,6))</f>
        <v/>
      </c>
      <c r="E31" s="87">
        <f>IF(COUNTIFS(rl_key,nr_SelKey,rl_seq,6)=0,"",IF(COUNTIFS(rl_key,nr_SelKey,rl_seq,6,rl_status,"planned")&gt;0,"planned","taken"))</f>
        <v/>
      </c>
      <c r="F31" s="87">
        <f>IF(COUNTIFS(rl_key,nr_SelKey,rl_seq,6)=0,"",IF(COUNTIFS(rl_key,nr_SelKey,rl_seq,6,rl_cons,"Y")&gt;0,"Y","N"))</f>
        <v/>
      </c>
      <c r="G31" s="52">
        <f>IF(COUNTIFS(rl_key,nr_SelKey,rl_seq,6)=0,"",SUMIFS(rl_reff,rl_key,nr_SelKey,rl_seq,6))</f>
        <v/>
      </c>
    </row>
    <row r="32">
      <c r="B32" s="145" t="n">
        <v>7</v>
      </c>
      <c r="C32" s="146">
        <f>IF(COUNTIFS(rl_key,nr_SelKey,rl_seq,7)=0,"",SUMIFS(rl_eff,rl_key,nr_SelKey,rl_seq,7))</f>
        <v/>
      </c>
      <c r="D32" s="45">
        <f>IF(COUNTIFS(rl_key,nr_SelKey,rl_seq,7)=0,"",SUMIFS(rl_filed,rl_key,nr_SelKey,rl_seq,7))</f>
        <v/>
      </c>
      <c r="E32" s="87">
        <f>IF(COUNTIFS(rl_key,nr_SelKey,rl_seq,7)=0,"",IF(COUNTIFS(rl_key,nr_SelKey,rl_seq,7,rl_status,"planned")&gt;0,"planned","taken"))</f>
        <v/>
      </c>
      <c r="F32" s="87">
        <f>IF(COUNTIFS(rl_key,nr_SelKey,rl_seq,7)=0,"",IF(COUNTIFS(rl_key,nr_SelKey,rl_seq,7,rl_cons,"Y")&gt;0,"Y","N"))</f>
        <v/>
      </c>
      <c r="G32" s="52">
        <f>IF(COUNTIFS(rl_key,nr_SelKey,rl_seq,7)=0,"",SUMIFS(rl_reff,rl_key,nr_SelKey,rl_seq,7))</f>
        <v/>
      </c>
    </row>
    <row r="33">
      <c r="B33" s="145" t="n">
        <v>8</v>
      </c>
      <c r="C33" s="146">
        <f>IF(COUNTIFS(rl_key,nr_SelKey,rl_seq,8)=0,"",SUMIFS(rl_eff,rl_key,nr_SelKey,rl_seq,8))</f>
        <v/>
      </c>
      <c r="D33" s="45">
        <f>IF(COUNTIFS(rl_key,nr_SelKey,rl_seq,8)=0,"",SUMIFS(rl_filed,rl_key,nr_SelKey,rl_seq,8))</f>
        <v/>
      </c>
      <c r="E33" s="87">
        <f>IF(COUNTIFS(rl_key,nr_SelKey,rl_seq,8)=0,"",IF(COUNTIFS(rl_key,nr_SelKey,rl_seq,8,rl_status,"planned")&gt;0,"planned","taken"))</f>
        <v/>
      </c>
      <c r="F33" s="87">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47">
        <f>nr_SelBU</f>
        <v/>
      </c>
    </row>
    <row r="39" hidden="1" outlineLevel="1">
      <c r="B39" s="20" t="inlineStr">
        <is>
          <t>State</t>
        </is>
      </c>
      <c r="C39" s="147">
        <f>nr_SelState</f>
        <v/>
      </c>
    </row>
    <row r="40" hidden="1" outlineLevel="1">
      <c r="B40" s="20" t="inlineStr">
        <is>
          <t>Projected LR (as input)</t>
        </is>
      </c>
      <c r="C40" s="148">
        <f>IF($F$36=0,0,N(INDEX(lr_lrproj,$F$36)))</f>
        <v/>
      </c>
    </row>
    <row r="41" hidden="1" outlineLevel="1">
      <c r="B41" s="20" t="inlineStr">
        <is>
          <t>LR basis</t>
        </is>
      </c>
      <c r="C41" s="147">
        <f>IF($F$36=0,"current",INDEX(lr_basis,$F$36)&amp;"")</f>
        <v/>
      </c>
    </row>
    <row r="42" hidden="1" outlineLevel="1">
      <c r="B42" s="20" t="inlineStr">
        <is>
          <t>Indication selected change (s)</t>
        </is>
      </c>
      <c r="C42" s="148">
        <f>IF($F$36=0,0,N(INDEX(lr_s,$F$36)))</f>
        <v/>
      </c>
    </row>
    <row r="43" hidden="1" outlineLevel="1">
      <c r="B43" s="20" t="inlineStr">
        <is>
          <t>LR at current rate level</t>
        </is>
      </c>
      <c r="C43" s="148">
        <f>IF(nr_Basis="proposed",nr_LRproj*(1+nr_SelS),nr_LRproj)</f>
        <v/>
      </c>
    </row>
    <row r="44" hidden="1" outlineLevel="1">
      <c r="B44" s="20" t="inlineStr">
        <is>
          <t>Mod assumed in indication (M_ind)</t>
        </is>
      </c>
      <c r="C44" s="149">
        <f>IF($F$36=0,1,IF(N(INDEX(lr_mind,$F$36))=0,1,INDEX(lr_mind,$F$36)))</f>
        <v/>
      </c>
    </row>
    <row r="45" hidden="1" outlineLevel="1">
      <c r="B45" s="20" t="inlineStr">
        <is>
          <t>Current avg written mod (M_0)</t>
        </is>
      </c>
      <c r="C45" s="149">
        <f>IF($F$36=0,1,IF(N(INDEX(lr_m0,$F$36))=0,1,INDEX(lr_m0,$F$36)))</f>
        <v/>
      </c>
    </row>
    <row r="46" hidden="1" outlineLevel="1">
      <c r="B46" s="20" t="inlineStr">
        <is>
          <t>Current mod as-of date (close of day)</t>
        </is>
      </c>
      <c r="C46" s="150">
        <f>IF($F$36=0,DATE(nr_PlanYear-1,10,1),IF(N(INDEX(lr_m0asof,$F$36))=0,DATE(nr_PlanYear-1,10,1),INDEX(lr_m0asof,$F$36)))</f>
        <v/>
      </c>
    </row>
    <row r="47" hidden="1" outlineLevel="1">
      <c r="B47" s="20" t="inlineStr">
        <is>
          <t>Projected mod, end of plan yr (M_1)</t>
        </is>
      </c>
      <c r="C47" s="149">
        <f>IF($F$36=0,1,IF(N(INDEX(lr_m1,$F$36))=0,1,INDEX(lr_m1,$F$36)))</f>
        <v/>
      </c>
    </row>
    <row r="48" hidden="1" outlineLevel="1">
      <c r="B48" s="20" t="inlineStr">
        <is>
          <t>Mod ~1 yr before as-of (M_prior; 0 = not given)</t>
        </is>
      </c>
      <c r="C48" s="149">
        <f>IF($F$36=0,0,N(INDEX(lr_mprior,$F$36)))</f>
        <v/>
      </c>
      <c r="D48" s="50">
        <f>IF(N($C48)=0,"blank -&gt; backward anchor sits on the M_0 -&gt; M_1 line","")</f>
        <v/>
      </c>
    </row>
    <row r="49" hidden="1" outlineLevel="1">
      <c r="B49" s="20" t="inlineStr">
        <is>
          <t>Projected mod, end plan yr+1 (M_2; 0 = use M_1)</t>
        </is>
      </c>
      <c r="C49" s="149">
        <f>IF($F$36=0,0,N(INDEX(lr_m2,$F$36)))</f>
        <v/>
      </c>
      <c r="D49" s="50">
        <f>IF(N($C49)=0,"blank -&gt; M_1 carried flat beyond the plan year","")</f>
        <v/>
      </c>
    </row>
    <row r="50" hidden="1" outlineLevel="1">
      <c r="B50" s="20" t="inlineStr">
        <is>
          <t>Net trend (P+1 view)</t>
        </is>
      </c>
      <c r="C50" s="148">
        <f>IF($F$36=0,N(nr_TrendDefault),IF(ISBLANK(INDEX(lr_trend,$F$36)),N(nr_TrendDefault),INDEX(lr_trend,$F$36)))</f>
        <v/>
      </c>
    </row>
    <row r="51" hidden="1" outlineLevel="1">
      <c r="B51" s="20" t="inlineStr">
        <is>
          <t>Other adjustment factor (A_other)</t>
        </is>
      </c>
      <c r="C51" s="151">
        <f>IF($F$36=0,1,IF(N(INDEX(lr_aother,$F$36))=0,1,INDEX(lr_aother,$F$36)))</f>
        <v/>
      </c>
      <c r="D51" s="77">
        <f>IF(AND(nr_AOther&lt;&gt;1,nr_AOtherLbl=""),"WARNING: A_other &lt;&gt; 1 requires a label","")</f>
        <v/>
      </c>
    </row>
    <row r="52" hidden="1" outlineLevel="1">
      <c r="B52" s="20" t="inlineStr">
        <is>
          <t>Reason for other adjustment</t>
        </is>
      </c>
      <c r="C52" s="147">
        <f>IF($F$36=0,"",INDEX(lr_aotherlbl,$F$36)&amp;"")</f>
        <v/>
      </c>
    </row>
    <row r="53" hidden="1" outlineLevel="1">
      <c r="B53" s="20" t="inlineStr">
        <is>
          <t>Mod adjustment (combo row)</t>
        </is>
      </c>
      <c r="C53" s="147">
        <f>IF($F$36=0,"ON",IF(INDEX(lr_modadj,$F$36)="OFF","OFF","ON"))</f>
        <v/>
      </c>
    </row>
    <row r="54" hidden="1" outlineLevel="1">
      <c r="B54" s="20" t="inlineStr">
        <is>
          <t>Mod adjustment effective</t>
        </is>
      </c>
      <c r="C54" s="147">
        <f>IF(AND(nr_ModAdjMaster="ON",nr_ModAdjRow="ON"),"ON","OFF")</f>
        <v/>
      </c>
    </row>
    <row r="55" hidden="1" outlineLevel="1">
      <c r="B55" s="20" t="inlineStr">
        <is>
          <t>Net rate selection active?</t>
        </is>
      </c>
      <c r="C55" s="147">
        <f>IF($F$36=0,FALSE,NOT(ISBLANK(INDEX(lr_netp,$F$36))))</f>
        <v/>
      </c>
      <c r="D55" s="50">
        <f>IF($C55,"NET SELECTION ACTIVE — supersedes planned rows from 1/1","explicit rate program")</f>
        <v/>
      </c>
    </row>
    <row r="56" hidden="1" outlineLevel="1">
      <c r="B56" s="20" t="inlineStr">
        <is>
          <t>Net selection x (P)</t>
        </is>
      </c>
      <c r="C56" s="148">
        <f>IF($F$36=0,0,N(INDEX(lr_netp,$F$36)))</f>
        <v/>
      </c>
    </row>
    <row r="57" hidden="1" outlineLevel="1">
      <c r="B57" s="20" t="inlineStr">
        <is>
          <t>Net selection x (P+1; blank = carry)</t>
        </is>
      </c>
      <c r="C57" s="148">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142">
        <f>nr_SelKey</f>
        <v/>
      </c>
      <c r="E4" s="141">
        <f>HYPERLINK("#Control!C7","Change BU/state selection &gt;")</f>
        <v/>
      </c>
      <c r="H4" s="50" t="inlineStr">
        <is>
          <t>synced to Control</t>
        </is>
      </c>
    </row>
    <row r="5">
      <c r="B5" s="152">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53">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54" t="inlineStr">
        <is>
          <t>Each row links the live input; 'edit &gt;' opens the exact Inputs cell.</t>
        </is>
      </c>
    </row>
    <row r="9">
      <c r="B9" s="20" t="inlineStr">
        <is>
          <t>Projected loss ratio</t>
        </is>
      </c>
      <c r="C9" s="155">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56">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55">
        <f>nr_SelS</f>
        <v/>
      </c>
      <c r="I11" s="19">
        <f>IF(br_selrow=0,"",HYPERLINK("#Inputs!E"&amp;(br_selrow+11),"edit &gt;"))</f>
        <v/>
      </c>
      <c r="J11" s="27" t="inlineStr">
        <is>
          <t>Only used when the basis is 'proposed'.</t>
        </is>
      </c>
    </row>
    <row r="12" ht="19" customHeight="1">
      <c r="B12" s="20" t="inlineStr">
        <is>
          <t>Mod assumed in indication (M_ind)</t>
        </is>
      </c>
      <c r="C12" s="157">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57">
        <f>nr_M0</f>
        <v/>
      </c>
      <c r="I13" s="19">
        <f>IF(br_selrow=0,"",HYPERLINK("#Inputs!G"&amp;(br_selrow+11),"edit &gt;"))</f>
        <v/>
      </c>
      <c r="J13" s="27" t="inlineStr">
        <is>
          <t>Where the written mod stands at the as-of date.</t>
        </is>
      </c>
    </row>
    <row r="14" ht="19" customHeight="1">
      <c r="B14" s="20" t="inlineStr">
        <is>
          <t>M_0 as-of date</t>
        </is>
      </c>
      <c r="C14" s="158">
        <f>nr_M0Asof</f>
        <v/>
      </c>
      <c r="I14" s="19">
        <f>IF(br_selrow=0,"",HYPERLINK("#Inputs!H"&amp;(br_selrow+11),"edit &gt;"))</f>
        <v/>
      </c>
      <c r="J14" s="27" t="inlineStr">
        <is>
          <t>Anchored close-of-day: 'as of 9/30' means the 10/1 boundary.</t>
        </is>
      </c>
    </row>
    <row r="15" ht="19" customHeight="1">
      <c r="B15" s="20" t="inlineStr">
        <is>
          <t>Projected mod, plan-yr end (M_1)</t>
        </is>
      </c>
      <c r="C15" s="157">
        <f>nr_M1</f>
        <v/>
      </c>
      <c r="I15" s="19">
        <f>IF(br_selrow=0,"",HYPERLINK("#Inputs!I"&amp;(br_selrow+11),"edit &gt;"))</f>
        <v/>
      </c>
      <c r="J15" s="27" t="inlineStr">
        <is>
          <t>Where you project the written mod by 12/31 of the plan year.</t>
        </is>
      </c>
    </row>
    <row r="16">
      <c r="B16" s="20" t="inlineStr">
        <is>
          <t>Mod ~1 yr before as-of (M_prior)</t>
        </is>
      </c>
      <c r="C16" s="157">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57">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55">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59">
        <f>nr_AOther</f>
        <v/>
      </c>
      <c r="I19" s="19">
        <f>IF(br_selrow=0,"",HYPERLINK("#Inputs!N"&amp;(br_selrow+11),"edit &gt;"))</f>
        <v/>
      </c>
      <c r="J19" s="50">
        <f>IF(nr_AOtherLbl="","no manual adjustment","reason: "&amp;nr_AOtherLbl)</f>
        <v/>
      </c>
    </row>
    <row r="20" ht="19" customHeight="1">
      <c r="B20" s="20" t="inlineStr">
        <is>
          <t>Mod adjustment effective?</t>
        </is>
      </c>
      <c r="C20" s="156">
        <f>nr_ModAdjEff</f>
        <v/>
      </c>
      <c r="I20" s="19">
        <f>IF(br_selrow=0,"",HYPERLINK("#Inputs!P"&amp;(br_selrow+11),"edit &gt;"))</f>
        <v/>
      </c>
      <c r="J20" s="27" t="inlineStr">
        <is>
          <t>Master toggle (Control) AND the combo's own toggle must both be ON.</t>
        </is>
      </c>
    </row>
    <row r="21">
      <c r="B21" s="20" t="inlineStr">
        <is>
          <t>Net rate selection</t>
        </is>
      </c>
      <c r="C21" s="155">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54"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145" t="n">
        <v>1</v>
      </c>
      <c r="C25" s="146">
        <f>IF(COUNTIFS(rl_key,nr_SelKey,rl_seq,1)=0,"",SUMIFS(rl_eff,rl_key,nr_SelKey,rl_seq,1))</f>
        <v/>
      </c>
      <c r="D25" s="45">
        <f>IF(COUNTIFS(rl_key,nr_SelKey,rl_seq,1)=0,"",SUMIFS(rl_filed,rl_key,nr_SelKey,rl_seq,1))</f>
        <v/>
      </c>
      <c r="E25" s="87">
        <f>IF(COUNTIFS(rl_key,nr_SelKey,rl_seq,1)=0,"",IF(COUNTIFS(rl_key,nr_SelKey,rl_seq,1,rl_status,"planned")&gt;0,"planned","taken"))</f>
        <v/>
      </c>
      <c r="F25" s="87">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145" t="n">
        <v>2</v>
      </c>
      <c r="C26" s="146">
        <f>IF(COUNTIFS(rl_key,nr_SelKey,rl_seq,2)=0,"",SUMIFS(rl_eff,rl_key,nr_SelKey,rl_seq,2))</f>
        <v/>
      </c>
      <c r="D26" s="45">
        <f>IF(COUNTIFS(rl_key,nr_SelKey,rl_seq,2)=0,"",SUMIFS(rl_filed,rl_key,nr_SelKey,rl_seq,2))</f>
        <v/>
      </c>
      <c r="E26" s="87">
        <f>IF(COUNTIFS(rl_key,nr_SelKey,rl_seq,2)=0,"",IF(COUNTIFS(rl_key,nr_SelKey,rl_seq,2,rl_status,"planned")&gt;0,"planned","taken"))</f>
        <v/>
      </c>
      <c r="F26" s="87">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145" t="n">
        <v>3</v>
      </c>
      <c r="C27" s="146">
        <f>IF(COUNTIFS(rl_key,nr_SelKey,rl_seq,3)=0,"",SUMIFS(rl_eff,rl_key,nr_SelKey,rl_seq,3))</f>
        <v/>
      </c>
      <c r="D27" s="45">
        <f>IF(COUNTIFS(rl_key,nr_SelKey,rl_seq,3)=0,"",SUMIFS(rl_filed,rl_key,nr_SelKey,rl_seq,3))</f>
        <v/>
      </c>
      <c r="E27" s="87">
        <f>IF(COUNTIFS(rl_key,nr_SelKey,rl_seq,3)=0,"",IF(COUNTIFS(rl_key,nr_SelKey,rl_seq,3,rl_status,"planned")&gt;0,"planned","taken"))</f>
        <v/>
      </c>
      <c r="F27" s="87">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145" t="n">
        <v>4</v>
      </c>
      <c r="C28" s="146">
        <f>IF(COUNTIFS(rl_key,nr_SelKey,rl_seq,4)=0,"",SUMIFS(rl_eff,rl_key,nr_SelKey,rl_seq,4))</f>
        <v/>
      </c>
      <c r="D28" s="45">
        <f>IF(COUNTIFS(rl_key,nr_SelKey,rl_seq,4)=0,"",SUMIFS(rl_filed,rl_key,nr_SelKey,rl_seq,4))</f>
        <v/>
      </c>
      <c r="E28" s="87">
        <f>IF(COUNTIFS(rl_key,nr_SelKey,rl_seq,4)=0,"",IF(COUNTIFS(rl_key,nr_SelKey,rl_seq,4,rl_status,"planned")&gt;0,"planned","taken"))</f>
        <v/>
      </c>
      <c r="F28" s="87">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145" t="n">
        <v>5</v>
      </c>
      <c r="C29" s="146">
        <f>IF(COUNTIFS(rl_key,nr_SelKey,rl_seq,5)=0,"",SUMIFS(rl_eff,rl_key,nr_SelKey,rl_seq,5))</f>
        <v/>
      </c>
      <c r="D29" s="45">
        <f>IF(COUNTIFS(rl_key,nr_SelKey,rl_seq,5)=0,"",SUMIFS(rl_filed,rl_key,nr_SelKey,rl_seq,5))</f>
        <v/>
      </c>
      <c r="E29" s="87">
        <f>IF(COUNTIFS(rl_key,nr_SelKey,rl_seq,5)=0,"",IF(COUNTIFS(rl_key,nr_SelKey,rl_seq,5,rl_status,"planned")&gt;0,"planned","taken"))</f>
        <v/>
      </c>
      <c r="F29" s="87">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145" t="n">
        <v>6</v>
      </c>
      <c r="C30" s="146">
        <f>IF(COUNTIFS(rl_key,nr_SelKey,rl_seq,6)=0,"",SUMIFS(rl_eff,rl_key,nr_SelKey,rl_seq,6))</f>
        <v/>
      </c>
      <c r="D30" s="45">
        <f>IF(COUNTIFS(rl_key,nr_SelKey,rl_seq,6)=0,"",SUMIFS(rl_filed,rl_key,nr_SelKey,rl_seq,6))</f>
        <v/>
      </c>
      <c r="E30" s="87">
        <f>IF(COUNTIFS(rl_key,nr_SelKey,rl_seq,6)=0,"",IF(COUNTIFS(rl_key,nr_SelKey,rl_seq,6,rl_status,"planned")&gt;0,"planned","taken"))</f>
        <v/>
      </c>
      <c r="F30" s="87">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145" t="n">
        <v>7</v>
      </c>
      <c r="C31" s="146">
        <f>IF(COUNTIFS(rl_key,nr_SelKey,rl_seq,7)=0,"",SUMIFS(rl_eff,rl_key,nr_SelKey,rl_seq,7))</f>
        <v/>
      </c>
      <c r="D31" s="45">
        <f>IF(COUNTIFS(rl_key,nr_SelKey,rl_seq,7)=0,"",SUMIFS(rl_filed,rl_key,nr_SelKey,rl_seq,7))</f>
        <v/>
      </c>
      <c r="E31" s="87">
        <f>IF(COUNTIFS(rl_key,nr_SelKey,rl_seq,7)=0,"",IF(COUNTIFS(rl_key,nr_SelKey,rl_seq,7,rl_status,"planned")&gt;0,"planned","taken"))</f>
        <v/>
      </c>
      <c r="F31" s="87">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145" t="n">
        <v>8</v>
      </c>
      <c r="C32" s="146">
        <f>IF(COUNTIFS(rl_key,nr_SelKey,rl_seq,8)=0,"",SUMIFS(rl_eff,rl_key,nr_SelKey,rl_seq,8))</f>
        <v/>
      </c>
      <c r="D32" s="45">
        <f>IF(COUNTIFS(rl_key,nr_SelKey,rl_seq,8)=0,"",SUMIFS(rl_filed,rl_key,nr_SelKey,rl_seq,8))</f>
        <v/>
      </c>
      <c r="E32" s="87">
        <f>IF(COUNTIFS(rl_key,nr_SelKey,rl_seq,8)=0,"",IF(COUNTIFS(rl_key,nr_SelKey,rl_seq,8,rl_status,"planned")&gt;0,"planned","taken"))</f>
        <v/>
      </c>
      <c r="F32" s="87">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60">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54"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61">
        <f>INDEX('Rate Engine'!$B$17:$B$64,$I$37)</f>
        <v/>
      </c>
      <c r="D37" s="161">
        <f>INDEX('Rate Engine'!$B$17:$B$64,$I$38)</f>
        <v/>
      </c>
      <c r="E37" s="161">
        <f>INDEX('Rate Engine'!$B$17:$B$64,$I$39)</f>
        <v/>
      </c>
      <c r="H37" s="23" t="inlineStr">
        <is>
          <t>idx A</t>
        </is>
      </c>
      <c r="I37" s="42">
        <f>12+13-ROUND(nr_TermMonths/2,0)</f>
        <v/>
      </c>
      <c r="J37" s="27" t="inlineStr">
        <is>
          <t>When this cohort of policies goes on the books.</t>
        </is>
      </c>
    </row>
    <row r="38" ht="19" customHeight="1">
      <c r="B38" s="20" t="inlineStr">
        <is>
          <t>Weight w</t>
        </is>
      </c>
      <c r="C38" s="162">
        <f>INDEX('Rate Engine'!$H$17:$H$64,$I$37)</f>
        <v/>
      </c>
      <c r="D38" s="162">
        <f>INDEX('Rate Engine'!$H$17:$H$64,$I$38)</f>
        <v/>
      </c>
      <c r="E38" s="162">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63">
        <f>INDEX('Rate Engine'!$K$17:$K$64,$I$37)</f>
        <v/>
      </c>
      <c r="D41" s="163">
        <f>INDEX('Rate Engine'!$K$17:$K$64,$I$38)</f>
        <v/>
      </c>
      <c r="E41" s="163">
        <f>INDEX('Rate Engine'!$K$17:$K$64,$I$39)</f>
        <v/>
      </c>
      <c r="J41" s="27" t="inlineStr">
        <is>
          <t>Cohort B catches one mid-month — see the split below.</t>
        </is>
      </c>
    </row>
    <row r="42" ht="19" customHeight="1">
      <c r="B42" s="20" t="inlineStr">
        <is>
          <t>Days on/after the first change</t>
        </is>
      </c>
      <c r="C42" s="163">
        <f>INDEX('Rate Engine'!$L$17:$L$64,$I$37)</f>
        <v/>
      </c>
      <c r="D42" s="163">
        <f>INDEX('Rate Engine'!$L$17:$L$64,$I$38)</f>
        <v/>
      </c>
      <c r="E42" s="163">
        <f>INDEX('Rate Engine'!$L$17:$L$64,$I$39)</f>
        <v/>
      </c>
      <c r="J42" s="27" t="inlineStr">
        <is>
          <t>Of the days in the month, how many fall on/after the change date.</t>
        </is>
      </c>
    </row>
    <row r="43" ht="19" customHeight="1">
      <c r="B43" s="20" t="inlineStr">
        <is>
          <t>Split p = days after / days in month</t>
        </is>
      </c>
      <c r="C43" s="164">
        <f>INDEX('Rate Engine'!$M$17:$M$64,$I$37)</f>
        <v/>
      </c>
      <c r="D43" s="164">
        <f>INDEX('Rate Engine'!$M$17:$M$64,$I$38)</f>
        <v/>
      </c>
      <c r="E43" s="164">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65">
        <f>(1-INDEX('Rate Engine'!$M$17:$M$64,$I$37))*INDEX('Rate Engine'!$I$17:$I$64,$I$37)+INDEX('Rate Engine'!$M$17:$M$64,$I$37)*INDEX('Rate Engine'!$J$17:$J$64,$I$37)</f>
        <v/>
      </c>
      <c r="D48" s="165">
        <f>(1-INDEX('Rate Engine'!$M$17:$M$64,$I$38))*INDEX('Rate Engine'!$I$17:$I$64,$I$38)+INDEX('Rate Engine'!$M$17:$M$64,$I$38)*INDEX('Rate Engine'!$J$17:$J$64,$I$38)</f>
        <v/>
      </c>
      <c r="E48" s="165">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54"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11">
        <f>SUM('Rate Engine'!AH$66:AS$66)</f>
        <v/>
      </c>
      <c r="J51" s="27" t="inlineStr">
        <is>
          <t>Rate-weighted earned exposure across the plan year's 12 months.</t>
        </is>
      </c>
    </row>
    <row r="52" ht="19" customHeight="1">
      <c r="B52" s="20" t="inlineStr">
        <is>
          <t>Denominator: SUM of w x e</t>
        </is>
      </c>
      <c r="C52" s="111">
        <f>SUM('Rate Engine'!AH$67:AS$67)</f>
        <v/>
      </c>
      <c r="J52" s="27" t="inlineStr">
        <is>
          <t>Total earned exposure in the plan year.</t>
        </is>
      </c>
    </row>
    <row r="53">
      <c r="B53" s="20" t="inlineStr">
        <is>
          <t>Earned rate level  E_CY(P)</t>
        </is>
      </c>
      <c r="C53" s="159">
        <f>nr_ECY_P</f>
        <v/>
      </c>
      <c r="J53" s="50">
        <f>"Numerator / denominator — the level CY "&amp;nr_PlanYear&amp;" premium actually carries."</f>
        <v/>
      </c>
    </row>
    <row r="54">
      <c r="B54" s="20" t="inlineStr">
        <is>
          <t>Rate earn-in  A_rate = CRL_ind / E_CY</t>
        </is>
      </c>
      <c r="C54" s="166">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54"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67">
        <f>'Mod Engine'!$F$6-1</f>
        <v/>
      </c>
      <c r="D57" s="43">
        <f>'Mod Engine'!$G$6</f>
        <v/>
      </c>
    </row>
    <row r="58">
      <c r="B58" s="20" t="inlineStr">
        <is>
          <t>M_0 at the as-of date</t>
        </is>
      </c>
      <c r="C58" s="167">
        <f>'Mod Engine'!$F$7-1</f>
        <v/>
      </c>
      <c r="D58" s="43">
        <f>'Mod Engine'!$G$7</f>
        <v/>
      </c>
    </row>
    <row r="59">
      <c r="B59" s="20" t="inlineStr">
        <is>
          <t>M_1 at plan-year end</t>
        </is>
      </c>
      <c r="C59" s="167">
        <f>'Mod Engine'!$F$8-1</f>
        <v/>
      </c>
      <c r="D59" s="43">
        <f>'Mod Engine'!$G$8</f>
        <v/>
      </c>
    </row>
    <row r="60">
      <c r="B60" s="20" t="inlineStr">
        <is>
          <t>M_2 at next-year end</t>
        </is>
      </c>
      <c r="C60" s="167">
        <f>'Mod Engine'!$F$9-1</f>
        <v/>
      </c>
      <c r="D60" s="43">
        <f>'Mod Engine'!$G$9</f>
        <v/>
      </c>
    </row>
    <row r="61" ht="32" customHeight="1">
      <c r="B61" s="20" t="inlineStr">
        <is>
          <t>Path slope over the plan year (mod pts / month)</t>
        </is>
      </c>
      <c r="C61" s="168">
        <f>'Mod Engine'!$H$7*30.4375*100</f>
        <v/>
      </c>
      <c r="J61" s="27" t="inlineStr">
        <is>
          <t>How fast the written mod drifts; the identity below only holds for a globally straight path.</t>
        </is>
      </c>
    </row>
    <row r="62">
      <c r="B62" s="20" t="inlineStr">
        <is>
          <t>Earned mod, plan year</t>
        </is>
      </c>
      <c r="C62" s="157">
        <f>nr_MEarned_P</f>
        <v/>
      </c>
      <c r="J62" s="153">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66">
        <f>nr_Amod_P</f>
        <v/>
      </c>
      <c r="I63" s="19">
        <f>HYPERLINK("#'Mod Engine'!A1","mod engine &gt;")</f>
        <v/>
      </c>
      <c r="J63" s="153">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26">
        <f>$D69</f>
        <v/>
      </c>
      <c r="J70" s="153">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69">
        <f>"CY "&amp;nr_PlanYear&amp;" plan loss ratio for "&amp;nr_SelKey&amp;" is "&amp;TEXT(nr_CYLR_P,"0.0%")&amp;", versus "&amp;TEXT(nr_LRcur,"0.0%")&amp;" projected at current rate level ("&amp;TEXT((nr_CYLR_P-nr_LRcur)*100,"+0.0;-0.0;0.0")&amp;" pts)."</f>
        <v/>
      </c>
    </row>
    <row r="75">
      <c r="B75" s="169">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70">
        <f>IF(ABS(nr_WalkLR-nr_CYLR_P)&lt;0.000000001,"MATCHES","DIFFERS")</f>
        <v/>
      </c>
      <c r="J78" s="27" t="inlineStr">
        <is>
          <t>Same factors, same product.</t>
        </is>
      </c>
    </row>
    <row r="79" ht="19" customHeight="1">
      <c r="B79" s="20" t="inlineStr">
        <is>
          <t>Bridge vs the hidden all-combo engine</t>
        </is>
      </c>
      <c r="C79" s="170">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70">
        <f>IF(NOT(orc_fp),"n/a - sample data changed (regenerate to re-bake)",IF(ABS(nr_CYLR_P-orc_cylr_p)&lt;0.000001,"MATCHES","DIFFERS"))</f>
        <v/>
      </c>
      <c r="J80" s="27" t="inlineStr">
        <is>
          <t>Constants baked at build time by src/engine.py; scoped to the seeded sample.</t>
        </is>
      </c>
    </row>
    <row r="81">
      <c r="B81" s="141">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G33"/>
  <sheetViews>
    <sheetView showGridLines="0" zoomScale="100" workbookViewId="0">
      <selection activeCell="A1" sqref="A1"/>
    </sheetView>
  </sheetViews>
  <sheetFormatPr baseColWidth="8" defaultRowHeight="15"/>
  <cols>
    <col width="2" customWidth="1" min="1" max="1"/>
    <col width="34" customWidth="1" min="2" max="2"/>
    <col width="12" customWidth="1" min="3" max="3"/>
    <col width="14" customWidth="1" min="4" max="4"/>
    <col width="12" customWidth="1" min="5" max="5"/>
    <col width="12" customWidth="1" min="6" max="6"/>
    <col width="12" customWidth="1" min="7" max="7"/>
  </cols>
  <sheetData>
    <row r="2">
      <c r="B2" s="1" t="inlineStr">
        <is>
          <t>One-Pager — General Liability</t>
        </is>
      </c>
    </row>
    <row r="3">
      <c r="B3" s="2" t="inlineStr">
        <is>
          <t>Print-ready brief for the selected BU x state (synced to Control). Everything here is live; nothing is typed.</t>
        </is>
      </c>
    </row>
    <row r="4">
      <c r="B4" s="20" t="inlineStr">
        <is>
          <t>Combo:</t>
        </is>
      </c>
      <c r="C4" s="142">
        <f>nr_SelKey</f>
        <v/>
      </c>
      <c r="E4" s="141">
        <f>HYPERLINK("#Control!C7","Change selection &gt;")</f>
        <v/>
      </c>
    </row>
    <row r="5">
      <c r="B5" s="143">
        <f>IF(nr_SelOK,"Projected "&amp;TEXT(nr_LRproj,"0.0%")&amp;"  -&gt;  CY "&amp;nr_PlanYear&amp;" plan "&amp;TEXT(nr_CYLR_P,"0.0%")&amp;"   ("&amp;TEXT((nr_CYLR_P-nr_LRcur)*100,"+0.0;-0.0;0.0")&amp;" pts vs current level)","Select a combo on Control first.")</f>
        <v/>
      </c>
      <c r="C5" s="34" t="n"/>
      <c r="D5" s="34" t="n"/>
      <c r="E5" s="34" t="n"/>
      <c r="F5" s="34" t="n"/>
      <c r="G5" s="34" t="n"/>
    </row>
    <row r="7">
      <c r="B7" s="3" t="inlineStr">
        <is>
          <t>The bridge</t>
        </is>
      </c>
    </row>
    <row r="8">
      <c r="B8" s="20" t="inlineStr">
        <is>
          <t>Projected LR at current rate level</t>
        </is>
      </c>
      <c r="D8" s="44">
        <f>nr_LRcur</f>
        <v/>
      </c>
    </row>
    <row r="9">
      <c r="B9" s="20">
        <f>IF(nr_NetMode,"x  net earn-in (rate + price)","x  rate earn-in")</f>
        <v/>
      </c>
      <c r="C9" s="41">
        <f>nr_Arate_P</f>
        <v/>
      </c>
      <c r="D9" s="45">
        <f>$D8*$C9</f>
        <v/>
      </c>
    </row>
    <row r="10">
      <c r="B10" s="20">
        <f>IF(nr_NetMode,"x  mod drift (merged into net)","x  schedule-mod drift")</f>
        <v/>
      </c>
      <c r="C10" s="41">
        <f>nr_Amod_P</f>
        <v/>
      </c>
      <c r="D10" s="45">
        <f>$D9*$C10</f>
        <v/>
      </c>
    </row>
    <row r="11">
      <c r="B11" s="20" t="inlineStr">
        <is>
          <t>x  other adjustment</t>
        </is>
      </c>
      <c r="C11" s="41">
        <f>nr_AOther</f>
        <v/>
      </c>
      <c r="D11" s="45">
        <f>$D10*$C11</f>
        <v/>
      </c>
    </row>
    <row r="12">
      <c r="B12" s="25">
        <f>"CY "&amp;nr_PlanYear&amp;" PLAN LOSS RATIO"</f>
        <v/>
      </c>
      <c r="D12" s="171">
        <f>nr_CYLR_P</f>
        <v/>
      </c>
    </row>
    <row r="13">
      <c r="B13" s="20">
        <f>"CY "&amp;(nr_PlanYear+1)&amp;" (indicative, + net trend)"</f>
        <v/>
      </c>
      <c r="D13" s="44">
        <f>nr_CYLR_P1</f>
        <v/>
      </c>
    </row>
    <row r="15">
      <c r="B15" s="3" t="inlineStr">
        <is>
          <t>Key facts</t>
        </is>
      </c>
    </row>
    <row r="16">
      <c r="B16" s="20" t="inlineStr">
        <is>
          <t>Adjusted plan EP (000s)</t>
        </is>
      </c>
      <c r="D16" s="172">
        <f>IF(br_selrow=0,"",N(INDEX(lr_ep,br_selrow)))</f>
        <v/>
      </c>
    </row>
    <row r="17">
      <c r="B17" s="20" t="inlineStr">
        <is>
          <t>Earned rate chg vs indication</t>
        </is>
      </c>
      <c r="D17" s="47">
        <f>IF(nr_SelOK,nr_EChgVsInd,"")</f>
        <v/>
      </c>
    </row>
    <row r="18">
      <c r="B18" s="20">
        <f>"Carryover into "&amp;(nr_PlanYear+1)</f>
        <v/>
      </c>
      <c r="D18" s="47">
        <f>IF(nr_SelOK,nr_YoY_P1,"")</f>
        <v/>
      </c>
    </row>
    <row r="19">
      <c r="B19" s="20" t="inlineStr">
        <is>
          <t>Pricing program</t>
        </is>
      </c>
      <c r="D19" s="51">
        <f>IF(NOT(nr_SelOK),"",IF(nr_NetMode,"NET RATE SELECTION: "&amp;TEXT(nr_NetSelP,"+0.0%;-0.0%")&amp;" combined from 1/1","explicit rate program (see actions below)"))</f>
        <v/>
      </c>
    </row>
    <row r="20">
      <c r="B20" s="20" t="inlineStr">
        <is>
          <t>Workbook integrity</t>
        </is>
      </c>
      <c r="D20" s="51">
        <f>ck_overall</f>
        <v/>
      </c>
    </row>
    <row r="22">
      <c r="B22" s="3" t="inlineStr">
        <is>
          <t>Rate actions on the books (chronological)</t>
        </is>
      </c>
    </row>
    <row r="23">
      <c r="B23" s="57" t="inlineStr">
        <is>
          <t>#</t>
        </is>
      </c>
      <c r="C23" s="57" t="inlineStr">
        <is>
          <t>Effective</t>
        </is>
      </c>
      <c r="D23" s="57" t="inlineStr">
        <is>
          <t>Effective %</t>
        </is>
      </c>
      <c r="E23" s="57" t="inlineStr">
        <is>
          <t>Status</t>
        </is>
      </c>
    </row>
    <row r="24">
      <c r="B24" s="145" t="n">
        <v>1</v>
      </c>
      <c r="C24" s="146">
        <f>IF(COUNTIFS(rl_key,nr_SelKey,rl_seq,1)=0,"",SUMIFS(rl_eff,rl_key,nr_SelKey,rl_seq,1))</f>
        <v/>
      </c>
      <c r="D24" s="52">
        <f>IF(COUNTIFS(rl_key,nr_SelKey,rl_seq,1)=0,"",SUMIFS(rl_reff,rl_key,nr_SelKey,rl_seq,1))</f>
        <v/>
      </c>
      <c r="E24" s="87">
        <f>IF(COUNTIFS(rl_key,nr_SelKey,rl_seq,1)=0,"",IF(COUNTIFS(rl_key,nr_SelKey,rl_seq,1,rl_status,"planned")&gt;0,"planned","taken"))</f>
        <v/>
      </c>
    </row>
    <row r="25">
      <c r="B25" s="145" t="n">
        <v>2</v>
      </c>
      <c r="C25" s="146">
        <f>IF(COUNTIFS(rl_key,nr_SelKey,rl_seq,2)=0,"",SUMIFS(rl_eff,rl_key,nr_SelKey,rl_seq,2))</f>
        <v/>
      </c>
      <c r="D25" s="52">
        <f>IF(COUNTIFS(rl_key,nr_SelKey,rl_seq,2)=0,"",SUMIFS(rl_reff,rl_key,nr_SelKey,rl_seq,2))</f>
        <v/>
      </c>
      <c r="E25" s="87">
        <f>IF(COUNTIFS(rl_key,nr_SelKey,rl_seq,2)=0,"",IF(COUNTIFS(rl_key,nr_SelKey,rl_seq,2,rl_status,"planned")&gt;0,"planned","taken"))</f>
        <v/>
      </c>
    </row>
    <row r="26">
      <c r="B26" s="145" t="n">
        <v>3</v>
      </c>
      <c r="C26" s="146">
        <f>IF(COUNTIFS(rl_key,nr_SelKey,rl_seq,3)=0,"",SUMIFS(rl_eff,rl_key,nr_SelKey,rl_seq,3))</f>
        <v/>
      </c>
      <c r="D26" s="52">
        <f>IF(COUNTIFS(rl_key,nr_SelKey,rl_seq,3)=0,"",SUMIFS(rl_reff,rl_key,nr_SelKey,rl_seq,3))</f>
        <v/>
      </c>
      <c r="E26" s="87">
        <f>IF(COUNTIFS(rl_key,nr_SelKey,rl_seq,3)=0,"",IF(COUNTIFS(rl_key,nr_SelKey,rl_seq,3,rl_status,"planned")&gt;0,"planned","taken"))</f>
        <v/>
      </c>
    </row>
    <row r="27">
      <c r="B27" s="145" t="n">
        <v>4</v>
      </c>
      <c r="C27" s="146">
        <f>IF(COUNTIFS(rl_key,nr_SelKey,rl_seq,4)=0,"",SUMIFS(rl_eff,rl_key,nr_SelKey,rl_seq,4))</f>
        <v/>
      </c>
      <c r="D27" s="52">
        <f>IF(COUNTIFS(rl_key,nr_SelKey,rl_seq,4)=0,"",SUMIFS(rl_reff,rl_key,nr_SelKey,rl_seq,4))</f>
        <v/>
      </c>
      <c r="E27" s="87">
        <f>IF(COUNTIFS(rl_key,nr_SelKey,rl_seq,4)=0,"",IF(COUNTIFS(rl_key,nr_SelKey,rl_seq,4,rl_status,"planned")&gt;0,"planned","taken"))</f>
        <v/>
      </c>
    </row>
    <row r="28">
      <c r="B28" s="145" t="n">
        <v>5</v>
      </c>
      <c r="C28" s="146">
        <f>IF(COUNTIFS(rl_key,nr_SelKey,rl_seq,5)=0,"",SUMIFS(rl_eff,rl_key,nr_SelKey,rl_seq,5))</f>
        <v/>
      </c>
      <c r="D28" s="52">
        <f>IF(COUNTIFS(rl_key,nr_SelKey,rl_seq,5)=0,"",SUMIFS(rl_reff,rl_key,nr_SelKey,rl_seq,5))</f>
        <v/>
      </c>
      <c r="E28" s="87">
        <f>IF(COUNTIFS(rl_key,nr_SelKey,rl_seq,5)=0,"",IF(COUNTIFS(rl_key,nr_SelKey,rl_seq,5,rl_status,"planned")&gt;0,"planned","taken"))</f>
        <v/>
      </c>
    </row>
    <row r="29">
      <c r="B29" s="50">
        <f>IF(COUNTIFS(rl_key,nr_SelKey)&gt;5,"+ "&amp;(COUNTIFS(rl_key,nr_SelKey)-5)&amp;" more on the Rate Log","")</f>
        <v/>
      </c>
    </row>
    <row r="31">
      <c r="B31" s="3" t="inlineStr">
        <is>
          <t>In two sentences</t>
        </is>
      </c>
    </row>
    <row r="32">
      <c r="B32" s="169">
        <f>"CY "&amp;nr_PlanYear&amp;" plan loss ratio for "&amp;nr_SelKey&amp;" is "&amp;TEXT(nr_CYLR_P,"0.0%")&amp;", versus "&amp;TEXT(nr_LRcur,"0.0%")&amp;" projected at current rate level ("&amp;TEXT((nr_CYLR_P-nr_LRcur)*100,"+0.0;-0.0;0.0")&amp;" pts)."</f>
        <v/>
      </c>
    </row>
    <row r="33">
      <c r="B33" s="169">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
      </c>
    </row>
  </sheetData>
  <conditionalFormatting sqref="D20">
    <cfRule type="cellIs" priority="1" operator="equal" dxfId="2">
      <formula>"ALL CHECKS PASS"</formula>
    </cfRule>
    <cfRule type="cellIs" priority="2" operator="notEqual" dxfId="3">
      <formula>"ALL CHECKS PASS"</formula>
    </cfRule>
  </conditionalFormatting>
  <pageMargins left="0.75" right="0.75" top="1" bottom="1" header="0.5" footer="0.5"/>
  <pageSetup orientation="portrait" fitToHeight="1"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142">
        <f>nr_SelKey</f>
        <v/>
      </c>
      <c r="L2" s="141">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87">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87">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87">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87">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87">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87">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87">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87">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145" t="n">
        <v>1</v>
      </c>
      <c r="C63" s="146">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73">
        <f>IF($C63="",0,LN(1+$D63)*($F63-$E63))</f>
        <v/>
      </c>
    </row>
    <row r="64">
      <c r="B64" s="145" t="n">
        <v>2</v>
      </c>
      <c r="C64" s="146">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73">
        <f>IF($C64="",0,LN(1+$D64)*($F64-$E64))</f>
        <v/>
      </c>
    </row>
    <row r="65">
      <c r="B65" s="145" t="n">
        <v>3</v>
      </c>
      <c r="C65" s="146">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73">
        <f>IF($C65="",0,LN(1+$D65)*($F65-$E65))</f>
        <v/>
      </c>
    </row>
    <row r="66">
      <c r="B66" s="145" t="n">
        <v>4</v>
      </c>
      <c r="C66" s="146">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73">
        <f>IF($C66="",0,LN(1+$D66)*($F66-$E66))</f>
        <v/>
      </c>
    </row>
    <row r="67">
      <c r="B67" s="145" t="n">
        <v>5</v>
      </c>
      <c r="C67" s="146">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73">
        <f>IF($C67="",0,LN(1+$D67)*($F67-$E67))</f>
        <v/>
      </c>
    </row>
    <row r="68">
      <c r="B68" s="145" t="n">
        <v>6</v>
      </c>
      <c r="C68" s="146">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73">
        <f>IF($C68="",0,LN(1+$D68)*($F68-$E68))</f>
        <v/>
      </c>
    </row>
    <row r="69">
      <c r="B69" s="145" t="n">
        <v>7</v>
      </c>
      <c r="C69" s="146">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73">
        <f>IF($C69="",0,LN(1+$D69)*($F69-$E69))</f>
        <v/>
      </c>
    </row>
    <row r="70">
      <c r="B70" s="145" t="n">
        <v>8</v>
      </c>
      <c r="C70" s="146">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73">
        <f>IF($C70="",0,LN(1+$D70)*($F70-$E70))</f>
        <v/>
      </c>
    </row>
    <row r="71">
      <c r="C71" s="18" t="inlineStr">
        <is>
          <t>Actions combined</t>
        </is>
      </c>
      <c r="G71" s="174">
        <f>EXP(SUM($H$63:$H$70))-1</f>
        <v/>
      </c>
    </row>
    <row r="72">
      <c r="C72" s="20" t="inlineStr">
        <is>
          <t>Timing / compounding interaction (residual)</t>
        </is>
      </c>
      <c r="G72" s="52">
        <f>(1+nr_YoY_P1)/EXP(SUM($H$63:$H$70))-1</f>
        <v/>
      </c>
    </row>
    <row r="73">
      <c r="C73" s="18" t="inlineStr">
        <is>
          <t>Total carryover (earned rate chg into next year)</t>
        </is>
      </c>
      <c r="G73" s="175">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76">
        <f>'Rate Engine'!V$16</f>
        <v/>
      </c>
      <c r="C81" s="173">
        <f>'Rate Engine'!$U$29</f>
        <v/>
      </c>
      <c r="D81" s="173">
        <f>'Rate Engine'!V$68</f>
        <v/>
      </c>
      <c r="E81" s="177">
        <f>'Mod Engine'!$E$29</f>
        <v/>
      </c>
      <c r="F81" s="177">
        <f>'Rate Engine'!V$72</f>
        <v/>
      </c>
      <c r="G81" s="173">
        <f>IF(nr_NetMode,$C81,$C81*($E81/nr_MInd))</f>
        <v/>
      </c>
      <c r="H81" s="173">
        <f>IF(OR($D81="",$F81=""),"",IF(nr_NetMode,$D81,$D81*($F81/nr_MInd)))</f>
        <v/>
      </c>
      <c r="I81" s="42">
        <f>IF(YEAR($B81)=nr_PlanYear,1,0)</f>
        <v/>
      </c>
      <c r="J81" s="23" t="n"/>
      <c r="K81" s="23" t="n"/>
      <c r="L81" s="178">
        <f>IF(OR($C81="",$D81=""),"",$C81/$D81-1)</f>
        <v/>
      </c>
    </row>
    <row r="82">
      <c r="B82" s="176">
        <f>'Rate Engine'!W$16</f>
        <v/>
      </c>
      <c r="C82" s="173">
        <f>'Rate Engine'!$U$30</f>
        <v/>
      </c>
      <c r="D82" s="173">
        <f>'Rate Engine'!W$68</f>
        <v/>
      </c>
      <c r="E82" s="177">
        <f>'Mod Engine'!$E$30</f>
        <v/>
      </c>
      <c r="F82" s="177">
        <f>'Rate Engine'!W$72</f>
        <v/>
      </c>
      <c r="G82" s="173">
        <f>IF(nr_NetMode,$C82,$C82*($E82/nr_MInd))</f>
        <v/>
      </c>
      <c r="H82" s="173">
        <f>IF(OR($D82="",$F82=""),"",IF(nr_NetMode,$D82,$D82*($F82/nr_MInd)))</f>
        <v/>
      </c>
      <c r="I82" s="42">
        <f>IF(YEAR($B82)=nr_PlanYear,1,0)</f>
        <v/>
      </c>
      <c r="J82" s="23" t="n"/>
      <c r="K82" s="23" t="n"/>
      <c r="L82" s="178">
        <f>IF(OR($C82="",$D82=""),"",$C82/$D82-1)</f>
        <v/>
      </c>
    </row>
    <row r="83">
      <c r="B83" s="176">
        <f>'Rate Engine'!X$16</f>
        <v/>
      </c>
      <c r="C83" s="173">
        <f>'Rate Engine'!$U$31</f>
        <v/>
      </c>
      <c r="D83" s="173">
        <f>'Rate Engine'!X$68</f>
        <v/>
      </c>
      <c r="E83" s="177">
        <f>'Mod Engine'!$E$31</f>
        <v/>
      </c>
      <c r="F83" s="177">
        <f>'Rate Engine'!X$72</f>
        <v/>
      </c>
      <c r="G83" s="173">
        <f>IF(nr_NetMode,$C83,$C83*($E83/nr_MInd))</f>
        <v/>
      </c>
      <c r="H83" s="173">
        <f>IF(OR($D83="",$F83=""),"",IF(nr_NetMode,$D83,$D83*($F83/nr_MInd)))</f>
        <v/>
      </c>
      <c r="I83" s="42">
        <f>IF(YEAR($B83)=nr_PlanYear,1,0)</f>
        <v/>
      </c>
      <c r="J83" s="23" t="n"/>
      <c r="K83" s="23" t="n"/>
      <c r="L83" s="178">
        <f>IF(OR($C83="",$D83=""),"",$C83/$D83-1)</f>
        <v/>
      </c>
    </row>
    <row r="84">
      <c r="B84" s="176">
        <f>'Rate Engine'!Y$16</f>
        <v/>
      </c>
      <c r="C84" s="173">
        <f>'Rate Engine'!$U$32</f>
        <v/>
      </c>
      <c r="D84" s="173">
        <f>'Rate Engine'!Y$68</f>
        <v/>
      </c>
      <c r="E84" s="177">
        <f>'Mod Engine'!$E$32</f>
        <v/>
      </c>
      <c r="F84" s="177">
        <f>'Rate Engine'!Y$72</f>
        <v/>
      </c>
      <c r="G84" s="173">
        <f>IF(nr_NetMode,$C84,$C84*($E84/nr_MInd))</f>
        <v/>
      </c>
      <c r="H84" s="173">
        <f>IF(OR($D84="",$F84=""),"",IF(nr_NetMode,$D84,$D84*($F84/nr_MInd)))</f>
        <v/>
      </c>
      <c r="I84" s="42">
        <f>IF(YEAR($B84)=nr_PlanYear,1,0)</f>
        <v/>
      </c>
      <c r="J84" s="23" t="n"/>
      <c r="K84" s="23" t="n"/>
      <c r="L84" s="178">
        <f>IF(OR($C84="",$D84=""),"",$C84/$D84-1)</f>
        <v/>
      </c>
    </row>
    <row r="85">
      <c r="B85" s="176">
        <f>'Rate Engine'!Z$16</f>
        <v/>
      </c>
      <c r="C85" s="173">
        <f>'Rate Engine'!$U$33</f>
        <v/>
      </c>
      <c r="D85" s="173">
        <f>'Rate Engine'!Z$68</f>
        <v/>
      </c>
      <c r="E85" s="177">
        <f>'Mod Engine'!$E$33</f>
        <v/>
      </c>
      <c r="F85" s="177">
        <f>'Rate Engine'!Z$72</f>
        <v/>
      </c>
      <c r="G85" s="173">
        <f>IF(nr_NetMode,$C85,$C85*($E85/nr_MInd))</f>
        <v/>
      </c>
      <c r="H85" s="173">
        <f>IF(OR($D85="",$F85=""),"",IF(nr_NetMode,$D85,$D85*($F85/nr_MInd)))</f>
        <v/>
      </c>
      <c r="I85" s="42">
        <f>IF(YEAR($B85)=nr_PlanYear,1,0)</f>
        <v/>
      </c>
      <c r="J85" s="23" t="n"/>
      <c r="K85" s="23" t="n"/>
      <c r="L85" s="178">
        <f>IF(OR($C85="",$D85=""),"",$C85/$D85-1)</f>
        <v/>
      </c>
    </row>
    <row r="86">
      <c r="B86" s="176">
        <f>'Rate Engine'!AA$16</f>
        <v/>
      </c>
      <c r="C86" s="173">
        <f>'Rate Engine'!$U$34</f>
        <v/>
      </c>
      <c r="D86" s="173">
        <f>'Rate Engine'!AA$68</f>
        <v/>
      </c>
      <c r="E86" s="177">
        <f>'Mod Engine'!$E$34</f>
        <v/>
      </c>
      <c r="F86" s="177">
        <f>'Rate Engine'!AA$72</f>
        <v/>
      </c>
      <c r="G86" s="173">
        <f>IF(nr_NetMode,$C86,$C86*($E86/nr_MInd))</f>
        <v/>
      </c>
      <c r="H86" s="173">
        <f>IF(OR($D86="",$F86=""),"",IF(nr_NetMode,$D86,$D86*($F86/nr_MInd)))</f>
        <v/>
      </c>
      <c r="I86" s="42">
        <f>IF(YEAR($B86)=nr_PlanYear,1,0)</f>
        <v/>
      </c>
      <c r="J86" s="23" t="n"/>
      <c r="K86" s="23" t="n"/>
      <c r="L86" s="178">
        <f>IF(OR($C86="",$D86=""),"",$C86/$D86-1)</f>
        <v/>
      </c>
    </row>
    <row r="87">
      <c r="B87" s="176">
        <f>'Rate Engine'!AB$16</f>
        <v/>
      </c>
      <c r="C87" s="173">
        <f>'Rate Engine'!$U$35</f>
        <v/>
      </c>
      <c r="D87" s="173">
        <f>'Rate Engine'!AB$68</f>
        <v/>
      </c>
      <c r="E87" s="177">
        <f>'Mod Engine'!$E$35</f>
        <v/>
      </c>
      <c r="F87" s="177">
        <f>'Rate Engine'!AB$72</f>
        <v/>
      </c>
      <c r="G87" s="173">
        <f>IF(nr_NetMode,$C87,$C87*($E87/nr_MInd))</f>
        <v/>
      </c>
      <c r="H87" s="173">
        <f>IF(OR($D87="",$F87=""),"",IF(nr_NetMode,$D87,$D87*($F87/nr_MInd)))</f>
        <v/>
      </c>
      <c r="I87" s="42">
        <f>IF(YEAR($B87)=nr_PlanYear,1,0)</f>
        <v/>
      </c>
      <c r="J87" s="23" t="n"/>
      <c r="K87" s="23" t="n"/>
      <c r="L87" s="178">
        <f>IF(OR($C87="",$D87=""),"",$C87/$D87-1)</f>
        <v/>
      </c>
    </row>
    <row r="88">
      <c r="B88" s="176">
        <f>'Rate Engine'!AC$16</f>
        <v/>
      </c>
      <c r="C88" s="173">
        <f>'Rate Engine'!$U$36</f>
        <v/>
      </c>
      <c r="D88" s="173">
        <f>'Rate Engine'!AC$68</f>
        <v/>
      </c>
      <c r="E88" s="177">
        <f>'Mod Engine'!$E$36</f>
        <v/>
      </c>
      <c r="F88" s="177">
        <f>'Rate Engine'!AC$72</f>
        <v/>
      </c>
      <c r="G88" s="173">
        <f>IF(nr_NetMode,$C88,$C88*($E88/nr_MInd))</f>
        <v/>
      </c>
      <c r="H88" s="173">
        <f>IF(OR($D88="",$F88=""),"",IF(nr_NetMode,$D88,$D88*($F88/nr_MInd)))</f>
        <v/>
      </c>
      <c r="I88" s="42">
        <f>IF(YEAR($B88)=nr_PlanYear,1,0)</f>
        <v/>
      </c>
      <c r="J88" s="23" t="n"/>
      <c r="K88" s="23" t="n"/>
      <c r="L88" s="178">
        <f>IF(OR($C88="",$D88=""),"",$C88/$D88-1)</f>
        <v/>
      </c>
    </row>
    <row r="89">
      <c r="B89" s="176">
        <f>'Rate Engine'!AD$16</f>
        <v/>
      </c>
      <c r="C89" s="173">
        <f>'Rate Engine'!$U$37</f>
        <v/>
      </c>
      <c r="D89" s="173">
        <f>'Rate Engine'!AD$68</f>
        <v/>
      </c>
      <c r="E89" s="177">
        <f>'Mod Engine'!$E$37</f>
        <v/>
      </c>
      <c r="F89" s="177">
        <f>'Rate Engine'!AD$72</f>
        <v/>
      </c>
      <c r="G89" s="173">
        <f>IF(nr_NetMode,$C89,$C89*($E89/nr_MInd))</f>
        <v/>
      </c>
      <c r="H89" s="173">
        <f>IF(OR($D89="",$F89=""),"",IF(nr_NetMode,$D89,$D89*($F89/nr_MInd)))</f>
        <v/>
      </c>
      <c r="I89" s="42">
        <f>IF(YEAR($B89)=nr_PlanYear,1,0)</f>
        <v/>
      </c>
      <c r="J89" s="23" t="n"/>
      <c r="K89" s="23" t="n"/>
      <c r="L89" s="178">
        <f>IF(OR($C89="",$D89=""),"",$C89/$D89-1)</f>
        <v/>
      </c>
    </row>
    <row r="90">
      <c r="B90" s="176">
        <f>'Rate Engine'!AE$16</f>
        <v/>
      </c>
      <c r="C90" s="173">
        <f>'Rate Engine'!$U$38</f>
        <v/>
      </c>
      <c r="D90" s="173">
        <f>'Rate Engine'!AE$68</f>
        <v/>
      </c>
      <c r="E90" s="177">
        <f>'Mod Engine'!$E$38</f>
        <v/>
      </c>
      <c r="F90" s="177">
        <f>'Rate Engine'!AE$72</f>
        <v/>
      </c>
      <c r="G90" s="173">
        <f>IF(nr_NetMode,$C90,$C90*($E90/nr_MInd))</f>
        <v/>
      </c>
      <c r="H90" s="173">
        <f>IF(OR($D90="",$F90=""),"",IF(nr_NetMode,$D90,$D90*($F90/nr_MInd)))</f>
        <v/>
      </c>
      <c r="I90" s="42">
        <f>IF(YEAR($B90)=nr_PlanYear,1,0)</f>
        <v/>
      </c>
      <c r="J90" s="23" t="n"/>
      <c r="K90" s="23" t="n"/>
      <c r="L90" s="178">
        <f>IF(OR($C90="",$D90=""),"",$C90/$D90-1)</f>
        <v/>
      </c>
    </row>
    <row r="91">
      <c r="B91" s="176">
        <f>'Rate Engine'!AF$16</f>
        <v/>
      </c>
      <c r="C91" s="173">
        <f>'Rate Engine'!$U$39</f>
        <v/>
      </c>
      <c r="D91" s="173">
        <f>'Rate Engine'!AF$68</f>
        <v/>
      </c>
      <c r="E91" s="177">
        <f>'Mod Engine'!$E$39</f>
        <v/>
      </c>
      <c r="F91" s="177">
        <f>'Rate Engine'!AF$72</f>
        <v/>
      </c>
      <c r="G91" s="173">
        <f>IF(nr_NetMode,$C91,$C91*($E91/nr_MInd))</f>
        <v/>
      </c>
      <c r="H91" s="173">
        <f>IF(OR($D91="",$F91=""),"",IF(nr_NetMode,$D91,$D91*($F91/nr_MInd)))</f>
        <v/>
      </c>
      <c r="I91" s="42">
        <f>IF(YEAR($B91)=nr_PlanYear,1,0)</f>
        <v/>
      </c>
      <c r="J91" s="23" t="n"/>
      <c r="K91" s="23" t="n"/>
      <c r="L91" s="178">
        <f>IF(OR($C91="",$D91=""),"",$C91/$D91-1)</f>
        <v/>
      </c>
    </row>
    <row r="92">
      <c r="B92" s="176">
        <f>'Rate Engine'!AG$16</f>
        <v/>
      </c>
      <c r="C92" s="173">
        <f>'Rate Engine'!$U$40</f>
        <v/>
      </c>
      <c r="D92" s="173">
        <f>'Rate Engine'!AG$68</f>
        <v/>
      </c>
      <c r="E92" s="177">
        <f>'Mod Engine'!$E$40</f>
        <v/>
      </c>
      <c r="F92" s="177">
        <f>'Rate Engine'!AG$72</f>
        <v/>
      </c>
      <c r="G92" s="173">
        <f>IF(nr_NetMode,$C92,$C92*($E92/nr_MInd))</f>
        <v/>
      </c>
      <c r="H92" s="173">
        <f>IF(OR($D92="",$F92=""),"",IF(nr_NetMode,$D92,$D92*($F92/nr_MInd)))</f>
        <v/>
      </c>
      <c r="I92" s="42">
        <f>IF(YEAR($B92)=nr_PlanYear,1,0)</f>
        <v/>
      </c>
      <c r="J92" s="23" t="n"/>
      <c r="K92" s="23" t="n"/>
      <c r="L92" s="178">
        <f>IF(OR($C92="",$D92=""),"",$C92/$D92-1)</f>
        <v/>
      </c>
    </row>
    <row r="93">
      <c r="B93" s="176">
        <f>'Rate Engine'!AH$16</f>
        <v/>
      </c>
      <c r="C93" s="173">
        <f>'Rate Engine'!$U$41</f>
        <v/>
      </c>
      <c r="D93" s="173">
        <f>'Rate Engine'!AH$68</f>
        <v/>
      </c>
      <c r="E93" s="177">
        <f>'Mod Engine'!$E$41</f>
        <v/>
      </c>
      <c r="F93" s="177">
        <f>'Rate Engine'!AH$72</f>
        <v/>
      </c>
      <c r="G93" s="173">
        <f>IF(nr_NetMode,$C93,$C93*($E93/nr_MInd))</f>
        <v/>
      </c>
      <c r="H93" s="173">
        <f>IF(OR($D93="",$F93=""),"",IF(nr_NetMode,$D93,$D93*($F93/nr_MInd)))</f>
        <v/>
      </c>
      <c r="I93" s="42">
        <f>IF(YEAR($B93)=nr_PlanYear,1,0)</f>
        <v/>
      </c>
      <c r="J93" s="178">
        <f>IF(OR($D93="",$D81=""),"",$D93/$D81-1)</f>
        <v/>
      </c>
      <c r="K93" s="178">
        <f>IF(OR($H93="",$H81=""),"",$H93/$H81-1)</f>
        <v/>
      </c>
      <c r="L93" s="178">
        <f>IF(OR($C93="",$D93=""),"",$C93/$D93-1)</f>
        <v/>
      </c>
    </row>
    <row r="94">
      <c r="B94" s="176">
        <f>'Rate Engine'!AI$16</f>
        <v/>
      </c>
      <c r="C94" s="173">
        <f>'Rate Engine'!$U$42</f>
        <v/>
      </c>
      <c r="D94" s="173">
        <f>'Rate Engine'!AI$68</f>
        <v/>
      </c>
      <c r="E94" s="177">
        <f>'Mod Engine'!$E$42</f>
        <v/>
      </c>
      <c r="F94" s="177">
        <f>'Rate Engine'!AI$72</f>
        <v/>
      </c>
      <c r="G94" s="173">
        <f>IF(nr_NetMode,$C94,$C94*($E94/nr_MInd))</f>
        <v/>
      </c>
      <c r="H94" s="173">
        <f>IF(OR($D94="",$F94=""),"",IF(nr_NetMode,$D94,$D94*($F94/nr_MInd)))</f>
        <v/>
      </c>
      <c r="I94" s="42">
        <f>IF(YEAR($B94)=nr_PlanYear,1,0)</f>
        <v/>
      </c>
      <c r="J94" s="178">
        <f>IF(OR($D94="",$D82=""),"",$D94/$D82-1)</f>
        <v/>
      </c>
      <c r="K94" s="178">
        <f>IF(OR($H94="",$H82=""),"",$H94/$H82-1)</f>
        <v/>
      </c>
      <c r="L94" s="178">
        <f>IF(OR($C94="",$D94=""),"",$C94/$D94-1)</f>
        <v/>
      </c>
    </row>
    <row r="95">
      <c r="B95" s="176">
        <f>'Rate Engine'!AJ$16</f>
        <v/>
      </c>
      <c r="C95" s="173">
        <f>'Rate Engine'!$U$43</f>
        <v/>
      </c>
      <c r="D95" s="173">
        <f>'Rate Engine'!AJ$68</f>
        <v/>
      </c>
      <c r="E95" s="177">
        <f>'Mod Engine'!$E$43</f>
        <v/>
      </c>
      <c r="F95" s="177">
        <f>'Rate Engine'!AJ$72</f>
        <v/>
      </c>
      <c r="G95" s="173">
        <f>IF(nr_NetMode,$C95,$C95*($E95/nr_MInd))</f>
        <v/>
      </c>
      <c r="H95" s="173">
        <f>IF(OR($D95="",$F95=""),"",IF(nr_NetMode,$D95,$D95*($F95/nr_MInd)))</f>
        <v/>
      </c>
      <c r="I95" s="42">
        <f>IF(YEAR($B95)=nr_PlanYear,1,0)</f>
        <v/>
      </c>
      <c r="J95" s="178">
        <f>IF(OR($D95="",$D83=""),"",$D95/$D83-1)</f>
        <v/>
      </c>
      <c r="K95" s="178">
        <f>IF(OR($H95="",$H83=""),"",$H95/$H83-1)</f>
        <v/>
      </c>
      <c r="L95" s="178">
        <f>IF(OR($C95="",$D95=""),"",$C95/$D95-1)</f>
        <v/>
      </c>
    </row>
    <row r="96">
      <c r="B96" s="176">
        <f>'Rate Engine'!AK$16</f>
        <v/>
      </c>
      <c r="C96" s="173">
        <f>'Rate Engine'!$U$44</f>
        <v/>
      </c>
      <c r="D96" s="173">
        <f>'Rate Engine'!AK$68</f>
        <v/>
      </c>
      <c r="E96" s="177">
        <f>'Mod Engine'!$E$44</f>
        <v/>
      </c>
      <c r="F96" s="177">
        <f>'Rate Engine'!AK$72</f>
        <v/>
      </c>
      <c r="G96" s="173">
        <f>IF(nr_NetMode,$C96,$C96*($E96/nr_MInd))</f>
        <v/>
      </c>
      <c r="H96" s="173">
        <f>IF(OR($D96="",$F96=""),"",IF(nr_NetMode,$D96,$D96*($F96/nr_MInd)))</f>
        <v/>
      </c>
      <c r="I96" s="42">
        <f>IF(YEAR($B96)=nr_PlanYear,1,0)</f>
        <v/>
      </c>
      <c r="J96" s="178">
        <f>IF(OR($D96="",$D84=""),"",$D96/$D84-1)</f>
        <v/>
      </c>
      <c r="K96" s="178">
        <f>IF(OR($H96="",$H84=""),"",$H96/$H84-1)</f>
        <v/>
      </c>
      <c r="L96" s="178">
        <f>IF(OR($C96="",$D96=""),"",$C96/$D96-1)</f>
        <v/>
      </c>
    </row>
    <row r="97">
      <c r="B97" s="176">
        <f>'Rate Engine'!AL$16</f>
        <v/>
      </c>
      <c r="C97" s="173">
        <f>'Rate Engine'!$U$45</f>
        <v/>
      </c>
      <c r="D97" s="173">
        <f>'Rate Engine'!AL$68</f>
        <v/>
      </c>
      <c r="E97" s="177">
        <f>'Mod Engine'!$E$45</f>
        <v/>
      </c>
      <c r="F97" s="177">
        <f>'Rate Engine'!AL$72</f>
        <v/>
      </c>
      <c r="G97" s="173">
        <f>IF(nr_NetMode,$C97,$C97*($E97/nr_MInd))</f>
        <v/>
      </c>
      <c r="H97" s="173">
        <f>IF(OR($D97="",$F97=""),"",IF(nr_NetMode,$D97,$D97*($F97/nr_MInd)))</f>
        <v/>
      </c>
      <c r="I97" s="42">
        <f>IF(YEAR($B97)=nr_PlanYear,1,0)</f>
        <v/>
      </c>
      <c r="J97" s="178">
        <f>IF(OR($D97="",$D85=""),"",$D97/$D85-1)</f>
        <v/>
      </c>
      <c r="K97" s="178">
        <f>IF(OR($H97="",$H85=""),"",$H97/$H85-1)</f>
        <v/>
      </c>
      <c r="L97" s="178">
        <f>IF(OR($C97="",$D97=""),"",$C97/$D97-1)</f>
        <v/>
      </c>
    </row>
    <row r="98">
      <c r="B98" s="176">
        <f>'Rate Engine'!AM$16</f>
        <v/>
      </c>
      <c r="C98" s="173">
        <f>'Rate Engine'!$U$46</f>
        <v/>
      </c>
      <c r="D98" s="173">
        <f>'Rate Engine'!AM$68</f>
        <v/>
      </c>
      <c r="E98" s="177">
        <f>'Mod Engine'!$E$46</f>
        <v/>
      </c>
      <c r="F98" s="177">
        <f>'Rate Engine'!AM$72</f>
        <v/>
      </c>
      <c r="G98" s="173">
        <f>IF(nr_NetMode,$C98,$C98*($E98/nr_MInd))</f>
        <v/>
      </c>
      <c r="H98" s="173">
        <f>IF(OR($D98="",$F98=""),"",IF(nr_NetMode,$D98,$D98*($F98/nr_MInd)))</f>
        <v/>
      </c>
      <c r="I98" s="42">
        <f>IF(YEAR($B98)=nr_PlanYear,1,0)</f>
        <v/>
      </c>
      <c r="J98" s="178">
        <f>IF(OR($D98="",$D86=""),"",$D98/$D86-1)</f>
        <v/>
      </c>
      <c r="K98" s="178">
        <f>IF(OR($H98="",$H86=""),"",$H98/$H86-1)</f>
        <v/>
      </c>
      <c r="L98" s="178">
        <f>IF(OR($C98="",$D98=""),"",$C98/$D98-1)</f>
        <v/>
      </c>
    </row>
    <row r="99">
      <c r="B99" s="176">
        <f>'Rate Engine'!AN$16</f>
        <v/>
      </c>
      <c r="C99" s="173">
        <f>'Rate Engine'!$U$47</f>
        <v/>
      </c>
      <c r="D99" s="173">
        <f>'Rate Engine'!AN$68</f>
        <v/>
      </c>
      <c r="E99" s="177">
        <f>'Mod Engine'!$E$47</f>
        <v/>
      </c>
      <c r="F99" s="177">
        <f>'Rate Engine'!AN$72</f>
        <v/>
      </c>
      <c r="G99" s="173">
        <f>IF(nr_NetMode,$C99,$C99*($E99/nr_MInd))</f>
        <v/>
      </c>
      <c r="H99" s="173">
        <f>IF(OR($D99="",$F99=""),"",IF(nr_NetMode,$D99,$D99*($F99/nr_MInd)))</f>
        <v/>
      </c>
      <c r="I99" s="42">
        <f>IF(YEAR($B99)=nr_PlanYear,1,0)</f>
        <v/>
      </c>
      <c r="J99" s="178">
        <f>IF(OR($D99="",$D87=""),"",$D99/$D87-1)</f>
        <v/>
      </c>
      <c r="K99" s="178">
        <f>IF(OR($H99="",$H87=""),"",$H99/$H87-1)</f>
        <v/>
      </c>
      <c r="L99" s="178">
        <f>IF(OR($C99="",$D99=""),"",$C99/$D99-1)</f>
        <v/>
      </c>
    </row>
    <row r="100">
      <c r="B100" s="176">
        <f>'Rate Engine'!AO$16</f>
        <v/>
      </c>
      <c r="C100" s="173">
        <f>'Rate Engine'!$U$48</f>
        <v/>
      </c>
      <c r="D100" s="173">
        <f>'Rate Engine'!AO$68</f>
        <v/>
      </c>
      <c r="E100" s="177">
        <f>'Mod Engine'!$E$48</f>
        <v/>
      </c>
      <c r="F100" s="177">
        <f>'Rate Engine'!AO$72</f>
        <v/>
      </c>
      <c r="G100" s="173">
        <f>IF(nr_NetMode,$C100,$C100*($E100/nr_MInd))</f>
        <v/>
      </c>
      <c r="H100" s="173">
        <f>IF(OR($D100="",$F100=""),"",IF(nr_NetMode,$D100,$D100*($F100/nr_MInd)))</f>
        <v/>
      </c>
      <c r="I100" s="42">
        <f>IF(YEAR($B100)=nr_PlanYear,1,0)</f>
        <v/>
      </c>
      <c r="J100" s="178">
        <f>IF(OR($D100="",$D88=""),"",$D100/$D88-1)</f>
        <v/>
      </c>
      <c r="K100" s="178">
        <f>IF(OR($H100="",$H88=""),"",$H100/$H88-1)</f>
        <v/>
      </c>
      <c r="L100" s="178">
        <f>IF(OR($C100="",$D100=""),"",$C100/$D100-1)</f>
        <v/>
      </c>
    </row>
    <row r="101">
      <c r="B101" s="176">
        <f>'Rate Engine'!AP$16</f>
        <v/>
      </c>
      <c r="C101" s="173">
        <f>'Rate Engine'!$U$49</f>
        <v/>
      </c>
      <c r="D101" s="173">
        <f>'Rate Engine'!AP$68</f>
        <v/>
      </c>
      <c r="E101" s="177">
        <f>'Mod Engine'!$E$49</f>
        <v/>
      </c>
      <c r="F101" s="177">
        <f>'Rate Engine'!AP$72</f>
        <v/>
      </c>
      <c r="G101" s="173">
        <f>IF(nr_NetMode,$C101,$C101*($E101/nr_MInd))</f>
        <v/>
      </c>
      <c r="H101" s="173">
        <f>IF(OR($D101="",$F101=""),"",IF(nr_NetMode,$D101,$D101*($F101/nr_MInd)))</f>
        <v/>
      </c>
      <c r="I101" s="42">
        <f>IF(YEAR($B101)=nr_PlanYear,1,0)</f>
        <v/>
      </c>
      <c r="J101" s="178">
        <f>IF(OR($D101="",$D89=""),"",$D101/$D89-1)</f>
        <v/>
      </c>
      <c r="K101" s="178">
        <f>IF(OR($H101="",$H89=""),"",$H101/$H89-1)</f>
        <v/>
      </c>
      <c r="L101" s="178">
        <f>IF(OR($C101="",$D101=""),"",$C101/$D101-1)</f>
        <v/>
      </c>
    </row>
    <row r="102">
      <c r="B102" s="176">
        <f>'Rate Engine'!AQ$16</f>
        <v/>
      </c>
      <c r="C102" s="173">
        <f>'Rate Engine'!$U$50</f>
        <v/>
      </c>
      <c r="D102" s="173">
        <f>'Rate Engine'!AQ$68</f>
        <v/>
      </c>
      <c r="E102" s="177">
        <f>'Mod Engine'!$E$50</f>
        <v/>
      </c>
      <c r="F102" s="177">
        <f>'Rate Engine'!AQ$72</f>
        <v/>
      </c>
      <c r="G102" s="173">
        <f>IF(nr_NetMode,$C102,$C102*($E102/nr_MInd))</f>
        <v/>
      </c>
      <c r="H102" s="173">
        <f>IF(OR($D102="",$F102=""),"",IF(nr_NetMode,$D102,$D102*($F102/nr_MInd)))</f>
        <v/>
      </c>
      <c r="I102" s="42">
        <f>IF(YEAR($B102)=nr_PlanYear,1,0)</f>
        <v/>
      </c>
      <c r="J102" s="178">
        <f>IF(OR($D102="",$D90=""),"",$D102/$D90-1)</f>
        <v/>
      </c>
      <c r="K102" s="178">
        <f>IF(OR($H102="",$H90=""),"",$H102/$H90-1)</f>
        <v/>
      </c>
      <c r="L102" s="178">
        <f>IF(OR($C102="",$D102=""),"",$C102/$D102-1)</f>
        <v/>
      </c>
    </row>
    <row r="103">
      <c r="B103" s="176">
        <f>'Rate Engine'!AR$16</f>
        <v/>
      </c>
      <c r="C103" s="173">
        <f>'Rate Engine'!$U$51</f>
        <v/>
      </c>
      <c r="D103" s="173">
        <f>'Rate Engine'!AR$68</f>
        <v/>
      </c>
      <c r="E103" s="177">
        <f>'Mod Engine'!$E$51</f>
        <v/>
      </c>
      <c r="F103" s="177">
        <f>'Rate Engine'!AR$72</f>
        <v/>
      </c>
      <c r="G103" s="173">
        <f>IF(nr_NetMode,$C103,$C103*($E103/nr_MInd))</f>
        <v/>
      </c>
      <c r="H103" s="173">
        <f>IF(OR($D103="",$F103=""),"",IF(nr_NetMode,$D103,$D103*($F103/nr_MInd)))</f>
        <v/>
      </c>
      <c r="I103" s="42">
        <f>IF(YEAR($B103)=nr_PlanYear,1,0)</f>
        <v/>
      </c>
      <c r="J103" s="178">
        <f>IF(OR($D103="",$D91=""),"",$D103/$D91-1)</f>
        <v/>
      </c>
      <c r="K103" s="178">
        <f>IF(OR($H103="",$H91=""),"",$H103/$H91-1)</f>
        <v/>
      </c>
      <c r="L103" s="178">
        <f>IF(OR($C103="",$D103=""),"",$C103/$D103-1)</f>
        <v/>
      </c>
    </row>
    <row r="104">
      <c r="B104" s="176">
        <f>'Rate Engine'!AS$16</f>
        <v/>
      </c>
      <c r="C104" s="173">
        <f>'Rate Engine'!$U$52</f>
        <v/>
      </c>
      <c r="D104" s="173">
        <f>'Rate Engine'!AS$68</f>
        <v/>
      </c>
      <c r="E104" s="177">
        <f>'Mod Engine'!$E$52</f>
        <v/>
      </c>
      <c r="F104" s="177">
        <f>'Rate Engine'!AS$72</f>
        <v/>
      </c>
      <c r="G104" s="173">
        <f>IF(nr_NetMode,$C104,$C104*($E104/nr_MInd))</f>
        <v/>
      </c>
      <c r="H104" s="173">
        <f>IF(OR($D104="",$F104=""),"",IF(nr_NetMode,$D104,$D104*($F104/nr_MInd)))</f>
        <v/>
      </c>
      <c r="I104" s="42">
        <f>IF(YEAR($B104)=nr_PlanYear,1,0)</f>
        <v/>
      </c>
      <c r="J104" s="178">
        <f>IF(OR($D104="",$D92=""),"",$D104/$D92-1)</f>
        <v/>
      </c>
      <c r="K104" s="178">
        <f>IF(OR($H104="",$H92=""),"",$H104/$H92-1)</f>
        <v/>
      </c>
      <c r="L104" s="178">
        <f>IF(OR($C104="",$D104=""),"",$C104/$D104-1)</f>
        <v/>
      </c>
    </row>
    <row r="105">
      <c r="B105" s="176">
        <f>'Rate Engine'!AT$16</f>
        <v/>
      </c>
      <c r="C105" s="173">
        <f>'Rate Engine'!$U$53</f>
        <v/>
      </c>
      <c r="D105" s="173">
        <f>'Rate Engine'!AT$68</f>
        <v/>
      </c>
      <c r="E105" s="177">
        <f>'Mod Engine'!$E$53</f>
        <v/>
      </c>
      <c r="F105" s="177">
        <f>'Rate Engine'!AT$72</f>
        <v/>
      </c>
      <c r="G105" s="173">
        <f>IF(nr_NetMode,$C105,$C105*($E105/nr_MInd))</f>
        <v/>
      </c>
      <c r="H105" s="173">
        <f>IF(OR($D105="",$F105=""),"",IF(nr_NetMode,$D105,$D105*($F105/nr_MInd)))</f>
        <v/>
      </c>
      <c r="I105" s="42">
        <f>IF(YEAR($B105)=nr_PlanYear,1,0)</f>
        <v/>
      </c>
      <c r="J105" s="178">
        <f>IF(OR($D105="",$D93=""),"",$D105/$D93-1)</f>
        <v/>
      </c>
      <c r="K105" s="178">
        <f>IF(OR($H105="",$H93=""),"",$H105/$H93-1)</f>
        <v/>
      </c>
      <c r="L105" s="178">
        <f>IF(OR($C105="",$D105=""),"",$C105/$D105-1)</f>
        <v/>
      </c>
    </row>
    <row r="106">
      <c r="B106" s="176">
        <f>'Rate Engine'!AU$16</f>
        <v/>
      </c>
      <c r="C106" s="173">
        <f>'Rate Engine'!$U$54</f>
        <v/>
      </c>
      <c r="D106" s="173">
        <f>'Rate Engine'!AU$68</f>
        <v/>
      </c>
      <c r="E106" s="177">
        <f>'Mod Engine'!$E$54</f>
        <v/>
      </c>
      <c r="F106" s="177">
        <f>'Rate Engine'!AU$72</f>
        <v/>
      </c>
      <c r="G106" s="173">
        <f>IF(nr_NetMode,$C106,$C106*($E106/nr_MInd))</f>
        <v/>
      </c>
      <c r="H106" s="173">
        <f>IF(OR($D106="",$F106=""),"",IF(nr_NetMode,$D106,$D106*($F106/nr_MInd)))</f>
        <v/>
      </c>
      <c r="I106" s="42">
        <f>IF(YEAR($B106)=nr_PlanYear,1,0)</f>
        <v/>
      </c>
      <c r="J106" s="178">
        <f>IF(OR($D106="",$D94=""),"",$D106/$D94-1)</f>
        <v/>
      </c>
      <c r="K106" s="178">
        <f>IF(OR($H106="",$H94=""),"",$H106/$H94-1)</f>
        <v/>
      </c>
      <c r="L106" s="178">
        <f>IF(OR($C106="",$D106=""),"",$C106/$D106-1)</f>
        <v/>
      </c>
    </row>
    <row r="107">
      <c r="B107" s="176">
        <f>'Rate Engine'!AV$16</f>
        <v/>
      </c>
      <c r="C107" s="173">
        <f>'Rate Engine'!$U$55</f>
        <v/>
      </c>
      <c r="D107" s="173">
        <f>'Rate Engine'!AV$68</f>
        <v/>
      </c>
      <c r="E107" s="177">
        <f>'Mod Engine'!$E$55</f>
        <v/>
      </c>
      <c r="F107" s="177">
        <f>'Rate Engine'!AV$72</f>
        <v/>
      </c>
      <c r="G107" s="173">
        <f>IF(nr_NetMode,$C107,$C107*($E107/nr_MInd))</f>
        <v/>
      </c>
      <c r="H107" s="173">
        <f>IF(OR($D107="",$F107=""),"",IF(nr_NetMode,$D107,$D107*($F107/nr_MInd)))</f>
        <v/>
      </c>
      <c r="I107" s="42">
        <f>IF(YEAR($B107)=nr_PlanYear,1,0)</f>
        <v/>
      </c>
      <c r="J107" s="178">
        <f>IF(OR($D107="",$D95=""),"",$D107/$D95-1)</f>
        <v/>
      </c>
      <c r="K107" s="178">
        <f>IF(OR($H107="",$H95=""),"",$H107/$H95-1)</f>
        <v/>
      </c>
      <c r="L107" s="178">
        <f>IF(OR($C107="",$D107=""),"",$C107/$D107-1)</f>
        <v/>
      </c>
    </row>
    <row r="108">
      <c r="B108" s="176">
        <f>'Rate Engine'!AW$16</f>
        <v/>
      </c>
      <c r="C108" s="173">
        <f>'Rate Engine'!$U$56</f>
        <v/>
      </c>
      <c r="D108" s="173">
        <f>'Rate Engine'!AW$68</f>
        <v/>
      </c>
      <c r="E108" s="177">
        <f>'Mod Engine'!$E$56</f>
        <v/>
      </c>
      <c r="F108" s="177">
        <f>'Rate Engine'!AW$72</f>
        <v/>
      </c>
      <c r="G108" s="173">
        <f>IF(nr_NetMode,$C108,$C108*($E108/nr_MInd))</f>
        <v/>
      </c>
      <c r="H108" s="173">
        <f>IF(OR($D108="",$F108=""),"",IF(nr_NetMode,$D108,$D108*($F108/nr_MInd)))</f>
        <v/>
      </c>
      <c r="I108" s="42">
        <f>IF(YEAR($B108)=nr_PlanYear,1,0)</f>
        <v/>
      </c>
      <c r="J108" s="178">
        <f>IF(OR($D108="",$D96=""),"",$D108/$D96-1)</f>
        <v/>
      </c>
      <c r="K108" s="178">
        <f>IF(OR($H108="",$H96=""),"",$H108/$H96-1)</f>
        <v/>
      </c>
      <c r="L108" s="178">
        <f>IF(OR($C108="",$D108=""),"",$C108/$D108-1)</f>
        <v/>
      </c>
    </row>
    <row r="109">
      <c r="B109" s="176">
        <f>'Rate Engine'!AX$16</f>
        <v/>
      </c>
      <c r="C109" s="173">
        <f>'Rate Engine'!$U$57</f>
        <v/>
      </c>
      <c r="D109" s="173">
        <f>'Rate Engine'!AX$68</f>
        <v/>
      </c>
      <c r="E109" s="177">
        <f>'Mod Engine'!$E$57</f>
        <v/>
      </c>
      <c r="F109" s="177">
        <f>'Rate Engine'!AX$72</f>
        <v/>
      </c>
      <c r="G109" s="173">
        <f>IF(nr_NetMode,$C109,$C109*($E109/nr_MInd))</f>
        <v/>
      </c>
      <c r="H109" s="173">
        <f>IF(OR($D109="",$F109=""),"",IF(nr_NetMode,$D109,$D109*($F109/nr_MInd)))</f>
        <v/>
      </c>
      <c r="I109" s="42">
        <f>IF(YEAR($B109)=nr_PlanYear,1,0)</f>
        <v/>
      </c>
      <c r="J109" s="178">
        <f>IF(OR($D109="",$D97=""),"",$D109/$D97-1)</f>
        <v/>
      </c>
      <c r="K109" s="178">
        <f>IF(OR($H109="",$H97=""),"",$H109/$H97-1)</f>
        <v/>
      </c>
      <c r="L109" s="178">
        <f>IF(OR($C109="",$D109=""),"",$C109/$D109-1)</f>
        <v/>
      </c>
    </row>
    <row r="110">
      <c r="B110" s="176">
        <f>'Rate Engine'!AY$16</f>
        <v/>
      </c>
      <c r="C110" s="173">
        <f>'Rate Engine'!$U$58</f>
        <v/>
      </c>
      <c r="D110" s="173">
        <f>'Rate Engine'!AY$68</f>
        <v/>
      </c>
      <c r="E110" s="177">
        <f>'Mod Engine'!$E$58</f>
        <v/>
      </c>
      <c r="F110" s="177">
        <f>'Rate Engine'!AY$72</f>
        <v/>
      </c>
      <c r="G110" s="173">
        <f>IF(nr_NetMode,$C110,$C110*($E110/nr_MInd))</f>
        <v/>
      </c>
      <c r="H110" s="173">
        <f>IF(OR($D110="",$F110=""),"",IF(nr_NetMode,$D110,$D110*($F110/nr_MInd)))</f>
        <v/>
      </c>
      <c r="I110" s="42">
        <f>IF(YEAR($B110)=nr_PlanYear,1,0)</f>
        <v/>
      </c>
      <c r="J110" s="178">
        <f>IF(OR($D110="",$D98=""),"",$D110/$D98-1)</f>
        <v/>
      </c>
      <c r="K110" s="178">
        <f>IF(OR($H110="",$H98=""),"",$H110/$H98-1)</f>
        <v/>
      </c>
      <c r="L110" s="178">
        <f>IF(OR($C110="",$D110=""),"",$C110/$D110-1)</f>
        <v/>
      </c>
    </row>
    <row r="111">
      <c r="B111" s="176">
        <f>'Rate Engine'!AZ$16</f>
        <v/>
      </c>
      <c r="C111" s="173">
        <f>'Rate Engine'!$U$59</f>
        <v/>
      </c>
      <c r="D111" s="173">
        <f>'Rate Engine'!AZ$68</f>
        <v/>
      </c>
      <c r="E111" s="177">
        <f>'Mod Engine'!$E$59</f>
        <v/>
      </c>
      <c r="F111" s="177">
        <f>'Rate Engine'!AZ$72</f>
        <v/>
      </c>
      <c r="G111" s="173">
        <f>IF(nr_NetMode,$C111,$C111*($E111/nr_MInd))</f>
        <v/>
      </c>
      <c r="H111" s="173">
        <f>IF(OR($D111="",$F111=""),"",IF(nr_NetMode,$D111,$D111*($F111/nr_MInd)))</f>
        <v/>
      </c>
      <c r="I111" s="42">
        <f>IF(YEAR($B111)=nr_PlanYear,1,0)</f>
        <v/>
      </c>
      <c r="J111" s="178">
        <f>IF(OR($D111="",$D99=""),"",$D111/$D99-1)</f>
        <v/>
      </c>
      <c r="K111" s="178">
        <f>IF(OR($H111="",$H99=""),"",$H111/$H99-1)</f>
        <v/>
      </c>
      <c r="L111" s="178">
        <f>IF(OR($C111="",$D111=""),"",$C111/$D111-1)</f>
        <v/>
      </c>
    </row>
    <row r="112">
      <c r="B112" s="176">
        <f>'Rate Engine'!BA$16</f>
        <v/>
      </c>
      <c r="C112" s="173">
        <f>'Rate Engine'!$U$60</f>
        <v/>
      </c>
      <c r="D112" s="173">
        <f>'Rate Engine'!BA$68</f>
        <v/>
      </c>
      <c r="E112" s="177">
        <f>'Mod Engine'!$E$60</f>
        <v/>
      </c>
      <c r="F112" s="177">
        <f>'Rate Engine'!BA$72</f>
        <v/>
      </c>
      <c r="G112" s="173">
        <f>IF(nr_NetMode,$C112,$C112*($E112/nr_MInd))</f>
        <v/>
      </c>
      <c r="H112" s="173">
        <f>IF(OR($D112="",$F112=""),"",IF(nr_NetMode,$D112,$D112*($F112/nr_MInd)))</f>
        <v/>
      </c>
      <c r="I112" s="42">
        <f>IF(YEAR($B112)=nr_PlanYear,1,0)</f>
        <v/>
      </c>
      <c r="J112" s="178">
        <f>IF(OR($D112="",$D100=""),"",$D112/$D100-1)</f>
        <v/>
      </c>
      <c r="K112" s="178">
        <f>IF(OR($H112="",$H100=""),"",$H112/$H100-1)</f>
        <v/>
      </c>
      <c r="L112" s="178">
        <f>IF(OR($C112="",$D112=""),"",$C112/$D112-1)</f>
        <v/>
      </c>
    </row>
    <row r="113">
      <c r="B113" s="176">
        <f>'Rate Engine'!BB$16</f>
        <v/>
      </c>
      <c r="C113" s="173">
        <f>'Rate Engine'!$U$61</f>
        <v/>
      </c>
      <c r="D113" s="173">
        <f>'Rate Engine'!BB$68</f>
        <v/>
      </c>
      <c r="E113" s="177">
        <f>'Mod Engine'!$E$61</f>
        <v/>
      </c>
      <c r="F113" s="177">
        <f>'Rate Engine'!BB$72</f>
        <v/>
      </c>
      <c r="G113" s="173">
        <f>IF(nr_NetMode,$C113,$C113*($E113/nr_MInd))</f>
        <v/>
      </c>
      <c r="H113" s="173">
        <f>IF(OR($D113="",$F113=""),"",IF(nr_NetMode,$D113,$D113*($F113/nr_MInd)))</f>
        <v/>
      </c>
      <c r="I113" s="42">
        <f>IF(YEAR($B113)=nr_PlanYear,1,0)</f>
        <v/>
      </c>
      <c r="J113" s="178">
        <f>IF(OR($D113="",$D101=""),"",$D113/$D101-1)</f>
        <v/>
      </c>
      <c r="K113" s="178">
        <f>IF(OR($H113="",$H101=""),"",$H113/$H101-1)</f>
        <v/>
      </c>
      <c r="L113" s="178">
        <f>IF(OR($C113="",$D113=""),"",$C113/$D113-1)</f>
        <v/>
      </c>
    </row>
    <row r="114">
      <c r="B114" s="176">
        <f>'Rate Engine'!BC$16</f>
        <v/>
      </c>
      <c r="C114" s="173">
        <f>'Rate Engine'!$U$62</f>
        <v/>
      </c>
      <c r="D114" s="173">
        <f>'Rate Engine'!BC$68</f>
        <v/>
      </c>
      <c r="E114" s="177">
        <f>'Mod Engine'!$E$62</f>
        <v/>
      </c>
      <c r="F114" s="177">
        <f>'Rate Engine'!BC$72</f>
        <v/>
      </c>
      <c r="G114" s="173">
        <f>IF(nr_NetMode,$C114,$C114*($E114/nr_MInd))</f>
        <v/>
      </c>
      <c r="H114" s="173">
        <f>IF(OR($D114="",$F114=""),"",IF(nr_NetMode,$D114,$D114*($F114/nr_MInd)))</f>
        <v/>
      </c>
      <c r="I114" s="42">
        <f>IF(YEAR($B114)=nr_PlanYear,1,0)</f>
        <v/>
      </c>
      <c r="J114" s="178">
        <f>IF(OR($D114="",$D102=""),"",$D114/$D102-1)</f>
        <v/>
      </c>
      <c r="K114" s="178">
        <f>IF(OR($H114="",$H102=""),"",$H114/$H102-1)</f>
        <v/>
      </c>
      <c r="L114" s="178">
        <f>IF(OR($C114="",$D114=""),"",$C114/$D114-1)</f>
        <v/>
      </c>
    </row>
    <row r="115">
      <c r="B115" s="176">
        <f>'Rate Engine'!BD$16</f>
        <v/>
      </c>
      <c r="C115" s="173">
        <f>'Rate Engine'!$U$63</f>
        <v/>
      </c>
      <c r="D115" s="173">
        <f>'Rate Engine'!BD$68</f>
        <v/>
      </c>
      <c r="E115" s="177">
        <f>'Mod Engine'!$E$63</f>
        <v/>
      </c>
      <c r="F115" s="177">
        <f>'Rate Engine'!BD$72</f>
        <v/>
      </c>
      <c r="G115" s="173">
        <f>IF(nr_NetMode,$C115,$C115*($E115/nr_MInd))</f>
        <v/>
      </c>
      <c r="H115" s="173">
        <f>IF(OR($D115="",$F115=""),"",IF(nr_NetMode,$D115,$D115*($F115/nr_MInd)))</f>
        <v/>
      </c>
      <c r="I115" s="42">
        <f>IF(YEAR($B115)=nr_PlanYear,1,0)</f>
        <v/>
      </c>
      <c r="J115" s="178">
        <f>IF(OR($D115="",$D103=""),"",$D115/$D103-1)</f>
        <v/>
      </c>
      <c r="K115" s="178">
        <f>IF(OR($H115="",$H103=""),"",$H115/$H103-1)</f>
        <v/>
      </c>
      <c r="L115" s="178">
        <f>IF(OR($C115="",$D115=""),"",$C115/$D115-1)</f>
        <v/>
      </c>
    </row>
    <row r="116">
      <c r="B116" s="176">
        <f>'Rate Engine'!BE$16</f>
        <v/>
      </c>
      <c r="C116" s="173">
        <f>'Rate Engine'!$U$64</f>
        <v/>
      </c>
      <c r="D116" s="173">
        <f>'Rate Engine'!BE$68</f>
        <v/>
      </c>
      <c r="E116" s="177">
        <f>'Mod Engine'!$E$64</f>
        <v/>
      </c>
      <c r="F116" s="177">
        <f>'Rate Engine'!BE$72</f>
        <v/>
      </c>
      <c r="G116" s="173">
        <f>IF(nr_NetMode,$C116,$C116*($E116/nr_MInd))</f>
        <v/>
      </c>
      <c r="H116" s="173">
        <f>IF(OR($D116="",$F116=""),"",IF(nr_NetMode,$D116,$D116*($F116/nr_MInd)))</f>
        <v/>
      </c>
      <c r="I116" s="42">
        <f>IF(YEAR($B116)=nr_PlanYear,1,0)</f>
        <v/>
      </c>
      <c r="J116" s="178">
        <f>IF(OR($D116="",$D104=""),"",$D116/$D104-1)</f>
        <v/>
      </c>
      <c r="K116" s="178">
        <f>IF(OR($H116="",$H104=""),"",$H116/$H104-1)</f>
        <v/>
      </c>
      <c r="L116" s="178">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142">
        <f>nr_SelKey</f>
        <v/>
      </c>
      <c r="D3" s="141">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179" t="n"/>
      <c r="D7" s="179" t="n"/>
      <c r="E7" s="179" t="n"/>
      <c r="F7" s="179"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180">
        <f>nr_LRcur*D16*D17*nr_AOther</f>
        <v/>
      </c>
      <c r="E14" s="180">
        <f>nr_LRcur*E16*E17*nr_AOther</f>
        <v/>
      </c>
      <c r="F14" s="180">
        <f>nr_LRcur*F16*F17*nr_AOther</f>
        <v/>
      </c>
      <c r="G14" s="180">
        <f>nr_LRcur*G16*G17*nr_AOther</f>
        <v/>
      </c>
    </row>
    <row r="15">
      <c r="B15" s="20" t="inlineStr">
        <is>
          <t>Change vs Base (pts)</t>
        </is>
      </c>
      <c r="C15" s="81">
        <f>($C$14-$C$14)*100</f>
        <v/>
      </c>
      <c r="D15" s="144">
        <f>(D14-$C$14)*100</f>
        <v/>
      </c>
      <c r="E15" s="144">
        <f>(E14-$C$14)*100</f>
        <v/>
      </c>
      <c r="F15" s="144">
        <f>(F14-$C$14)*100</f>
        <v/>
      </c>
      <c r="G15" s="144">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83">
        <f>nr_YoY_P1</f>
        <v/>
      </c>
      <c r="D19" s="83">
        <f>'_calc'!$C$4099/'_calc'!$B$4099-1</f>
        <v/>
      </c>
      <c r="E19" s="83">
        <f>'_calc'!$C$4153/'_calc'!$B$4153-1</f>
        <v/>
      </c>
      <c r="F19" s="83">
        <f>'_calc'!$C$4207/'_calc'!$B$4207-1</f>
        <v/>
      </c>
      <c r="G19" s="8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fitToPage="1"/>
  </sheetPr>
  <dimension ref="B2:L30"/>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3" customWidth="1" min="4" max="4"/>
    <col width="13" customWidth="1" min="5" max="5"/>
    <col width="3" customWidth="1" min="6" max="6"/>
    <col width="12" customWidth="1" min="7" max="7"/>
    <col width="6" customWidth="1" min="8" max="8"/>
  </cols>
  <sheetData>
    <row r="2">
      <c r="B2" s="1" t="inlineStr">
        <is>
          <t>Compare — any two combos, factor by factor</t>
        </is>
      </c>
    </row>
    <row r="3">
      <c r="B3" s="6" t="inlineStr">
        <is>
          <t>Go to:</t>
        </is>
      </c>
      <c r="D3" s="19">
        <f>HYPERLINK("#Control!A1","Control")</f>
        <v/>
      </c>
      <c r="F3" s="19">
        <f>HYPERLINK("#Inputs!A1","Inputs")</f>
        <v/>
      </c>
      <c r="H3" s="19">
        <f>HYPERLINK("#'Rate Log'!A1","Rate Log")</f>
        <v/>
      </c>
      <c r="J3" s="19">
        <f>HYPERLINK("#Portfolio!A1","Portfolio")</f>
        <v/>
      </c>
      <c r="L3" s="19">
        <f>HYPERLINK("#Checks!A1","Checks")</f>
        <v/>
      </c>
    </row>
    <row r="4">
      <c r="C4" s="25" t="inlineStr">
        <is>
          <t>Combo A</t>
        </is>
      </c>
      <c r="E4" s="25" t="inlineStr">
        <is>
          <t>Combo B</t>
        </is>
      </c>
    </row>
    <row r="5">
      <c r="B5" s="20" t="inlineStr">
        <is>
          <t>Business unit</t>
        </is>
      </c>
      <c r="C5" s="13" t="inlineStr">
        <is>
          <t>BU-A</t>
        </is>
      </c>
      <c r="E5" s="13" t="n"/>
      <c r="G5" s="23">
        <f>IF(OR($C$5="",$C$6=""),"",$C$5&amp;"|"&amp;$C$6)</f>
        <v/>
      </c>
      <c r="H5" s="42">
        <f>IF($G$5="",0,IF(COUNTIF(calc_key,$G$5)=0,0,MATCH($G$5,calc_key,0)))</f>
        <v/>
      </c>
    </row>
    <row r="6">
      <c r="B6" s="20" t="inlineStr">
        <is>
          <t>State</t>
        </is>
      </c>
      <c r="C6" s="13" t="inlineStr">
        <is>
          <t>AZ</t>
        </is>
      </c>
      <c r="E6" s="13" t="n"/>
      <c r="G6" s="23">
        <f>IF(OR($E$5="",$E$6=""),"",$E$5&amp;"|"&amp;$E$6)</f>
        <v/>
      </c>
      <c r="H6" s="42">
        <f>IF($G$6="",0,IF(COUNTIF(calc_key,$G$6)=0,0,MATCH($G$6,calc_key,0)))</f>
        <v/>
      </c>
    </row>
    <row r="8">
      <c r="B8" s="55" t="inlineStr">
        <is>
          <t>Metric</t>
        </is>
      </c>
      <c r="C8" s="55">
        <f>IF($G$5="","Combo A",$G$5)</f>
        <v/>
      </c>
      <c r="D8" s="55">
        <f>IF($G$6="","Combo B",$G$6)</f>
        <v/>
      </c>
      <c r="E8" s="55" t="inlineStr">
        <is>
          <t>B - A</t>
        </is>
      </c>
    </row>
    <row r="9">
      <c r="B9" s="20" t="inlineStr">
        <is>
          <t>Projected LR (as input)</t>
        </is>
      </c>
      <c r="C9" s="181">
        <f>IF($H$5=0,"",N(INDEX(lr_lrproj,$H$5)))</f>
        <v/>
      </c>
      <c r="D9" s="181">
        <f>IF($H$6=0,"",N(INDEX(lr_lrproj,$H$6)))</f>
        <v/>
      </c>
      <c r="E9" s="46">
        <f>IF(OR($H$5=0,$H$6=0),"",IF(AND(ISNUMBER($C9),ISNUMBER($D9)),$D9-$C9,""))</f>
        <v/>
      </c>
    </row>
    <row r="10">
      <c r="B10" s="20" t="inlineStr">
        <is>
          <t>Projected LR (current level)</t>
        </is>
      </c>
      <c r="C10" s="181">
        <f>IF($H$5=0,"",INDEX(calc_lrcur,$H$5))</f>
        <v/>
      </c>
      <c r="D10" s="181">
        <f>IF($H$6=0,"",INDEX(calc_lrcur,$H$6))</f>
        <v/>
      </c>
      <c r="E10" s="46">
        <f>IF(OR($H$5=0,$H$6=0),"",IF(AND(ISNUMBER($C10),ISNUMBER($D10)),$D10-$C10,""))</f>
        <v/>
      </c>
    </row>
    <row r="11">
      <c r="B11" s="20" t="inlineStr">
        <is>
          <t>Mod assumed in indication (M_ind)</t>
        </is>
      </c>
      <c r="C11" s="105">
        <f>IF($H$5=0,"",N(INDEX(lr_mind,$H$5)))</f>
        <v/>
      </c>
      <c r="D11" s="105">
        <f>IF($H$6=0,"",N(INDEX(lr_mind,$H$6)))</f>
        <v/>
      </c>
      <c r="E11" s="46">
        <f>IF(OR($H$5=0,$H$6=0),"",IF(AND(ISNUMBER($C11),ISNUMBER($D11)),$D11-$C11,""))</f>
        <v/>
      </c>
    </row>
    <row r="12">
      <c r="B12" s="20" t="inlineStr">
        <is>
          <t>Current written mod (M_0)</t>
        </is>
      </c>
      <c r="C12" s="105">
        <f>IF($H$5=0,"",N(INDEX(lr_m0,$H$5)))</f>
        <v/>
      </c>
      <c r="D12" s="105">
        <f>IF($H$6=0,"",N(INDEX(lr_m0,$H$6)))</f>
        <v/>
      </c>
      <c r="E12" s="46">
        <f>IF(OR($H$5=0,$H$6=0),"",IF(AND(ISNUMBER($C12),ISNUMBER($D12)),$D12-$C12,""))</f>
        <v/>
      </c>
    </row>
    <row r="13">
      <c r="B13" s="20" t="inlineStr">
        <is>
          <t>Projected mod, plan-yr end (M_1)</t>
        </is>
      </c>
      <c r="C13" s="105">
        <f>IF($H$5=0,"",N(INDEX(lr_m1,$H$5)))</f>
        <v/>
      </c>
      <c r="D13" s="105">
        <f>IF($H$6=0,"",N(INDEX(lr_m1,$H$6)))</f>
        <v/>
      </c>
      <c r="E13" s="46">
        <f>IF(OR($H$5=0,$H$6=0),"",IF(AND(ISNUMBER($C13),ISNUMBER($D13)),$D13-$C13,""))</f>
        <v/>
      </c>
    </row>
    <row r="14">
      <c r="B14" s="20" t="inlineStr">
        <is>
          <t>Indication rate level (CRL_ind)</t>
        </is>
      </c>
      <c r="C14" s="111">
        <f>IF($H$5=0,"",INDEX(calc_crl,$H$5))</f>
        <v/>
      </c>
      <c r="D14" s="111">
        <f>IF($H$6=0,"",INDEX(calc_crl,$H$6))</f>
        <v/>
      </c>
      <c r="E14" s="46">
        <f>IF(OR($H$5=0,$H$6=0),"",IF(AND(ISNUMBER($C14),ISNUMBER($D14)),$D14-$C14,""))</f>
        <v/>
      </c>
    </row>
    <row r="15">
      <c r="B15" s="20" t="inlineStr">
        <is>
          <t>Earned rate level (E_CY)</t>
        </is>
      </c>
      <c r="C15" s="111">
        <f>IF($H$5=0,"",INDEX(calc_ecy_p,$H$5))</f>
        <v/>
      </c>
      <c r="D15" s="111">
        <f>IF($H$6=0,"",INDEX(calc_ecy_p,$H$6))</f>
        <v/>
      </c>
      <c r="E15" s="46">
        <f>IF(OR($H$5=0,$H$6=0),"",IF(AND(ISNUMBER($C15),ISNUMBER($D15)),$D15-$C15,""))</f>
        <v/>
      </c>
    </row>
    <row r="16">
      <c r="B16" s="20" t="inlineStr">
        <is>
          <t>Rate earn-in (A_rate)</t>
        </is>
      </c>
      <c r="C16" s="111">
        <f>IF($H$5=0,"",INDEX(calc_arate_p,$H$5))</f>
        <v/>
      </c>
      <c r="D16" s="111">
        <f>IF($H$6=0,"",INDEX(calc_arate_p,$H$6))</f>
        <v/>
      </c>
      <c r="E16" s="46">
        <f>IF(OR($H$5=0,$H$6=0),"",IF(AND(ISNUMBER($C16),ISNUMBER($D16)),$D16-$C16,""))</f>
        <v/>
      </c>
    </row>
    <row r="17">
      <c r="B17" s="20" t="inlineStr">
        <is>
          <t>Earned mod (plan year)</t>
        </is>
      </c>
      <c r="C17" s="105">
        <f>IF($H$5=0,"",INDEX(calc_mbar_p,$H$5))</f>
        <v/>
      </c>
      <c r="D17" s="105">
        <f>IF($H$6=0,"",INDEX(calc_mbar_p,$H$6))</f>
        <v/>
      </c>
      <c r="E17" s="46">
        <f>IF(OR($H$5=0,$H$6=0),"",IF(AND(ISNUMBER($C17),ISNUMBER($D17)),$D17-$C17,""))</f>
        <v/>
      </c>
    </row>
    <row r="18">
      <c r="B18" s="20" t="inlineStr">
        <is>
          <t>Mod drift (A_mod)</t>
        </is>
      </c>
      <c r="C18" s="111">
        <f>IF($H$5=0,"",INDEX(calc_amod_p,$H$5))</f>
        <v/>
      </c>
      <c r="D18" s="111">
        <f>IF($H$6=0,"",INDEX(calc_amod_p,$H$6))</f>
        <v/>
      </c>
      <c r="E18" s="46">
        <f>IF(OR($H$5=0,$H$6=0),"",IF(AND(ISNUMBER($C18),ISNUMBER($D18)),$D18-$C18,""))</f>
        <v/>
      </c>
    </row>
    <row r="19">
      <c r="B19" s="20" t="inlineStr">
        <is>
          <t>Other adjustment (A_other)</t>
        </is>
      </c>
      <c r="C19" s="111">
        <f>IF($H$5=0,"",INDEX(calc_aother,$H$5))</f>
        <v/>
      </c>
      <c r="D19" s="111">
        <f>IF($H$6=0,"",INDEX(calc_aother,$H$6))</f>
        <v/>
      </c>
      <c r="E19" s="46">
        <f>IF(OR($H$5=0,$H$6=0),"",IF(AND(ISNUMBER($C19),ISNUMBER($D19)),$D19-$C19,""))</f>
        <v/>
      </c>
    </row>
    <row r="20">
      <c r="B20" s="25">
        <f>"CY "&amp;nr_PlanYear&amp;" PLAN LOSS RATIO"</f>
        <v/>
      </c>
      <c r="C20" s="126">
        <f>IF($H$5=0,"",INDEX(calc_cylr_p,$H$5))</f>
        <v/>
      </c>
      <c r="D20" s="126">
        <f>IF($H$6=0,"",INDEX(calc_cylr_p,$H$6))</f>
        <v/>
      </c>
      <c r="E20" s="46">
        <f>IF(OR($H$5=0,$H$6=0),"",IF(AND(ISNUMBER($C20),ISNUMBER($D20)),$D20-$C20,""))</f>
        <v/>
      </c>
    </row>
    <row r="21">
      <c r="B21" s="20" t="inlineStr">
        <is>
          <t>Chg vs projected (pts)</t>
        </is>
      </c>
      <c r="C21" s="182">
        <f>IF($H$5=0,"",(INDEX(calc_cylr_p,$H$5)-INDEX(calc_lrcur,$H$5))*100)</f>
        <v/>
      </c>
      <c r="D21" s="182">
        <f>IF($H$6=0,"",(INDEX(calc_cylr_p,$H$6)-INDEX(calc_lrcur,$H$6))*100)</f>
        <v/>
      </c>
      <c r="E21" s="46">
        <f>IF(OR($H$5=0,$H$6=0),"",IF(AND(ISNUMBER($C21),ISNUMBER($D21)),$D21-$C21,""))</f>
        <v/>
      </c>
    </row>
    <row r="22">
      <c r="B22" s="20" t="inlineStr">
        <is>
          <t>Net trend (next year)</t>
        </is>
      </c>
      <c r="C22" s="107">
        <f>IF($H$5=0,"",INDEX(calc_trend,$H$5))</f>
        <v/>
      </c>
      <c r="D22" s="107">
        <f>IF($H$6=0,"",INDEX(calc_trend,$H$6))</f>
        <v/>
      </c>
      <c r="E22" s="46">
        <f>IF(OR($H$5=0,$H$6=0),"",IF(AND(ISNUMBER($C22),ISNUMBER($D22)),$D22-$C22,""))</f>
        <v/>
      </c>
    </row>
    <row r="23">
      <c r="B23" s="20" t="inlineStr">
        <is>
          <t>Rate earn-in, next yr</t>
        </is>
      </c>
      <c r="C23" s="111">
        <f>IF($H$5=0,"",INDEX(calc_arate_p1,$H$5))</f>
        <v/>
      </c>
      <c r="D23" s="111">
        <f>IF($H$6=0,"",INDEX(calc_arate_p1,$H$6))</f>
        <v/>
      </c>
      <c r="E23" s="46">
        <f>IF(OR($H$5=0,$H$6=0),"",IF(AND(ISNUMBER($C23),ISNUMBER($D23)),$D23-$C23,""))</f>
        <v/>
      </c>
    </row>
    <row r="24">
      <c r="B24" s="20" t="inlineStr">
        <is>
          <t>Mod drift, next yr</t>
        </is>
      </c>
      <c r="C24" s="111">
        <f>IF($H$5=0,"",INDEX(calc_amod_p1,$H$5))</f>
        <v/>
      </c>
      <c r="D24" s="111">
        <f>IF($H$6=0,"",INDEX(calc_amod_p1,$H$6))</f>
        <v/>
      </c>
      <c r="E24" s="46">
        <f>IF(OR($H$5=0,$H$6=0),"",IF(AND(ISNUMBER($C24),ISNUMBER($D24)),$D24-$C24,""))</f>
        <v/>
      </c>
    </row>
    <row r="25">
      <c r="B25" s="20">
        <f>"CY "&amp;(nr_PlanYear+1)&amp;" plan LR (indicative)"</f>
        <v/>
      </c>
      <c r="C25" s="126">
        <f>IF($H$5=0,"",INDEX(calc_cylr_p1,$H$5))</f>
        <v/>
      </c>
      <c r="D25" s="126">
        <f>IF($H$6=0,"",INDEX(calc_cylr_p1,$H$6))</f>
        <v/>
      </c>
      <c r="E25" s="46">
        <f>IF(OR($H$5=0,$H$6=0),"",IF(AND(ISNUMBER($C25),ISNUMBER($D25)),$D25-$C25,""))</f>
        <v/>
      </c>
    </row>
    <row r="26">
      <c r="B26" s="20" t="inlineStr">
        <is>
          <t>Carryover into next yr</t>
        </is>
      </c>
      <c r="C26" s="107">
        <f>IF($H$5=0,"",INDEX(calc_carry,$H$5))</f>
        <v/>
      </c>
      <c r="D26" s="107">
        <f>IF($H$6=0,"",INDEX(calc_carry,$H$6))</f>
        <v/>
      </c>
      <c r="E26" s="46">
        <f>IF(OR($H$5=0,$H$6=0),"",IF(AND(ISNUMBER($C26),ISNUMBER($D26)),$D26-$C26,""))</f>
        <v/>
      </c>
    </row>
    <row r="27">
      <c r="B27" s="20" t="inlineStr">
        <is>
          <t>Adjusted plan EP (000s)</t>
        </is>
      </c>
      <c r="C27" s="103">
        <f>IF($H$5=0,"",INDEX(calc_ep,$H$5))</f>
        <v/>
      </c>
      <c r="D27" s="103">
        <f>IF($H$6=0,"",INDEX(calc_ep,$H$6))</f>
        <v/>
      </c>
      <c r="E27" s="46">
        <f>IF(OR($H$5=0,$H$6=0),"",IF(AND(ISNUMBER($C27),ISNUMBER($D27)),$D27-$C27,""))</f>
        <v/>
      </c>
    </row>
    <row r="28">
      <c r="B28" s="20" t="inlineStr">
        <is>
          <t>Net rate selection</t>
        </is>
      </c>
      <c r="C28" s="107">
        <f>IF($H$5=0,"",IF(INDEX(calc_netmode,$H$5)=0,"—",INDEX(calc_netx,$H$5)))</f>
        <v/>
      </c>
      <c r="D28" s="107">
        <f>IF($H$6=0,"",IF(INDEX(calc_netmode,$H$6)=0,"—",INDEX(calc_netx,$H$6)))</f>
        <v/>
      </c>
      <c r="E28" s="46">
        <f>IF(OR($H$5=0,$H$6=0),"",IF(AND(ISNUMBER($C28),ISNUMBER($D28)),$D28-$C28,""))</f>
        <v/>
      </c>
    </row>
    <row r="30">
      <c r="B30" s="50" t="inlineStr">
        <is>
          <t>Blank column = pick a BU and state above (or the combo is not in tbl_LR). Differences show only when both combos resolve.</t>
        </is>
      </c>
    </row>
  </sheetData>
  <dataValidations count="4">
    <dataValidation sqref="C5" showDropDown="0" showInputMessage="0" showErrorMessage="0" allowBlank="1" type="list">
      <formula1>=lst_bu</formula1>
    </dataValidation>
    <dataValidation sqref="C6" showDropDown="0" showInputMessage="0" showErrorMessage="0" allowBlank="1" type="list">
      <formula1>=lst_state</formula1>
    </dataValidation>
    <dataValidation sqref="E5" showDropDown="0" showInputMessage="0" showErrorMessage="0" allowBlank="1" type="list">
      <formula1>=lst_bu</formula1>
    </dataValidation>
    <dataValidation sqref="E6"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142">
        <f>slv_key</f>
        <v/>
      </c>
      <c r="E3" s="141">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183">
        <f>SUMPRODUCT((slv_absmi&lt;$G$7)*slv_w*slv_ecp*slv_widx)+$G$18*(1-$G$15)*$G$16</f>
        <v/>
      </c>
      <c r="F11" s="6" t="inlineStr">
        <is>
          <t>days on/after eff</t>
        </is>
      </c>
      <c r="G11" s="74">
        <f>$G$9-$C$8+1</f>
        <v/>
      </c>
    </row>
    <row r="12">
      <c r="B12" s="20" t="inlineStr">
        <is>
          <t>Earnable exposure on/after the date (C_post, cohort-months)</t>
        </is>
      </c>
      <c r="C12" s="183">
        <f>SUMPRODUCT((slv_absmi&gt;$G$7)*slv_w*slv_ecp*slv_widx)+$G$18*$G$15*$G$17</f>
        <v/>
      </c>
      <c r="F12" s="6" t="inlineStr">
        <is>
          <t>eff month in cohort window?</t>
        </is>
      </c>
      <c r="G12" s="6">
        <f>AND($G$7&gt;=(nr_PlanYear-2)*12,$G$7&lt;=(nr_PlanYear+1)*12+11)</f>
        <v/>
      </c>
    </row>
    <row r="13">
      <c r="B13" s="20" t="inlineStr">
        <is>
          <t>Total CY earned exposure (D, cohort-months)</t>
        </is>
      </c>
      <c r="C13" s="183">
        <f>slv_den</f>
        <v/>
      </c>
      <c r="F13" s="6" t="inlineStr">
        <is>
          <t>cohort row index (clamped)</t>
        </is>
      </c>
      <c r="G13" s="74">
        <f>MIN(48,MAX(1,$G$7-(nr_PlanYear-2)*12+1))</f>
        <v/>
      </c>
    </row>
    <row r="14">
      <c r="B14" s="20" t="inlineStr">
        <is>
          <t>Mod drift factor in force (A_mod)</t>
        </is>
      </c>
      <c r="C14" s="183">
        <f>slv_amod</f>
        <v/>
      </c>
      <c r="F14" s="6" t="inlineStr">
        <is>
          <t>first taken-change days (same month)</t>
        </is>
      </c>
      <c r="G14" s="74">
        <f>IF($G$12,INDEX(slv_dfirst,$G$13),0)</f>
        <v/>
      </c>
    </row>
    <row r="15">
      <c r="B15" s="20" t="inlineStr">
        <is>
          <t>Rate earn-in factor needed (A_rate)</t>
        </is>
      </c>
      <c r="C15" s="183">
        <f>IF(OR(slv_lrcur=0,$C$7=""),0,$C$7/(slv_lrcur*$C$14*slv_aother))</f>
        <v/>
      </c>
      <c r="F15" s="6" t="inlineStr">
        <is>
          <t>split p (first-change rule, D4/D31)</t>
        </is>
      </c>
      <c r="G15" s="184">
        <f>IF($G$12,MIN(1,MAX($G$11,$G$14)/$G$10),1)</f>
        <v/>
      </c>
    </row>
    <row r="16">
      <c r="B16" s="20" t="inlineStr">
        <is>
          <t>Earned rate level needed (E_CY)</t>
        </is>
      </c>
      <c r="C16" s="183">
        <f>IF($C$15=0,0,slv_crl/$C$15)</f>
        <v/>
      </c>
      <c r="F16" s="6" t="inlineStr">
        <is>
          <t>W0_pre at eff month</t>
        </is>
      </c>
      <c r="G16" s="72">
        <f>IF($G$12,INDEX(slv_wpre,$G$13),1)</f>
        <v/>
      </c>
    </row>
    <row r="17">
      <c r="B17" s="18" t="inlineStr">
        <is>
          <t>REQUIRED CHANGE r</t>
        </is>
      </c>
      <c r="C17" s="185">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186">
        <f>IF(OR($C$9=0,NOT(ISNUMBER($C$17))),"n/a",$C$17/$C$9)</f>
        <v/>
      </c>
      <c r="F18" s="6" t="inlineStr">
        <is>
          <t>w x ec at eff month</t>
        </is>
      </c>
      <c r="G18" s="72">
        <f>IF($G$12,INDEX(slv_w,$G$13)*INDEX(slv_ecp,$G$13),0)</f>
        <v/>
      </c>
    </row>
    <row r="19">
      <c r="B19" s="20" t="inlineStr">
        <is>
          <t>Share of CY earned exposure on/after eff</t>
        </is>
      </c>
      <c r="C19" s="187">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87">
        <f>TEXT(DATE(nr_PlanYear,1,1),"mmm yyyy")</f>
        <v/>
      </c>
      <c r="C29" s="188">
        <f>DATE(nr_PlanYear,1,1)</f>
        <v/>
      </c>
      <c r="D29" s="41">
        <f>'_calc'!$T$4698</f>
        <v/>
      </c>
      <c r="E29" s="41">
        <f>slv_total-'_calc'!$T$4699+'_calc'!$U$4699</f>
        <v/>
      </c>
      <c r="F29" s="49">
        <f>($D29+(1+$C$26)*$E29)/slv_den</f>
        <v/>
      </c>
      <c r="G29" s="45">
        <f>IF(slv_lrcur=0,0,slv_lrcur*(slv_crl/$F29)*$C$14*slv_aother)</f>
        <v/>
      </c>
      <c r="H29" s="87">
        <f>IF($C$7="","-",IF($G29&lt;=$C$7,"YES","no"))</f>
        <v/>
      </c>
      <c r="I29" s="42">
        <f>IF($H29="YES",1,0)</f>
        <v/>
      </c>
      <c r="J29" s="189">
        <f>IF($C$7="","",$C$7)</f>
        <v/>
      </c>
    </row>
    <row r="30">
      <c r="B30" s="87">
        <f>TEXT(DATE(nr_PlanYear,2,1),"mmm yyyy")</f>
        <v/>
      </c>
      <c r="C30" s="188">
        <f>DATE(nr_PlanYear,2,1)</f>
        <v/>
      </c>
      <c r="D30" s="41">
        <f>'_calc'!$T$4699</f>
        <v/>
      </c>
      <c r="E30" s="41">
        <f>slv_total-'_calc'!$T$4700+'_calc'!$U$4700</f>
        <v/>
      </c>
      <c r="F30" s="49">
        <f>($D30+(1+$C$26)*$E30)/slv_den</f>
        <v/>
      </c>
      <c r="G30" s="45">
        <f>IF(slv_lrcur=0,0,slv_lrcur*(slv_crl/$F30)*$C$14*slv_aother)</f>
        <v/>
      </c>
      <c r="H30" s="87">
        <f>IF($C$7="","-",IF($G30&lt;=$C$7,"YES","no"))</f>
        <v/>
      </c>
      <c r="I30" s="42">
        <f>IF($H30="YES",2,0)</f>
        <v/>
      </c>
      <c r="J30" s="189">
        <f>IF($C$7="","",$C$7)</f>
        <v/>
      </c>
    </row>
    <row r="31">
      <c r="B31" s="87">
        <f>TEXT(DATE(nr_PlanYear,3,1),"mmm yyyy")</f>
        <v/>
      </c>
      <c r="C31" s="188">
        <f>DATE(nr_PlanYear,3,1)</f>
        <v/>
      </c>
      <c r="D31" s="41">
        <f>'_calc'!$T$4700</f>
        <v/>
      </c>
      <c r="E31" s="41">
        <f>slv_total-'_calc'!$T$4701+'_calc'!$U$4701</f>
        <v/>
      </c>
      <c r="F31" s="49">
        <f>($D31+(1+$C$26)*$E31)/slv_den</f>
        <v/>
      </c>
      <c r="G31" s="45">
        <f>IF(slv_lrcur=0,0,slv_lrcur*(slv_crl/$F31)*$C$14*slv_aother)</f>
        <v/>
      </c>
      <c r="H31" s="87">
        <f>IF($C$7="","-",IF($G31&lt;=$C$7,"YES","no"))</f>
        <v/>
      </c>
      <c r="I31" s="42">
        <f>IF($H31="YES",3,0)</f>
        <v/>
      </c>
      <c r="J31" s="189">
        <f>IF($C$7="","",$C$7)</f>
        <v/>
      </c>
    </row>
    <row r="32">
      <c r="B32" s="87">
        <f>TEXT(DATE(nr_PlanYear,4,1),"mmm yyyy")</f>
        <v/>
      </c>
      <c r="C32" s="188">
        <f>DATE(nr_PlanYear,4,1)</f>
        <v/>
      </c>
      <c r="D32" s="41">
        <f>'_calc'!$T$4701</f>
        <v/>
      </c>
      <c r="E32" s="41">
        <f>slv_total-'_calc'!$T$4702+'_calc'!$U$4702</f>
        <v/>
      </c>
      <c r="F32" s="49">
        <f>($D32+(1+$C$26)*$E32)/slv_den</f>
        <v/>
      </c>
      <c r="G32" s="45">
        <f>IF(slv_lrcur=0,0,slv_lrcur*(slv_crl/$F32)*$C$14*slv_aother)</f>
        <v/>
      </c>
      <c r="H32" s="87">
        <f>IF($C$7="","-",IF($G32&lt;=$C$7,"YES","no"))</f>
        <v/>
      </c>
      <c r="I32" s="42">
        <f>IF($H32="YES",4,0)</f>
        <v/>
      </c>
      <c r="J32" s="189">
        <f>IF($C$7="","",$C$7)</f>
        <v/>
      </c>
    </row>
    <row r="33">
      <c r="B33" s="87">
        <f>TEXT(DATE(nr_PlanYear,5,1),"mmm yyyy")</f>
        <v/>
      </c>
      <c r="C33" s="188">
        <f>DATE(nr_PlanYear,5,1)</f>
        <v/>
      </c>
      <c r="D33" s="41">
        <f>'_calc'!$T$4702</f>
        <v/>
      </c>
      <c r="E33" s="41">
        <f>slv_total-'_calc'!$T$4703+'_calc'!$U$4703</f>
        <v/>
      </c>
      <c r="F33" s="49">
        <f>($D33+(1+$C$26)*$E33)/slv_den</f>
        <v/>
      </c>
      <c r="G33" s="45">
        <f>IF(slv_lrcur=0,0,slv_lrcur*(slv_crl/$F33)*$C$14*slv_aother)</f>
        <v/>
      </c>
      <c r="H33" s="87">
        <f>IF($C$7="","-",IF($G33&lt;=$C$7,"YES","no"))</f>
        <v/>
      </c>
      <c r="I33" s="42">
        <f>IF($H33="YES",5,0)</f>
        <v/>
      </c>
      <c r="J33" s="189">
        <f>IF($C$7="","",$C$7)</f>
        <v/>
      </c>
    </row>
    <row r="34">
      <c r="B34" s="87">
        <f>TEXT(DATE(nr_PlanYear,6,1),"mmm yyyy")</f>
        <v/>
      </c>
      <c r="C34" s="188">
        <f>DATE(nr_PlanYear,6,1)</f>
        <v/>
      </c>
      <c r="D34" s="41">
        <f>'_calc'!$T$4703</f>
        <v/>
      </c>
      <c r="E34" s="41">
        <f>slv_total-'_calc'!$T$4704+'_calc'!$U$4704</f>
        <v/>
      </c>
      <c r="F34" s="49">
        <f>($D34+(1+$C$26)*$E34)/slv_den</f>
        <v/>
      </c>
      <c r="G34" s="45">
        <f>IF(slv_lrcur=0,0,slv_lrcur*(slv_crl/$F34)*$C$14*slv_aother)</f>
        <v/>
      </c>
      <c r="H34" s="87">
        <f>IF($C$7="","-",IF($G34&lt;=$C$7,"YES","no"))</f>
        <v/>
      </c>
      <c r="I34" s="42">
        <f>IF($H34="YES",6,0)</f>
        <v/>
      </c>
      <c r="J34" s="189">
        <f>IF($C$7="","",$C$7)</f>
        <v/>
      </c>
    </row>
    <row r="35">
      <c r="B35" s="87">
        <f>TEXT(DATE(nr_PlanYear,7,1),"mmm yyyy")</f>
        <v/>
      </c>
      <c r="C35" s="188">
        <f>DATE(nr_PlanYear,7,1)</f>
        <v/>
      </c>
      <c r="D35" s="41">
        <f>'_calc'!$T$4704</f>
        <v/>
      </c>
      <c r="E35" s="41">
        <f>slv_total-'_calc'!$T$4705+'_calc'!$U$4705</f>
        <v/>
      </c>
      <c r="F35" s="49">
        <f>($D35+(1+$C$26)*$E35)/slv_den</f>
        <v/>
      </c>
      <c r="G35" s="45">
        <f>IF(slv_lrcur=0,0,slv_lrcur*(slv_crl/$F35)*$C$14*slv_aother)</f>
        <v/>
      </c>
      <c r="H35" s="87">
        <f>IF($C$7="","-",IF($G35&lt;=$C$7,"YES","no"))</f>
        <v/>
      </c>
      <c r="I35" s="42">
        <f>IF($H35="YES",7,0)</f>
        <v/>
      </c>
      <c r="J35" s="189">
        <f>IF($C$7="","",$C$7)</f>
        <v/>
      </c>
    </row>
    <row r="36">
      <c r="B36" s="87">
        <f>TEXT(DATE(nr_PlanYear,8,1),"mmm yyyy")</f>
        <v/>
      </c>
      <c r="C36" s="188">
        <f>DATE(nr_PlanYear,8,1)</f>
        <v/>
      </c>
      <c r="D36" s="41">
        <f>'_calc'!$T$4705</f>
        <v/>
      </c>
      <c r="E36" s="41">
        <f>slv_total-'_calc'!$T$4706+'_calc'!$U$4706</f>
        <v/>
      </c>
      <c r="F36" s="49">
        <f>($D36+(1+$C$26)*$E36)/slv_den</f>
        <v/>
      </c>
      <c r="G36" s="45">
        <f>IF(slv_lrcur=0,0,slv_lrcur*(slv_crl/$F36)*$C$14*slv_aother)</f>
        <v/>
      </c>
      <c r="H36" s="87">
        <f>IF($C$7="","-",IF($G36&lt;=$C$7,"YES","no"))</f>
        <v/>
      </c>
      <c r="I36" s="42">
        <f>IF($H36="YES",8,0)</f>
        <v/>
      </c>
      <c r="J36" s="189">
        <f>IF($C$7="","",$C$7)</f>
        <v/>
      </c>
    </row>
    <row r="37">
      <c r="B37" s="87">
        <f>TEXT(DATE(nr_PlanYear,9,1),"mmm yyyy")</f>
        <v/>
      </c>
      <c r="C37" s="188">
        <f>DATE(nr_PlanYear,9,1)</f>
        <v/>
      </c>
      <c r="D37" s="41">
        <f>'_calc'!$T$4706</f>
        <v/>
      </c>
      <c r="E37" s="41">
        <f>slv_total-'_calc'!$T$4707+'_calc'!$U$4707</f>
        <v/>
      </c>
      <c r="F37" s="49">
        <f>($D37+(1+$C$26)*$E37)/slv_den</f>
        <v/>
      </c>
      <c r="G37" s="45">
        <f>IF(slv_lrcur=0,0,slv_lrcur*(slv_crl/$F37)*$C$14*slv_aother)</f>
        <v/>
      </c>
      <c r="H37" s="87">
        <f>IF($C$7="","-",IF($G37&lt;=$C$7,"YES","no"))</f>
        <v/>
      </c>
      <c r="I37" s="42">
        <f>IF($H37="YES",9,0)</f>
        <v/>
      </c>
      <c r="J37" s="189">
        <f>IF($C$7="","",$C$7)</f>
        <v/>
      </c>
    </row>
    <row r="38">
      <c r="B38" s="87">
        <f>TEXT(DATE(nr_PlanYear,10,1),"mmm yyyy")</f>
        <v/>
      </c>
      <c r="C38" s="188">
        <f>DATE(nr_PlanYear,10,1)</f>
        <v/>
      </c>
      <c r="D38" s="41">
        <f>'_calc'!$T$4707</f>
        <v/>
      </c>
      <c r="E38" s="41">
        <f>slv_total-'_calc'!$T$4708+'_calc'!$U$4708</f>
        <v/>
      </c>
      <c r="F38" s="49">
        <f>($D38+(1+$C$26)*$E38)/slv_den</f>
        <v/>
      </c>
      <c r="G38" s="45">
        <f>IF(slv_lrcur=0,0,slv_lrcur*(slv_crl/$F38)*$C$14*slv_aother)</f>
        <v/>
      </c>
      <c r="H38" s="87">
        <f>IF($C$7="","-",IF($G38&lt;=$C$7,"YES","no"))</f>
        <v/>
      </c>
      <c r="I38" s="42">
        <f>IF($H38="YES",10,0)</f>
        <v/>
      </c>
      <c r="J38" s="189">
        <f>IF($C$7="","",$C$7)</f>
        <v/>
      </c>
    </row>
    <row r="39">
      <c r="B39" s="87">
        <f>TEXT(DATE(nr_PlanYear,11,1),"mmm yyyy")</f>
        <v/>
      </c>
      <c r="C39" s="188">
        <f>DATE(nr_PlanYear,11,1)</f>
        <v/>
      </c>
      <c r="D39" s="41">
        <f>'_calc'!$T$4708</f>
        <v/>
      </c>
      <c r="E39" s="41">
        <f>slv_total-'_calc'!$T$4709+'_calc'!$U$4709</f>
        <v/>
      </c>
      <c r="F39" s="49">
        <f>($D39+(1+$C$26)*$E39)/slv_den</f>
        <v/>
      </c>
      <c r="G39" s="45">
        <f>IF(slv_lrcur=0,0,slv_lrcur*(slv_crl/$F39)*$C$14*slv_aother)</f>
        <v/>
      </c>
      <c r="H39" s="87">
        <f>IF($C$7="","-",IF($G39&lt;=$C$7,"YES","no"))</f>
        <v/>
      </c>
      <c r="I39" s="42">
        <f>IF($H39="YES",11,0)</f>
        <v/>
      </c>
      <c r="J39" s="189">
        <f>IF($C$7="","",$C$7)</f>
        <v/>
      </c>
    </row>
    <row r="40">
      <c r="B40" s="87">
        <f>TEXT(DATE(nr_PlanYear,12,1),"mmm yyyy")</f>
        <v/>
      </c>
      <c r="C40" s="188">
        <f>DATE(nr_PlanYear,12,1)</f>
        <v/>
      </c>
      <c r="D40" s="41">
        <f>'_calc'!$T$4709</f>
        <v/>
      </c>
      <c r="E40" s="41">
        <f>slv_total-'_calc'!$T$4710+'_calc'!$U$4710</f>
        <v/>
      </c>
      <c r="F40" s="49">
        <f>($D40+(1+$C$26)*$E40)/slv_den</f>
        <v/>
      </c>
      <c r="G40" s="45">
        <f>IF(slv_lrcur=0,0,slv_lrcur*(slv_crl/$F40)*$C$14*slv_aother)</f>
        <v/>
      </c>
      <c r="H40" s="87">
        <f>IF($C$7="","-",IF($G40&lt;=$C$7,"YES","no"))</f>
        <v/>
      </c>
      <c r="I40" s="42">
        <f>IF($H40="YES",12,0)</f>
        <v/>
      </c>
      <c r="J40" s="189">
        <f>IF($C$7="","",$C$7)</f>
        <v/>
      </c>
    </row>
    <row r="42">
      <c r="B42" s="18" t="inlineStr">
        <is>
          <t>Latest start month that still meets the target</t>
        </is>
      </c>
      <c r="D42" s="190">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142">
        <f>nr_SelKey</f>
        <v/>
      </c>
      <c r="D3" s="141">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191">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192"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145" t="n">
        <v>1</v>
      </c>
      <c r="C14" s="193">
        <f>IF(COUNTIF('_calc'!$A$4268:$A$4507,1)=0,"",INDEX(rl_eff,MATCH(1,'_calc'!$A$4268:$A$4507,0)))</f>
        <v/>
      </c>
      <c r="D14" s="44">
        <f>IF($C14="","",INDEX(rl_reff,MATCH(1,'_calc'!$A$4268:$A$4507,0)))</f>
        <v/>
      </c>
      <c r="E14" s="58" t="n"/>
      <c r="F14" s="192" t="n"/>
    </row>
    <row r="15">
      <c r="B15" s="145" t="n">
        <v>2</v>
      </c>
      <c r="C15" s="193">
        <f>IF(COUNTIF('_calc'!$A$4268:$A$4507,2)=0,"",INDEX(rl_eff,MATCH(2,'_calc'!$A$4268:$A$4507,0)))</f>
        <v/>
      </c>
      <c r="D15" s="44">
        <f>IF($C15="","",INDEX(rl_reff,MATCH(2,'_calc'!$A$4268:$A$4507,0)))</f>
        <v/>
      </c>
      <c r="E15" s="58" t="n"/>
      <c r="F15" s="192" t="n"/>
    </row>
    <row r="16">
      <c r="B16" s="145" t="n">
        <v>3</v>
      </c>
      <c r="C16" s="193">
        <f>IF(COUNTIF('_calc'!$A$4268:$A$4507,3)=0,"",INDEX(rl_eff,MATCH(3,'_calc'!$A$4268:$A$4507,0)))</f>
        <v/>
      </c>
      <c r="D16" s="44">
        <f>IF($C16="","",INDEX(rl_reff,MATCH(3,'_calc'!$A$4268:$A$4507,0)))</f>
        <v/>
      </c>
      <c r="E16" s="58" t="n"/>
      <c r="F16" s="192" t="n"/>
    </row>
    <row r="17">
      <c r="B17" s="145" t="n">
        <v>4</v>
      </c>
      <c r="C17" s="193">
        <f>IF(COUNTIF('_calc'!$A$4268:$A$4507,4)=0,"",INDEX(rl_eff,MATCH(4,'_calc'!$A$4268:$A$4507,0)))</f>
        <v/>
      </c>
      <c r="D17" s="44">
        <f>IF($C17="","",INDEX(rl_reff,MATCH(4,'_calc'!$A$4268:$A$4507,0)))</f>
        <v/>
      </c>
      <c r="E17" s="58" t="n"/>
      <c r="F17" s="192" t="n"/>
    </row>
    <row r="18">
      <c r="B18" s="145" t="n">
        <v>5</v>
      </c>
      <c r="C18" s="193">
        <f>IF(COUNTIF('_calc'!$A$4268:$A$4507,5)=0,"",INDEX(rl_eff,MATCH(5,'_calc'!$A$4268:$A$4507,0)))</f>
        <v/>
      </c>
      <c r="D18" s="44">
        <f>IF($C18="","",INDEX(rl_reff,MATCH(5,'_calc'!$A$4268:$A$4507,0)))</f>
        <v/>
      </c>
      <c r="E18" s="58" t="n"/>
      <c r="F18" s="192" t="n"/>
    </row>
    <row r="19">
      <c r="B19" s="145" t="n">
        <v>6</v>
      </c>
      <c r="C19" s="193">
        <f>IF(COUNTIF('_calc'!$A$4268:$A$4507,6)=0,"",INDEX(rl_eff,MATCH(6,'_calc'!$A$4268:$A$4507,0)))</f>
        <v/>
      </c>
      <c r="D19" s="44">
        <f>IF($C19="","",INDEX(rl_reff,MATCH(6,'_calc'!$A$4268:$A$4507,0)))</f>
        <v/>
      </c>
      <c r="E19" s="58" t="n"/>
      <c r="F19" s="192" t="n"/>
    </row>
    <row r="20">
      <c r="B20" s="145" t="n">
        <v>7</v>
      </c>
      <c r="C20" s="193">
        <f>IF(COUNTIF('_calc'!$A$4268:$A$4507,7)=0,"",INDEX(rl_eff,MATCH(7,'_calc'!$A$4268:$A$4507,0)))</f>
        <v/>
      </c>
      <c r="D20" s="44">
        <f>IF($C20="","",INDEX(rl_reff,MATCH(7,'_calc'!$A$4268:$A$4507,0)))</f>
        <v/>
      </c>
      <c r="E20" s="58" t="n"/>
      <c r="F20" s="192" t="n"/>
    </row>
    <row r="21">
      <c r="B21" s="145" t="n">
        <v>8</v>
      </c>
      <c r="C21" s="193">
        <f>IF(COUNTIF('_calc'!$A$4268:$A$4507,8)=0,"",INDEX(rl_eff,MATCH(8,'_calc'!$A$4268:$A$4507,0)))</f>
        <v/>
      </c>
      <c r="D21" s="44">
        <f>IF($C21="","",INDEX(rl_reff,MATCH(8,'_calc'!$A$4268:$A$4507,0)))</f>
        <v/>
      </c>
      <c r="E21" s="58" t="n"/>
      <c r="F21" s="192"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180">
        <f>nr_CYLR_P</f>
        <v/>
      </c>
    </row>
    <row r="26">
      <c r="B26" s="20" t="inlineStr">
        <is>
          <t>1. Rate magnitude (achieved %, planned dates)</t>
        </is>
      </c>
      <c r="C26" s="49">
        <f>IF(nr_NetMode,1,nr_ECY_P/'_calc'!$B$4561)</f>
        <v/>
      </c>
      <c r="D26" s="45">
        <f>$D25*$C26</f>
        <v/>
      </c>
      <c r="E26" s="144">
        <f>($D26-$D25)*100</f>
        <v/>
      </c>
    </row>
    <row r="27">
      <c r="B27" s="20" t="inlineStr">
        <is>
          <t>2. Rate timing (achieved %, actual dates)</t>
        </is>
      </c>
      <c r="C27" s="49">
        <f>IF(nr_NetMode,1,'_calc'!$B$4561/'_calc'!$B$4615)</f>
        <v/>
      </c>
      <c r="D27" s="45">
        <f>$D26*$C27</f>
        <v/>
      </c>
      <c r="E27" s="144">
        <f>($D27-$D26)*100</f>
        <v/>
      </c>
    </row>
    <row r="28">
      <c r="B28" s="20" t="inlineStr">
        <is>
          <t>3. Mod drift (actual mod path)</t>
        </is>
      </c>
      <c r="C28" s="49">
        <f>IF(nr_NetMode,1,IF(AND(nr_ModAdjMaster="ON",nr_ModAdjRow="ON"),nr_MEarned_P/'_calc'!$B$4669,1))</f>
        <v/>
      </c>
      <c r="D28" s="45">
        <f>$D27*$C28</f>
        <v/>
      </c>
      <c r="E28" s="144">
        <f>($D28-$D27)*100</f>
        <v/>
      </c>
    </row>
    <row r="29">
      <c r="B29" s="20" t="inlineStr">
        <is>
          <t>4. Loss-side residual</t>
        </is>
      </c>
      <c r="C29" s="49">
        <f>IF(N(att_actlr)=0,1,att_actlr/$D$28)</f>
        <v/>
      </c>
      <c r="D29" s="45">
        <f>$D28*$C29</f>
        <v/>
      </c>
      <c r="E29" s="144">
        <f>($D29-$D28)*100</f>
        <v/>
      </c>
    </row>
    <row r="30">
      <c r="B30" s="18" t="inlineStr">
        <is>
          <t>Actual CY LR</t>
        </is>
      </c>
      <c r="D30" s="91">
        <f>$D$29</f>
        <v/>
      </c>
    </row>
    <row r="32">
      <c r="B32" s="194">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142">
        <f>nr_SelKey</f>
        <v/>
      </c>
      <c r="D3" s="141">
        <f>HYPERLINK("#Control!C7","Change BU/state selection &gt;")</f>
        <v/>
      </c>
      <c r="H3" s="195">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183">
        <f>EXP(SUMPRODUCT((rl_key=nr_SelKey)*(rl_cons="Y")*rl_ln1p))</f>
        <v/>
      </c>
      <c r="E5" s="20" t="inlineStr">
        <is>
          <t>Policy term T (months, workbook-level)</t>
        </is>
      </c>
      <c r="F5" s="196">
        <f>nr_TermMonths</f>
        <v/>
      </c>
    </row>
    <row r="6">
      <c r="A6" s="20">
        <f>"CY "&amp;(nr_PlanYear-1)&amp;" earned rate level  E_CY(P-1)"</f>
        <v/>
      </c>
      <c r="C6" s="183">
        <f>SUMPRODUCT($H$17:$H$64,$P$17:$P$64,$U$17:$U$64)/SUMPRODUCT($H$17:$H$64,$P$17:$P$64)</f>
        <v/>
      </c>
      <c r="E6" s="20" t="inlineStr">
        <is>
          <t>Seasonality row (0 = none)</t>
        </is>
      </c>
      <c r="F6" s="197">
        <f>IF(COUNTIF(se_state,nr_SelState)=0,0,MATCH(nr_SelState,se_state,0))</f>
        <v/>
      </c>
    </row>
    <row r="7">
      <c r="A7" s="20">
        <f>"CY "&amp;nr_PlanYear&amp;" earned rate level  E_CY(P)"</f>
        <v/>
      </c>
      <c r="C7" s="198">
        <f>SUMPRODUCT($H$17:$H$64,$Q$17:$Q$64,$U$17:$U$64)/SUMPRODUCT($H$17:$H$64,$Q$17:$Q$64)</f>
        <v/>
      </c>
      <c r="E7" s="20" t="inlineStr">
        <is>
          <t>Seasonality row sum</t>
        </is>
      </c>
      <c r="F7" s="199">
        <f>IF($F$6=0,0,INDEX(se_sum,$F$6))</f>
        <v/>
      </c>
    </row>
    <row r="8">
      <c r="A8" s="20">
        <f>"CY "&amp;(nr_PlanYear+1)&amp;" earned rate level  E_CY(P+1)"</f>
        <v/>
      </c>
      <c r="C8" s="183">
        <f>SUMPRODUCT($H$17:$H$64,$R$17:$R$64,$U$17:$U$64)/SUMPRODUCT($H$17:$H$64,$R$17:$R$64)</f>
        <v/>
      </c>
      <c r="E8" s="20" t="inlineStr">
        <is>
          <t>Seasonality active?</t>
        </is>
      </c>
      <c r="F8" s="200">
        <f>AND(nr_SeasonOn="ON",$F$6&gt;0,$F$7&gt;0)</f>
        <v/>
      </c>
    </row>
    <row r="9">
      <c r="A9" s="20">
        <f>"Rate earn-in factor  A_rate("&amp;nr_PlanYear&amp;") = CRL / E_CY"</f>
        <v/>
      </c>
      <c r="C9" s="198">
        <f>nr_CRLind/nr_ECY_P</f>
        <v/>
      </c>
      <c r="E9" s="20" t="inlineStr">
        <is>
          <t>Months Jan-Dec 2026 (abs index)</t>
        </is>
      </c>
      <c r="F9" s="197">
        <f>(nr_PlanYear-1)*12</f>
        <v/>
      </c>
      <c r="G9" s="201">
        <f>$F$9+11</f>
        <v/>
      </c>
    </row>
    <row r="10">
      <c r="A10" s="20">
        <f>"Rate earn-in factor  A_rate("&amp;(nr_PlanYear+1)&amp;")"</f>
        <v/>
      </c>
      <c r="C10" s="183">
        <f>nr_CRLind/nr_ECY_P1</f>
        <v/>
      </c>
      <c r="E10" s="20" t="inlineStr">
        <is>
          <t>Months Jan-Dec 2027 (abs index)</t>
        </is>
      </c>
      <c r="F10" s="197">
        <f>nr_PlanYear*12</f>
        <v/>
      </c>
      <c r="G10" s="201">
        <f>$F$10+11</f>
        <v/>
      </c>
    </row>
    <row r="11">
      <c r="A11" s="20" t="inlineStr">
        <is>
          <t>CY earned rate chg vs indication</t>
        </is>
      </c>
      <c r="C11" s="202">
        <f>nr_ECY_P/nr_CRLind-1</f>
        <v/>
      </c>
      <c r="E11" s="20" t="inlineStr">
        <is>
          <t>Months Jan-Dec 2028 (abs index)</t>
        </is>
      </c>
      <c r="F11" s="197">
        <f>(nr_PlanYear+1)*12</f>
        <v/>
      </c>
      <c r="G11" s="201">
        <f>$F$11+11</f>
        <v/>
      </c>
    </row>
    <row r="12">
      <c r="A12" s="20">
        <f>"Earned rate chg "&amp;(nr_PlanYear-1)&amp;" -&gt; "&amp;nr_PlanYear</f>
        <v/>
      </c>
      <c r="C12" s="202">
        <f>nr_ECY_P/nr_ECY_Pm1-1</f>
        <v/>
      </c>
      <c r="E12" s="20" t="inlineStr">
        <is>
          <t>E_CY(2027) recomputed from matrix</t>
        </is>
      </c>
      <c r="F12" s="183">
        <f>SUM(AH66:AS66)/SUM(AH67:AS67)</f>
        <v/>
      </c>
    </row>
    <row r="13">
      <c r="A13" s="20">
        <f>"Earned rate chg "&amp;nr_PlanYear&amp;" -&gt; "&amp;(nr_PlanYear+1)&amp;" (carryover + new)"</f>
        <v/>
      </c>
      <c r="C13" s="202">
        <f>nr_ECY_P1/nr_ECY_P-1</f>
        <v/>
      </c>
    </row>
    <row r="14">
      <c r="V14" s="195"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203">
        <f>DATE(nr_PlanYear-1,1,1)</f>
        <v/>
      </c>
      <c r="W16" s="203">
        <f>EDATE(V16,1)</f>
        <v/>
      </c>
      <c r="X16" s="203">
        <f>EDATE(W16,1)</f>
        <v/>
      </c>
      <c r="Y16" s="203">
        <f>EDATE(X16,1)</f>
        <v/>
      </c>
      <c r="Z16" s="203">
        <f>EDATE(Y16,1)</f>
        <v/>
      </c>
      <c r="AA16" s="203">
        <f>EDATE(Z16,1)</f>
        <v/>
      </c>
      <c r="AB16" s="203">
        <f>EDATE(AA16,1)</f>
        <v/>
      </c>
      <c r="AC16" s="203">
        <f>EDATE(AB16,1)</f>
        <v/>
      </c>
      <c r="AD16" s="203">
        <f>EDATE(AC16,1)</f>
        <v/>
      </c>
      <c r="AE16" s="203">
        <f>EDATE(AD16,1)</f>
        <v/>
      </c>
      <c r="AF16" s="203">
        <f>EDATE(AE16,1)</f>
        <v/>
      </c>
      <c r="AG16" s="203">
        <f>EDATE(AF16,1)</f>
        <v/>
      </c>
      <c r="AH16" s="203">
        <f>EDATE(AG16,1)</f>
        <v/>
      </c>
      <c r="AI16" s="203">
        <f>EDATE(AH16,1)</f>
        <v/>
      </c>
      <c r="AJ16" s="203">
        <f>EDATE(AI16,1)</f>
        <v/>
      </c>
      <c r="AK16" s="203">
        <f>EDATE(AJ16,1)</f>
        <v/>
      </c>
      <c r="AL16" s="203">
        <f>EDATE(AK16,1)</f>
        <v/>
      </c>
      <c r="AM16" s="203">
        <f>EDATE(AL16,1)</f>
        <v/>
      </c>
      <c r="AN16" s="203">
        <f>EDATE(AM16,1)</f>
        <v/>
      </c>
      <c r="AO16" s="203">
        <f>EDATE(AN16,1)</f>
        <v/>
      </c>
      <c r="AP16" s="203">
        <f>EDATE(AO16,1)</f>
        <v/>
      </c>
      <c r="AQ16" s="203">
        <f>EDATE(AP16,1)</f>
        <v/>
      </c>
      <c r="AR16" s="203">
        <f>EDATE(AQ16,1)</f>
        <v/>
      </c>
      <c r="AS16" s="203">
        <f>EDATE(AR16,1)</f>
        <v/>
      </c>
      <c r="AT16" s="203">
        <f>EDATE(AS16,1)</f>
        <v/>
      </c>
      <c r="AU16" s="203">
        <f>EDATE(AT16,1)</f>
        <v/>
      </c>
      <c r="AV16" s="203">
        <f>EDATE(AU16,1)</f>
        <v/>
      </c>
      <c r="AW16" s="203">
        <f>EDATE(AV16,1)</f>
        <v/>
      </c>
      <c r="AX16" s="203">
        <f>EDATE(AW16,1)</f>
        <v/>
      </c>
      <c r="AY16" s="203">
        <f>EDATE(AX16,1)</f>
        <v/>
      </c>
      <c r="AZ16" s="203">
        <f>EDATE(AY16,1)</f>
        <v/>
      </c>
      <c r="BA16" s="203">
        <f>EDATE(AZ16,1)</f>
        <v/>
      </c>
      <c r="BB16" s="203">
        <f>EDATE(BA16,1)</f>
        <v/>
      </c>
      <c r="BC16" s="203">
        <f>EDATE(BB16,1)</f>
        <v/>
      </c>
      <c r="BD16" s="203">
        <f>EDATE(BC16,1)</f>
        <v/>
      </c>
      <c r="BE16" s="203">
        <f>EDATE(BD16,1)</f>
        <v/>
      </c>
      <c r="BF16" s="56" t="inlineStr">
        <is>
          <t>row-sum chk</t>
        </is>
      </c>
    </row>
    <row r="17">
      <c r="A17" s="145" t="n">
        <v>1</v>
      </c>
      <c r="B17" s="204">
        <f>DATE(nr_PlanYear-2,1,1)</f>
        <v/>
      </c>
      <c r="C17" s="205">
        <f>EOMONTH($B17,0)</f>
        <v/>
      </c>
      <c r="D17" s="201">
        <f>$C17-$B17+1</f>
        <v/>
      </c>
      <c r="E17" s="201">
        <f>MONTH($B17)</f>
        <v/>
      </c>
      <c r="F17" s="206">
        <f>($B17+$C17+1)/2</f>
        <v/>
      </c>
      <c r="G17" s="201">
        <f>YEAR($B17)*12+MONTH($B17)-1</f>
        <v/>
      </c>
      <c r="H17" s="207">
        <f>IF(OR(nr_SeasonOn="OFF",$F$6=0,$F$7=0),1,12*INDEX(se_block,$F$6,$E17)/$F$7)</f>
        <v/>
      </c>
      <c r="I17" s="208">
        <f>EXP(SUMPRODUCT((rl_eff&lt;$B17)*(rl_key=nr_SelKey)*rl_ln1p))</f>
        <v/>
      </c>
      <c r="J17" s="208">
        <f>EXP(SUMPRODUCT((rl_eff&lt;=$C17)*(rl_key=nr_SelKey)*rl_ln1p))</f>
        <v/>
      </c>
      <c r="K17" s="201">
        <f>COUNTIFS(rl_key,nr_SelKey,rl_eff,"&gt;="&amp;$B17,rl_eff,"&lt;="&amp;$C17)</f>
        <v/>
      </c>
      <c r="L17" s="201">
        <f>SUMIFS(rl_daysafter,rl_key,nr_SelKey,rl_effmonth,$B17,rl_first,1)</f>
        <v/>
      </c>
      <c r="M17" s="209">
        <f>IF($K17=0,0,MIN(1,$L17/$D17))</f>
        <v/>
      </c>
      <c r="N17" s="208">
        <f>IF($K17=0,$J17,(1-$M17)*$I17+$M17*$J17)</f>
        <v/>
      </c>
      <c r="O17" s="210">
        <f>'Mod Engine'!$E17</f>
        <v/>
      </c>
      <c r="P17" s="208">
        <f>MIN(1,MAX(0,(nr_MEndPm1-$G17+0.5)/$F$5))-MIN(1,MAX(0,(nr_MStartPm1-1-$G17+0.5)/$F$5))</f>
        <v/>
      </c>
      <c r="Q17" s="208">
        <f>MIN(1,MAX(0,(nr_MEndP-$G17+0.5)/$F$5))-MIN(1,MAX(0,(nr_MStartP-1-$G17+0.5)/$F$5))</f>
        <v/>
      </c>
      <c r="R17" s="208">
        <f>MIN(1,MAX(0,(nr_MEndP1-$G17+0.5)/$F$5))-MIN(1,MAX(0,(nr_MStartP1-1-$G17+0.5)/$F$5))</f>
        <v/>
      </c>
      <c r="S17" s="208">
        <f>IF(nr_NetMode,$N17*IF(nr_ModAdjEff="ON",$O17/nr_MInd,1),"")</f>
        <v/>
      </c>
      <c r="T17" s="208">
        <f>IF(NOT(nr_NetMode),"",IF($G17&lt;nr_MStartP,$S17,$T5*(1+IF($G17&lt;nr_MStartP1,nr_NetSelP,nr_NetSelP1))))</f>
        <v/>
      </c>
      <c r="U17" s="208">
        <f>IF(nr_NetMode,$T17,$N17)</f>
        <v/>
      </c>
      <c r="V17" s="177">
        <f>IF(OR(V$15&lt;$G17,V$15&gt;$G17+$F$5),0,IF(OR(V$15=$G17,V$15=$G17+$F$5),0.5,1)/$F$5)</f>
        <v/>
      </c>
      <c r="W17" s="177">
        <f>IF(OR(W$15&lt;$G17,W$15&gt;$G17+$F$5),0,IF(OR(W$15=$G17,W$15=$G17+$F$5),0.5,1)/$F$5)</f>
        <v/>
      </c>
      <c r="X17" s="177">
        <f>IF(OR(X$15&lt;$G17,X$15&gt;$G17+$F$5),0,IF(OR(X$15=$G17,X$15=$G17+$F$5),0.5,1)/$F$5)</f>
        <v/>
      </c>
      <c r="Y17" s="177">
        <f>IF(OR(Y$15&lt;$G17,Y$15&gt;$G17+$F$5),0,IF(OR(Y$15=$G17,Y$15=$G17+$F$5),0.5,1)/$F$5)</f>
        <v/>
      </c>
      <c r="Z17" s="177">
        <f>IF(OR(Z$15&lt;$G17,Z$15&gt;$G17+$F$5),0,IF(OR(Z$15=$G17,Z$15=$G17+$F$5),0.5,1)/$F$5)</f>
        <v/>
      </c>
      <c r="AA17" s="177">
        <f>IF(OR(AA$15&lt;$G17,AA$15&gt;$G17+$F$5),0,IF(OR(AA$15=$G17,AA$15=$G17+$F$5),0.5,1)/$F$5)</f>
        <v/>
      </c>
      <c r="AB17" s="177">
        <f>IF(OR(AB$15&lt;$G17,AB$15&gt;$G17+$F$5),0,IF(OR(AB$15=$G17,AB$15=$G17+$F$5),0.5,1)/$F$5)</f>
        <v/>
      </c>
      <c r="AC17" s="177">
        <f>IF(OR(AC$15&lt;$G17,AC$15&gt;$G17+$F$5),0,IF(OR(AC$15=$G17,AC$15=$G17+$F$5),0.5,1)/$F$5)</f>
        <v/>
      </c>
      <c r="AD17" s="177">
        <f>IF(OR(AD$15&lt;$G17,AD$15&gt;$G17+$F$5),0,IF(OR(AD$15=$G17,AD$15=$G17+$F$5),0.5,1)/$F$5)</f>
        <v/>
      </c>
      <c r="AE17" s="177">
        <f>IF(OR(AE$15&lt;$G17,AE$15&gt;$G17+$F$5),0,IF(OR(AE$15=$G17,AE$15=$G17+$F$5),0.5,1)/$F$5)</f>
        <v/>
      </c>
      <c r="AF17" s="177">
        <f>IF(OR(AF$15&lt;$G17,AF$15&gt;$G17+$F$5),0,IF(OR(AF$15=$G17,AF$15=$G17+$F$5),0.5,1)/$F$5)</f>
        <v/>
      </c>
      <c r="AG17" s="177">
        <f>IF(OR(AG$15&lt;$G17,AG$15&gt;$G17+$F$5),0,IF(OR(AG$15=$G17,AG$15=$G17+$F$5),0.5,1)/$F$5)</f>
        <v/>
      </c>
      <c r="AH17" s="177">
        <f>IF(OR(AH$15&lt;$G17,AH$15&gt;$G17+$F$5),0,IF(OR(AH$15=$G17,AH$15=$G17+$F$5),0.5,1)/$F$5)</f>
        <v/>
      </c>
      <c r="AI17" s="177">
        <f>IF(OR(AI$15&lt;$G17,AI$15&gt;$G17+$F$5),0,IF(OR(AI$15=$G17,AI$15=$G17+$F$5),0.5,1)/$F$5)</f>
        <v/>
      </c>
      <c r="AJ17" s="177">
        <f>IF(OR(AJ$15&lt;$G17,AJ$15&gt;$G17+$F$5),0,IF(OR(AJ$15=$G17,AJ$15=$G17+$F$5),0.5,1)/$F$5)</f>
        <v/>
      </c>
      <c r="AK17" s="177">
        <f>IF(OR(AK$15&lt;$G17,AK$15&gt;$G17+$F$5),0,IF(OR(AK$15=$G17,AK$15=$G17+$F$5),0.5,1)/$F$5)</f>
        <v/>
      </c>
      <c r="AL17" s="177">
        <f>IF(OR(AL$15&lt;$G17,AL$15&gt;$G17+$F$5),0,IF(OR(AL$15=$G17,AL$15=$G17+$F$5),0.5,1)/$F$5)</f>
        <v/>
      </c>
      <c r="AM17" s="177">
        <f>IF(OR(AM$15&lt;$G17,AM$15&gt;$G17+$F$5),0,IF(OR(AM$15=$G17,AM$15=$G17+$F$5),0.5,1)/$F$5)</f>
        <v/>
      </c>
      <c r="AN17" s="177">
        <f>IF(OR(AN$15&lt;$G17,AN$15&gt;$G17+$F$5),0,IF(OR(AN$15=$G17,AN$15=$G17+$F$5),0.5,1)/$F$5)</f>
        <v/>
      </c>
      <c r="AO17" s="177">
        <f>IF(OR(AO$15&lt;$G17,AO$15&gt;$G17+$F$5),0,IF(OR(AO$15=$G17,AO$15=$G17+$F$5),0.5,1)/$F$5)</f>
        <v/>
      </c>
      <c r="AP17" s="177">
        <f>IF(OR(AP$15&lt;$G17,AP$15&gt;$G17+$F$5),0,IF(OR(AP$15=$G17,AP$15=$G17+$F$5),0.5,1)/$F$5)</f>
        <v/>
      </c>
      <c r="AQ17" s="177">
        <f>IF(OR(AQ$15&lt;$G17,AQ$15&gt;$G17+$F$5),0,IF(OR(AQ$15=$G17,AQ$15=$G17+$F$5),0.5,1)/$F$5)</f>
        <v/>
      </c>
      <c r="AR17" s="177">
        <f>IF(OR(AR$15&lt;$G17,AR$15&gt;$G17+$F$5),0,IF(OR(AR$15=$G17,AR$15=$G17+$F$5),0.5,1)/$F$5)</f>
        <v/>
      </c>
      <c r="AS17" s="177">
        <f>IF(OR(AS$15&lt;$G17,AS$15&gt;$G17+$F$5),0,IF(OR(AS$15=$G17,AS$15=$G17+$F$5),0.5,1)/$F$5)</f>
        <v/>
      </c>
      <c r="AT17" s="177">
        <f>IF(OR(AT$15&lt;$G17,AT$15&gt;$G17+$F$5),0,IF(OR(AT$15=$G17,AT$15=$G17+$F$5),0.5,1)/$F$5)</f>
        <v/>
      </c>
      <c r="AU17" s="177">
        <f>IF(OR(AU$15&lt;$G17,AU$15&gt;$G17+$F$5),0,IF(OR(AU$15=$G17,AU$15=$G17+$F$5),0.5,1)/$F$5)</f>
        <v/>
      </c>
      <c r="AV17" s="177">
        <f>IF(OR(AV$15&lt;$G17,AV$15&gt;$G17+$F$5),0,IF(OR(AV$15=$G17,AV$15=$G17+$F$5),0.5,1)/$F$5)</f>
        <v/>
      </c>
      <c r="AW17" s="177">
        <f>IF(OR(AW$15&lt;$G17,AW$15&gt;$G17+$F$5),0,IF(OR(AW$15=$G17,AW$15=$G17+$F$5),0.5,1)/$F$5)</f>
        <v/>
      </c>
      <c r="AX17" s="177">
        <f>IF(OR(AX$15&lt;$G17,AX$15&gt;$G17+$F$5),0,IF(OR(AX$15=$G17,AX$15=$G17+$F$5),0.5,1)/$F$5)</f>
        <v/>
      </c>
      <c r="AY17" s="177">
        <f>IF(OR(AY$15&lt;$G17,AY$15&gt;$G17+$F$5),0,IF(OR(AY$15=$G17,AY$15=$G17+$F$5),0.5,1)/$F$5)</f>
        <v/>
      </c>
      <c r="AZ17" s="177">
        <f>IF(OR(AZ$15&lt;$G17,AZ$15&gt;$G17+$F$5),0,IF(OR(AZ$15=$G17,AZ$15=$G17+$F$5),0.5,1)/$F$5)</f>
        <v/>
      </c>
      <c r="BA17" s="177">
        <f>IF(OR(BA$15&lt;$G17,BA$15&gt;$G17+$F$5),0,IF(OR(BA$15=$G17,BA$15=$G17+$F$5),0.5,1)/$F$5)</f>
        <v/>
      </c>
      <c r="BB17" s="177">
        <f>IF(OR(BB$15&lt;$G17,BB$15&gt;$G17+$F$5),0,IF(OR(BB$15=$G17,BB$15=$G17+$F$5),0.5,1)/$F$5)</f>
        <v/>
      </c>
      <c r="BC17" s="177">
        <f>IF(OR(BC$15&lt;$G17,BC$15&gt;$G17+$F$5),0,IF(OR(BC$15=$G17,BC$15=$G17+$F$5),0.5,1)/$F$5)</f>
        <v/>
      </c>
      <c r="BD17" s="177">
        <f>IF(OR(BD$15&lt;$G17,BD$15&gt;$G17+$F$5),0,IF(OR(BD$15=$G17,BD$15=$G17+$F$5),0.5,1)/$F$5)</f>
        <v/>
      </c>
      <c r="BE17" s="177">
        <f>IF(OR(BE$15&lt;$G17,BE$15&gt;$G17+$F$5),0,IF(OR(BE$15=$G17,BE$15=$G17+$F$5),0.5,1)/$F$5)</f>
        <v/>
      </c>
      <c r="BF17" s="211">
        <f>IF(OR($G17&lt;V$15,$G17+$F$5&gt;BE$15),0,ABS(SUM(V17:BE17)-1))</f>
        <v/>
      </c>
    </row>
    <row r="18">
      <c r="A18" s="145" t="n">
        <v>2</v>
      </c>
      <c r="B18" s="204">
        <f>EDATE($B17,1)</f>
        <v/>
      </c>
      <c r="C18" s="205">
        <f>EOMONTH($B18,0)</f>
        <v/>
      </c>
      <c r="D18" s="201">
        <f>$C18-$B18+1</f>
        <v/>
      </c>
      <c r="E18" s="201">
        <f>MONTH($B18)</f>
        <v/>
      </c>
      <c r="F18" s="206">
        <f>($B18+$C18+1)/2</f>
        <v/>
      </c>
      <c r="G18" s="201">
        <f>YEAR($B18)*12+MONTH($B18)-1</f>
        <v/>
      </c>
      <c r="H18" s="207">
        <f>IF(OR(nr_SeasonOn="OFF",$F$6=0,$F$7=0),1,12*INDEX(se_block,$F$6,$E18)/$F$7)</f>
        <v/>
      </c>
      <c r="I18" s="208">
        <f>EXP(SUMPRODUCT((rl_eff&lt;$B18)*(rl_key=nr_SelKey)*rl_ln1p))</f>
        <v/>
      </c>
      <c r="J18" s="208">
        <f>EXP(SUMPRODUCT((rl_eff&lt;=$C18)*(rl_key=nr_SelKey)*rl_ln1p))</f>
        <v/>
      </c>
      <c r="K18" s="201">
        <f>COUNTIFS(rl_key,nr_SelKey,rl_eff,"&gt;="&amp;$B18,rl_eff,"&lt;="&amp;$C18)</f>
        <v/>
      </c>
      <c r="L18" s="201">
        <f>SUMIFS(rl_daysafter,rl_key,nr_SelKey,rl_effmonth,$B18,rl_first,1)</f>
        <v/>
      </c>
      <c r="M18" s="209">
        <f>IF($K18=0,0,MIN(1,$L18/$D18))</f>
        <v/>
      </c>
      <c r="N18" s="208">
        <f>IF($K18=0,$J18,(1-$M18)*$I18+$M18*$J18)</f>
        <v/>
      </c>
      <c r="O18" s="210">
        <f>'Mod Engine'!$E18</f>
        <v/>
      </c>
      <c r="P18" s="208">
        <f>MIN(1,MAX(0,(nr_MEndPm1-$G18+0.5)/$F$5))-MIN(1,MAX(0,(nr_MStartPm1-1-$G18+0.5)/$F$5))</f>
        <v/>
      </c>
      <c r="Q18" s="208">
        <f>MIN(1,MAX(0,(nr_MEndP-$G18+0.5)/$F$5))-MIN(1,MAX(0,(nr_MStartP-1-$G18+0.5)/$F$5))</f>
        <v/>
      </c>
      <c r="R18" s="208">
        <f>MIN(1,MAX(0,(nr_MEndP1-$G18+0.5)/$F$5))-MIN(1,MAX(0,(nr_MStartP1-1-$G18+0.5)/$F$5))</f>
        <v/>
      </c>
      <c r="S18" s="208">
        <f>IF(nr_NetMode,$N18*IF(nr_ModAdjEff="ON",$O18/nr_MInd,1),"")</f>
        <v/>
      </c>
      <c r="T18" s="208">
        <f>IF(NOT(nr_NetMode),"",IF($G18&lt;nr_MStartP,$S18,$T6*(1+IF($G18&lt;nr_MStartP1,nr_NetSelP,nr_NetSelP1))))</f>
        <v/>
      </c>
      <c r="U18" s="208">
        <f>IF(nr_NetMode,$T18,$N18)</f>
        <v/>
      </c>
      <c r="V18" s="177">
        <f>IF(OR(V$15&lt;$G18,V$15&gt;$G18+$F$5),0,IF(OR(V$15=$G18,V$15=$G18+$F$5),0.5,1)/$F$5)</f>
        <v/>
      </c>
      <c r="W18" s="177">
        <f>IF(OR(W$15&lt;$G18,W$15&gt;$G18+$F$5),0,IF(OR(W$15=$G18,W$15=$G18+$F$5),0.5,1)/$F$5)</f>
        <v/>
      </c>
      <c r="X18" s="177">
        <f>IF(OR(X$15&lt;$G18,X$15&gt;$G18+$F$5),0,IF(OR(X$15=$G18,X$15=$G18+$F$5),0.5,1)/$F$5)</f>
        <v/>
      </c>
      <c r="Y18" s="177">
        <f>IF(OR(Y$15&lt;$G18,Y$15&gt;$G18+$F$5),0,IF(OR(Y$15=$G18,Y$15=$G18+$F$5),0.5,1)/$F$5)</f>
        <v/>
      </c>
      <c r="Z18" s="177">
        <f>IF(OR(Z$15&lt;$G18,Z$15&gt;$G18+$F$5),0,IF(OR(Z$15=$G18,Z$15=$G18+$F$5),0.5,1)/$F$5)</f>
        <v/>
      </c>
      <c r="AA18" s="177">
        <f>IF(OR(AA$15&lt;$G18,AA$15&gt;$G18+$F$5),0,IF(OR(AA$15=$G18,AA$15=$G18+$F$5),0.5,1)/$F$5)</f>
        <v/>
      </c>
      <c r="AB18" s="177">
        <f>IF(OR(AB$15&lt;$G18,AB$15&gt;$G18+$F$5),0,IF(OR(AB$15=$G18,AB$15=$G18+$F$5),0.5,1)/$F$5)</f>
        <v/>
      </c>
      <c r="AC18" s="177">
        <f>IF(OR(AC$15&lt;$G18,AC$15&gt;$G18+$F$5),0,IF(OR(AC$15=$G18,AC$15=$G18+$F$5),0.5,1)/$F$5)</f>
        <v/>
      </c>
      <c r="AD18" s="177">
        <f>IF(OR(AD$15&lt;$G18,AD$15&gt;$G18+$F$5),0,IF(OR(AD$15=$G18,AD$15=$G18+$F$5),0.5,1)/$F$5)</f>
        <v/>
      </c>
      <c r="AE18" s="177">
        <f>IF(OR(AE$15&lt;$G18,AE$15&gt;$G18+$F$5),0,IF(OR(AE$15=$G18,AE$15=$G18+$F$5),0.5,1)/$F$5)</f>
        <v/>
      </c>
      <c r="AF18" s="177">
        <f>IF(OR(AF$15&lt;$G18,AF$15&gt;$G18+$F$5),0,IF(OR(AF$15=$G18,AF$15=$G18+$F$5),0.5,1)/$F$5)</f>
        <v/>
      </c>
      <c r="AG18" s="177">
        <f>IF(OR(AG$15&lt;$G18,AG$15&gt;$G18+$F$5),0,IF(OR(AG$15=$G18,AG$15=$G18+$F$5),0.5,1)/$F$5)</f>
        <v/>
      </c>
      <c r="AH18" s="177">
        <f>IF(OR(AH$15&lt;$G18,AH$15&gt;$G18+$F$5),0,IF(OR(AH$15=$G18,AH$15=$G18+$F$5),0.5,1)/$F$5)</f>
        <v/>
      </c>
      <c r="AI18" s="177">
        <f>IF(OR(AI$15&lt;$G18,AI$15&gt;$G18+$F$5),0,IF(OR(AI$15=$G18,AI$15=$G18+$F$5),0.5,1)/$F$5)</f>
        <v/>
      </c>
      <c r="AJ18" s="177">
        <f>IF(OR(AJ$15&lt;$G18,AJ$15&gt;$G18+$F$5),0,IF(OR(AJ$15=$G18,AJ$15=$G18+$F$5),0.5,1)/$F$5)</f>
        <v/>
      </c>
      <c r="AK18" s="177">
        <f>IF(OR(AK$15&lt;$G18,AK$15&gt;$G18+$F$5),0,IF(OR(AK$15=$G18,AK$15=$G18+$F$5),0.5,1)/$F$5)</f>
        <v/>
      </c>
      <c r="AL18" s="177">
        <f>IF(OR(AL$15&lt;$G18,AL$15&gt;$G18+$F$5),0,IF(OR(AL$15=$G18,AL$15=$G18+$F$5),0.5,1)/$F$5)</f>
        <v/>
      </c>
      <c r="AM18" s="177">
        <f>IF(OR(AM$15&lt;$G18,AM$15&gt;$G18+$F$5),0,IF(OR(AM$15=$G18,AM$15=$G18+$F$5),0.5,1)/$F$5)</f>
        <v/>
      </c>
      <c r="AN18" s="177">
        <f>IF(OR(AN$15&lt;$G18,AN$15&gt;$G18+$F$5),0,IF(OR(AN$15=$G18,AN$15=$G18+$F$5),0.5,1)/$F$5)</f>
        <v/>
      </c>
      <c r="AO18" s="177">
        <f>IF(OR(AO$15&lt;$G18,AO$15&gt;$G18+$F$5),0,IF(OR(AO$15=$G18,AO$15=$G18+$F$5),0.5,1)/$F$5)</f>
        <v/>
      </c>
      <c r="AP18" s="177">
        <f>IF(OR(AP$15&lt;$G18,AP$15&gt;$G18+$F$5),0,IF(OR(AP$15=$G18,AP$15=$G18+$F$5),0.5,1)/$F$5)</f>
        <v/>
      </c>
      <c r="AQ18" s="177">
        <f>IF(OR(AQ$15&lt;$G18,AQ$15&gt;$G18+$F$5),0,IF(OR(AQ$15=$G18,AQ$15=$G18+$F$5),0.5,1)/$F$5)</f>
        <v/>
      </c>
      <c r="AR18" s="177">
        <f>IF(OR(AR$15&lt;$G18,AR$15&gt;$G18+$F$5),0,IF(OR(AR$15=$G18,AR$15=$G18+$F$5),0.5,1)/$F$5)</f>
        <v/>
      </c>
      <c r="AS18" s="177">
        <f>IF(OR(AS$15&lt;$G18,AS$15&gt;$G18+$F$5),0,IF(OR(AS$15=$G18,AS$15=$G18+$F$5),0.5,1)/$F$5)</f>
        <v/>
      </c>
      <c r="AT18" s="177">
        <f>IF(OR(AT$15&lt;$G18,AT$15&gt;$G18+$F$5),0,IF(OR(AT$15=$G18,AT$15=$G18+$F$5),0.5,1)/$F$5)</f>
        <v/>
      </c>
      <c r="AU18" s="177">
        <f>IF(OR(AU$15&lt;$G18,AU$15&gt;$G18+$F$5),0,IF(OR(AU$15=$G18,AU$15=$G18+$F$5),0.5,1)/$F$5)</f>
        <v/>
      </c>
      <c r="AV18" s="177">
        <f>IF(OR(AV$15&lt;$G18,AV$15&gt;$G18+$F$5),0,IF(OR(AV$15=$G18,AV$15=$G18+$F$5),0.5,1)/$F$5)</f>
        <v/>
      </c>
      <c r="AW18" s="177">
        <f>IF(OR(AW$15&lt;$G18,AW$15&gt;$G18+$F$5),0,IF(OR(AW$15=$G18,AW$15=$G18+$F$5),0.5,1)/$F$5)</f>
        <v/>
      </c>
      <c r="AX18" s="177">
        <f>IF(OR(AX$15&lt;$G18,AX$15&gt;$G18+$F$5),0,IF(OR(AX$15=$G18,AX$15=$G18+$F$5),0.5,1)/$F$5)</f>
        <v/>
      </c>
      <c r="AY18" s="177">
        <f>IF(OR(AY$15&lt;$G18,AY$15&gt;$G18+$F$5),0,IF(OR(AY$15=$G18,AY$15=$G18+$F$5),0.5,1)/$F$5)</f>
        <v/>
      </c>
      <c r="AZ18" s="177">
        <f>IF(OR(AZ$15&lt;$G18,AZ$15&gt;$G18+$F$5),0,IF(OR(AZ$15=$G18,AZ$15=$G18+$F$5),0.5,1)/$F$5)</f>
        <v/>
      </c>
      <c r="BA18" s="177">
        <f>IF(OR(BA$15&lt;$G18,BA$15&gt;$G18+$F$5),0,IF(OR(BA$15=$G18,BA$15=$G18+$F$5),0.5,1)/$F$5)</f>
        <v/>
      </c>
      <c r="BB18" s="177">
        <f>IF(OR(BB$15&lt;$G18,BB$15&gt;$G18+$F$5),0,IF(OR(BB$15=$G18,BB$15=$G18+$F$5),0.5,1)/$F$5)</f>
        <v/>
      </c>
      <c r="BC18" s="177">
        <f>IF(OR(BC$15&lt;$G18,BC$15&gt;$G18+$F$5),0,IF(OR(BC$15=$G18,BC$15=$G18+$F$5),0.5,1)/$F$5)</f>
        <v/>
      </c>
      <c r="BD18" s="177">
        <f>IF(OR(BD$15&lt;$G18,BD$15&gt;$G18+$F$5),0,IF(OR(BD$15=$G18,BD$15=$G18+$F$5),0.5,1)/$F$5)</f>
        <v/>
      </c>
      <c r="BE18" s="177">
        <f>IF(OR(BE$15&lt;$G18,BE$15&gt;$G18+$F$5),0,IF(OR(BE$15=$G18,BE$15=$G18+$F$5),0.5,1)/$F$5)</f>
        <v/>
      </c>
      <c r="BF18" s="211">
        <f>IF(OR($G18&lt;V$15,$G18+$F$5&gt;BE$15),0,ABS(SUM(V18:BE18)-1))</f>
        <v/>
      </c>
    </row>
    <row r="19">
      <c r="A19" s="145" t="n">
        <v>3</v>
      </c>
      <c r="B19" s="204">
        <f>EDATE($B18,1)</f>
        <v/>
      </c>
      <c r="C19" s="205">
        <f>EOMONTH($B19,0)</f>
        <v/>
      </c>
      <c r="D19" s="201">
        <f>$C19-$B19+1</f>
        <v/>
      </c>
      <c r="E19" s="201">
        <f>MONTH($B19)</f>
        <v/>
      </c>
      <c r="F19" s="206">
        <f>($B19+$C19+1)/2</f>
        <v/>
      </c>
      <c r="G19" s="201">
        <f>YEAR($B19)*12+MONTH($B19)-1</f>
        <v/>
      </c>
      <c r="H19" s="207">
        <f>IF(OR(nr_SeasonOn="OFF",$F$6=0,$F$7=0),1,12*INDEX(se_block,$F$6,$E19)/$F$7)</f>
        <v/>
      </c>
      <c r="I19" s="208">
        <f>EXP(SUMPRODUCT((rl_eff&lt;$B19)*(rl_key=nr_SelKey)*rl_ln1p))</f>
        <v/>
      </c>
      <c r="J19" s="208">
        <f>EXP(SUMPRODUCT((rl_eff&lt;=$C19)*(rl_key=nr_SelKey)*rl_ln1p))</f>
        <v/>
      </c>
      <c r="K19" s="201">
        <f>COUNTIFS(rl_key,nr_SelKey,rl_eff,"&gt;="&amp;$B19,rl_eff,"&lt;="&amp;$C19)</f>
        <v/>
      </c>
      <c r="L19" s="201">
        <f>SUMIFS(rl_daysafter,rl_key,nr_SelKey,rl_effmonth,$B19,rl_first,1)</f>
        <v/>
      </c>
      <c r="M19" s="209">
        <f>IF($K19=0,0,MIN(1,$L19/$D19))</f>
        <v/>
      </c>
      <c r="N19" s="208">
        <f>IF($K19=0,$J19,(1-$M19)*$I19+$M19*$J19)</f>
        <v/>
      </c>
      <c r="O19" s="210">
        <f>'Mod Engine'!$E19</f>
        <v/>
      </c>
      <c r="P19" s="208">
        <f>MIN(1,MAX(0,(nr_MEndPm1-$G19+0.5)/$F$5))-MIN(1,MAX(0,(nr_MStartPm1-1-$G19+0.5)/$F$5))</f>
        <v/>
      </c>
      <c r="Q19" s="208">
        <f>MIN(1,MAX(0,(nr_MEndP-$G19+0.5)/$F$5))-MIN(1,MAX(0,(nr_MStartP-1-$G19+0.5)/$F$5))</f>
        <v/>
      </c>
      <c r="R19" s="208">
        <f>MIN(1,MAX(0,(nr_MEndP1-$G19+0.5)/$F$5))-MIN(1,MAX(0,(nr_MStartP1-1-$G19+0.5)/$F$5))</f>
        <v/>
      </c>
      <c r="S19" s="208">
        <f>IF(nr_NetMode,$N19*IF(nr_ModAdjEff="ON",$O19/nr_MInd,1),"")</f>
        <v/>
      </c>
      <c r="T19" s="208">
        <f>IF(NOT(nr_NetMode),"",IF($G19&lt;nr_MStartP,$S19,$T7*(1+IF($G19&lt;nr_MStartP1,nr_NetSelP,nr_NetSelP1))))</f>
        <v/>
      </c>
      <c r="U19" s="208">
        <f>IF(nr_NetMode,$T19,$N19)</f>
        <v/>
      </c>
      <c r="V19" s="177">
        <f>IF(OR(V$15&lt;$G19,V$15&gt;$G19+$F$5),0,IF(OR(V$15=$G19,V$15=$G19+$F$5),0.5,1)/$F$5)</f>
        <v/>
      </c>
      <c r="W19" s="177">
        <f>IF(OR(W$15&lt;$G19,W$15&gt;$G19+$F$5),0,IF(OR(W$15=$G19,W$15=$G19+$F$5),0.5,1)/$F$5)</f>
        <v/>
      </c>
      <c r="X19" s="177">
        <f>IF(OR(X$15&lt;$G19,X$15&gt;$G19+$F$5),0,IF(OR(X$15=$G19,X$15=$G19+$F$5),0.5,1)/$F$5)</f>
        <v/>
      </c>
      <c r="Y19" s="177">
        <f>IF(OR(Y$15&lt;$G19,Y$15&gt;$G19+$F$5),0,IF(OR(Y$15=$G19,Y$15=$G19+$F$5),0.5,1)/$F$5)</f>
        <v/>
      </c>
      <c r="Z19" s="177">
        <f>IF(OR(Z$15&lt;$G19,Z$15&gt;$G19+$F$5),0,IF(OR(Z$15=$G19,Z$15=$G19+$F$5),0.5,1)/$F$5)</f>
        <v/>
      </c>
      <c r="AA19" s="177">
        <f>IF(OR(AA$15&lt;$G19,AA$15&gt;$G19+$F$5),0,IF(OR(AA$15=$G19,AA$15=$G19+$F$5),0.5,1)/$F$5)</f>
        <v/>
      </c>
      <c r="AB19" s="177">
        <f>IF(OR(AB$15&lt;$G19,AB$15&gt;$G19+$F$5),0,IF(OR(AB$15=$G19,AB$15=$G19+$F$5),0.5,1)/$F$5)</f>
        <v/>
      </c>
      <c r="AC19" s="177">
        <f>IF(OR(AC$15&lt;$G19,AC$15&gt;$G19+$F$5),0,IF(OR(AC$15=$G19,AC$15=$G19+$F$5),0.5,1)/$F$5)</f>
        <v/>
      </c>
      <c r="AD19" s="177">
        <f>IF(OR(AD$15&lt;$G19,AD$15&gt;$G19+$F$5),0,IF(OR(AD$15=$G19,AD$15=$G19+$F$5),0.5,1)/$F$5)</f>
        <v/>
      </c>
      <c r="AE19" s="177">
        <f>IF(OR(AE$15&lt;$G19,AE$15&gt;$G19+$F$5),0,IF(OR(AE$15=$G19,AE$15=$G19+$F$5),0.5,1)/$F$5)</f>
        <v/>
      </c>
      <c r="AF19" s="177">
        <f>IF(OR(AF$15&lt;$G19,AF$15&gt;$G19+$F$5),0,IF(OR(AF$15=$G19,AF$15=$G19+$F$5),0.5,1)/$F$5)</f>
        <v/>
      </c>
      <c r="AG19" s="177">
        <f>IF(OR(AG$15&lt;$G19,AG$15&gt;$G19+$F$5),0,IF(OR(AG$15=$G19,AG$15=$G19+$F$5),0.5,1)/$F$5)</f>
        <v/>
      </c>
      <c r="AH19" s="177">
        <f>IF(OR(AH$15&lt;$G19,AH$15&gt;$G19+$F$5),0,IF(OR(AH$15=$G19,AH$15=$G19+$F$5),0.5,1)/$F$5)</f>
        <v/>
      </c>
      <c r="AI19" s="177">
        <f>IF(OR(AI$15&lt;$G19,AI$15&gt;$G19+$F$5),0,IF(OR(AI$15=$G19,AI$15=$G19+$F$5),0.5,1)/$F$5)</f>
        <v/>
      </c>
      <c r="AJ19" s="177">
        <f>IF(OR(AJ$15&lt;$G19,AJ$15&gt;$G19+$F$5),0,IF(OR(AJ$15=$G19,AJ$15=$G19+$F$5),0.5,1)/$F$5)</f>
        <v/>
      </c>
      <c r="AK19" s="177">
        <f>IF(OR(AK$15&lt;$G19,AK$15&gt;$G19+$F$5),0,IF(OR(AK$15=$G19,AK$15=$G19+$F$5),0.5,1)/$F$5)</f>
        <v/>
      </c>
      <c r="AL19" s="177">
        <f>IF(OR(AL$15&lt;$G19,AL$15&gt;$G19+$F$5),0,IF(OR(AL$15=$G19,AL$15=$G19+$F$5),0.5,1)/$F$5)</f>
        <v/>
      </c>
      <c r="AM19" s="177">
        <f>IF(OR(AM$15&lt;$G19,AM$15&gt;$G19+$F$5),0,IF(OR(AM$15=$G19,AM$15=$G19+$F$5),0.5,1)/$F$5)</f>
        <v/>
      </c>
      <c r="AN19" s="177">
        <f>IF(OR(AN$15&lt;$G19,AN$15&gt;$G19+$F$5),0,IF(OR(AN$15=$G19,AN$15=$G19+$F$5),0.5,1)/$F$5)</f>
        <v/>
      </c>
      <c r="AO19" s="177">
        <f>IF(OR(AO$15&lt;$G19,AO$15&gt;$G19+$F$5),0,IF(OR(AO$15=$G19,AO$15=$G19+$F$5),0.5,1)/$F$5)</f>
        <v/>
      </c>
      <c r="AP19" s="177">
        <f>IF(OR(AP$15&lt;$G19,AP$15&gt;$G19+$F$5),0,IF(OR(AP$15=$G19,AP$15=$G19+$F$5),0.5,1)/$F$5)</f>
        <v/>
      </c>
      <c r="AQ19" s="177">
        <f>IF(OR(AQ$15&lt;$G19,AQ$15&gt;$G19+$F$5),0,IF(OR(AQ$15=$G19,AQ$15=$G19+$F$5),0.5,1)/$F$5)</f>
        <v/>
      </c>
      <c r="AR19" s="177">
        <f>IF(OR(AR$15&lt;$G19,AR$15&gt;$G19+$F$5),0,IF(OR(AR$15=$G19,AR$15=$G19+$F$5),0.5,1)/$F$5)</f>
        <v/>
      </c>
      <c r="AS19" s="177">
        <f>IF(OR(AS$15&lt;$G19,AS$15&gt;$G19+$F$5),0,IF(OR(AS$15=$G19,AS$15=$G19+$F$5),0.5,1)/$F$5)</f>
        <v/>
      </c>
      <c r="AT19" s="177">
        <f>IF(OR(AT$15&lt;$G19,AT$15&gt;$G19+$F$5),0,IF(OR(AT$15=$G19,AT$15=$G19+$F$5),0.5,1)/$F$5)</f>
        <v/>
      </c>
      <c r="AU19" s="177">
        <f>IF(OR(AU$15&lt;$G19,AU$15&gt;$G19+$F$5),0,IF(OR(AU$15=$G19,AU$15=$G19+$F$5),0.5,1)/$F$5)</f>
        <v/>
      </c>
      <c r="AV19" s="177">
        <f>IF(OR(AV$15&lt;$G19,AV$15&gt;$G19+$F$5),0,IF(OR(AV$15=$G19,AV$15=$G19+$F$5),0.5,1)/$F$5)</f>
        <v/>
      </c>
      <c r="AW19" s="177">
        <f>IF(OR(AW$15&lt;$G19,AW$15&gt;$G19+$F$5),0,IF(OR(AW$15=$G19,AW$15=$G19+$F$5),0.5,1)/$F$5)</f>
        <v/>
      </c>
      <c r="AX19" s="177">
        <f>IF(OR(AX$15&lt;$G19,AX$15&gt;$G19+$F$5),0,IF(OR(AX$15=$G19,AX$15=$G19+$F$5),0.5,1)/$F$5)</f>
        <v/>
      </c>
      <c r="AY19" s="177">
        <f>IF(OR(AY$15&lt;$G19,AY$15&gt;$G19+$F$5),0,IF(OR(AY$15=$G19,AY$15=$G19+$F$5),0.5,1)/$F$5)</f>
        <v/>
      </c>
      <c r="AZ19" s="177">
        <f>IF(OR(AZ$15&lt;$G19,AZ$15&gt;$G19+$F$5),0,IF(OR(AZ$15=$G19,AZ$15=$G19+$F$5),0.5,1)/$F$5)</f>
        <v/>
      </c>
      <c r="BA19" s="177">
        <f>IF(OR(BA$15&lt;$G19,BA$15&gt;$G19+$F$5),0,IF(OR(BA$15=$G19,BA$15=$G19+$F$5),0.5,1)/$F$5)</f>
        <v/>
      </c>
      <c r="BB19" s="177">
        <f>IF(OR(BB$15&lt;$G19,BB$15&gt;$G19+$F$5),0,IF(OR(BB$15=$G19,BB$15=$G19+$F$5),0.5,1)/$F$5)</f>
        <v/>
      </c>
      <c r="BC19" s="177">
        <f>IF(OR(BC$15&lt;$G19,BC$15&gt;$G19+$F$5),0,IF(OR(BC$15=$G19,BC$15=$G19+$F$5),0.5,1)/$F$5)</f>
        <v/>
      </c>
      <c r="BD19" s="177">
        <f>IF(OR(BD$15&lt;$G19,BD$15&gt;$G19+$F$5),0,IF(OR(BD$15=$G19,BD$15=$G19+$F$5),0.5,1)/$F$5)</f>
        <v/>
      </c>
      <c r="BE19" s="177">
        <f>IF(OR(BE$15&lt;$G19,BE$15&gt;$G19+$F$5),0,IF(OR(BE$15=$G19,BE$15=$G19+$F$5),0.5,1)/$F$5)</f>
        <v/>
      </c>
      <c r="BF19" s="211">
        <f>IF(OR($G19&lt;V$15,$G19+$F$5&gt;BE$15),0,ABS(SUM(V19:BE19)-1))</f>
        <v/>
      </c>
    </row>
    <row r="20">
      <c r="A20" s="145" t="n">
        <v>4</v>
      </c>
      <c r="B20" s="204">
        <f>EDATE($B19,1)</f>
        <v/>
      </c>
      <c r="C20" s="205">
        <f>EOMONTH($B20,0)</f>
        <v/>
      </c>
      <c r="D20" s="201">
        <f>$C20-$B20+1</f>
        <v/>
      </c>
      <c r="E20" s="201">
        <f>MONTH($B20)</f>
        <v/>
      </c>
      <c r="F20" s="206">
        <f>($B20+$C20+1)/2</f>
        <v/>
      </c>
      <c r="G20" s="201">
        <f>YEAR($B20)*12+MONTH($B20)-1</f>
        <v/>
      </c>
      <c r="H20" s="207">
        <f>IF(OR(nr_SeasonOn="OFF",$F$6=0,$F$7=0),1,12*INDEX(se_block,$F$6,$E20)/$F$7)</f>
        <v/>
      </c>
      <c r="I20" s="208">
        <f>EXP(SUMPRODUCT((rl_eff&lt;$B20)*(rl_key=nr_SelKey)*rl_ln1p))</f>
        <v/>
      </c>
      <c r="J20" s="208">
        <f>EXP(SUMPRODUCT((rl_eff&lt;=$C20)*(rl_key=nr_SelKey)*rl_ln1p))</f>
        <v/>
      </c>
      <c r="K20" s="201">
        <f>COUNTIFS(rl_key,nr_SelKey,rl_eff,"&gt;="&amp;$B20,rl_eff,"&lt;="&amp;$C20)</f>
        <v/>
      </c>
      <c r="L20" s="201">
        <f>SUMIFS(rl_daysafter,rl_key,nr_SelKey,rl_effmonth,$B20,rl_first,1)</f>
        <v/>
      </c>
      <c r="M20" s="209">
        <f>IF($K20=0,0,MIN(1,$L20/$D20))</f>
        <v/>
      </c>
      <c r="N20" s="208">
        <f>IF($K20=0,$J20,(1-$M20)*$I20+$M20*$J20)</f>
        <v/>
      </c>
      <c r="O20" s="210">
        <f>'Mod Engine'!$E20</f>
        <v/>
      </c>
      <c r="P20" s="208">
        <f>MIN(1,MAX(0,(nr_MEndPm1-$G20+0.5)/$F$5))-MIN(1,MAX(0,(nr_MStartPm1-1-$G20+0.5)/$F$5))</f>
        <v/>
      </c>
      <c r="Q20" s="208">
        <f>MIN(1,MAX(0,(nr_MEndP-$G20+0.5)/$F$5))-MIN(1,MAX(0,(nr_MStartP-1-$G20+0.5)/$F$5))</f>
        <v/>
      </c>
      <c r="R20" s="208">
        <f>MIN(1,MAX(0,(nr_MEndP1-$G20+0.5)/$F$5))-MIN(1,MAX(0,(nr_MStartP1-1-$G20+0.5)/$F$5))</f>
        <v/>
      </c>
      <c r="S20" s="208">
        <f>IF(nr_NetMode,$N20*IF(nr_ModAdjEff="ON",$O20/nr_MInd,1),"")</f>
        <v/>
      </c>
      <c r="T20" s="208">
        <f>IF(NOT(nr_NetMode),"",IF($G20&lt;nr_MStartP,$S20,$T8*(1+IF($G20&lt;nr_MStartP1,nr_NetSelP,nr_NetSelP1))))</f>
        <v/>
      </c>
      <c r="U20" s="208">
        <f>IF(nr_NetMode,$T20,$N20)</f>
        <v/>
      </c>
      <c r="V20" s="177">
        <f>IF(OR(V$15&lt;$G20,V$15&gt;$G20+$F$5),0,IF(OR(V$15=$G20,V$15=$G20+$F$5),0.5,1)/$F$5)</f>
        <v/>
      </c>
      <c r="W20" s="177">
        <f>IF(OR(W$15&lt;$G20,W$15&gt;$G20+$F$5),0,IF(OR(W$15=$G20,W$15=$G20+$F$5),0.5,1)/$F$5)</f>
        <v/>
      </c>
      <c r="X20" s="177">
        <f>IF(OR(X$15&lt;$G20,X$15&gt;$G20+$F$5),0,IF(OR(X$15=$G20,X$15=$G20+$F$5),0.5,1)/$F$5)</f>
        <v/>
      </c>
      <c r="Y20" s="177">
        <f>IF(OR(Y$15&lt;$G20,Y$15&gt;$G20+$F$5),0,IF(OR(Y$15=$G20,Y$15=$G20+$F$5),0.5,1)/$F$5)</f>
        <v/>
      </c>
      <c r="Z20" s="177">
        <f>IF(OR(Z$15&lt;$G20,Z$15&gt;$G20+$F$5),0,IF(OR(Z$15=$G20,Z$15=$G20+$F$5),0.5,1)/$F$5)</f>
        <v/>
      </c>
      <c r="AA20" s="177">
        <f>IF(OR(AA$15&lt;$G20,AA$15&gt;$G20+$F$5),0,IF(OR(AA$15=$G20,AA$15=$G20+$F$5),0.5,1)/$F$5)</f>
        <v/>
      </c>
      <c r="AB20" s="177">
        <f>IF(OR(AB$15&lt;$G20,AB$15&gt;$G20+$F$5),0,IF(OR(AB$15=$G20,AB$15=$G20+$F$5),0.5,1)/$F$5)</f>
        <v/>
      </c>
      <c r="AC20" s="177">
        <f>IF(OR(AC$15&lt;$G20,AC$15&gt;$G20+$F$5),0,IF(OR(AC$15=$G20,AC$15=$G20+$F$5),0.5,1)/$F$5)</f>
        <v/>
      </c>
      <c r="AD20" s="177">
        <f>IF(OR(AD$15&lt;$G20,AD$15&gt;$G20+$F$5),0,IF(OR(AD$15=$G20,AD$15=$G20+$F$5),0.5,1)/$F$5)</f>
        <v/>
      </c>
      <c r="AE20" s="177">
        <f>IF(OR(AE$15&lt;$G20,AE$15&gt;$G20+$F$5),0,IF(OR(AE$15=$G20,AE$15=$G20+$F$5),0.5,1)/$F$5)</f>
        <v/>
      </c>
      <c r="AF20" s="177">
        <f>IF(OR(AF$15&lt;$G20,AF$15&gt;$G20+$F$5),0,IF(OR(AF$15=$G20,AF$15=$G20+$F$5),0.5,1)/$F$5)</f>
        <v/>
      </c>
      <c r="AG20" s="177">
        <f>IF(OR(AG$15&lt;$G20,AG$15&gt;$G20+$F$5),0,IF(OR(AG$15=$G20,AG$15=$G20+$F$5),0.5,1)/$F$5)</f>
        <v/>
      </c>
      <c r="AH20" s="177">
        <f>IF(OR(AH$15&lt;$G20,AH$15&gt;$G20+$F$5),0,IF(OR(AH$15=$G20,AH$15=$G20+$F$5),0.5,1)/$F$5)</f>
        <v/>
      </c>
      <c r="AI20" s="177">
        <f>IF(OR(AI$15&lt;$G20,AI$15&gt;$G20+$F$5),0,IF(OR(AI$15=$G20,AI$15=$G20+$F$5),0.5,1)/$F$5)</f>
        <v/>
      </c>
      <c r="AJ20" s="177">
        <f>IF(OR(AJ$15&lt;$G20,AJ$15&gt;$G20+$F$5),0,IF(OR(AJ$15=$G20,AJ$15=$G20+$F$5),0.5,1)/$F$5)</f>
        <v/>
      </c>
      <c r="AK20" s="177">
        <f>IF(OR(AK$15&lt;$G20,AK$15&gt;$G20+$F$5),0,IF(OR(AK$15=$G20,AK$15=$G20+$F$5),0.5,1)/$F$5)</f>
        <v/>
      </c>
      <c r="AL20" s="177">
        <f>IF(OR(AL$15&lt;$G20,AL$15&gt;$G20+$F$5),0,IF(OR(AL$15=$G20,AL$15=$G20+$F$5),0.5,1)/$F$5)</f>
        <v/>
      </c>
      <c r="AM20" s="177">
        <f>IF(OR(AM$15&lt;$G20,AM$15&gt;$G20+$F$5),0,IF(OR(AM$15=$G20,AM$15=$G20+$F$5),0.5,1)/$F$5)</f>
        <v/>
      </c>
      <c r="AN20" s="177">
        <f>IF(OR(AN$15&lt;$G20,AN$15&gt;$G20+$F$5),0,IF(OR(AN$15=$G20,AN$15=$G20+$F$5),0.5,1)/$F$5)</f>
        <v/>
      </c>
      <c r="AO20" s="177">
        <f>IF(OR(AO$15&lt;$G20,AO$15&gt;$G20+$F$5),0,IF(OR(AO$15=$G20,AO$15=$G20+$F$5),0.5,1)/$F$5)</f>
        <v/>
      </c>
      <c r="AP20" s="177">
        <f>IF(OR(AP$15&lt;$G20,AP$15&gt;$G20+$F$5),0,IF(OR(AP$15=$G20,AP$15=$G20+$F$5),0.5,1)/$F$5)</f>
        <v/>
      </c>
      <c r="AQ20" s="177">
        <f>IF(OR(AQ$15&lt;$G20,AQ$15&gt;$G20+$F$5),0,IF(OR(AQ$15=$G20,AQ$15=$G20+$F$5),0.5,1)/$F$5)</f>
        <v/>
      </c>
      <c r="AR20" s="177">
        <f>IF(OR(AR$15&lt;$G20,AR$15&gt;$G20+$F$5),0,IF(OR(AR$15=$G20,AR$15=$G20+$F$5),0.5,1)/$F$5)</f>
        <v/>
      </c>
      <c r="AS20" s="177">
        <f>IF(OR(AS$15&lt;$G20,AS$15&gt;$G20+$F$5),0,IF(OR(AS$15=$G20,AS$15=$G20+$F$5),0.5,1)/$F$5)</f>
        <v/>
      </c>
      <c r="AT20" s="177">
        <f>IF(OR(AT$15&lt;$G20,AT$15&gt;$G20+$F$5),0,IF(OR(AT$15=$G20,AT$15=$G20+$F$5),0.5,1)/$F$5)</f>
        <v/>
      </c>
      <c r="AU20" s="177">
        <f>IF(OR(AU$15&lt;$G20,AU$15&gt;$G20+$F$5),0,IF(OR(AU$15=$G20,AU$15=$G20+$F$5),0.5,1)/$F$5)</f>
        <v/>
      </c>
      <c r="AV20" s="177">
        <f>IF(OR(AV$15&lt;$G20,AV$15&gt;$G20+$F$5),0,IF(OR(AV$15=$G20,AV$15=$G20+$F$5),0.5,1)/$F$5)</f>
        <v/>
      </c>
      <c r="AW20" s="177">
        <f>IF(OR(AW$15&lt;$G20,AW$15&gt;$G20+$F$5),0,IF(OR(AW$15=$G20,AW$15=$G20+$F$5),0.5,1)/$F$5)</f>
        <v/>
      </c>
      <c r="AX20" s="177">
        <f>IF(OR(AX$15&lt;$G20,AX$15&gt;$G20+$F$5),0,IF(OR(AX$15=$G20,AX$15=$G20+$F$5),0.5,1)/$F$5)</f>
        <v/>
      </c>
      <c r="AY20" s="177">
        <f>IF(OR(AY$15&lt;$G20,AY$15&gt;$G20+$F$5),0,IF(OR(AY$15=$G20,AY$15=$G20+$F$5),0.5,1)/$F$5)</f>
        <v/>
      </c>
      <c r="AZ20" s="177">
        <f>IF(OR(AZ$15&lt;$G20,AZ$15&gt;$G20+$F$5),0,IF(OR(AZ$15=$G20,AZ$15=$G20+$F$5),0.5,1)/$F$5)</f>
        <v/>
      </c>
      <c r="BA20" s="177">
        <f>IF(OR(BA$15&lt;$G20,BA$15&gt;$G20+$F$5),0,IF(OR(BA$15=$G20,BA$15=$G20+$F$5),0.5,1)/$F$5)</f>
        <v/>
      </c>
      <c r="BB20" s="177">
        <f>IF(OR(BB$15&lt;$G20,BB$15&gt;$G20+$F$5),0,IF(OR(BB$15=$G20,BB$15=$G20+$F$5),0.5,1)/$F$5)</f>
        <v/>
      </c>
      <c r="BC20" s="177">
        <f>IF(OR(BC$15&lt;$G20,BC$15&gt;$G20+$F$5),0,IF(OR(BC$15=$G20,BC$15=$G20+$F$5),0.5,1)/$F$5)</f>
        <v/>
      </c>
      <c r="BD20" s="177">
        <f>IF(OR(BD$15&lt;$G20,BD$15&gt;$G20+$F$5),0,IF(OR(BD$15=$G20,BD$15=$G20+$F$5),0.5,1)/$F$5)</f>
        <v/>
      </c>
      <c r="BE20" s="177">
        <f>IF(OR(BE$15&lt;$G20,BE$15&gt;$G20+$F$5),0,IF(OR(BE$15=$G20,BE$15=$G20+$F$5),0.5,1)/$F$5)</f>
        <v/>
      </c>
      <c r="BF20" s="211">
        <f>IF(OR($G20&lt;V$15,$G20+$F$5&gt;BE$15),0,ABS(SUM(V20:BE20)-1))</f>
        <v/>
      </c>
    </row>
    <row r="21">
      <c r="A21" s="145" t="n">
        <v>5</v>
      </c>
      <c r="B21" s="204">
        <f>EDATE($B20,1)</f>
        <v/>
      </c>
      <c r="C21" s="205">
        <f>EOMONTH($B21,0)</f>
        <v/>
      </c>
      <c r="D21" s="201">
        <f>$C21-$B21+1</f>
        <v/>
      </c>
      <c r="E21" s="201">
        <f>MONTH($B21)</f>
        <v/>
      </c>
      <c r="F21" s="206">
        <f>($B21+$C21+1)/2</f>
        <v/>
      </c>
      <c r="G21" s="201">
        <f>YEAR($B21)*12+MONTH($B21)-1</f>
        <v/>
      </c>
      <c r="H21" s="207">
        <f>IF(OR(nr_SeasonOn="OFF",$F$6=0,$F$7=0),1,12*INDEX(se_block,$F$6,$E21)/$F$7)</f>
        <v/>
      </c>
      <c r="I21" s="208">
        <f>EXP(SUMPRODUCT((rl_eff&lt;$B21)*(rl_key=nr_SelKey)*rl_ln1p))</f>
        <v/>
      </c>
      <c r="J21" s="208">
        <f>EXP(SUMPRODUCT((rl_eff&lt;=$C21)*(rl_key=nr_SelKey)*rl_ln1p))</f>
        <v/>
      </c>
      <c r="K21" s="201">
        <f>COUNTIFS(rl_key,nr_SelKey,rl_eff,"&gt;="&amp;$B21,rl_eff,"&lt;="&amp;$C21)</f>
        <v/>
      </c>
      <c r="L21" s="201">
        <f>SUMIFS(rl_daysafter,rl_key,nr_SelKey,rl_effmonth,$B21,rl_first,1)</f>
        <v/>
      </c>
      <c r="M21" s="209">
        <f>IF($K21=0,0,MIN(1,$L21/$D21))</f>
        <v/>
      </c>
      <c r="N21" s="208">
        <f>IF($K21=0,$J21,(1-$M21)*$I21+$M21*$J21)</f>
        <v/>
      </c>
      <c r="O21" s="210">
        <f>'Mod Engine'!$E21</f>
        <v/>
      </c>
      <c r="P21" s="208">
        <f>MIN(1,MAX(0,(nr_MEndPm1-$G21+0.5)/$F$5))-MIN(1,MAX(0,(nr_MStartPm1-1-$G21+0.5)/$F$5))</f>
        <v/>
      </c>
      <c r="Q21" s="208">
        <f>MIN(1,MAX(0,(nr_MEndP-$G21+0.5)/$F$5))-MIN(1,MAX(0,(nr_MStartP-1-$G21+0.5)/$F$5))</f>
        <v/>
      </c>
      <c r="R21" s="208">
        <f>MIN(1,MAX(0,(nr_MEndP1-$G21+0.5)/$F$5))-MIN(1,MAX(0,(nr_MStartP1-1-$G21+0.5)/$F$5))</f>
        <v/>
      </c>
      <c r="S21" s="208">
        <f>IF(nr_NetMode,$N21*IF(nr_ModAdjEff="ON",$O21/nr_MInd,1),"")</f>
        <v/>
      </c>
      <c r="T21" s="208">
        <f>IF(NOT(nr_NetMode),"",IF($G21&lt;nr_MStartP,$S21,$T9*(1+IF($G21&lt;nr_MStartP1,nr_NetSelP,nr_NetSelP1))))</f>
        <v/>
      </c>
      <c r="U21" s="208">
        <f>IF(nr_NetMode,$T21,$N21)</f>
        <v/>
      </c>
      <c r="V21" s="177">
        <f>IF(OR(V$15&lt;$G21,V$15&gt;$G21+$F$5),0,IF(OR(V$15=$G21,V$15=$G21+$F$5),0.5,1)/$F$5)</f>
        <v/>
      </c>
      <c r="W21" s="177">
        <f>IF(OR(W$15&lt;$G21,W$15&gt;$G21+$F$5),0,IF(OR(W$15=$G21,W$15=$G21+$F$5),0.5,1)/$F$5)</f>
        <v/>
      </c>
      <c r="X21" s="177">
        <f>IF(OR(X$15&lt;$G21,X$15&gt;$G21+$F$5),0,IF(OR(X$15=$G21,X$15=$G21+$F$5),0.5,1)/$F$5)</f>
        <v/>
      </c>
      <c r="Y21" s="177">
        <f>IF(OR(Y$15&lt;$G21,Y$15&gt;$G21+$F$5),0,IF(OR(Y$15=$G21,Y$15=$G21+$F$5),0.5,1)/$F$5)</f>
        <v/>
      </c>
      <c r="Z21" s="177">
        <f>IF(OR(Z$15&lt;$G21,Z$15&gt;$G21+$F$5),0,IF(OR(Z$15=$G21,Z$15=$G21+$F$5),0.5,1)/$F$5)</f>
        <v/>
      </c>
      <c r="AA21" s="177">
        <f>IF(OR(AA$15&lt;$G21,AA$15&gt;$G21+$F$5),0,IF(OR(AA$15=$G21,AA$15=$G21+$F$5),0.5,1)/$F$5)</f>
        <v/>
      </c>
      <c r="AB21" s="177">
        <f>IF(OR(AB$15&lt;$G21,AB$15&gt;$G21+$F$5),0,IF(OR(AB$15=$G21,AB$15=$G21+$F$5),0.5,1)/$F$5)</f>
        <v/>
      </c>
      <c r="AC21" s="177">
        <f>IF(OR(AC$15&lt;$G21,AC$15&gt;$G21+$F$5),0,IF(OR(AC$15=$G21,AC$15=$G21+$F$5),0.5,1)/$F$5)</f>
        <v/>
      </c>
      <c r="AD21" s="177">
        <f>IF(OR(AD$15&lt;$G21,AD$15&gt;$G21+$F$5),0,IF(OR(AD$15=$G21,AD$15=$G21+$F$5),0.5,1)/$F$5)</f>
        <v/>
      </c>
      <c r="AE21" s="177">
        <f>IF(OR(AE$15&lt;$G21,AE$15&gt;$G21+$F$5),0,IF(OR(AE$15=$G21,AE$15=$G21+$F$5),0.5,1)/$F$5)</f>
        <v/>
      </c>
      <c r="AF21" s="177">
        <f>IF(OR(AF$15&lt;$G21,AF$15&gt;$G21+$F$5),0,IF(OR(AF$15=$G21,AF$15=$G21+$F$5),0.5,1)/$F$5)</f>
        <v/>
      </c>
      <c r="AG21" s="177">
        <f>IF(OR(AG$15&lt;$G21,AG$15&gt;$G21+$F$5),0,IF(OR(AG$15=$G21,AG$15=$G21+$F$5),0.5,1)/$F$5)</f>
        <v/>
      </c>
      <c r="AH21" s="177">
        <f>IF(OR(AH$15&lt;$G21,AH$15&gt;$G21+$F$5),0,IF(OR(AH$15=$G21,AH$15=$G21+$F$5),0.5,1)/$F$5)</f>
        <v/>
      </c>
      <c r="AI21" s="177">
        <f>IF(OR(AI$15&lt;$G21,AI$15&gt;$G21+$F$5),0,IF(OR(AI$15=$G21,AI$15=$G21+$F$5),0.5,1)/$F$5)</f>
        <v/>
      </c>
      <c r="AJ21" s="177">
        <f>IF(OR(AJ$15&lt;$G21,AJ$15&gt;$G21+$F$5),0,IF(OR(AJ$15=$G21,AJ$15=$G21+$F$5),0.5,1)/$F$5)</f>
        <v/>
      </c>
      <c r="AK21" s="177">
        <f>IF(OR(AK$15&lt;$G21,AK$15&gt;$G21+$F$5),0,IF(OR(AK$15=$G21,AK$15=$G21+$F$5),0.5,1)/$F$5)</f>
        <v/>
      </c>
      <c r="AL21" s="177">
        <f>IF(OR(AL$15&lt;$G21,AL$15&gt;$G21+$F$5),0,IF(OR(AL$15=$G21,AL$15=$G21+$F$5),0.5,1)/$F$5)</f>
        <v/>
      </c>
      <c r="AM21" s="177">
        <f>IF(OR(AM$15&lt;$G21,AM$15&gt;$G21+$F$5),0,IF(OR(AM$15=$G21,AM$15=$G21+$F$5),0.5,1)/$F$5)</f>
        <v/>
      </c>
      <c r="AN21" s="177">
        <f>IF(OR(AN$15&lt;$G21,AN$15&gt;$G21+$F$5),0,IF(OR(AN$15=$G21,AN$15=$G21+$F$5),0.5,1)/$F$5)</f>
        <v/>
      </c>
      <c r="AO21" s="177">
        <f>IF(OR(AO$15&lt;$G21,AO$15&gt;$G21+$F$5),0,IF(OR(AO$15=$G21,AO$15=$G21+$F$5),0.5,1)/$F$5)</f>
        <v/>
      </c>
      <c r="AP21" s="177">
        <f>IF(OR(AP$15&lt;$G21,AP$15&gt;$G21+$F$5),0,IF(OR(AP$15=$G21,AP$15=$G21+$F$5),0.5,1)/$F$5)</f>
        <v/>
      </c>
      <c r="AQ21" s="177">
        <f>IF(OR(AQ$15&lt;$G21,AQ$15&gt;$G21+$F$5),0,IF(OR(AQ$15=$G21,AQ$15=$G21+$F$5),0.5,1)/$F$5)</f>
        <v/>
      </c>
      <c r="AR21" s="177">
        <f>IF(OR(AR$15&lt;$G21,AR$15&gt;$G21+$F$5),0,IF(OR(AR$15=$G21,AR$15=$G21+$F$5),0.5,1)/$F$5)</f>
        <v/>
      </c>
      <c r="AS21" s="177">
        <f>IF(OR(AS$15&lt;$G21,AS$15&gt;$G21+$F$5),0,IF(OR(AS$15=$G21,AS$15=$G21+$F$5),0.5,1)/$F$5)</f>
        <v/>
      </c>
      <c r="AT21" s="177">
        <f>IF(OR(AT$15&lt;$G21,AT$15&gt;$G21+$F$5),0,IF(OR(AT$15=$G21,AT$15=$G21+$F$5),0.5,1)/$F$5)</f>
        <v/>
      </c>
      <c r="AU21" s="177">
        <f>IF(OR(AU$15&lt;$G21,AU$15&gt;$G21+$F$5),0,IF(OR(AU$15=$G21,AU$15=$G21+$F$5),0.5,1)/$F$5)</f>
        <v/>
      </c>
      <c r="AV21" s="177">
        <f>IF(OR(AV$15&lt;$G21,AV$15&gt;$G21+$F$5),0,IF(OR(AV$15=$G21,AV$15=$G21+$F$5),0.5,1)/$F$5)</f>
        <v/>
      </c>
      <c r="AW21" s="177">
        <f>IF(OR(AW$15&lt;$G21,AW$15&gt;$G21+$F$5),0,IF(OR(AW$15=$G21,AW$15=$G21+$F$5),0.5,1)/$F$5)</f>
        <v/>
      </c>
      <c r="AX21" s="177">
        <f>IF(OR(AX$15&lt;$G21,AX$15&gt;$G21+$F$5),0,IF(OR(AX$15=$G21,AX$15=$G21+$F$5),0.5,1)/$F$5)</f>
        <v/>
      </c>
      <c r="AY21" s="177">
        <f>IF(OR(AY$15&lt;$G21,AY$15&gt;$G21+$F$5),0,IF(OR(AY$15=$G21,AY$15=$G21+$F$5),0.5,1)/$F$5)</f>
        <v/>
      </c>
      <c r="AZ21" s="177">
        <f>IF(OR(AZ$15&lt;$G21,AZ$15&gt;$G21+$F$5),0,IF(OR(AZ$15=$G21,AZ$15=$G21+$F$5),0.5,1)/$F$5)</f>
        <v/>
      </c>
      <c r="BA21" s="177">
        <f>IF(OR(BA$15&lt;$G21,BA$15&gt;$G21+$F$5),0,IF(OR(BA$15=$G21,BA$15=$G21+$F$5),0.5,1)/$F$5)</f>
        <v/>
      </c>
      <c r="BB21" s="177">
        <f>IF(OR(BB$15&lt;$G21,BB$15&gt;$G21+$F$5),0,IF(OR(BB$15=$G21,BB$15=$G21+$F$5),0.5,1)/$F$5)</f>
        <v/>
      </c>
      <c r="BC21" s="177">
        <f>IF(OR(BC$15&lt;$G21,BC$15&gt;$G21+$F$5),0,IF(OR(BC$15=$G21,BC$15=$G21+$F$5),0.5,1)/$F$5)</f>
        <v/>
      </c>
      <c r="BD21" s="177">
        <f>IF(OR(BD$15&lt;$G21,BD$15&gt;$G21+$F$5),0,IF(OR(BD$15=$G21,BD$15=$G21+$F$5),0.5,1)/$F$5)</f>
        <v/>
      </c>
      <c r="BE21" s="177">
        <f>IF(OR(BE$15&lt;$G21,BE$15&gt;$G21+$F$5),0,IF(OR(BE$15=$G21,BE$15=$G21+$F$5),0.5,1)/$F$5)</f>
        <v/>
      </c>
      <c r="BF21" s="211">
        <f>IF(OR($G21&lt;V$15,$G21+$F$5&gt;BE$15),0,ABS(SUM(V21:BE21)-1))</f>
        <v/>
      </c>
    </row>
    <row r="22">
      <c r="A22" s="145" t="n">
        <v>6</v>
      </c>
      <c r="B22" s="204">
        <f>EDATE($B21,1)</f>
        <v/>
      </c>
      <c r="C22" s="205">
        <f>EOMONTH($B22,0)</f>
        <v/>
      </c>
      <c r="D22" s="201">
        <f>$C22-$B22+1</f>
        <v/>
      </c>
      <c r="E22" s="201">
        <f>MONTH($B22)</f>
        <v/>
      </c>
      <c r="F22" s="206">
        <f>($B22+$C22+1)/2</f>
        <v/>
      </c>
      <c r="G22" s="201">
        <f>YEAR($B22)*12+MONTH($B22)-1</f>
        <v/>
      </c>
      <c r="H22" s="207">
        <f>IF(OR(nr_SeasonOn="OFF",$F$6=0,$F$7=0),1,12*INDEX(se_block,$F$6,$E22)/$F$7)</f>
        <v/>
      </c>
      <c r="I22" s="208">
        <f>EXP(SUMPRODUCT((rl_eff&lt;$B22)*(rl_key=nr_SelKey)*rl_ln1p))</f>
        <v/>
      </c>
      <c r="J22" s="208">
        <f>EXP(SUMPRODUCT((rl_eff&lt;=$C22)*(rl_key=nr_SelKey)*rl_ln1p))</f>
        <v/>
      </c>
      <c r="K22" s="201">
        <f>COUNTIFS(rl_key,nr_SelKey,rl_eff,"&gt;="&amp;$B22,rl_eff,"&lt;="&amp;$C22)</f>
        <v/>
      </c>
      <c r="L22" s="201">
        <f>SUMIFS(rl_daysafter,rl_key,nr_SelKey,rl_effmonth,$B22,rl_first,1)</f>
        <v/>
      </c>
      <c r="M22" s="209">
        <f>IF($K22=0,0,MIN(1,$L22/$D22))</f>
        <v/>
      </c>
      <c r="N22" s="208">
        <f>IF($K22=0,$J22,(1-$M22)*$I22+$M22*$J22)</f>
        <v/>
      </c>
      <c r="O22" s="210">
        <f>'Mod Engine'!$E22</f>
        <v/>
      </c>
      <c r="P22" s="208">
        <f>MIN(1,MAX(0,(nr_MEndPm1-$G22+0.5)/$F$5))-MIN(1,MAX(0,(nr_MStartPm1-1-$G22+0.5)/$F$5))</f>
        <v/>
      </c>
      <c r="Q22" s="208">
        <f>MIN(1,MAX(0,(nr_MEndP-$G22+0.5)/$F$5))-MIN(1,MAX(0,(nr_MStartP-1-$G22+0.5)/$F$5))</f>
        <v/>
      </c>
      <c r="R22" s="208">
        <f>MIN(1,MAX(0,(nr_MEndP1-$G22+0.5)/$F$5))-MIN(1,MAX(0,(nr_MStartP1-1-$G22+0.5)/$F$5))</f>
        <v/>
      </c>
      <c r="S22" s="208">
        <f>IF(nr_NetMode,$N22*IF(nr_ModAdjEff="ON",$O22/nr_MInd,1),"")</f>
        <v/>
      </c>
      <c r="T22" s="208">
        <f>IF(NOT(nr_NetMode),"",IF($G22&lt;nr_MStartP,$S22,$T10*(1+IF($G22&lt;nr_MStartP1,nr_NetSelP,nr_NetSelP1))))</f>
        <v/>
      </c>
      <c r="U22" s="208">
        <f>IF(nr_NetMode,$T22,$N22)</f>
        <v/>
      </c>
      <c r="V22" s="177">
        <f>IF(OR(V$15&lt;$G22,V$15&gt;$G22+$F$5),0,IF(OR(V$15=$G22,V$15=$G22+$F$5),0.5,1)/$F$5)</f>
        <v/>
      </c>
      <c r="W22" s="177">
        <f>IF(OR(W$15&lt;$G22,W$15&gt;$G22+$F$5),0,IF(OR(W$15=$G22,W$15=$G22+$F$5),0.5,1)/$F$5)</f>
        <v/>
      </c>
      <c r="X22" s="177">
        <f>IF(OR(X$15&lt;$G22,X$15&gt;$G22+$F$5),0,IF(OR(X$15=$G22,X$15=$G22+$F$5),0.5,1)/$F$5)</f>
        <v/>
      </c>
      <c r="Y22" s="177">
        <f>IF(OR(Y$15&lt;$G22,Y$15&gt;$G22+$F$5),0,IF(OR(Y$15=$G22,Y$15=$G22+$F$5),0.5,1)/$F$5)</f>
        <v/>
      </c>
      <c r="Z22" s="177">
        <f>IF(OR(Z$15&lt;$G22,Z$15&gt;$G22+$F$5),0,IF(OR(Z$15=$G22,Z$15=$G22+$F$5),0.5,1)/$F$5)</f>
        <v/>
      </c>
      <c r="AA22" s="177">
        <f>IF(OR(AA$15&lt;$G22,AA$15&gt;$G22+$F$5),0,IF(OR(AA$15=$G22,AA$15=$G22+$F$5),0.5,1)/$F$5)</f>
        <v/>
      </c>
      <c r="AB22" s="177">
        <f>IF(OR(AB$15&lt;$G22,AB$15&gt;$G22+$F$5),0,IF(OR(AB$15=$G22,AB$15=$G22+$F$5),0.5,1)/$F$5)</f>
        <v/>
      </c>
      <c r="AC22" s="177">
        <f>IF(OR(AC$15&lt;$G22,AC$15&gt;$G22+$F$5),0,IF(OR(AC$15=$G22,AC$15=$G22+$F$5),0.5,1)/$F$5)</f>
        <v/>
      </c>
      <c r="AD22" s="177">
        <f>IF(OR(AD$15&lt;$G22,AD$15&gt;$G22+$F$5),0,IF(OR(AD$15=$G22,AD$15=$G22+$F$5),0.5,1)/$F$5)</f>
        <v/>
      </c>
      <c r="AE22" s="177">
        <f>IF(OR(AE$15&lt;$G22,AE$15&gt;$G22+$F$5),0,IF(OR(AE$15=$G22,AE$15=$G22+$F$5),0.5,1)/$F$5)</f>
        <v/>
      </c>
      <c r="AF22" s="177">
        <f>IF(OR(AF$15&lt;$G22,AF$15&gt;$G22+$F$5),0,IF(OR(AF$15=$G22,AF$15=$G22+$F$5),0.5,1)/$F$5)</f>
        <v/>
      </c>
      <c r="AG22" s="177">
        <f>IF(OR(AG$15&lt;$G22,AG$15&gt;$G22+$F$5),0,IF(OR(AG$15=$G22,AG$15=$G22+$F$5),0.5,1)/$F$5)</f>
        <v/>
      </c>
      <c r="AH22" s="177">
        <f>IF(OR(AH$15&lt;$G22,AH$15&gt;$G22+$F$5),0,IF(OR(AH$15=$G22,AH$15=$G22+$F$5),0.5,1)/$F$5)</f>
        <v/>
      </c>
      <c r="AI22" s="177">
        <f>IF(OR(AI$15&lt;$G22,AI$15&gt;$G22+$F$5),0,IF(OR(AI$15=$G22,AI$15=$G22+$F$5),0.5,1)/$F$5)</f>
        <v/>
      </c>
      <c r="AJ22" s="177">
        <f>IF(OR(AJ$15&lt;$G22,AJ$15&gt;$G22+$F$5),0,IF(OR(AJ$15=$G22,AJ$15=$G22+$F$5),0.5,1)/$F$5)</f>
        <v/>
      </c>
      <c r="AK22" s="177">
        <f>IF(OR(AK$15&lt;$G22,AK$15&gt;$G22+$F$5),0,IF(OR(AK$15=$G22,AK$15=$G22+$F$5),0.5,1)/$F$5)</f>
        <v/>
      </c>
      <c r="AL22" s="177">
        <f>IF(OR(AL$15&lt;$G22,AL$15&gt;$G22+$F$5),0,IF(OR(AL$15=$G22,AL$15=$G22+$F$5),0.5,1)/$F$5)</f>
        <v/>
      </c>
      <c r="AM22" s="177">
        <f>IF(OR(AM$15&lt;$G22,AM$15&gt;$G22+$F$5),0,IF(OR(AM$15=$G22,AM$15=$G22+$F$5),0.5,1)/$F$5)</f>
        <v/>
      </c>
      <c r="AN22" s="177">
        <f>IF(OR(AN$15&lt;$G22,AN$15&gt;$G22+$F$5),0,IF(OR(AN$15=$G22,AN$15=$G22+$F$5),0.5,1)/$F$5)</f>
        <v/>
      </c>
      <c r="AO22" s="177">
        <f>IF(OR(AO$15&lt;$G22,AO$15&gt;$G22+$F$5),0,IF(OR(AO$15=$G22,AO$15=$G22+$F$5),0.5,1)/$F$5)</f>
        <v/>
      </c>
      <c r="AP22" s="177">
        <f>IF(OR(AP$15&lt;$G22,AP$15&gt;$G22+$F$5),0,IF(OR(AP$15=$G22,AP$15=$G22+$F$5),0.5,1)/$F$5)</f>
        <v/>
      </c>
      <c r="AQ22" s="177">
        <f>IF(OR(AQ$15&lt;$G22,AQ$15&gt;$G22+$F$5),0,IF(OR(AQ$15=$G22,AQ$15=$G22+$F$5),0.5,1)/$F$5)</f>
        <v/>
      </c>
      <c r="AR22" s="177">
        <f>IF(OR(AR$15&lt;$G22,AR$15&gt;$G22+$F$5),0,IF(OR(AR$15=$G22,AR$15=$G22+$F$5),0.5,1)/$F$5)</f>
        <v/>
      </c>
      <c r="AS22" s="177">
        <f>IF(OR(AS$15&lt;$G22,AS$15&gt;$G22+$F$5),0,IF(OR(AS$15=$G22,AS$15=$G22+$F$5),0.5,1)/$F$5)</f>
        <v/>
      </c>
      <c r="AT22" s="177">
        <f>IF(OR(AT$15&lt;$G22,AT$15&gt;$G22+$F$5),0,IF(OR(AT$15=$G22,AT$15=$G22+$F$5),0.5,1)/$F$5)</f>
        <v/>
      </c>
      <c r="AU22" s="177">
        <f>IF(OR(AU$15&lt;$G22,AU$15&gt;$G22+$F$5),0,IF(OR(AU$15=$G22,AU$15=$G22+$F$5),0.5,1)/$F$5)</f>
        <v/>
      </c>
      <c r="AV22" s="177">
        <f>IF(OR(AV$15&lt;$G22,AV$15&gt;$G22+$F$5),0,IF(OR(AV$15=$G22,AV$15=$G22+$F$5),0.5,1)/$F$5)</f>
        <v/>
      </c>
      <c r="AW22" s="177">
        <f>IF(OR(AW$15&lt;$G22,AW$15&gt;$G22+$F$5),0,IF(OR(AW$15=$G22,AW$15=$G22+$F$5),0.5,1)/$F$5)</f>
        <v/>
      </c>
      <c r="AX22" s="177">
        <f>IF(OR(AX$15&lt;$G22,AX$15&gt;$G22+$F$5),0,IF(OR(AX$15=$G22,AX$15=$G22+$F$5),0.5,1)/$F$5)</f>
        <v/>
      </c>
      <c r="AY22" s="177">
        <f>IF(OR(AY$15&lt;$G22,AY$15&gt;$G22+$F$5),0,IF(OR(AY$15=$G22,AY$15=$G22+$F$5),0.5,1)/$F$5)</f>
        <v/>
      </c>
      <c r="AZ22" s="177">
        <f>IF(OR(AZ$15&lt;$G22,AZ$15&gt;$G22+$F$5),0,IF(OR(AZ$15=$G22,AZ$15=$G22+$F$5),0.5,1)/$F$5)</f>
        <v/>
      </c>
      <c r="BA22" s="177">
        <f>IF(OR(BA$15&lt;$G22,BA$15&gt;$G22+$F$5),0,IF(OR(BA$15=$G22,BA$15=$G22+$F$5),0.5,1)/$F$5)</f>
        <v/>
      </c>
      <c r="BB22" s="177">
        <f>IF(OR(BB$15&lt;$G22,BB$15&gt;$G22+$F$5),0,IF(OR(BB$15=$G22,BB$15=$G22+$F$5),0.5,1)/$F$5)</f>
        <v/>
      </c>
      <c r="BC22" s="177">
        <f>IF(OR(BC$15&lt;$G22,BC$15&gt;$G22+$F$5),0,IF(OR(BC$15=$G22,BC$15=$G22+$F$5),0.5,1)/$F$5)</f>
        <v/>
      </c>
      <c r="BD22" s="177">
        <f>IF(OR(BD$15&lt;$G22,BD$15&gt;$G22+$F$5),0,IF(OR(BD$15=$G22,BD$15=$G22+$F$5),0.5,1)/$F$5)</f>
        <v/>
      </c>
      <c r="BE22" s="177">
        <f>IF(OR(BE$15&lt;$G22,BE$15&gt;$G22+$F$5),0,IF(OR(BE$15=$G22,BE$15=$G22+$F$5),0.5,1)/$F$5)</f>
        <v/>
      </c>
      <c r="BF22" s="211">
        <f>IF(OR($G22&lt;V$15,$G22+$F$5&gt;BE$15),0,ABS(SUM(V22:BE22)-1))</f>
        <v/>
      </c>
    </row>
    <row r="23">
      <c r="A23" s="145" t="n">
        <v>7</v>
      </c>
      <c r="B23" s="204">
        <f>EDATE($B22,1)</f>
        <v/>
      </c>
      <c r="C23" s="205">
        <f>EOMONTH($B23,0)</f>
        <v/>
      </c>
      <c r="D23" s="201">
        <f>$C23-$B23+1</f>
        <v/>
      </c>
      <c r="E23" s="201">
        <f>MONTH($B23)</f>
        <v/>
      </c>
      <c r="F23" s="206">
        <f>($B23+$C23+1)/2</f>
        <v/>
      </c>
      <c r="G23" s="201">
        <f>YEAR($B23)*12+MONTH($B23)-1</f>
        <v/>
      </c>
      <c r="H23" s="207">
        <f>IF(OR(nr_SeasonOn="OFF",$F$6=0,$F$7=0),1,12*INDEX(se_block,$F$6,$E23)/$F$7)</f>
        <v/>
      </c>
      <c r="I23" s="208">
        <f>EXP(SUMPRODUCT((rl_eff&lt;$B23)*(rl_key=nr_SelKey)*rl_ln1p))</f>
        <v/>
      </c>
      <c r="J23" s="208">
        <f>EXP(SUMPRODUCT((rl_eff&lt;=$C23)*(rl_key=nr_SelKey)*rl_ln1p))</f>
        <v/>
      </c>
      <c r="K23" s="201">
        <f>COUNTIFS(rl_key,nr_SelKey,rl_eff,"&gt;="&amp;$B23,rl_eff,"&lt;="&amp;$C23)</f>
        <v/>
      </c>
      <c r="L23" s="201">
        <f>SUMIFS(rl_daysafter,rl_key,nr_SelKey,rl_effmonth,$B23,rl_first,1)</f>
        <v/>
      </c>
      <c r="M23" s="209">
        <f>IF($K23=0,0,MIN(1,$L23/$D23))</f>
        <v/>
      </c>
      <c r="N23" s="208">
        <f>IF($K23=0,$J23,(1-$M23)*$I23+$M23*$J23)</f>
        <v/>
      </c>
      <c r="O23" s="210">
        <f>'Mod Engine'!$E23</f>
        <v/>
      </c>
      <c r="P23" s="208">
        <f>MIN(1,MAX(0,(nr_MEndPm1-$G23+0.5)/$F$5))-MIN(1,MAX(0,(nr_MStartPm1-1-$G23+0.5)/$F$5))</f>
        <v/>
      </c>
      <c r="Q23" s="208">
        <f>MIN(1,MAX(0,(nr_MEndP-$G23+0.5)/$F$5))-MIN(1,MAX(0,(nr_MStartP-1-$G23+0.5)/$F$5))</f>
        <v/>
      </c>
      <c r="R23" s="208">
        <f>MIN(1,MAX(0,(nr_MEndP1-$G23+0.5)/$F$5))-MIN(1,MAX(0,(nr_MStartP1-1-$G23+0.5)/$F$5))</f>
        <v/>
      </c>
      <c r="S23" s="208">
        <f>IF(nr_NetMode,$N23*IF(nr_ModAdjEff="ON",$O23/nr_MInd,1),"")</f>
        <v/>
      </c>
      <c r="T23" s="208">
        <f>IF(NOT(nr_NetMode),"",IF($G23&lt;nr_MStartP,$S23,$T11*(1+IF($G23&lt;nr_MStartP1,nr_NetSelP,nr_NetSelP1))))</f>
        <v/>
      </c>
      <c r="U23" s="208">
        <f>IF(nr_NetMode,$T23,$N23)</f>
        <v/>
      </c>
      <c r="V23" s="177">
        <f>IF(OR(V$15&lt;$G23,V$15&gt;$G23+$F$5),0,IF(OR(V$15=$G23,V$15=$G23+$F$5),0.5,1)/$F$5)</f>
        <v/>
      </c>
      <c r="W23" s="177">
        <f>IF(OR(W$15&lt;$G23,W$15&gt;$G23+$F$5),0,IF(OR(W$15=$G23,W$15=$G23+$F$5),0.5,1)/$F$5)</f>
        <v/>
      </c>
      <c r="X23" s="177">
        <f>IF(OR(X$15&lt;$G23,X$15&gt;$G23+$F$5),0,IF(OR(X$15=$G23,X$15=$G23+$F$5),0.5,1)/$F$5)</f>
        <v/>
      </c>
      <c r="Y23" s="177">
        <f>IF(OR(Y$15&lt;$G23,Y$15&gt;$G23+$F$5),0,IF(OR(Y$15=$G23,Y$15=$G23+$F$5),0.5,1)/$F$5)</f>
        <v/>
      </c>
      <c r="Z23" s="177">
        <f>IF(OR(Z$15&lt;$G23,Z$15&gt;$G23+$F$5),0,IF(OR(Z$15=$G23,Z$15=$G23+$F$5),0.5,1)/$F$5)</f>
        <v/>
      </c>
      <c r="AA23" s="177">
        <f>IF(OR(AA$15&lt;$G23,AA$15&gt;$G23+$F$5),0,IF(OR(AA$15=$G23,AA$15=$G23+$F$5),0.5,1)/$F$5)</f>
        <v/>
      </c>
      <c r="AB23" s="177">
        <f>IF(OR(AB$15&lt;$G23,AB$15&gt;$G23+$F$5),0,IF(OR(AB$15=$G23,AB$15=$G23+$F$5),0.5,1)/$F$5)</f>
        <v/>
      </c>
      <c r="AC23" s="177">
        <f>IF(OR(AC$15&lt;$G23,AC$15&gt;$G23+$F$5),0,IF(OR(AC$15=$G23,AC$15=$G23+$F$5),0.5,1)/$F$5)</f>
        <v/>
      </c>
      <c r="AD23" s="177">
        <f>IF(OR(AD$15&lt;$G23,AD$15&gt;$G23+$F$5),0,IF(OR(AD$15=$G23,AD$15=$G23+$F$5),0.5,1)/$F$5)</f>
        <v/>
      </c>
      <c r="AE23" s="177">
        <f>IF(OR(AE$15&lt;$G23,AE$15&gt;$G23+$F$5),0,IF(OR(AE$15=$G23,AE$15=$G23+$F$5),0.5,1)/$F$5)</f>
        <v/>
      </c>
      <c r="AF23" s="177">
        <f>IF(OR(AF$15&lt;$G23,AF$15&gt;$G23+$F$5),0,IF(OR(AF$15=$G23,AF$15=$G23+$F$5),0.5,1)/$F$5)</f>
        <v/>
      </c>
      <c r="AG23" s="177">
        <f>IF(OR(AG$15&lt;$G23,AG$15&gt;$G23+$F$5),0,IF(OR(AG$15=$G23,AG$15=$G23+$F$5),0.5,1)/$F$5)</f>
        <v/>
      </c>
      <c r="AH23" s="177">
        <f>IF(OR(AH$15&lt;$G23,AH$15&gt;$G23+$F$5),0,IF(OR(AH$15=$G23,AH$15=$G23+$F$5),0.5,1)/$F$5)</f>
        <v/>
      </c>
      <c r="AI23" s="177">
        <f>IF(OR(AI$15&lt;$G23,AI$15&gt;$G23+$F$5),0,IF(OR(AI$15=$G23,AI$15=$G23+$F$5),0.5,1)/$F$5)</f>
        <v/>
      </c>
      <c r="AJ23" s="177">
        <f>IF(OR(AJ$15&lt;$G23,AJ$15&gt;$G23+$F$5),0,IF(OR(AJ$15=$G23,AJ$15=$G23+$F$5),0.5,1)/$F$5)</f>
        <v/>
      </c>
      <c r="AK23" s="177">
        <f>IF(OR(AK$15&lt;$G23,AK$15&gt;$G23+$F$5),0,IF(OR(AK$15=$G23,AK$15=$G23+$F$5),0.5,1)/$F$5)</f>
        <v/>
      </c>
      <c r="AL23" s="177">
        <f>IF(OR(AL$15&lt;$G23,AL$15&gt;$G23+$F$5),0,IF(OR(AL$15=$G23,AL$15=$G23+$F$5),0.5,1)/$F$5)</f>
        <v/>
      </c>
      <c r="AM23" s="177">
        <f>IF(OR(AM$15&lt;$G23,AM$15&gt;$G23+$F$5),0,IF(OR(AM$15=$G23,AM$15=$G23+$F$5),0.5,1)/$F$5)</f>
        <v/>
      </c>
      <c r="AN23" s="177">
        <f>IF(OR(AN$15&lt;$G23,AN$15&gt;$G23+$F$5),0,IF(OR(AN$15=$G23,AN$15=$G23+$F$5),0.5,1)/$F$5)</f>
        <v/>
      </c>
      <c r="AO23" s="177">
        <f>IF(OR(AO$15&lt;$G23,AO$15&gt;$G23+$F$5),0,IF(OR(AO$15=$G23,AO$15=$G23+$F$5),0.5,1)/$F$5)</f>
        <v/>
      </c>
      <c r="AP23" s="177">
        <f>IF(OR(AP$15&lt;$G23,AP$15&gt;$G23+$F$5),0,IF(OR(AP$15=$G23,AP$15=$G23+$F$5),0.5,1)/$F$5)</f>
        <v/>
      </c>
      <c r="AQ23" s="177">
        <f>IF(OR(AQ$15&lt;$G23,AQ$15&gt;$G23+$F$5),0,IF(OR(AQ$15=$G23,AQ$15=$G23+$F$5),0.5,1)/$F$5)</f>
        <v/>
      </c>
      <c r="AR23" s="177">
        <f>IF(OR(AR$15&lt;$G23,AR$15&gt;$G23+$F$5),0,IF(OR(AR$15=$G23,AR$15=$G23+$F$5),0.5,1)/$F$5)</f>
        <v/>
      </c>
      <c r="AS23" s="177">
        <f>IF(OR(AS$15&lt;$G23,AS$15&gt;$G23+$F$5),0,IF(OR(AS$15=$G23,AS$15=$G23+$F$5),0.5,1)/$F$5)</f>
        <v/>
      </c>
      <c r="AT23" s="177">
        <f>IF(OR(AT$15&lt;$G23,AT$15&gt;$G23+$F$5),0,IF(OR(AT$15=$G23,AT$15=$G23+$F$5),0.5,1)/$F$5)</f>
        <v/>
      </c>
      <c r="AU23" s="177">
        <f>IF(OR(AU$15&lt;$G23,AU$15&gt;$G23+$F$5),0,IF(OR(AU$15=$G23,AU$15=$G23+$F$5),0.5,1)/$F$5)</f>
        <v/>
      </c>
      <c r="AV23" s="177">
        <f>IF(OR(AV$15&lt;$G23,AV$15&gt;$G23+$F$5),0,IF(OR(AV$15=$G23,AV$15=$G23+$F$5),0.5,1)/$F$5)</f>
        <v/>
      </c>
      <c r="AW23" s="177">
        <f>IF(OR(AW$15&lt;$G23,AW$15&gt;$G23+$F$5),0,IF(OR(AW$15=$G23,AW$15=$G23+$F$5),0.5,1)/$F$5)</f>
        <v/>
      </c>
      <c r="AX23" s="177">
        <f>IF(OR(AX$15&lt;$G23,AX$15&gt;$G23+$F$5),0,IF(OR(AX$15=$G23,AX$15=$G23+$F$5),0.5,1)/$F$5)</f>
        <v/>
      </c>
      <c r="AY23" s="177">
        <f>IF(OR(AY$15&lt;$G23,AY$15&gt;$G23+$F$5),0,IF(OR(AY$15=$G23,AY$15=$G23+$F$5),0.5,1)/$F$5)</f>
        <v/>
      </c>
      <c r="AZ23" s="177">
        <f>IF(OR(AZ$15&lt;$G23,AZ$15&gt;$G23+$F$5),0,IF(OR(AZ$15=$G23,AZ$15=$G23+$F$5),0.5,1)/$F$5)</f>
        <v/>
      </c>
      <c r="BA23" s="177">
        <f>IF(OR(BA$15&lt;$G23,BA$15&gt;$G23+$F$5),0,IF(OR(BA$15=$G23,BA$15=$G23+$F$5),0.5,1)/$F$5)</f>
        <v/>
      </c>
      <c r="BB23" s="177">
        <f>IF(OR(BB$15&lt;$G23,BB$15&gt;$G23+$F$5),0,IF(OR(BB$15=$G23,BB$15=$G23+$F$5),0.5,1)/$F$5)</f>
        <v/>
      </c>
      <c r="BC23" s="177">
        <f>IF(OR(BC$15&lt;$G23,BC$15&gt;$G23+$F$5),0,IF(OR(BC$15=$G23,BC$15=$G23+$F$5),0.5,1)/$F$5)</f>
        <v/>
      </c>
      <c r="BD23" s="177">
        <f>IF(OR(BD$15&lt;$G23,BD$15&gt;$G23+$F$5),0,IF(OR(BD$15=$G23,BD$15=$G23+$F$5),0.5,1)/$F$5)</f>
        <v/>
      </c>
      <c r="BE23" s="177">
        <f>IF(OR(BE$15&lt;$G23,BE$15&gt;$G23+$F$5),0,IF(OR(BE$15=$G23,BE$15=$G23+$F$5),0.5,1)/$F$5)</f>
        <v/>
      </c>
      <c r="BF23" s="211">
        <f>IF(OR($G23&lt;V$15,$G23+$F$5&gt;BE$15),0,ABS(SUM(V23:BE23)-1))</f>
        <v/>
      </c>
    </row>
    <row r="24">
      <c r="A24" s="145" t="n">
        <v>8</v>
      </c>
      <c r="B24" s="204">
        <f>EDATE($B23,1)</f>
        <v/>
      </c>
      <c r="C24" s="205">
        <f>EOMONTH($B24,0)</f>
        <v/>
      </c>
      <c r="D24" s="201">
        <f>$C24-$B24+1</f>
        <v/>
      </c>
      <c r="E24" s="201">
        <f>MONTH($B24)</f>
        <v/>
      </c>
      <c r="F24" s="206">
        <f>($B24+$C24+1)/2</f>
        <v/>
      </c>
      <c r="G24" s="201">
        <f>YEAR($B24)*12+MONTH($B24)-1</f>
        <v/>
      </c>
      <c r="H24" s="207">
        <f>IF(OR(nr_SeasonOn="OFF",$F$6=0,$F$7=0),1,12*INDEX(se_block,$F$6,$E24)/$F$7)</f>
        <v/>
      </c>
      <c r="I24" s="208">
        <f>EXP(SUMPRODUCT((rl_eff&lt;$B24)*(rl_key=nr_SelKey)*rl_ln1p))</f>
        <v/>
      </c>
      <c r="J24" s="208">
        <f>EXP(SUMPRODUCT((rl_eff&lt;=$C24)*(rl_key=nr_SelKey)*rl_ln1p))</f>
        <v/>
      </c>
      <c r="K24" s="201">
        <f>COUNTIFS(rl_key,nr_SelKey,rl_eff,"&gt;="&amp;$B24,rl_eff,"&lt;="&amp;$C24)</f>
        <v/>
      </c>
      <c r="L24" s="201">
        <f>SUMIFS(rl_daysafter,rl_key,nr_SelKey,rl_effmonth,$B24,rl_first,1)</f>
        <v/>
      </c>
      <c r="M24" s="209">
        <f>IF($K24=0,0,MIN(1,$L24/$D24))</f>
        <v/>
      </c>
      <c r="N24" s="208">
        <f>IF($K24=0,$J24,(1-$M24)*$I24+$M24*$J24)</f>
        <v/>
      </c>
      <c r="O24" s="210">
        <f>'Mod Engine'!$E24</f>
        <v/>
      </c>
      <c r="P24" s="208">
        <f>MIN(1,MAX(0,(nr_MEndPm1-$G24+0.5)/$F$5))-MIN(1,MAX(0,(nr_MStartPm1-1-$G24+0.5)/$F$5))</f>
        <v/>
      </c>
      <c r="Q24" s="208">
        <f>MIN(1,MAX(0,(nr_MEndP-$G24+0.5)/$F$5))-MIN(1,MAX(0,(nr_MStartP-1-$G24+0.5)/$F$5))</f>
        <v/>
      </c>
      <c r="R24" s="208">
        <f>MIN(1,MAX(0,(nr_MEndP1-$G24+0.5)/$F$5))-MIN(1,MAX(0,(nr_MStartP1-1-$G24+0.5)/$F$5))</f>
        <v/>
      </c>
      <c r="S24" s="208">
        <f>IF(nr_NetMode,$N24*IF(nr_ModAdjEff="ON",$O24/nr_MInd,1),"")</f>
        <v/>
      </c>
      <c r="T24" s="208">
        <f>IF(NOT(nr_NetMode),"",IF($G24&lt;nr_MStartP,$S24,$T12*(1+IF($G24&lt;nr_MStartP1,nr_NetSelP,nr_NetSelP1))))</f>
        <v/>
      </c>
      <c r="U24" s="208">
        <f>IF(nr_NetMode,$T24,$N24)</f>
        <v/>
      </c>
      <c r="V24" s="177">
        <f>IF(OR(V$15&lt;$G24,V$15&gt;$G24+$F$5),0,IF(OR(V$15=$G24,V$15=$G24+$F$5),0.5,1)/$F$5)</f>
        <v/>
      </c>
      <c r="W24" s="177">
        <f>IF(OR(W$15&lt;$G24,W$15&gt;$G24+$F$5),0,IF(OR(W$15=$G24,W$15=$G24+$F$5),0.5,1)/$F$5)</f>
        <v/>
      </c>
      <c r="X24" s="177">
        <f>IF(OR(X$15&lt;$G24,X$15&gt;$G24+$F$5),0,IF(OR(X$15=$G24,X$15=$G24+$F$5),0.5,1)/$F$5)</f>
        <v/>
      </c>
      <c r="Y24" s="177">
        <f>IF(OR(Y$15&lt;$G24,Y$15&gt;$G24+$F$5),0,IF(OR(Y$15=$G24,Y$15=$G24+$F$5),0.5,1)/$F$5)</f>
        <v/>
      </c>
      <c r="Z24" s="177">
        <f>IF(OR(Z$15&lt;$G24,Z$15&gt;$G24+$F$5),0,IF(OR(Z$15=$G24,Z$15=$G24+$F$5),0.5,1)/$F$5)</f>
        <v/>
      </c>
      <c r="AA24" s="177">
        <f>IF(OR(AA$15&lt;$G24,AA$15&gt;$G24+$F$5),0,IF(OR(AA$15=$G24,AA$15=$G24+$F$5),0.5,1)/$F$5)</f>
        <v/>
      </c>
      <c r="AB24" s="177">
        <f>IF(OR(AB$15&lt;$G24,AB$15&gt;$G24+$F$5),0,IF(OR(AB$15=$G24,AB$15=$G24+$F$5),0.5,1)/$F$5)</f>
        <v/>
      </c>
      <c r="AC24" s="177">
        <f>IF(OR(AC$15&lt;$G24,AC$15&gt;$G24+$F$5),0,IF(OR(AC$15=$G24,AC$15=$G24+$F$5),0.5,1)/$F$5)</f>
        <v/>
      </c>
      <c r="AD24" s="177">
        <f>IF(OR(AD$15&lt;$G24,AD$15&gt;$G24+$F$5),0,IF(OR(AD$15=$G24,AD$15=$G24+$F$5),0.5,1)/$F$5)</f>
        <v/>
      </c>
      <c r="AE24" s="177">
        <f>IF(OR(AE$15&lt;$G24,AE$15&gt;$G24+$F$5),0,IF(OR(AE$15=$G24,AE$15=$G24+$F$5),0.5,1)/$F$5)</f>
        <v/>
      </c>
      <c r="AF24" s="177">
        <f>IF(OR(AF$15&lt;$G24,AF$15&gt;$G24+$F$5),0,IF(OR(AF$15=$G24,AF$15=$G24+$F$5),0.5,1)/$F$5)</f>
        <v/>
      </c>
      <c r="AG24" s="177">
        <f>IF(OR(AG$15&lt;$G24,AG$15&gt;$G24+$F$5),0,IF(OR(AG$15=$G24,AG$15=$G24+$F$5),0.5,1)/$F$5)</f>
        <v/>
      </c>
      <c r="AH24" s="177">
        <f>IF(OR(AH$15&lt;$G24,AH$15&gt;$G24+$F$5),0,IF(OR(AH$15=$G24,AH$15=$G24+$F$5),0.5,1)/$F$5)</f>
        <v/>
      </c>
      <c r="AI24" s="177">
        <f>IF(OR(AI$15&lt;$G24,AI$15&gt;$G24+$F$5),0,IF(OR(AI$15=$G24,AI$15=$G24+$F$5),0.5,1)/$F$5)</f>
        <v/>
      </c>
      <c r="AJ24" s="177">
        <f>IF(OR(AJ$15&lt;$G24,AJ$15&gt;$G24+$F$5),0,IF(OR(AJ$15=$G24,AJ$15=$G24+$F$5),0.5,1)/$F$5)</f>
        <v/>
      </c>
      <c r="AK24" s="177">
        <f>IF(OR(AK$15&lt;$G24,AK$15&gt;$G24+$F$5),0,IF(OR(AK$15=$G24,AK$15=$G24+$F$5),0.5,1)/$F$5)</f>
        <v/>
      </c>
      <c r="AL24" s="177">
        <f>IF(OR(AL$15&lt;$G24,AL$15&gt;$G24+$F$5),0,IF(OR(AL$15=$G24,AL$15=$G24+$F$5),0.5,1)/$F$5)</f>
        <v/>
      </c>
      <c r="AM24" s="177">
        <f>IF(OR(AM$15&lt;$G24,AM$15&gt;$G24+$F$5),0,IF(OR(AM$15=$G24,AM$15=$G24+$F$5),0.5,1)/$F$5)</f>
        <v/>
      </c>
      <c r="AN24" s="177">
        <f>IF(OR(AN$15&lt;$G24,AN$15&gt;$G24+$F$5),0,IF(OR(AN$15=$G24,AN$15=$G24+$F$5),0.5,1)/$F$5)</f>
        <v/>
      </c>
      <c r="AO24" s="177">
        <f>IF(OR(AO$15&lt;$G24,AO$15&gt;$G24+$F$5),0,IF(OR(AO$15=$G24,AO$15=$G24+$F$5),0.5,1)/$F$5)</f>
        <v/>
      </c>
      <c r="AP24" s="177">
        <f>IF(OR(AP$15&lt;$G24,AP$15&gt;$G24+$F$5),0,IF(OR(AP$15=$G24,AP$15=$G24+$F$5),0.5,1)/$F$5)</f>
        <v/>
      </c>
      <c r="AQ24" s="177">
        <f>IF(OR(AQ$15&lt;$G24,AQ$15&gt;$G24+$F$5),0,IF(OR(AQ$15=$G24,AQ$15=$G24+$F$5),0.5,1)/$F$5)</f>
        <v/>
      </c>
      <c r="AR24" s="177">
        <f>IF(OR(AR$15&lt;$G24,AR$15&gt;$G24+$F$5),0,IF(OR(AR$15=$G24,AR$15=$G24+$F$5),0.5,1)/$F$5)</f>
        <v/>
      </c>
      <c r="AS24" s="177">
        <f>IF(OR(AS$15&lt;$G24,AS$15&gt;$G24+$F$5),0,IF(OR(AS$15=$G24,AS$15=$G24+$F$5),0.5,1)/$F$5)</f>
        <v/>
      </c>
      <c r="AT24" s="177">
        <f>IF(OR(AT$15&lt;$G24,AT$15&gt;$G24+$F$5),0,IF(OR(AT$15=$G24,AT$15=$G24+$F$5),0.5,1)/$F$5)</f>
        <v/>
      </c>
      <c r="AU24" s="177">
        <f>IF(OR(AU$15&lt;$G24,AU$15&gt;$G24+$F$5),0,IF(OR(AU$15=$G24,AU$15=$G24+$F$5),0.5,1)/$F$5)</f>
        <v/>
      </c>
      <c r="AV24" s="177">
        <f>IF(OR(AV$15&lt;$G24,AV$15&gt;$G24+$F$5),0,IF(OR(AV$15=$G24,AV$15=$G24+$F$5),0.5,1)/$F$5)</f>
        <v/>
      </c>
      <c r="AW24" s="177">
        <f>IF(OR(AW$15&lt;$G24,AW$15&gt;$G24+$F$5),0,IF(OR(AW$15=$G24,AW$15=$G24+$F$5),0.5,1)/$F$5)</f>
        <v/>
      </c>
      <c r="AX24" s="177">
        <f>IF(OR(AX$15&lt;$G24,AX$15&gt;$G24+$F$5),0,IF(OR(AX$15=$G24,AX$15=$G24+$F$5),0.5,1)/$F$5)</f>
        <v/>
      </c>
      <c r="AY24" s="177">
        <f>IF(OR(AY$15&lt;$G24,AY$15&gt;$G24+$F$5),0,IF(OR(AY$15=$G24,AY$15=$G24+$F$5),0.5,1)/$F$5)</f>
        <v/>
      </c>
      <c r="AZ24" s="177">
        <f>IF(OR(AZ$15&lt;$G24,AZ$15&gt;$G24+$F$5),0,IF(OR(AZ$15=$G24,AZ$15=$G24+$F$5),0.5,1)/$F$5)</f>
        <v/>
      </c>
      <c r="BA24" s="177">
        <f>IF(OR(BA$15&lt;$G24,BA$15&gt;$G24+$F$5),0,IF(OR(BA$15=$G24,BA$15=$G24+$F$5),0.5,1)/$F$5)</f>
        <v/>
      </c>
      <c r="BB24" s="177">
        <f>IF(OR(BB$15&lt;$G24,BB$15&gt;$G24+$F$5),0,IF(OR(BB$15=$G24,BB$15=$G24+$F$5),0.5,1)/$F$5)</f>
        <v/>
      </c>
      <c r="BC24" s="177">
        <f>IF(OR(BC$15&lt;$G24,BC$15&gt;$G24+$F$5),0,IF(OR(BC$15=$G24,BC$15=$G24+$F$5),0.5,1)/$F$5)</f>
        <v/>
      </c>
      <c r="BD24" s="177">
        <f>IF(OR(BD$15&lt;$G24,BD$15&gt;$G24+$F$5),0,IF(OR(BD$15=$G24,BD$15=$G24+$F$5),0.5,1)/$F$5)</f>
        <v/>
      </c>
      <c r="BE24" s="177">
        <f>IF(OR(BE$15&lt;$G24,BE$15&gt;$G24+$F$5),0,IF(OR(BE$15=$G24,BE$15=$G24+$F$5),0.5,1)/$F$5)</f>
        <v/>
      </c>
      <c r="BF24" s="211">
        <f>IF(OR($G24&lt;V$15,$G24+$F$5&gt;BE$15),0,ABS(SUM(V24:BE24)-1))</f>
        <v/>
      </c>
    </row>
    <row r="25">
      <c r="A25" s="145" t="n">
        <v>9</v>
      </c>
      <c r="B25" s="204">
        <f>EDATE($B24,1)</f>
        <v/>
      </c>
      <c r="C25" s="205">
        <f>EOMONTH($B25,0)</f>
        <v/>
      </c>
      <c r="D25" s="201">
        <f>$C25-$B25+1</f>
        <v/>
      </c>
      <c r="E25" s="201">
        <f>MONTH($B25)</f>
        <v/>
      </c>
      <c r="F25" s="206">
        <f>($B25+$C25+1)/2</f>
        <v/>
      </c>
      <c r="G25" s="201">
        <f>YEAR($B25)*12+MONTH($B25)-1</f>
        <v/>
      </c>
      <c r="H25" s="207">
        <f>IF(OR(nr_SeasonOn="OFF",$F$6=0,$F$7=0),1,12*INDEX(se_block,$F$6,$E25)/$F$7)</f>
        <v/>
      </c>
      <c r="I25" s="208">
        <f>EXP(SUMPRODUCT((rl_eff&lt;$B25)*(rl_key=nr_SelKey)*rl_ln1p))</f>
        <v/>
      </c>
      <c r="J25" s="208">
        <f>EXP(SUMPRODUCT((rl_eff&lt;=$C25)*(rl_key=nr_SelKey)*rl_ln1p))</f>
        <v/>
      </c>
      <c r="K25" s="201">
        <f>COUNTIFS(rl_key,nr_SelKey,rl_eff,"&gt;="&amp;$B25,rl_eff,"&lt;="&amp;$C25)</f>
        <v/>
      </c>
      <c r="L25" s="201">
        <f>SUMIFS(rl_daysafter,rl_key,nr_SelKey,rl_effmonth,$B25,rl_first,1)</f>
        <v/>
      </c>
      <c r="M25" s="209">
        <f>IF($K25=0,0,MIN(1,$L25/$D25))</f>
        <v/>
      </c>
      <c r="N25" s="208">
        <f>IF($K25=0,$J25,(1-$M25)*$I25+$M25*$J25)</f>
        <v/>
      </c>
      <c r="O25" s="210">
        <f>'Mod Engine'!$E25</f>
        <v/>
      </c>
      <c r="P25" s="208">
        <f>MIN(1,MAX(0,(nr_MEndPm1-$G25+0.5)/$F$5))-MIN(1,MAX(0,(nr_MStartPm1-1-$G25+0.5)/$F$5))</f>
        <v/>
      </c>
      <c r="Q25" s="208">
        <f>MIN(1,MAX(0,(nr_MEndP-$G25+0.5)/$F$5))-MIN(1,MAX(0,(nr_MStartP-1-$G25+0.5)/$F$5))</f>
        <v/>
      </c>
      <c r="R25" s="208">
        <f>MIN(1,MAX(0,(nr_MEndP1-$G25+0.5)/$F$5))-MIN(1,MAX(0,(nr_MStartP1-1-$G25+0.5)/$F$5))</f>
        <v/>
      </c>
      <c r="S25" s="208">
        <f>IF(nr_NetMode,$N25*IF(nr_ModAdjEff="ON",$O25/nr_MInd,1),"")</f>
        <v/>
      </c>
      <c r="T25" s="208">
        <f>IF(NOT(nr_NetMode),"",IF($G25&lt;nr_MStartP,$S25,$T13*(1+IF($G25&lt;nr_MStartP1,nr_NetSelP,nr_NetSelP1))))</f>
        <v/>
      </c>
      <c r="U25" s="208">
        <f>IF(nr_NetMode,$T25,$N25)</f>
        <v/>
      </c>
      <c r="V25" s="177">
        <f>IF(OR(V$15&lt;$G25,V$15&gt;$G25+$F$5),0,IF(OR(V$15=$G25,V$15=$G25+$F$5),0.5,1)/$F$5)</f>
        <v/>
      </c>
      <c r="W25" s="177">
        <f>IF(OR(W$15&lt;$G25,W$15&gt;$G25+$F$5),0,IF(OR(W$15=$G25,W$15=$G25+$F$5),0.5,1)/$F$5)</f>
        <v/>
      </c>
      <c r="X25" s="177">
        <f>IF(OR(X$15&lt;$G25,X$15&gt;$G25+$F$5),0,IF(OR(X$15=$G25,X$15=$G25+$F$5),0.5,1)/$F$5)</f>
        <v/>
      </c>
      <c r="Y25" s="177">
        <f>IF(OR(Y$15&lt;$G25,Y$15&gt;$G25+$F$5),0,IF(OR(Y$15=$G25,Y$15=$G25+$F$5),0.5,1)/$F$5)</f>
        <v/>
      </c>
      <c r="Z25" s="177">
        <f>IF(OR(Z$15&lt;$G25,Z$15&gt;$G25+$F$5),0,IF(OR(Z$15=$G25,Z$15=$G25+$F$5),0.5,1)/$F$5)</f>
        <v/>
      </c>
      <c r="AA25" s="177">
        <f>IF(OR(AA$15&lt;$G25,AA$15&gt;$G25+$F$5),0,IF(OR(AA$15=$G25,AA$15=$G25+$F$5),0.5,1)/$F$5)</f>
        <v/>
      </c>
      <c r="AB25" s="177">
        <f>IF(OR(AB$15&lt;$G25,AB$15&gt;$G25+$F$5),0,IF(OR(AB$15=$G25,AB$15=$G25+$F$5),0.5,1)/$F$5)</f>
        <v/>
      </c>
      <c r="AC25" s="177">
        <f>IF(OR(AC$15&lt;$G25,AC$15&gt;$G25+$F$5),0,IF(OR(AC$15=$G25,AC$15=$G25+$F$5),0.5,1)/$F$5)</f>
        <v/>
      </c>
      <c r="AD25" s="177">
        <f>IF(OR(AD$15&lt;$G25,AD$15&gt;$G25+$F$5),0,IF(OR(AD$15=$G25,AD$15=$G25+$F$5),0.5,1)/$F$5)</f>
        <v/>
      </c>
      <c r="AE25" s="177">
        <f>IF(OR(AE$15&lt;$G25,AE$15&gt;$G25+$F$5),0,IF(OR(AE$15=$G25,AE$15=$G25+$F$5),0.5,1)/$F$5)</f>
        <v/>
      </c>
      <c r="AF25" s="177">
        <f>IF(OR(AF$15&lt;$G25,AF$15&gt;$G25+$F$5),0,IF(OR(AF$15=$G25,AF$15=$G25+$F$5),0.5,1)/$F$5)</f>
        <v/>
      </c>
      <c r="AG25" s="177">
        <f>IF(OR(AG$15&lt;$G25,AG$15&gt;$G25+$F$5),0,IF(OR(AG$15=$G25,AG$15=$G25+$F$5),0.5,1)/$F$5)</f>
        <v/>
      </c>
      <c r="AH25" s="177">
        <f>IF(OR(AH$15&lt;$G25,AH$15&gt;$G25+$F$5),0,IF(OR(AH$15=$G25,AH$15=$G25+$F$5),0.5,1)/$F$5)</f>
        <v/>
      </c>
      <c r="AI25" s="177">
        <f>IF(OR(AI$15&lt;$G25,AI$15&gt;$G25+$F$5),0,IF(OR(AI$15=$G25,AI$15=$G25+$F$5),0.5,1)/$F$5)</f>
        <v/>
      </c>
      <c r="AJ25" s="177">
        <f>IF(OR(AJ$15&lt;$G25,AJ$15&gt;$G25+$F$5),0,IF(OR(AJ$15=$G25,AJ$15=$G25+$F$5),0.5,1)/$F$5)</f>
        <v/>
      </c>
      <c r="AK25" s="177">
        <f>IF(OR(AK$15&lt;$G25,AK$15&gt;$G25+$F$5),0,IF(OR(AK$15=$G25,AK$15=$G25+$F$5),0.5,1)/$F$5)</f>
        <v/>
      </c>
      <c r="AL25" s="177">
        <f>IF(OR(AL$15&lt;$G25,AL$15&gt;$G25+$F$5),0,IF(OR(AL$15=$G25,AL$15=$G25+$F$5),0.5,1)/$F$5)</f>
        <v/>
      </c>
      <c r="AM25" s="177">
        <f>IF(OR(AM$15&lt;$G25,AM$15&gt;$G25+$F$5),0,IF(OR(AM$15=$G25,AM$15=$G25+$F$5),0.5,1)/$F$5)</f>
        <v/>
      </c>
      <c r="AN25" s="177">
        <f>IF(OR(AN$15&lt;$G25,AN$15&gt;$G25+$F$5),0,IF(OR(AN$15=$G25,AN$15=$G25+$F$5),0.5,1)/$F$5)</f>
        <v/>
      </c>
      <c r="AO25" s="177">
        <f>IF(OR(AO$15&lt;$G25,AO$15&gt;$G25+$F$5),0,IF(OR(AO$15=$G25,AO$15=$G25+$F$5),0.5,1)/$F$5)</f>
        <v/>
      </c>
      <c r="AP25" s="177">
        <f>IF(OR(AP$15&lt;$G25,AP$15&gt;$G25+$F$5),0,IF(OR(AP$15=$G25,AP$15=$G25+$F$5),0.5,1)/$F$5)</f>
        <v/>
      </c>
      <c r="AQ25" s="177">
        <f>IF(OR(AQ$15&lt;$G25,AQ$15&gt;$G25+$F$5),0,IF(OR(AQ$15=$G25,AQ$15=$G25+$F$5),0.5,1)/$F$5)</f>
        <v/>
      </c>
      <c r="AR25" s="177">
        <f>IF(OR(AR$15&lt;$G25,AR$15&gt;$G25+$F$5),0,IF(OR(AR$15=$G25,AR$15=$G25+$F$5),0.5,1)/$F$5)</f>
        <v/>
      </c>
      <c r="AS25" s="177">
        <f>IF(OR(AS$15&lt;$G25,AS$15&gt;$G25+$F$5),0,IF(OR(AS$15=$G25,AS$15=$G25+$F$5),0.5,1)/$F$5)</f>
        <v/>
      </c>
      <c r="AT25" s="177">
        <f>IF(OR(AT$15&lt;$G25,AT$15&gt;$G25+$F$5),0,IF(OR(AT$15=$G25,AT$15=$G25+$F$5),0.5,1)/$F$5)</f>
        <v/>
      </c>
      <c r="AU25" s="177">
        <f>IF(OR(AU$15&lt;$G25,AU$15&gt;$G25+$F$5),0,IF(OR(AU$15=$G25,AU$15=$G25+$F$5),0.5,1)/$F$5)</f>
        <v/>
      </c>
      <c r="AV25" s="177">
        <f>IF(OR(AV$15&lt;$G25,AV$15&gt;$G25+$F$5),0,IF(OR(AV$15=$G25,AV$15=$G25+$F$5),0.5,1)/$F$5)</f>
        <v/>
      </c>
      <c r="AW25" s="177">
        <f>IF(OR(AW$15&lt;$G25,AW$15&gt;$G25+$F$5),0,IF(OR(AW$15=$G25,AW$15=$G25+$F$5),0.5,1)/$F$5)</f>
        <v/>
      </c>
      <c r="AX25" s="177">
        <f>IF(OR(AX$15&lt;$G25,AX$15&gt;$G25+$F$5),0,IF(OR(AX$15=$G25,AX$15=$G25+$F$5),0.5,1)/$F$5)</f>
        <v/>
      </c>
      <c r="AY25" s="177">
        <f>IF(OR(AY$15&lt;$G25,AY$15&gt;$G25+$F$5),0,IF(OR(AY$15=$G25,AY$15=$G25+$F$5),0.5,1)/$F$5)</f>
        <v/>
      </c>
      <c r="AZ25" s="177">
        <f>IF(OR(AZ$15&lt;$G25,AZ$15&gt;$G25+$F$5),0,IF(OR(AZ$15=$G25,AZ$15=$G25+$F$5),0.5,1)/$F$5)</f>
        <v/>
      </c>
      <c r="BA25" s="177">
        <f>IF(OR(BA$15&lt;$G25,BA$15&gt;$G25+$F$5),0,IF(OR(BA$15=$G25,BA$15=$G25+$F$5),0.5,1)/$F$5)</f>
        <v/>
      </c>
      <c r="BB25" s="177">
        <f>IF(OR(BB$15&lt;$G25,BB$15&gt;$G25+$F$5),0,IF(OR(BB$15=$G25,BB$15=$G25+$F$5),0.5,1)/$F$5)</f>
        <v/>
      </c>
      <c r="BC25" s="177">
        <f>IF(OR(BC$15&lt;$G25,BC$15&gt;$G25+$F$5),0,IF(OR(BC$15=$G25,BC$15=$G25+$F$5),0.5,1)/$F$5)</f>
        <v/>
      </c>
      <c r="BD25" s="177">
        <f>IF(OR(BD$15&lt;$G25,BD$15&gt;$G25+$F$5),0,IF(OR(BD$15=$G25,BD$15=$G25+$F$5),0.5,1)/$F$5)</f>
        <v/>
      </c>
      <c r="BE25" s="177">
        <f>IF(OR(BE$15&lt;$G25,BE$15&gt;$G25+$F$5),0,IF(OR(BE$15=$G25,BE$15=$G25+$F$5),0.5,1)/$F$5)</f>
        <v/>
      </c>
      <c r="BF25" s="211">
        <f>IF(OR($G25&lt;V$15,$G25+$F$5&gt;BE$15),0,ABS(SUM(V25:BE25)-1))</f>
        <v/>
      </c>
    </row>
    <row r="26">
      <c r="A26" s="145" t="n">
        <v>10</v>
      </c>
      <c r="B26" s="204">
        <f>EDATE($B25,1)</f>
        <v/>
      </c>
      <c r="C26" s="205">
        <f>EOMONTH($B26,0)</f>
        <v/>
      </c>
      <c r="D26" s="201">
        <f>$C26-$B26+1</f>
        <v/>
      </c>
      <c r="E26" s="201">
        <f>MONTH($B26)</f>
        <v/>
      </c>
      <c r="F26" s="206">
        <f>($B26+$C26+1)/2</f>
        <v/>
      </c>
      <c r="G26" s="201">
        <f>YEAR($B26)*12+MONTH($B26)-1</f>
        <v/>
      </c>
      <c r="H26" s="207">
        <f>IF(OR(nr_SeasonOn="OFF",$F$6=0,$F$7=0),1,12*INDEX(se_block,$F$6,$E26)/$F$7)</f>
        <v/>
      </c>
      <c r="I26" s="208">
        <f>EXP(SUMPRODUCT((rl_eff&lt;$B26)*(rl_key=nr_SelKey)*rl_ln1p))</f>
        <v/>
      </c>
      <c r="J26" s="208">
        <f>EXP(SUMPRODUCT((rl_eff&lt;=$C26)*(rl_key=nr_SelKey)*rl_ln1p))</f>
        <v/>
      </c>
      <c r="K26" s="201">
        <f>COUNTIFS(rl_key,nr_SelKey,rl_eff,"&gt;="&amp;$B26,rl_eff,"&lt;="&amp;$C26)</f>
        <v/>
      </c>
      <c r="L26" s="201">
        <f>SUMIFS(rl_daysafter,rl_key,nr_SelKey,rl_effmonth,$B26,rl_first,1)</f>
        <v/>
      </c>
      <c r="M26" s="209">
        <f>IF($K26=0,0,MIN(1,$L26/$D26))</f>
        <v/>
      </c>
      <c r="N26" s="208">
        <f>IF($K26=0,$J26,(1-$M26)*$I26+$M26*$J26)</f>
        <v/>
      </c>
      <c r="O26" s="210">
        <f>'Mod Engine'!$E26</f>
        <v/>
      </c>
      <c r="P26" s="208">
        <f>MIN(1,MAX(0,(nr_MEndPm1-$G26+0.5)/$F$5))-MIN(1,MAX(0,(nr_MStartPm1-1-$G26+0.5)/$F$5))</f>
        <v/>
      </c>
      <c r="Q26" s="208">
        <f>MIN(1,MAX(0,(nr_MEndP-$G26+0.5)/$F$5))-MIN(1,MAX(0,(nr_MStartP-1-$G26+0.5)/$F$5))</f>
        <v/>
      </c>
      <c r="R26" s="208">
        <f>MIN(1,MAX(0,(nr_MEndP1-$G26+0.5)/$F$5))-MIN(1,MAX(0,(nr_MStartP1-1-$G26+0.5)/$F$5))</f>
        <v/>
      </c>
      <c r="S26" s="208">
        <f>IF(nr_NetMode,$N26*IF(nr_ModAdjEff="ON",$O26/nr_MInd,1),"")</f>
        <v/>
      </c>
      <c r="T26" s="208">
        <f>IF(NOT(nr_NetMode),"",IF($G26&lt;nr_MStartP,$S26,$T14*(1+IF($G26&lt;nr_MStartP1,nr_NetSelP,nr_NetSelP1))))</f>
        <v/>
      </c>
      <c r="U26" s="208">
        <f>IF(nr_NetMode,$T26,$N26)</f>
        <v/>
      </c>
      <c r="V26" s="177">
        <f>IF(OR(V$15&lt;$G26,V$15&gt;$G26+$F$5),0,IF(OR(V$15=$G26,V$15=$G26+$F$5),0.5,1)/$F$5)</f>
        <v/>
      </c>
      <c r="W26" s="177">
        <f>IF(OR(W$15&lt;$G26,W$15&gt;$G26+$F$5),0,IF(OR(W$15=$G26,W$15=$G26+$F$5),0.5,1)/$F$5)</f>
        <v/>
      </c>
      <c r="X26" s="177">
        <f>IF(OR(X$15&lt;$G26,X$15&gt;$G26+$F$5),0,IF(OR(X$15=$G26,X$15=$G26+$F$5),0.5,1)/$F$5)</f>
        <v/>
      </c>
      <c r="Y26" s="177">
        <f>IF(OR(Y$15&lt;$G26,Y$15&gt;$G26+$F$5),0,IF(OR(Y$15=$G26,Y$15=$G26+$F$5),0.5,1)/$F$5)</f>
        <v/>
      </c>
      <c r="Z26" s="177">
        <f>IF(OR(Z$15&lt;$G26,Z$15&gt;$G26+$F$5),0,IF(OR(Z$15=$G26,Z$15=$G26+$F$5),0.5,1)/$F$5)</f>
        <v/>
      </c>
      <c r="AA26" s="177">
        <f>IF(OR(AA$15&lt;$G26,AA$15&gt;$G26+$F$5),0,IF(OR(AA$15=$G26,AA$15=$G26+$F$5),0.5,1)/$F$5)</f>
        <v/>
      </c>
      <c r="AB26" s="177">
        <f>IF(OR(AB$15&lt;$G26,AB$15&gt;$G26+$F$5),0,IF(OR(AB$15=$G26,AB$15=$G26+$F$5),0.5,1)/$F$5)</f>
        <v/>
      </c>
      <c r="AC26" s="177">
        <f>IF(OR(AC$15&lt;$G26,AC$15&gt;$G26+$F$5),0,IF(OR(AC$15=$G26,AC$15=$G26+$F$5),0.5,1)/$F$5)</f>
        <v/>
      </c>
      <c r="AD26" s="177">
        <f>IF(OR(AD$15&lt;$G26,AD$15&gt;$G26+$F$5),0,IF(OR(AD$15=$G26,AD$15=$G26+$F$5),0.5,1)/$F$5)</f>
        <v/>
      </c>
      <c r="AE26" s="177">
        <f>IF(OR(AE$15&lt;$G26,AE$15&gt;$G26+$F$5),0,IF(OR(AE$15=$G26,AE$15=$G26+$F$5),0.5,1)/$F$5)</f>
        <v/>
      </c>
      <c r="AF26" s="177">
        <f>IF(OR(AF$15&lt;$G26,AF$15&gt;$G26+$F$5),0,IF(OR(AF$15=$G26,AF$15=$G26+$F$5),0.5,1)/$F$5)</f>
        <v/>
      </c>
      <c r="AG26" s="177">
        <f>IF(OR(AG$15&lt;$G26,AG$15&gt;$G26+$F$5),0,IF(OR(AG$15=$G26,AG$15=$G26+$F$5),0.5,1)/$F$5)</f>
        <v/>
      </c>
      <c r="AH26" s="177">
        <f>IF(OR(AH$15&lt;$G26,AH$15&gt;$G26+$F$5),0,IF(OR(AH$15=$G26,AH$15=$G26+$F$5),0.5,1)/$F$5)</f>
        <v/>
      </c>
      <c r="AI26" s="177">
        <f>IF(OR(AI$15&lt;$G26,AI$15&gt;$G26+$F$5),0,IF(OR(AI$15=$G26,AI$15=$G26+$F$5),0.5,1)/$F$5)</f>
        <v/>
      </c>
      <c r="AJ26" s="177">
        <f>IF(OR(AJ$15&lt;$G26,AJ$15&gt;$G26+$F$5),0,IF(OR(AJ$15=$G26,AJ$15=$G26+$F$5),0.5,1)/$F$5)</f>
        <v/>
      </c>
      <c r="AK26" s="177">
        <f>IF(OR(AK$15&lt;$G26,AK$15&gt;$G26+$F$5),0,IF(OR(AK$15=$G26,AK$15=$G26+$F$5),0.5,1)/$F$5)</f>
        <v/>
      </c>
      <c r="AL26" s="177">
        <f>IF(OR(AL$15&lt;$G26,AL$15&gt;$G26+$F$5),0,IF(OR(AL$15=$G26,AL$15=$G26+$F$5),0.5,1)/$F$5)</f>
        <v/>
      </c>
      <c r="AM26" s="177">
        <f>IF(OR(AM$15&lt;$G26,AM$15&gt;$G26+$F$5),0,IF(OR(AM$15=$G26,AM$15=$G26+$F$5),0.5,1)/$F$5)</f>
        <v/>
      </c>
      <c r="AN26" s="177">
        <f>IF(OR(AN$15&lt;$G26,AN$15&gt;$G26+$F$5),0,IF(OR(AN$15=$G26,AN$15=$G26+$F$5),0.5,1)/$F$5)</f>
        <v/>
      </c>
      <c r="AO26" s="177">
        <f>IF(OR(AO$15&lt;$G26,AO$15&gt;$G26+$F$5),0,IF(OR(AO$15=$G26,AO$15=$G26+$F$5),0.5,1)/$F$5)</f>
        <v/>
      </c>
      <c r="AP26" s="177">
        <f>IF(OR(AP$15&lt;$G26,AP$15&gt;$G26+$F$5),0,IF(OR(AP$15=$G26,AP$15=$G26+$F$5),0.5,1)/$F$5)</f>
        <v/>
      </c>
      <c r="AQ26" s="177">
        <f>IF(OR(AQ$15&lt;$G26,AQ$15&gt;$G26+$F$5),0,IF(OR(AQ$15=$G26,AQ$15=$G26+$F$5),0.5,1)/$F$5)</f>
        <v/>
      </c>
      <c r="AR26" s="177">
        <f>IF(OR(AR$15&lt;$G26,AR$15&gt;$G26+$F$5),0,IF(OR(AR$15=$G26,AR$15=$G26+$F$5),0.5,1)/$F$5)</f>
        <v/>
      </c>
      <c r="AS26" s="177">
        <f>IF(OR(AS$15&lt;$G26,AS$15&gt;$G26+$F$5),0,IF(OR(AS$15=$G26,AS$15=$G26+$F$5),0.5,1)/$F$5)</f>
        <v/>
      </c>
      <c r="AT26" s="177">
        <f>IF(OR(AT$15&lt;$G26,AT$15&gt;$G26+$F$5),0,IF(OR(AT$15=$G26,AT$15=$G26+$F$5),0.5,1)/$F$5)</f>
        <v/>
      </c>
      <c r="AU26" s="177">
        <f>IF(OR(AU$15&lt;$G26,AU$15&gt;$G26+$F$5),0,IF(OR(AU$15=$G26,AU$15=$G26+$F$5),0.5,1)/$F$5)</f>
        <v/>
      </c>
      <c r="AV26" s="177">
        <f>IF(OR(AV$15&lt;$G26,AV$15&gt;$G26+$F$5),0,IF(OR(AV$15=$G26,AV$15=$G26+$F$5),0.5,1)/$F$5)</f>
        <v/>
      </c>
      <c r="AW26" s="177">
        <f>IF(OR(AW$15&lt;$G26,AW$15&gt;$G26+$F$5),0,IF(OR(AW$15=$G26,AW$15=$G26+$F$5),0.5,1)/$F$5)</f>
        <v/>
      </c>
      <c r="AX26" s="177">
        <f>IF(OR(AX$15&lt;$G26,AX$15&gt;$G26+$F$5),0,IF(OR(AX$15=$G26,AX$15=$G26+$F$5),0.5,1)/$F$5)</f>
        <v/>
      </c>
      <c r="AY26" s="177">
        <f>IF(OR(AY$15&lt;$G26,AY$15&gt;$G26+$F$5),0,IF(OR(AY$15=$G26,AY$15=$G26+$F$5),0.5,1)/$F$5)</f>
        <v/>
      </c>
      <c r="AZ26" s="177">
        <f>IF(OR(AZ$15&lt;$G26,AZ$15&gt;$G26+$F$5),0,IF(OR(AZ$15=$G26,AZ$15=$G26+$F$5),0.5,1)/$F$5)</f>
        <v/>
      </c>
      <c r="BA26" s="177">
        <f>IF(OR(BA$15&lt;$G26,BA$15&gt;$G26+$F$5),0,IF(OR(BA$15=$G26,BA$15=$G26+$F$5),0.5,1)/$F$5)</f>
        <v/>
      </c>
      <c r="BB26" s="177">
        <f>IF(OR(BB$15&lt;$G26,BB$15&gt;$G26+$F$5),0,IF(OR(BB$15=$G26,BB$15=$G26+$F$5),0.5,1)/$F$5)</f>
        <v/>
      </c>
      <c r="BC26" s="177">
        <f>IF(OR(BC$15&lt;$G26,BC$15&gt;$G26+$F$5),0,IF(OR(BC$15=$G26,BC$15=$G26+$F$5),0.5,1)/$F$5)</f>
        <v/>
      </c>
      <c r="BD26" s="177">
        <f>IF(OR(BD$15&lt;$G26,BD$15&gt;$G26+$F$5),0,IF(OR(BD$15=$G26,BD$15=$G26+$F$5),0.5,1)/$F$5)</f>
        <v/>
      </c>
      <c r="BE26" s="177">
        <f>IF(OR(BE$15&lt;$G26,BE$15&gt;$G26+$F$5),0,IF(OR(BE$15=$G26,BE$15=$G26+$F$5),0.5,1)/$F$5)</f>
        <v/>
      </c>
      <c r="BF26" s="211">
        <f>IF(OR($G26&lt;V$15,$G26+$F$5&gt;BE$15),0,ABS(SUM(V26:BE26)-1))</f>
        <v/>
      </c>
    </row>
    <row r="27">
      <c r="A27" s="145" t="n">
        <v>11</v>
      </c>
      <c r="B27" s="204">
        <f>EDATE($B26,1)</f>
        <v/>
      </c>
      <c r="C27" s="205">
        <f>EOMONTH($B27,0)</f>
        <v/>
      </c>
      <c r="D27" s="201">
        <f>$C27-$B27+1</f>
        <v/>
      </c>
      <c r="E27" s="201">
        <f>MONTH($B27)</f>
        <v/>
      </c>
      <c r="F27" s="206">
        <f>($B27+$C27+1)/2</f>
        <v/>
      </c>
      <c r="G27" s="201">
        <f>YEAR($B27)*12+MONTH($B27)-1</f>
        <v/>
      </c>
      <c r="H27" s="207">
        <f>IF(OR(nr_SeasonOn="OFF",$F$6=0,$F$7=0),1,12*INDEX(se_block,$F$6,$E27)/$F$7)</f>
        <v/>
      </c>
      <c r="I27" s="208">
        <f>EXP(SUMPRODUCT((rl_eff&lt;$B27)*(rl_key=nr_SelKey)*rl_ln1p))</f>
        <v/>
      </c>
      <c r="J27" s="208">
        <f>EXP(SUMPRODUCT((rl_eff&lt;=$C27)*(rl_key=nr_SelKey)*rl_ln1p))</f>
        <v/>
      </c>
      <c r="K27" s="201">
        <f>COUNTIFS(rl_key,nr_SelKey,rl_eff,"&gt;="&amp;$B27,rl_eff,"&lt;="&amp;$C27)</f>
        <v/>
      </c>
      <c r="L27" s="201">
        <f>SUMIFS(rl_daysafter,rl_key,nr_SelKey,rl_effmonth,$B27,rl_first,1)</f>
        <v/>
      </c>
      <c r="M27" s="209">
        <f>IF($K27=0,0,MIN(1,$L27/$D27))</f>
        <v/>
      </c>
      <c r="N27" s="208">
        <f>IF($K27=0,$J27,(1-$M27)*$I27+$M27*$J27)</f>
        <v/>
      </c>
      <c r="O27" s="210">
        <f>'Mod Engine'!$E27</f>
        <v/>
      </c>
      <c r="P27" s="208">
        <f>MIN(1,MAX(0,(nr_MEndPm1-$G27+0.5)/$F$5))-MIN(1,MAX(0,(nr_MStartPm1-1-$G27+0.5)/$F$5))</f>
        <v/>
      </c>
      <c r="Q27" s="208">
        <f>MIN(1,MAX(0,(nr_MEndP-$G27+0.5)/$F$5))-MIN(1,MAX(0,(nr_MStartP-1-$G27+0.5)/$F$5))</f>
        <v/>
      </c>
      <c r="R27" s="208">
        <f>MIN(1,MAX(0,(nr_MEndP1-$G27+0.5)/$F$5))-MIN(1,MAX(0,(nr_MStartP1-1-$G27+0.5)/$F$5))</f>
        <v/>
      </c>
      <c r="S27" s="208">
        <f>IF(nr_NetMode,$N27*IF(nr_ModAdjEff="ON",$O27/nr_MInd,1),"")</f>
        <v/>
      </c>
      <c r="T27" s="208">
        <f>IF(NOT(nr_NetMode),"",IF($G27&lt;nr_MStartP,$S27,$T15*(1+IF($G27&lt;nr_MStartP1,nr_NetSelP,nr_NetSelP1))))</f>
        <v/>
      </c>
      <c r="U27" s="208">
        <f>IF(nr_NetMode,$T27,$N27)</f>
        <v/>
      </c>
      <c r="V27" s="177">
        <f>IF(OR(V$15&lt;$G27,V$15&gt;$G27+$F$5),0,IF(OR(V$15=$G27,V$15=$G27+$F$5),0.5,1)/$F$5)</f>
        <v/>
      </c>
      <c r="W27" s="177">
        <f>IF(OR(W$15&lt;$G27,W$15&gt;$G27+$F$5),0,IF(OR(W$15=$G27,W$15=$G27+$F$5),0.5,1)/$F$5)</f>
        <v/>
      </c>
      <c r="X27" s="177">
        <f>IF(OR(X$15&lt;$G27,X$15&gt;$G27+$F$5),0,IF(OR(X$15=$G27,X$15=$G27+$F$5),0.5,1)/$F$5)</f>
        <v/>
      </c>
      <c r="Y27" s="177">
        <f>IF(OR(Y$15&lt;$G27,Y$15&gt;$G27+$F$5),0,IF(OR(Y$15=$G27,Y$15=$G27+$F$5),0.5,1)/$F$5)</f>
        <v/>
      </c>
      <c r="Z27" s="177">
        <f>IF(OR(Z$15&lt;$G27,Z$15&gt;$G27+$F$5),0,IF(OR(Z$15=$G27,Z$15=$G27+$F$5),0.5,1)/$F$5)</f>
        <v/>
      </c>
      <c r="AA27" s="177">
        <f>IF(OR(AA$15&lt;$G27,AA$15&gt;$G27+$F$5),0,IF(OR(AA$15=$G27,AA$15=$G27+$F$5),0.5,1)/$F$5)</f>
        <v/>
      </c>
      <c r="AB27" s="177">
        <f>IF(OR(AB$15&lt;$G27,AB$15&gt;$G27+$F$5),0,IF(OR(AB$15=$G27,AB$15=$G27+$F$5),0.5,1)/$F$5)</f>
        <v/>
      </c>
      <c r="AC27" s="177">
        <f>IF(OR(AC$15&lt;$G27,AC$15&gt;$G27+$F$5),0,IF(OR(AC$15=$G27,AC$15=$G27+$F$5),0.5,1)/$F$5)</f>
        <v/>
      </c>
      <c r="AD27" s="177">
        <f>IF(OR(AD$15&lt;$G27,AD$15&gt;$G27+$F$5),0,IF(OR(AD$15=$G27,AD$15=$G27+$F$5),0.5,1)/$F$5)</f>
        <v/>
      </c>
      <c r="AE27" s="177">
        <f>IF(OR(AE$15&lt;$G27,AE$15&gt;$G27+$F$5),0,IF(OR(AE$15=$G27,AE$15=$G27+$F$5),0.5,1)/$F$5)</f>
        <v/>
      </c>
      <c r="AF27" s="177">
        <f>IF(OR(AF$15&lt;$G27,AF$15&gt;$G27+$F$5),0,IF(OR(AF$15=$G27,AF$15=$G27+$F$5),0.5,1)/$F$5)</f>
        <v/>
      </c>
      <c r="AG27" s="177">
        <f>IF(OR(AG$15&lt;$G27,AG$15&gt;$G27+$F$5),0,IF(OR(AG$15=$G27,AG$15=$G27+$F$5),0.5,1)/$F$5)</f>
        <v/>
      </c>
      <c r="AH27" s="177">
        <f>IF(OR(AH$15&lt;$G27,AH$15&gt;$G27+$F$5),0,IF(OR(AH$15=$G27,AH$15=$G27+$F$5),0.5,1)/$F$5)</f>
        <v/>
      </c>
      <c r="AI27" s="177">
        <f>IF(OR(AI$15&lt;$G27,AI$15&gt;$G27+$F$5),0,IF(OR(AI$15=$G27,AI$15=$G27+$F$5),0.5,1)/$F$5)</f>
        <v/>
      </c>
      <c r="AJ27" s="177">
        <f>IF(OR(AJ$15&lt;$G27,AJ$15&gt;$G27+$F$5),0,IF(OR(AJ$15=$G27,AJ$15=$G27+$F$5),0.5,1)/$F$5)</f>
        <v/>
      </c>
      <c r="AK27" s="177">
        <f>IF(OR(AK$15&lt;$G27,AK$15&gt;$G27+$F$5),0,IF(OR(AK$15=$G27,AK$15=$G27+$F$5),0.5,1)/$F$5)</f>
        <v/>
      </c>
      <c r="AL27" s="177">
        <f>IF(OR(AL$15&lt;$G27,AL$15&gt;$G27+$F$5),0,IF(OR(AL$15=$G27,AL$15=$G27+$F$5),0.5,1)/$F$5)</f>
        <v/>
      </c>
      <c r="AM27" s="177">
        <f>IF(OR(AM$15&lt;$G27,AM$15&gt;$G27+$F$5),0,IF(OR(AM$15=$G27,AM$15=$G27+$F$5),0.5,1)/$F$5)</f>
        <v/>
      </c>
      <c r="AN27" s="177">
        <f>IF(OR(AN$15&lt;$G27,AN$15&gt;$G27+$F$5),0,IF(OR(AN$15=$G27,AN$15=$G27+$F$5),0.5,1)/$F$5)</f>
        <v/>
      </c>
      <c r="AO27" s="177">
        <f>IF(OR(AO$15&lt;$G27,AO$15&gt;$G27+$F$5),0,IF(OR(AO$15=$G27,AO$15=$G27+$F$5),0.5,1)/$F$5)</f>
        <v/>
      </c>
      <c r="AP27" s="177">
        <f>IF(OR(AP$15&lt;$G27,AP$15&gt;$G27+$F$5),0,IF(OR(AP$15=$G27,AP$15=$G27+$F$5),0.5,1)/$F$5)</f>
        <v/>
      </c>
      <c r="AQ27" s="177">
        <f>IF(OR(AQ$15&lt;$G27,AQ$15&gt;$G27+$F$5),0,IF(OR(AQ$15=$G27,AQ$15=$G27+$F$5),0.5,1)/$F$5)</f>
        <v/>
      </c>
      <c r="AR27" s="177">
        <f>IF(OR(AR$15&lt;$G27,AR$15&gt;$G27+$F$5),0,IF(OR(AR$15=$G27,AR$15=$G27+$F$5),0.5,1)/$F$5)</f>
        <v/>
      </c>
      <c r="AS27" s="177">
        <f>IF(OR(AS$15&lt;$G27,AS$15&gt;$G27+$F$5),0,IF(OR(AS$15=$G27,AS$15=$G27+$F$5),0.5,1)/$F$5)</f>
        <v/>
      </c>
      <c r="AT27" s="177">
        <f>IF(OR(AT$15&lt;$G27,AT$15&gt;$G27+$F$5),0,IF(OR(AT$15=$G27,AT$15=$G27+$F$5),0.5,1)/$F$5)</f>
        <v/>
      </c>
      <c r="AU27" s="177">
        <f>IF(OR(AU$15&lt;$G27,AU$15&gt;$G27+$F$5),0,IF(OR(AU$15=$G27,AU$15=$G27+$F$5),0.5,1)/$F$5)</f>
        <v/>
      </c>
      <c r="AV27" s="177">
        <f>IF(OR(AV$15&lt;$G27,AV$15&gt;$G27+$F$5),0,IF(OR(AV$15=$G27,AV$15=$G27+$F$5),0.5,1)/$F$5)</f>
        <v/>
      </c>
      <c r="AW27" s="177">
        <f>IF(OR(AW$15&lt;$G27,AW$15&gt;$G27+$F$5),0,IF(OR(AW$15=$G27,AW$15=$G27+$F$5),0.5,1)/$F$5)</f>
        <v/>
      </c>
      <c r="AX27" s="177">
        <f>IF(OR(AX$15&lt;$G27,AX$15&gt;$G27+$F$5),0,IF(OR(AX$15=$G27,AX$15=$G27+$F$5),0.5,1)/$F$5)</f>
        <v/>
      </c>
      <c r="AY27" s="177">
        <f>IF(OR(AY$15&lt;$G27,AY$15&gt;$G27+$F$5),0,IF(OR(AY$15=$G27,AY$15=$G27+$F$5),0.5,1)/$F$5)</f>
        <v/>
      </c>
      <c r="AZ27" s="177">
        <f>IF(OR(AZ$15&lt;$G27,AZ$15&gt;$G27+$F$5),0,IF(OR(AZ$15=$G27,AZ$15=$G27+$F$5),0.5,1)/$F$5)</f>
        <v/>
      </c>
      <c r="BA27" s="177">
        <f>IF(OR(BA$15&lt;$G27,BA$15&gt;$G27+$F$5),0,IF(OR(BA$15=$G27,BA$15=$G27+$F$5),0.5,1)/$F$5)</f>
        <v/>
      </c>
      <c r="BB27" s="177">
        <f>IF(OR(BB$15&lt;$G27,BB$15&gt;$G27+$F$5),0,IF(OR(BB$15=$G27,BB$15=$G27+$F$5),0.5,1)/$F$5)</f>
        <v/>
      </c>
      <c r="BC27" s="177">
        <f>IF(OR(BC$15&lt;$G27,BC$15&gt;$G27+$F$5),0,IF(OR(BC$15=$G27,BC$15=$G27+$F$5),0.5,1)/$F$5)</f>
        <v/>
      </c>
      <c r="BD27" s="177">
        <f>IF(OR(BD$15&lt;$G27,BD$15&gt;$G27+$F$5),0,IF(OR(BD$15=$G27,BD$15=$G27+$F$5),0.5,1)/$F$5)</f>
        <v/>
      </c>
      <c r="BE27" s="177">
        <f>IF(OR(BE$15&lt;$G27,BE$15&gt;$G27+$F$5),0,IF(OR(BE$15=$G27,BE$15=$G27+$F$5),0.5,1)/$F$5)</f>
        <v/>
      </c>
      <c r="BF27" s="211">
        <f>IF(OR($G27&lt;V$15,$G27+$F$5&gt;BE$15),0,ABS(SUM(V27:BE27)-1))</f>
        <v/>
      </c>
    </row>
    <row r="28">
      <c r="A28" s="145" t="n">
        <v>12</v>
      </c>
      <c r="B28" s="204">
        <f>EDATE($B27,1)</f>
        <v/>
      </c>
      <c r="C28" s="205">
        <f>EOMONTH($B28,0)</f>
        <v/>
      </c>
      <c r="D28" s="201">
        <f>$C28-$B28+1</f>
        <v/>
      </c>
      <c r="E28" s="201">
        <f>MONTH($B28)</f>
        <v/>
      </c>
      <c r="F28" s="206">
        <f>($B28+$C28+1)/2</f>
        <v/>
      </c>
      <c r="G28" s="201">
        <f>YEAR($B28)*12+MONTH($B28)-1</f>
        <v/>
      </c>
      <c r="H28" s="207">
        <f>IF(OR(nr_SeasonOn="OFF",$F$6=0,$F$7=0),1,12*INDEX(se_block,$F$6,$E28)/$F$7)</f>
        <v/>
      </c>
      <c r="I28" s="208">
        <f>EXP(SUMPRODUCT((rl_eff&lt;$B28)*(rl_key=nr_SelKey)*rl_ln1p))</f>
        <v/>
      </c>
      <c r="J28" s="208">
        <f>EXP(SUMPRODUCT((rl_eff&lt;=$C28)*(rl_key=nr_SelKey)*rl_ln1p))</f>
        <v/>
      </c>
      <c r="K28" s="201">
        <f>COUNTIFS(rl_key,nr_SelKey,rl_eff,"&gt;="&amp;$B28,rl_eff,"&lt;="&amp;$C28)</f>
        <v/>
      </c>
      <c r="L28" s="201">
        <f>SUMIFS(rl_daysafter,rl_key,nr_SelKey,rl_effmonth,$B28,rl_first,1)</f>
        <v/>
      </c>
      <c r="M28" s="209">
        <f>IF($K28=0,0,MIN(1,$L28/$D28))</f>
        <v/>
      </c>
      <c r="N28" s="208">
        <f>IF($K28=0,$J28,(1-$M28)*$I28+$M28*$J28)</f>
        <v/>
      </c>
      <c r="O28" s="210">
        <f>'Mod Engine'!$E28</f>
        <v/>
      </c>
      <c r="P28" s="208">
        <f>MIN(1,MAX(0,(nr_MEndPm1-$G28+0.5)/$F$5))-MIN(1,MAX(0,(nr_MStartPm1-1-$G28+0.5)/$F$5))</f>
        <v/>
      </c>
      <c r="Q28" s="208">
        <f>MIN(1,MAX(0,(nr_MEndP-$G28+0.5)/$F$5))-MIN(1,MAX(0,(nr_MStartP-1-$G28+0.5)/$F$5))</f>
        <v/>
      </c>
      <c r="R28" s="208">
        <f>MIN(1,MAX(0,(nr_MEndP1-$G28+0.5)/$F$5))-MIN(1,MAX(0,(nr_MStartP1-1-$G28+0.5)/$F$5))</f>
        <v/>
      </c>
      <c r="S28" s="208">
        <f>IF(nr_NetMode,$N28*IF(nr_ModAdjEff="ON",$O28/nr_MInd,1),"")</f>
        <v/>
      </c>
      <c r="T28" s="208">
        <f>IF(NOT(nr_NetMode),"",IF($G28&lt;nr_MStartP,$S28,$T16*(1+IF($G28&lt;nr_MStartP1,nr_NetSelP,nr_NetSelP1))))</f>
        <v/>
      </c>
      <c r="U28" s="208">
        <f>IF(nr_NetMode,$T28,$N28)</f>
        <v/>
      </c>
      <c r="V28" s="177">
        <f>IF(OR(V$15&lt;$G28,V$15&gt;$G28+$F$5),0,IF(OR(V$15=$G28,V$15=$G28+$F$5),0.5,1)/$F$5)</f>
        <v/>
      </c>
      <c r="W28" s="177">
        <f>IF(OR(W$15&lt;$G28,W$15&gt;$G28+$F$5),0,IF(OR(W$15=$G28,W$15=$G28+$F$5),0.5,1)/$F$5)</f>
        <v/>
      </c>
      <c r="X28" s="177">
        <f>IF(OR(X$15&lt;$G28,X$15&gt;$G28+$F$5),0,IF(OR(X$15=$G28,X$15=$G28+$F$5),0.5,1)/$F$5)</f>
        <v/>
      </c>
      <c r="Y28" s="177">
        <f>IF(OR(Y$15&lt;$G28,Y$15&gt;$G28+$F$5),0,IF(OR(Y$15=$G28,Y$15=$G28+$F$5),0.5,1)/$F$5)</f>
        <v/>
      </c>
      <c r="Z28" s="177">
        <f>IF(OR(Z$15&lt;$G28,Z$15&gt;$G28+$F$5),0,IF(OR(Z$15=$G28,Z$15=$G28+$F$5),0.5,1)/$F$5)</f>
        <v/>
      </c>
      <c r="AA28" s="177">
        <f>IF(OR(AA$15&lt;$G28,AA$15&gt;$G28+$F$5),0,IF(OR(AA$15=$G28,AA$15=$G28+$F$5),0.5,1)/$F$5)</f>
        <v/>
      </c>
      <c r="AB28" s="177">
        <f>IF(OR(AB$15&lt;$G28,AB$15&gt;$G28+$F$5),0,IF(OR(AB$15=$G28,AB$15=$G28+$F$5),0.5,1)/$F$5)</f>
        <v/>
      </c>
      <c r="AC28" s="177">
        <f>IF(OR(AC$15&lt;$G28,AC$15&gt;$G28+$F$5),0,IF(OR(AC$15=$G28,AC$15=$G28+$F$5),0.5,1)/$F$5)</f>
        <v/>
      </c>
      <c r="AD28" s="177">
        <f>IF(OR(AD$15&lt;$G28,AD$15&gt;$G28+$F$5),0,IF(OR(AD$15=$G28,AD$15=$G28+$F$5),0.5,1)/$F$5)</f>
        <v/>
      </c>
      <c r="AE28" s="177">
        <f>IF(OR(AE$15&lt;$G28,AE$15&gt;$G28+$F$5),0,IF(OR(AE$15=$G28,AE$15=$G28+$F$5),0.5,1)/$F$5)</f>
        <v/>
      </c>
      <c r="AF28" s="177">
        <f>IF(OR(AF$15&lt;$G28,AF$15&gt;$G28+$F$5),0,IF(OR(AF$15=$G28,AF$15=$G28+$F$5),0.5,1)/$F$5)</f>
        <v/>
      </c>
      <c r="AG28" s="177">
        <f>IF(OR(AG$15&lt;$G28,AG$15&gt;$G28+$F$5),0,IF(OR(AG$15=$G28,AG$15=$G28+$F$5),0.5,1)/$F$5)</f>
        <v/>
      </c>
      <c r="AH28" s="177">
        <f>IF(OR(AH$15&lt;$G28,AH$15&gt;$G28+$F$5),0,IF(OR(AH$15=$G28,AH$15=$G28+$F$5),0.5,1)/$F$5)</f>
        <v/>
      </c>
      <c r="AI28" s="177">
        <f>IF(OR(AI$15&lt;$G28,AI$15&gt;$G28+$F$5),0,IF(OR(AI$15=$G28,AI$15=$G28+$F$5),0.5,1)/$F$5)</f>
        <v/>
      </c>
      <c r="AJ28" s="177">
        <f>IF(OR(AJ$15&lt;$G28,AJ$15&gt;$G28+$F$5),0,IF(OR(AJ$15=$G28,AJ$15=$G28+$F$5),0.5,1)/$F$5)</f>
        <v/>
      </c>
      <c r="AK28" s="177">
        <f>IF(OR(AK$15&lt;$G28,AK$15&gt;$G28+$F$5),0,IF(OR(AK$15=$G28,AK$15=$G28+$F$5),0.5,1)/$F$5)</f>
        <v/>
      </c>
      <c r="AL28" s="177">
        <f>IF(OR(AL$15&lt;$G28,AL$15&gt;$G28+$F$5),0,IF(OR(AL$15=$G28,AL$15=$G28+$F$5),0.5,1)/$F$5)</f>
        <v/>
      </c>
      <c r="AM28" s="177">
        <f>IF(OR(AM$15&lt;$G28,AM$15&gt;$G28+$F$5),0,IF(OR(AM$15=$G28,AM$15=$G28+$F$5),0.5,1)/$F$5)</f>
        <v/>
      </c>
      <c r="AN28" s="177">
        <f>IF(OR(AN$15&lt;$G28,AN$15&gt;$G28+$F$5),0,IF(OR(AN$15=$G28,AN$15=$G28+$F$5),0.5,1)/$F$5)</f>
        <v/>
      </c>
      <c r="AO28" s="177">
        <f>IF(OR(AO$15&lt;$G28,AO$15&gt;$G28+$F$5),0,IF(OR(AO$15=$G28,AO$15=$G28+$F$5),0.5,1)/$F$5)</f>
        <v/>
      </c>
      <c r="AP28" s="177">
        <f>IF(OR(AP$15&lt;$G28,AP$15&gt;$G28+$F$5),0,IF(OR(AP$15=$G28,AP$15=$G28+$F$5),0.5,1)/$F$5)</f>
        <v/>
      </c>
      <c r="AQ28" s="177">
        <f>IF(OR(AQ$15&lt;$G28,AQ$15&gt;$G28+$F$5),0,IF(OR(AQ$15=$G28,AQ$15=$G28+$F$5),0.5,1)/$F$5)</f>
        <v/>
      </c>
      <c r="AR28" s="177">
        <f>IF(OR(AR$15&lt;$G28,AR$15&gt;$G28+$F$5),0,IF(OR(AR$15=$G28,AR$15=$G28+$F$5),0.5,1)/$F$5)</f>
        <v/>
      </c>
      <c r="AS28" s="177">
        <f>IF(OR(AS$15&lt;$G28,AS$15&gt;$G28+$F$5),0,IF(OR(AS$15=$G28,AS$15=$G28+$F$5),0.5,1)/$F$5)</f>
        <v/>
      </c>
      <c r="AT28" s="177">
        <f>IF(OR(AT$15&lt;$G28,AT$15&gt;$G28+$F$5),0,IF(OR(AT$15=$G28,AT$15=$G28+$F$5),0.5,1)/$F$5)</f>
        <v/>
      </c>
      <c r="AU28" s="177">
        <f>IF(OR(AU$15&lt;$G28,AU$15&gt;$G28+$F$5),0,IF(OR(AU$15=$G28,AU$15=$G28+$F$5),0.5,1)/$F$5)</f>
        <v/>
      </c>
      <c r="AV28" s="177">
        <f>IF(OR(AV$15&lt;$G28,AV$15&gt;$G28+$F$5),0,IF(OR(AV$15=$G28,AV$15=$G28+$F$5),0.5,1)/$F$5)</f>
        <v/>
      </c>
      <c r="AW28" s="177">
        <f>IF(OR(AW$15&lt;$G28,AW$15&gt;$G28+$F$5),0,IF(OR(AW$15=$G28,AW$15=$G28+$F$5),0.5,1)/$F$5)</f>
        <v/>
      </c>
      <c r="AX28" s="177">
        <f>IF(OR(AX$15&lt;$G28,AX$15&gt;$G28+$F$5),0,IF(OR(AX$15=$G28,AX$15=$G28+$F$5),0.5,1)/$F$5)</f>
        <v/>
      </c>
      <c r="AY28" s="177">
        <f>IF(OR(AY$15&lt;$G28,AY$15&gt;$G28+$F$5),0,IF(OR(AY$15=$G28,AY$15=$G28+$F$5),0.5,1)/$F$5)</f>
        <v/>
      </c>
      <c r="AZ28" s="177">
        <f>IF(OR(AZ$15&lt;$G28,AZ$15&gt;$G28+$F$5),0,IF(OR(AZ$15=$G28,AZ$15=$G28+$F$5),0.5,1)/$F$5)</f>
        <v/>
      </c>
      <c r="BA28" s="177">
        <f>IF(OR(BA$15&lt;$G28,BA$15&gt;$G28+$F$5),0,IF(OR(BA$15=$G28,BA$15=$G28+$F$5),0.5,1)/$F$5)</f>
        <v/>
      </c>
      <c r="BB28" s="177">
        <f>IF(OR(BB$15&lt;$G28,BB$15&gt;$G28+$F$5),0,IF(OR(BB$15=$G28,BB$15=$G28+$F$5),0.5,1)/$F$5)</f>
        <v/>
      </c>
      <c r="BC28" s="177">
        <f>IF(OR(BC$15&lt;$G28,BC$15&gt;$G28+$F$5),0,IF(OR(BC$15=$G28,BC$15=$G28+$F$5),0.5,1)/$F$5)</f>
        <v/>
      </c>
      <c r="BD28" s="177">
        <f>IF(OR(BD$15&lt;$G28,BD$15&gt;$G28+$F$5),0,IF(OR(BD$15=$G28,BD$15=$G28+$F$5),0.5,1)/$F$5)</f>
        <v/>
      </c>
      <c r="BE28" s="177">
        <f>IF(OR(BE$15&lt;$G28,BE$15&gt;$G28+$F$5),0,IF(OR(BE$15=$G28,BE$15=$G28+$F$5),0.5,1)/$F$5)</f>
        <v/>
      </c>
      <c r="BF28" s="211">
        <f>IF(OR($G28&lt;V$15,$G28+$F$5&gt;BE$15),0,ABS(SUM(V28:BE28)-1))</f>
        <v/>
      </c>
    </row>
    <row r="29">
      <c r="A29" s="145" t="n">
        <v>13</v>
      </c>
      <c r="B29" s="204">
        <f>EDATE($B28,1)</f>
        <v/>
      </c>
      <c r="C29" s="205">
        <f>EOMONTH($B29,0)</f>
        <v/>
      </c>
      <c r="D29" s="201">
        <f>$C29-$B29+1</f>
        <v/>
      </c>
      <c r="E29" s="201">
        <f>MONTH($B29)</f>
        <v/>
      </c>
      <c r="F29" s="206">
        <f>($B29+$C29+1)/2</f>
        <v/>
      </c>
      <c r="G29" s="201">
        <f>YEAR($B29)*12+MONTH($B29)-1</f>
        <v/>
      </c>
      <c r="H29" s="207">
        <f>IF(OR(nr_SeasonOn="OFF",$F$6=0,$F$7=0),1,12*INDEX(se_block,$F$6,$E29)/$F$7)</f>
        <v/>
      </c>
      <c r="I29" s="208">
        <f>EXP(SUMPRODUCT((rl_eff&lt;$B29)*(rl_key=nr_SelKey)*rl_ln1p))</f>
        <v/>
      </c>
      <c r="J29" s="208">
        <f>EXP(SUMPRODUCT((rl_eff&lt;=$C29)*(rl_key=nr_SelKey)*rl_ln1p))</f>
        <v/>
      </c>
      <c r="K29" s="201">
        <f>COUNTIFS(rl_key,nr_SelKey,rl_eff,"&gt;="&amp;$B29,rl_eff,"&lt;="&amp;$C29)</f>
        <v/>
      </c>
      <c r="L29" s="201">
        <f>SUMIFS(rl_daysafter,rl_key,nr_SelKey,rl_effmonth,$B29,rl_first,1)</f>
        <v/>
      </c>
      <c r="M29" s="209">
        <f>IF($K29=0,0,MIN(1,$L29/$D29))</f>
        <v/>
      </c>
      <c r="N29" s="208">
        <f>IF($K29=0,$J29,(1-$M29)*$I29+$M29*$J29)</f>
        <v/>
      </c>
      <c r="O29" s="210">
        <f>'Mod Engine'!$E29</f>
        <v/>
      </c>
      <c r="P29" s="208">
        <f>MIN(1,MAX(0,(nr_MEndPm1-$G29+0.5)/$F$5))-MIN(1,MAX(0,(nr_MStartPm1-1-$G29+0.5)/$F$5))</f>
        <v/>
      </c>
      <c r="Q29" s="208">
        <f>MIN(1,MAX(0,(nr_MEndP-$G29+0.5)/$F$5))-MIN(1,MAX(0,(nr_MStartP-1-$G29+0.5)/$F$5))</f>
        <v/>
      </c>
      <c r="R29" s="208">
        <f>MIN(1,MAX(0,(nr_MEndP1-$G29+0.5)/$F$5))-MIN(1,MAX(0,(nr_MStartP1-1-$G29+0.5)/$F$5))</f>
        <v/>
      </c>
      <c r="S29" s="208">
        <f>IF(nr_NetMode,$N29*IF(nr_ModAdjEff="ON",$O29/nr_MInd,1),"")</f>
        <v/>
      </c>
      <c r="T29" s="208">
        <f>IF(NOT(nr_NetMode),"",IF($G29&lt;nr_MStartP,$S29,$T17*(1+IF($G29&lt;nr_MStartP1,nr_NetSelP,nr_NetSelP1))))</f>
        <v/>
      </c>
      <c r="U29" s="208">
        <f>IF(nr_NetMode,$T29,$N29)</f>
        <v/>
      </c>
      <c r="V29" s="177">
        <f>IF(OR(V$15&lt;$G29,V$15&gt;$G29+$F$5),0,IF(OR(V$15=$G29,V$15=$G29+$F$5),0.5,1)/$F$5)</f>
        <v/>
      </c>
      <c r="W29" s="177">
        <f>IF(OR(W$15&lt;$G29,W$15&gt;$G29+$F$5),0,IF(OR(W$15=$G29,W$15=$G29+$F$5),0.5,1)/$F$5)</f>
        <v/>
      </c>
      <c r="X29" s="177">
        <f>IF(OR(X$15&lt;$G29,X$15&gt;$G29+$F$5),0,IF(OR(X$15=$G29,X$15=$G29+$F$5),0.5,1)/$F$5)</f>
        <v/>
      </c>
      <c r="Y29" s="177">
        <f>IF(OR(Y$15&lt;$G29,Y$15&gt;$G29+$F$5),0,IF(OR(Y$15=$G29,Y$15=$G29+$F$5),0.5,1)/$F$5)</f>
        <v/>
      </c>
      <c r="Z29" s="177">
        <f>IF(OR(Z$15&lt;$G29,Z$15&gt;$G29+$F$5),0,IF(OR(Z$15=$G29,Z$15=$G29+$F$5),0.5,1)/$F$5)</f>
        <v/>
      </c>
      <c r="AA29" s="177">
        <f>IF(OR(AA$15&lt;$G29,AA$15&gt;$G29+$F$5),0,IF(OR(AA$15=$G29,AA$15=$G29+$F$5),0.5,1)/$F$5)</f>
        <v/>
      </c>
      <c r="AB29" s="177">
        <f>IF(OR(AB$15&lt;$G29,AB$15&gt;$G29+$F$5),0,IF(OR(AB$15=$G29,AB$15=$G29+$F$5),0.5,1)/$F$5)</f>
        <v/>
      </c>
      <c r="AC29" s="177">
        <f>IF(OR(AC$15&lt;$G29,AC$15&gt;$G29+$F$5),0,IF(OR(AC$15=$G29,AC$15=$G29+$F$5),0.5,1)/$F$5)</f>
        <v/>
      </c>
      <c r="AD29" s="177">
        <f>IF(OR(AD$15&lt;$G29,AD$15&gt;$G29+$F$5),0,IF(OR(AD$15=$G29,AD$15=$G29+$F$5),0.5,1)/$F$5)</f>
        <v/>
      </c>
      <c r="AE29" s="177">
        <f>IF(OR(AE$15&lt;$G29,AE$15&gt;$G29+$F$5),0,IF(OR(AE$15=$G29,AE$15=$G29+$F$5),0.5,1)/$F$5)</f>
        <v/>
      </c>
      <c r="AF29" s="177">
        <f>IF(OR(AF$15&lt;$G29,AF$15&gt;$G29+$F$5),0,IF(OR(AF$15=$G29,AF$15=$G29+$F$5),0.5,1)/$F$5)</f>
        <v/>
      </c>
      <c r="AG29" s="177">
        <f>IF(OR(AG$15&lt;$G29,AG$15&gt;$G29+$F$5),0,IF(OR(AG$15=$G29,AG$15=$G29+$F$5),0.5,1)/$F$5)</f>
        <v/>
      </c>
      <c r="AH29" s="177">
        <f>IF(OR(AH$15&lt;$G29,AH$15&gt;$G29+$F$5),0,IF(OR(AH$15=$G29,AH$15=$G29+$F$5),0.5,1)/$F$5)</f>
        <v/>
      </c>
      <c r="AI29" s="177">
        <f>IF(OR(AI$15&lt;$G29,AI$15&gt;$G29+$F$5),0,IF(OR(AI$15=$G29,AI$15=$G29+$F$5),0.5,1)/$F$5)</f>
        <v/>
      </c>
      <c r="AJ29" s="177">
        <f>IF(OR(AJ$15&lt;$G29,AJ$15&gt;$G29+$F$5),0,IF(OR(AJ$15=$G29,AJ$15=$G29+$F$5),0.5,1)/$F$5)</f>
        <v/>
      </c>
      <c r="AK29" s="177">
        <f>IF(OR(AK$15&lt;$G29,AK$15&gt;$G29+$F$5),0,IF(OR(AK$15=$G29,AK$15=$G29+$F$5),0.5,1)/$F$5)</f>
        <v/>
      </c>
      <c r="AL29" s="177">
        <f>IF(OR(AL$15&lt;$G29,AL$15&gt;$G29+$F$5),0,IF(OR(AL$15=$G29,AL$15=$G29+$F$5),0.5,1)/$F$5)</f>
        <v/>
      </c>
      <c r="AM29" s="177">
        <f>IF(OR(AM$15&lt;$G29,AM$15&gt;$G29+$F$5),0,IF(OR(AM$15=$G29,AM$15=$G29+$F$5),0.5,1)/$F$5)</f>
        <v/>
      </c>
      <c r="AN29" s="177">
        <f>IF(OR(AN$15&lt;$G29,AN$15&gt;$G29+$F$5),0,IF(OR(AN$15=$G29,AN$15=$G29+$F$5),0.5,1)/$F$5)</f>
        <v/>
      </c>
      <c r="AO29" s="177">
        <f>IF(OR(AO$15&lt;$G29,AO$15&gt;$G29+$F$5),0,IF(OR(AO$15=$G29,AO$15=$G29+$F$5),0.5,1)/$F$5)</f>
        <v/>
      </c>
      <c r="AP29" s="177">
        <f>IF(OR(AP$15&lt;$G29,AP$15&gt;$G29+$F$5),0,IF(OR(AP$15=$G29,AP$15=$G29+$F$5),0.5,1)/$F$5)</f>
        <v/>
      </c>
      <c r="AQ29" s="177">
        <f>IF(OR(AQ$15&lt;$G29,AQ$15&gt;$G29+$F$5),0,IF(OR(AQ$15=$G29,AQ$15=$G29+$F$5),0.5,1)/$F$5)</f>
        <v/>
      </c>
      <c r="AR29" s="177">
        <f>IF(OR(AR$15&lt;$G29,AR$15&gt;$G29+$F$5),0,IF(OR(AR$15=$G29,AR$15=$G29+$F$5),0.5,1)/$F$5)</f>
        <v/>
      </c>
      <c r="AS29" s="177">
        <f>IF(OR(AS$15&lt;$G29,AS$15&gt;$G29+$F$5),0,IF(OR(AS$15=$G29,AS$15=$G29+$F$5),0.5,1)/$F$5)</f>
        <v/>
      </c>
      <c r="AT29" s="177">
        <f>IF(OR(AT$15&lt;$G29,AT$15&gt;$G29+$F$5),0,IF(OR(AT$15=$G29,AT$15=$G29+$F$5),0.5,1)/$F$5)</f>
        <v/>
      </c>
      <c r="AU29" s="177">
        <f>IF(OR(AU$15&lt;$G29,AU$15&gt;$G29+$F$5),0,IF(OR(AU$15=$G29,AU$15=$G29+$F$5),0.5,1)/$F$5)</f>
        <v/>
      </c>
      <c r="AV29" s="177">
        <f>IF(OR(AV$15&lt;$G29,AV$15&gt;$G29+$F$5),0,IF(OR(AV$15=$G29,AV$15=$G29+$F$5),0.5,1)/$F$5)</f>
        <v/>
      </c>
      <c r="AW29" s="177">
        <f>IF(OR(AW$15&lt;$G29,AW$15&gt;$G29+$F$5),0,IF(OR(AW$15=$G29,AW$15=$G29+$F$5),0.5,1)/$F$5)</f>
        <v/>
      </c>
      <c r="AX29" s="177">
        <f>IF(OR(AX$15&lt;$G29,AX$15&gt;$G29+$F$5),0,IF(OR(AX$15=$G29,AX$15=$G29+$F$5),0.5,1)/$F$5)</f>
        <v/>
      </c>
      <c r="AY29" s="177">
        <f>IF(OR(AY$15&lt;$G29,AY$15&gt;$G29+$F$5),0,IF(OR(AY$15=$G29,AY$15=$G29+$F$5),0.5,1)/$F$5)</f>
        <v/>
      </c>
      <c r="AZ29" s="177">
        <f>IF(OR(AZ$15&lt;$G29,AZ$15&gt;$G29+$F$5),0,IF(OR(AZ$15=$G29,AZ$15=$G29+$F$5),0.5,1)/$F$5)</f>
        <v/>
      </c>
      <c r="BA29" s="177">
        <f>IF(OR(BA$15&lt;$G29,BA$15&gt;$G29+$F$5),0,IF(OR(BA$15=$G29,BA$15=$G29+$F$5),0.5,1)/$F$5)</f>
        <v/>
      </c>
      <c r="BB29" s="177">
        <f>IF(OR(BB$15&lt;$G29,BB$15&gt;$G29+$F$5),0,IF(OR(BB$15=$G29,BB$15=$G29+$F$5),0.5,1)/$F$5)</f>
        <v/>
      </c>
      <c r="BC29" s="177">
        <f>IF(OR(BC$15&lt;$G29,BC$15&gt;$G29+$F$5),0,IF(OR(BC$15=$G29,BC$15=$G29+$F$5),0.5,1)/$F$5)</f>
        <v/>
      </c>
      <c r="BD29" s="177">
        <f>IF(OR(BD$15&lt;$G29,BD$15&gt;$G29+$F$5),0,IF(OR(BD$15=$G29,BD$15=$G29+$F$5),0.5,1)/$F$5)</f>
        <v/>
      </c>
      <c r="BE29" s="177">
        <f>IF(OR(BE$15&lt;$G29,BE$15&gt;$G29+$F$5),0,IF(OR(BE$15=$G29,BE$15=$G29+$F$5),0.5,1)/$F$5)</f>
        <v/>
      </c>
      <c r="BF29" s="211">
        <f>IF(OR($G29&lt;V$15,$G29+$F$5&gt;BE$15),0,ABS(SUM(V29:BE29)-1))</f>
        <v/>
      </c>
    </row>
    <row r="30">
      <c r="A30" s="145" t="n">
        <v>14</v>
      </c>
      <c r="B30" s="204">
        <f>EDATE($B29,1)</f>
        <v/>
      </c>
      <c r="C30" s="205">
        <f>EOMONTH($B30,0)</f>
        <v/>
      </c>
      <c r="D30" s="201">
        <f>$C30-$B30+1</f>
        <v/>
      </c>
      <c r="E30" s="201">
        <f>MONTH($B30)</f>
        <v/>
      </c>
      <c r="F30" s="206">
        <f>($B30+$C30+1)/2</f>
        <v/>
      </c>
      <c r="G30" s="201">
        <f>YEAR($B30)*12+MONTH($B30)-1</f>
        <v/>
      </c>
      <c r="H30" s="207">
        <f>IF(OR(nr_SeasonOn="OFF",$F$6=0,$F$7=0),1,12*INDEX(se_block,$F$6,$E30)/$F$7)</f>
        <v/>
      </c>
      <c r="I30" s="208">
        <f>EXP(SUMPRODUCT((rl_eff&lt;$B30)*(rl_key=nr_SelKey)*rl_ln1p))</f>
        <v/>
      </c>
      <c r="J30" s="208">
        <f>EXP(SUMPRODUCT((rl_eff&lt;=$C30)*(rl_key=nr_SelKey)*rl_ln1p))</f>
        <v/>
      </c>
      <c r="K30" s="201">
        <f>COUNTIFS(rl_key,nr_SelKey,rl_eff,"&gt;="&amp;$B30,rl_eff,"&lt;="&amp;$C30)</f>
        <v/>
      </c>
      <c r="L30" s="201">
        <f>SUMIFS(rl_daysafter,rl_key,nr_SelKey,rl_effmonth,$B30,rl_first,1)</f>
        <v/>
      </c>
      <c r="M30" s="209">
        <f>IF($K30=0,0,MIN(1,$L30/$D30))</f>
        <v/>
      </c>
      <c r="N30" s="208">
        <f>IF($K30=0,$J30,(1-$M30)*$I30+$M30*$J30)</f>
        <v/>
      </c>
      <c r="O30" s="210">
        <f>'Mod Engine'!$E30</f>
        <v/>
      </c>
      <c r="P30" s="208">
        <f>MIN(1,MAX(0,(nr_MEndPm1-$G30+0.5)/$F$5))-MIN(1,MAX(0,(nr_MStartPm1-1-$G30+0.5)/$F$5))</f>
        <v/>
      </c>
      <c r="Q30" s="208">
        <f>MIN(1,MAX(0,(nr_MEndP-$G30+0.5)/$F$5))-MIN(1,MAX(0,(nr_MStartP-1-$G30+0.5)/$F$5))</f>
        <v/>
      </c>
      <c r="R30" s="208">
        <f>MIN(1,MAX(0,(nr_MEndP1-$G30+0.5)/$F$5))-MIN(1,MAX(0,(nr_MStartP1-1-$G30+0.5)/$F$5))</f>
        <v/>
      </c>
      <c r="S30" s="208">
        <f>IF(nr_NetMode,$N30*IF(nr_ModAdjEff="ON",$O30/nr_MInd,1),"")</f>
        <v/>
      </c>
      <c r="T30" s="208">
        <f>IF(NOT(nr_NetMode),"",IF($G30&lt;nr_MStartP,$S30,$T18*(1+IF($G30&lt;nr_MStartP1,nr_NetSelP,nr_NetSelP1))))</f>
        <v/>
      </c>
      <c r="U30" s="208">
        <f>IF(nr_NetMode,$T30,$N30)</f>
        <v/>
      </c>
      <c r="V30" s="177">
        <f>IF(OR(V$15&lt;$G30,V$15&gt;$G30+$F$5),0,IF(OR(V$15=$G30,V$15=$G30+$F$5),0.5,1)/$F$5)</f>
        <v/>
      </c>
      <c r="W30" s="177">
        <f>IF(OR(W$15&lt;$G30,W$15&gt;$G30+$F$5),0,IF(OR(W$15=$G30,W$15=$G30+$F$5),0.5,1)/$F$5)</f>
        <v/>
      </c>
      <c r="X30" s="177">
        <f>IF(OR(X$15&lt;$G30,X$15&gt;$G30+$F$5),0,IF(OR(X$15=$G30,X$15=$G30+$F$5),0.5,1)/$F$5)</f>
        <v/>
      </c>
      <c r="Y30" s="177">
        <f>IF(OR(Y$15&lt;$G30,Y$15&gt;$G30+$F$5),0,IF(OR(Y$15=$G30,Y$15=$G30+$F$5),0.5,1)/$F$5)</f>
        <v/>
      </c>
      <c r="Z30" s="177">
        <f>IF(OR(Z$15&lt;$G30,Z$15&gt;$G30+$F$5),0,IF(OR(Z$15=$G30,Z$15=$G30+$F$5),0.5,1)/$F$5)</f>
        <v/>
      </c>
      <c r="AA30" s="177">
        <f>IF(OR(AA$15&lt;$G30,AA$15&gt;$G30+$F$5),0,IF(OR(AA$15=$G30,AA$15=$G30+$F$5),0.5,1)/$F$5)</f>
        <v/>
      </c>
      <c r="AB30" s="177">
        <f>IF(OR(AB$15&lt;$G30,AB$15&gt;$G30+$F$5),0,IF(OR(AB$15=$G30,AB$15=$G30+$F$5),0.5,1)/$F$5)</f>
        <v/>
      </c>
      <c r="AC30" s="177">
        <f>IF(OR(AC$15&lt;$G30,AC$15&gt;$G30+$F$5),0,IF(OR(AC$15=$G30,AC$15=$G30+$F$5),0.5,1)/$F$5)</f>
        <v/>
      </c>
      <c r="AD30" s="177">
        <f>IF(OR(AD$15&lt;$G30,AD$15&gt;$G30+$F$5),0,IF(OR(AD$15=$G30,AD$15=$G30+$F$5),0.5,1)/$F$5)</f>
        <v/>
      </c>
      <c r="AE30" s="177">
        <f>IF(OR(AE$15&lt;$G30,AE$15&gt;$G30+$F$5),0,IF(OR(AE$15=$G30,AE$15=$G30+$F$5),0.5,1)/$F$5)</f>
        <v/>
      </c>
      <c r="AF30" s="177">
        <f>IF(OR(AF$15&lt;$G30,AF$15&gt;$G30+$F$5),0,IF(OR(AF$15=$G30,AF$15=$G30+$F$5),0.5,1)/$F$5)</f>
        <v/>
      </c>
      <c r="AG30" s="177">
        <f>IF(OR(AG$15&lt;$G30,AG$15&gt;$G30+$F$5),0,IF(OR(AG$15=$G30,AG$15=$G30+$F$5),0.5,1)/$F$5)</f>
        <v/>
      </c>
      <c r="AH30" s="177">
        <f>IF(OR(AH$15&lt;$G30,AH$15&gt;$G30+$F$5),0,IF(OR(AH$15=$G30,AH$15=$G30+$F$5),0.5,1)/$F$5)</f>
        <v/>
      </c>
      <c r="AI30" s="177">
        <f>IF(OR(AI$15&lt;$G30,AI$15&gt;$G30+$F$5),0,IF(OR(AI$15=$G30,AI$15=$G30+$F$5),0.5,1)/$F$5)</f>
        <v/>
      </c>
      <c r="AJ30" s="177">
        <f>IF(OR(AJ$15&lt;$G30,AJ$15&gt;$G30+$F$5),0,IF(OR(AJ$15=$G30,AJ$15=$G30+$F$5),0.5,1)/$F$5)</f>
        <v/>
      </c>
      <c r="AK30" s="177">
        <f>IF(OR(AK$15&lt;$G30,AK$15&gt;$G30+$F$5),0,IF(OR(AK$15=$G30,AK$15=$G30+$F$5),0.5,1)/$F$5)</f>
        <v/>
      </c>
      <c r="AL30" s="177">
        <f>IF(OR(AL$15&lt;$G30,AL$15&gt;$G30+$F$5),0,IF(OR(AL$15=$G30,AL$15=$G30+$F$5),0.5,1)/$F$5)</f>
        <v/>
      </c>
      <c r="AM30" s="177">
        <f>IF(OR(AM$15&lt;$G30,AM$15&gt;$G30+$F$5),0,IF(OR(AM$15=$G30,AM$15=$G30+$F$5),0.5,1)/$F$5)</f>
        <v/>
      </c>
      <c r="AN30" s="177">
        <f>IF(OR(AN$15&lt;$G30,AN$15&gt;$G30+$F$5),0,IF(OR(AN$15=$G30,AN$15=$G30+$F$5),0.5,1)/$F$5)</f>
        <v/>
      </c>
      <c r="AO30" s="177">
        <f>IF(OR(AO$15&lt;$G30,AO$15&gt;$G30+$F$5),0,IF(OR(AO$15=$G30,AO$15=$G30+$F$5),0.5,1)/$F$5)</f>
        <v/>
      </c>
      <c r="AP30" s="177">
        <f>IF(OR(AP$15&lt;$G30,AP$15&gt;$G30+$F$5),0,IF(OR(AP$15=$G30,AP$15=$G30+$F$5),0.5,1)/$F$5)</f>
        <v/>
      </c>
      <c r="AQ30" s="177">
        <f>IF(OR(AQ$15&lt;$G30,AQ$15&gt;$G30+$F$5),0,IF(OR(AQ$15=$G30,AQ$15=$G30+$F$5),0.5,1)/$F$5)</f>
        <v/>
      </c>
      <c r="AR30" s="177">
        <f>IF(OR(AR$15&lt;$G30,AR$15&gt;$G30+$F$5),0,IF(OR(AR$15=$G30,AR$15=$G30+$F$5),0.5,1)/$F$5)</f>
        <v/>
      </c>
      <c r="AS30" s="177">
        <f>IF(OR(AS$15&lt;$G30,AS$15&gt;$G30+$F$5),0,IF(OR(AS$15=$G30,AS$15=$G30+$F$5),0.5,1)/$F$5)</f>
        <v/>
      </c>
      <c r="AT30" s="177">
        <f>IF(OR(AT$15&lt;$G30,AT$15&gt;$G30+$F$5),0,IF(OR(AT$15=$G30,AT$15=$G30+$F$5),0.5,1)/$F$5)</f>
        <v/>
      </c>
      <c r="AU30" s="177">
        <f>IF(OR(AU$15&lt;$G30,AU$15&gt;$G30+$F$5),0,IF(OR(AU$15=$G30,AU$15=$G30+$F$5),0.5,1)/$F$5)</f>
        <v/>
      </c>
      <c r="AV30" s="177">
        <f>IF(OR(AV$15&lt;$G30,AV$15&gt;$G30+$F$5),0,IF(OR(AV$15=$G30,AV$15=$G30+$F$5),0.5,1)/$F$5)</f>
        <v/>
      </c>
      <c r="AW30" s="177">
        <f>IF(OR(AW$15&lt;$G30,AW$15&gt;$G30+$F$5),0,IF(OR(AW$15=$G30,AW$15=$G30+$F$5),0.5,1)/$F$5)</f>
        <v/>
      </c>
      <c r="AX30" s="177">
        <f>IF(OR(AX$15&lt;$G30,AX$15&gt;$G30+$F$5),0,IF(OR(AX$15=$G30,AX$15=$G30+$F$5),0.5,1)/$F$5)</f>
        <v/>
      </c>
      <c r="AY30" s="177">
        <f>IF(OR(AY$15&lt;$G30,AY$15&gt;$G30+$F$5),0,IF(OR(AY$15=$G30,AY$15=$G30+$F$5),0.5,1)/$F$5)</f>
        <v/>
      </c>
      <c r="AZ30" s="177">
        <f>IF(OR(AZ$15&lt;$G30,AZ$15&gt;$G30+$F$5),0,IF(OR(AZ$15=$G30,AZ$15=$G30+$F$5),0.5,1)/$F$5)</f>
        <v/>
      </c>
      <c r="BA30" s="177">
        <f>IF(OR(BA$15&lt;$G30,BA$15&gt;$G30+$F$5),0,IF(OR(BA$15=$G30,BA$15=$G30+$F$5),0.5,1)/$F$5)</f>
        <v/>
      </c>
      <c r="BB30" s="177">
        <f>IF(OR(BB$15&lt;$G30,BB$15&gt;$G30+$F$5),0,IF(OR(BB$15=$G30,BB$15=$G30+$F$5),0.5,1)/$F$5)</f>
        <v/>
      </c>
      <c r="BC30" s="177">
        <f>IF(OR(BC$15&lt;$G30,BC$15&gt;$G30+$F$5),0,IF(OR(BC$15=$G30,BC$15=$G30+$F$5),0.5,1)/$F$5)</f>
        <v/>
      </c>
      <c r="BD30" s="177">
        <f>IF(OR(BD$15&lt;$G30,BD$15&gt;$G30+$F$5),0,IF(OR(BD$15=$G30,BD$15=$G30+$F$5),0.5,1)/$F$5)</f>
        <v/>
      </c>
      <c r="BE30" s="177">
        <f>IF(OR(BE$15&lt;$G30,BE$15&gt;$G30+$F$5),0,IF(OR(BE$15=$G30,BE$15=$G30+$F$5),0.5,1)/$F$5)</f>
        <v/>
      </c>
      <c r="BF30" s="211">
        <f>IF(OR($G30&lt;V$15,$G30+$F$5&gt;BE$15),0,ABS(SUM(V30:BE30)-1))</f>
        <v/>
      </c>
    </row>
    <row r="31">
      <c r="A31" s="145" t="n">
        <v>15</v>
      </c>
      <c r="B31" s="204">
        <f>EDATE($B30,1)</f>
        <v/>
      </c>
      <c r="C31" s="205">
        <f>EOMONTH($B31,0)</f>
        <v/>
      </c>
      <c r="D31" s="201">
        <f>$C31-$B31+1</f>
        <v/>
      </c>
      <c r="E31" s="201">
        <f>MONTH($B31)</f>
        <v/>
      </c>
      <c r="F31" s="206">
        <f>($B31+$C31+1)/2</f>
        <v/>
      </c>
      <c r="G31" s="201">
        <f>YEAR($B31)*12+MONTH($B31)-1</f>
        <v/>
      </c>
      <c r="H31" s="207">
        <f>IF(OR(nr_SeasonOn="OFF",$F$6=0,$F$7=0),1,12*INDEX(se_block,$F$6,$E31)/$F$7)</f>
        <v/>
      </c>
      <c r="I31" s="208">
        <f>EXP(SUMPRODUCT((rl_eff&lt;$B31)*(rl_key=nr_SelKey)*rl_ln1p))</f>
        <v/>
      </c>
      <c r="J31" s="208">
        <f>EXP(SUMPRODUCT((rl_eff&lt;=$C31)*(rl_key=nr_SelKey)*rl_ln1p))</f>
        <v/>
      </c>
      <c r="K31" s="201">
        <f>COUNTIFS(rl_key,nr_SelKey,rl_eff,"&gt;="&amp;$B31,rl_eff,"&lt;="&amp;$C31)</f>
        <v/>
      </c>
      <c r="L31" s="201">
        <f>SUMIFS(rl_daysafter,rl_key,nr_SelKey,rl_effmonth,$B31,rl_first,1)</f>
        <v/>
      </c>
      <c r="M31" s="209">
        <f>IF($K31=0,0,MIN(1,$L31/$D31))</f>
        <v/>
      </c>
      <c r="N31" s="208">
        <f>IF($K31=0,$J31,(1-$M31)*$I31+$M31*$J31)</f>
        <v/>
      </c>
      <c r="O31" s="210">
        <f>'Mod Engine'!$E31</f>
        <v/>
      </c>
      <c r="P31" s="208">
        <f>MIN(1,MAX(0,(nr_MEndPm1-$G31+0.5)/$F$5))-MIN(1,MAX(0,(nr_MStartPm1-1-$G31+0.5)/$F$5))</f>
        <v/>
      </c>
      <c r="Q31" s="208">
        <f>MIN(1,MAX(0,(nr_MEndP-$G31+0.5)/$F$5))-MIN(1,MAX(0,(nr_MStartP-1-$G31+0.5)/$F$5))</f>
        <v/>
      </c>
      <c r="R31" s="208">
        <f>MIN(1,MAX(0,(nr_MEndP1-$G31+0.5)/$F$5))-MIN(1,MAX(0,(nr_MStartP1-1-$G31+0.5)/$F$5))</f>
        <v/>
      </c>
      <c r="S31" s="208">
        <f>IF(nr_NetMode,$N31*IF(nr_ModAdjEff="ON",$O31/nr_MInd,1),"")</f>
        <v/>
      </c>
      <c r="T31" s="208">
        <f>IF(NOT(nr_NetMode),"",IF($G31&lt;nr_MStartP,$S31,$T19*(1+IF($G31&lt;nr_MStartP1,nr_NetSelP,nr_NetSelP1))))</f>
        <v/>
      </c>
      <c r="U31" s="208">
        <f>IF(nr_NetMode,$T31,$N31)</f>
        <v/>
      </c>
      <c r="V31" s="177">
        <f>IF(OR(V$15&lt;$G31,V$15&gt;$G31+$F$5),0,IF(OR(V$15=$G31,V$15=$G31+$F$5),0.5,1)/$F$5)</f>
        <v/>
      </c>
      <c r="W31" s="177">
        <f>IF(OR(W$15&lt;$G31,W$15&gt;$G31+$F$5),0,IF(OR(W$15=$G31,W$15=$G31+$F$5),0.5,1)/$F$5)</f>
        <v/>
      </c>
      <c r="X31" s="177">
        <f>IF(OR(X$15&lt;$G31,X$15&gt;$G31+$F$5),0,IF(OR(X$15=$G31,X$15=$G31+$F$5),0.5,1)/$F$5)</f>
        <v/>
      </c>
      <c r="Y31" s="177">
        <f>IF(OR(Y$15&lt;$G31,Y$15&gt;$G31+$F$5),0,IF(OR(Y$15=$G31,Y$15=$G31+$F$5),0.5,1)/$F$5)</f>
        <v/>
      </c>
      <c r="Z31" s="177">
        <f>IF(OR(Z$15&lt;$G31,Z$15&gt;$G31+$F$5),0,IF(OR(Z$15=$G31,Z$15=$G31+$F$5),0.5,1)/$F$5)</f>
        <v/>
      </c>
      <c r="AA31" s="177">
        <f>IF(OR(AA$15&lt;$G31,AA$15&gt;$G31+$F$5),0,IF(OR(AA$15=$G31,AA$15=$G31+$F$5),0.5,1)/$F$5)</f>
        <v/>
      </c>
      <c r="AB31" s="177">
        <f>IF(OR(AB$15&lt;$G31,AB$15&gt;$G31+$F$5),0,IF(OR(AB$15=$G31,AB$15=$G31+$F$5),0.5,1)/$F$5)</f>
        <v/>
      </c>
      <c r="AC31" s="177">
        <f>IF(OR(AC$15&lt;$G31,AC$15&gt;$G31+$F$5),0,IF(OR(AC$15=$G31,AC$15=$G31+$F$5),0.5,1)/$F$5)</f>
        <v/>
      </c>
      <c r="AD31" s="177">
        <f>IF(OR(AD$15&lt;$G31,AD$15&gt;$G31+$F$5),0,IF(OR(AD$15=$G31,AD$15=$G31+$F$5),0.5,1)/$F$5)</f>
        <v/>
      </c>
      <c r="AE31" s="177">
        <f>IF(OR(AE$15&lt;$G31,AE$15&gt;$G31+$F$5),0,IF(OR(AE$15=$G31,AE$15=$G31+$F$5),0.5,1)/$F$5)</f>
        <v/>
      </c>
      <c r="AF31" s="177">
        <f>IF(OR(AF$15&lt;$G31,AF$15&gt;$G31+$F$5),0,IF(OR(AF$15=$G31,AF$15=$G31+$F$5),0.5,1)/$F$5)</f>
        <v/>
      </c>
      <c r="AG31" s="177">
        <f>IF(OR(AG$15&lt;$G31,AG$15&gt;$G31+$F$5),0,IF(OR(AG$15=$G31,AG$15=$G31+$F$5),0.5,1)/$F$5)</f>
        <v/>
      </c>
      <c r="AH31" s="177">
        <f>IF(OR(AH$15&lt;$G31,AH$15&gt;$G31+$F$5),0,IF(OR(AH$15=$G31,AH$15=$G31+$F$5),0.5,1)/$F$5)</f>
        <v/>
      </c>
      <c r="AI31" s="177">
        <f>IF(OR(AI$15&lt;$G31,AI$15&gt;$G31+$F$5),0,IF(OR(AI$15=$G31,AI$15=$G31+$F$5),0.5,1)/$F$5)</f>
        <v/>
      </c>
      <c r="AJ31" s="177">
        <f>IF(OR(AJ$15&lt;$G31,AJ$15&gt;$G31+$F$5),0,IF(OR(AJ$15=$G31,AJ$15=$G31+$F$5),0.5,1)/$F$5)</f>
        <v/>
      </c>
      <c r="AK31" s="177">
        <f>IF(OR(AK$15&lt;$G31,AK$15&gt;$G31+$F$5),0,IF(OR(AK$15=$G31,AK$15=$G31+$F$5),0.5,1)/$F$5)</f>
        <v/>
      </c>
      <c r="AL31" s="177">
        <f>IF(OR(AL$15&lt;$G31,AL$15&gt;$G31+$F$5),0,IF(OR(AL$15=$G31,AL$15=$G31+$F$5),0.5,1)/$F$5)</f>
        <v/>
      </c>
      <c r="AM31" s="177">
        <f>IF(OR(AM$15&lt;$G31,AM$15&gt;$G31+$F$5),0,IF(OR(AM$15=$G31,AM$15=$G31+$F$5),0.5,1)/$F$5)</f>
        <v/>
      </c>
      <c r="AN31" s="177">
        <f>IF(OR(AN$15&lt;$G31,AN$15&gt;$G31+$F$5),0,IF(OR(AN$15=$G31,AN$15=$G31+$F$5),0.5,1)/$F$5)</f>
        <v/>
      </c>
      <c r="AO31" s="177">
        <f>IF(OR(AO$15&lt;$G31,AO$15&gt;$G31+$F$5),0,IF(OR(AO$15=$G31,AO$15=$G31+$F$5),0.5,1)/$F$5)</f>
        <v/>
      </c>
      <c r="AP31" s="177">
        <f>IF(OR(AP$15&lt;$G31,AP$15&gt;$G31+$F$5),0,IF(OR(AP$15=$G31,AP$15=$G31+$F$5),0.5,1)/$F$5)</f>
        <v/>
      </c>
      <c r="AQ31" s="177">
        <f>IF(OR(AQ$15&lt;$G31,AQ$15&gt;$G31+$F$5),0,IF(OR(AQ$15=$G31,AQ$15=$G31+$F$5),0.5,1)/$F$5)</f>
        <v/>
      </c>
      <c r="AR31" s="177">
        <f>IF(OR(AR$15&lt;$G31,AR$15&gt;$G31+$F$5),0,IF(OR(AR$15=$G31,AR$15=$G31+$F$5),0.5,1)/$F$5)</f>
        <v/>
      </c>
      <c r="AS31" s="177">
        <f>IF(OR(AS$15&lt;$G31,AS$15&gt;$G31+$F$5),0,IF(OR(AS$15=$G31,AS$15=$G31+$F$5),0.5,1)/$F$5)</f>
        <v/>
      </c>
      <c r="AT31" s="177">
        <f>IF(OR(AT$15&lt;$G31,AT$15&gt;$G31+$F$5),0,IF(OR(AT$15=$G31,AT$15=$G31+$F$5),0.5,1)/$F$5)</f>
        <v/>
      </c>
      <c r="AU31" s="177">
        <f>IF(OR(AU$15&lt;$G31,AU$15&gt;$G31+$F$5),0,IF(OR(AU$15=$G31,AU$15=$G31+$F$5),0.5,1)/$F$5)</f>
        <v/>
      </c>
      <c r="AV31" s="177">
        <f>IF(OR(AV$15&lt;$G31,AV$15&gt;$G31+$F$5),0,IF(OR(AV$15=$G31,AV$15=$G31+$F$5),0.5,1)/$F$5)</f>
        <v/>
      </c>
      <c r="AW31" s="177">
        <f>IF(OR(AW$15&lt;$G31,AW$15&gt;$G31+$F$5),0,IF(OR(AW$15=$G31,AW$15=$G31+$F$5),0.5,1)/$F$5)</f>
        <v/>
      </c>
      <c r="AX31" s="177">
        <f>IF(OR(AX$15&lt;$G31,AX$15&gt;$G31+$F$5),0,IF(OR(AX$15=$G31,AX$15=$G31+$F$5),0.5,1)/$F$5)</f>
        <v/>
      </c>
      <c r="AY31" s="177">
        <f>IF(OR(AY$15&lt;$G31,AY$15&gt;$G31+$F$5),0,IF(OR(AY$15=$G31,AY$15=$G31+$F$5),0.5,1)/$F$5)</f>
        <v/>
      </c>
      <c r="AZ31" s="177">
        <f>IF(OR(AZ$15&lt;$G31,AZ$15&gt;$G31+$F$5),0,IF(OR(AZ$15=$G31,AZ$15=$G31+$F$5),0.5,1)/$F$5)</f>
        <v/>
      </c>
      <c r="BA31" s="177">
        <f>IF(OR(BA$15&lt;$G31,BA$15&gt;$G31+$F$5),0,IF(OR(BA$15=$G31,BA$15=$G31+$F$5),0.5,1)/$F$5)</f>
        <v/>
      </c>
      <c r="BB31" s="177">
        <f>IF(OR(BB$15&lt;$G31,BB$15&gt;$G31+$F$5),0,IF(OR(BB$15=$G31,BB$15=$G31+$F$5),0.5,1)/$F$5)</f>
        <v/>
      </c>
      <c r="BC31" s="177">
        <f>IF(OR(BC$15&lt;$G31,BC$15&gt;$G31+$F$5),0,IF(OR(BC$15=$G31,BC$15=$G31+$F$5),0.5,1)/$F$5)</f>
        <v/>
      </c>
      <c r="BD31" s="177">
        <f>IF(OR(BD$15&lt;$G31,BD$15&gt;$G31+$F$5),0,IF(OR(BD$15=$G31,BD$15=$G31+$F$5),0.5,1)/$F$5)</f>
        <v/>
      </c>
      <c r="BE31" s="177">
        <f>IF(OR(BE$15&lt;$G31,BE$15&gt;$G31+$F$5),0,IF(OR(BE$15=$G31,BE$15=$G31+$F$5),0.5,1)/$F$5)</f>
        <v/>
      </c>
      <c r="BF31" s="211">
        <f>IF(OR($G31&lt;V$15,$G31+$F$5&gt;BE$15),0,ABS(SUM(V31:BE31)-1))</f>
        <v/>
      </c>
    </row>
    <row r="32">
      <c r="A32" s="145" t="n">
        <v>16</v>
      </c>
      <c r="B32" s="204">
        <f>EDATE($B31,1)</f>
        <v/>
      </c>
      <c r="C32" s="205">
        <f>EOMONTH($B32,0)</f>
        <v/>
      </c>
      <c r="D32" s="201">
        <f>$C32-$B32+1</f>
        <v/>
      </c>
      <c r="E32" s="201">
        <f>MONTH($B32)</f>
        <v/>
      </c>
      <c r="F32" s="206">
        <f>($B32+$C32+1)/2</f>
        <v/>
      </c>
      <c r="G32" s="201">
        <f>YEAR($B32)*12+MONTH($B32)-1</f>
        <v/>
      </c>
      <c r="H32" s="207">
        <f>IF(OR(nr_SeasonOn="OFF",$F$6=0,$F$7=0),1,12*INDEX(se_block,$F$6,$E32)/$F$7)</f>
        <v/>
      </c>
      <c r="I32" s="208">
        <f>EXP(SUMPRODUCT((rl_eff&lt;$B32)*(rl_key=nr_SelKey)*rl_ln1p))</f>
        <v/>
      </c>
      <c r="J32" s="208">
        <f>EXP(SUMPRODUCT((rl_eff&lt;=$C32)*(rl_key=nr_SelKey)*rl_ln1p))</f>
        <v/>
      </c>
      <c r="K32" s="201">
        <f>COUNTIFS(rl_key,nr_SelKey,rl_eff,"&gt;="&amp;$B32,rl_eff,"&lt;="&amp;$C32)</f>
        <v/>
      </c>
      <c r="L32" s="201">
        <f>SUMIFS(rl_daysafter,rl_key,nr_SelKey,rl_effmonth,$B32,rl_first,1)</f>
        <v/>
      </c>
      <c r="M32" s="209">
        <f>IF($K32=0,0,MIN(1,$L32/$D32))</f>
        <v/>
      </c>
      <c r="N32" s="208">
        <f>IF($K32=0,$J32,(1-$M32)*$I32+$M32*$J32)</f>
        <v/>
      </c>
      <c r="O32" s="210">
        <f>'Mod Engine'!$E32</f>
        <v/>
      </c>
      <c r="P32" s="208">
        <f>MIN(1,MAX(0,(nr_MEndPm1-$G32+0.5)/$F$5))-MIN(1,MAX(0,(nr_MStartPm1-1-$G32+0.5)/$F$5))</f>
        <v/>
      </c>
      <c r="Q32" s="208">
        <f>MIN(1,MAX(0,(nr_MEndP-$G32+0.5)/$F$5))-MIN(1,MAX(0,(nr_MStartP-1-$G32+0.5)/$F$5))</f>
        <v/>
      </c>
      <c r="R32" s="208">
        <f>MIN(1,MAX(0,(nr_MEndP1-$G32+0.5)/$F$5))-MIN(1,MAX(0,(nr_MStartP1-1-$G32+0.5)/$F$5))</f>
        <v/>
      </c>
      <c r="S32" s="208">
        <f>IF(nr_NetMode,$N32*IF(nr_ModAdjEff="ON",$O32/nr_MInd,1),"")</f>
        <v/>
      </c>
      <c r="T32" s="208">
        <f>IF(NOT(nr_NetMode),"",IF($G32&lt;nr_MStartP,$S32,$T20*(1+IF($G32&lt;nr_MStartP1,nr_NetSelP,nr_NetSelP1))))</f>
        <v/>
      </c>
      <c r="U32" s="208">
        <f>IF(nr_NetMode,$T32,$N32)</f>
        <v/>
      </c>
      <c r="V32" s="177">
        <f>IF(OR(V$15&lt;$G32,V$15&gt;$G32+$F$5),0,IF(OR(V$15=$G32,V$15=$G32+$F$5),0.5,1)/$F$5)</f>
        <v/>
      </c>
      <c r="W32" s="177">
        <f>IF(OR(W$15&lt;$G32,W$15&gt;$G32+$F$5),0,IF(OR(W$15=$G32,W$15=$G32+$F$5),0.5,1)/$F$5)</f>
        <v/>
      </c>
      <c r="X32" s="177">
        <f>IF(OR(X$15&lt;$G32,X$15&gt;$G32+$F$5),0,IF(OR(X$15=$G32,X$15=$G32+$F$5),0.5,1)/$F$5)</f>
        <v/>
      </c>
      <c r="Y32" s="177">
        <f>IF(OR(Y$15&lt;$G32,Y$15&gt;$G32+$F$5),0,IF(OR(Y$15=$G32,Y$15=$G32+$F$5),0.5,1)/$F$5)</f>
        <v/>
      </c>
      <c r="Z32" s="177">
        <f>IF(OR(Z$15&lt;$G32,Z$15&gt;$G32+$F$5),0,IF(OR(Z$15=$G32,Z$15=$G32+$F$5),0.5,1)/$F$5)</f>
        <v/>
      </c>
      <c r="AA32" s="177">
        <f>IF(OR(AA$15&lt;$G32,AA$15&gt;$G32+$F$5),0,IF(OR(AA$15=$G32,AA$15=$G32+$F$5),0.5,1)/$F$5)</f>
        <v/>
      </c>
      <c r="AB32" s="177">
        <f>IF(OR(AB$15&lt;$G32,AB$15&gt;$G32+$F$5),0,IF(OR(AB$15=$G32,AB$15=$G32+$F$5),0.5,1)/$F$5)</f>
        <v/>
      </c>
      <c r="AC32" s="177">
        <f>IF(OR(AC$15&lt;$G32,AC$15&gt;$G32+$F$5),0,IF(OR(AC$15=$G32,AC$15=$G32+$F$5),0.5,1)/$F$5)</f>
        <v/>
      </c>
      <c r="AD32" s="177">
        <f>IF(OR(AD$15&lt;$G32,AD$15&gt;$G32+$F$5),0,IF(OR(AD$15=$G32,AD$15=$G32+$F$5),0.5,1)/$F$5)</f>
        <v/>
      </c>
      <c r="AE32" s="177">
        <f>IF(OR(AE$15&lt;$G32,AE$15&gt;$G32+$F$5),0,IF(OR(AE$15=$G32,AE$15=$G32+$F$5),0.5,1)/$F$5)</f>
        <v/>
      </c>
      <c r="AF32" s="177">
        <f>IF(OR(AF$15&lt;$G32,AF$15&gt;$G32+$F$5),0,IF(OR(AF$15=$G32,AF$15=$G32+$F$5),0.5,1)/$F$5)</f>
        <v/>
      </c>
      <c r="AG32" s="177">
        <f>IF(OR(AG$15&lt;$G32,AG$15&gt;$G32+$F$5),0,IF(OR(AG$15=$G32,AG$15=$G32+$F$5),0.5,1)/$F$5)</f>
        <v/>
      </c>
      <c r="AH32" s="177">
        <f>IF(OR(AH$15&lt;$G32,AH$15&gt;$G32+$F$5),0,IF(OR(AH$15=$G32,AH$15=$G32+$F$5),0.5,1)/$F$5)</f>
        <v/>
      </c>
      <c r="AI32" s="177">
        <f>IF(OR(AI$15&lt;$G32,AI$15&gt;$G32+$F$5),0,IF(OR(AI$15=$G32,AI$15=$G32+$F$5),0.5,1)/$F$5)</f>
        <v/>
      </c>
      <c r="AJ32" s="177">
        <f>IF(OR(AJ$15&lt;$G32,AJ$15&gt;$G32+$F$5),0,IF(OR(AJ$15=$G32,AJ$15=$G32+$F$5),0.5,1)/$F$5)</f>
        <v/>
      </c>
      <c r="AK32" s="177">
        <f>IF(OR(AK$15&lt;$G32,AK$15&gt;$G32+$F$5),0,IF(OR(AK$15=$G32,AK$15=$G32+$F$5),0.5,1)/$F$5)</f>
        <v/>
      </c>
      <c r="AL32" s="177">
        <f>IF(OR(AL$15&lt;$G32,AL$15&gt;$G32+$F$5),0,IF(OR(AL$15=$G32,AL$15=$G32+$F$5),0.5,1)/$F$5)</f>
        <v/>
      </c>
      <c r="AM32" s="177">
        <f>IF(OR(AM$15&lt;$G32,AM$15&gt;$G32+$F$5),0,IF(OR(AM$15=$G32,AM$15=$G32+$F$5),0.5,1)/$F$5)</f>
        <v/>
      </c>
      <c r="AN32" s="177">
        <f>IF(OR(AN$15&lt;$G32,AN$15&gt;$G32+$F$5),0,IF(OR(AN$15=$G32,AN$15=$G32+$F$5),0.5,1)/$F$5)</f>
        <v/>
      </c>
      <c r="AO32" s="177">
        <f>IF(OR(AO$15&lt;$G32,AO$15&gt;$G32+$F$5),0,IF(OR(AO$15=$G32,AO$15=$G32+$F$5),0.5,1)/$F$5)</f>
        <v/>
      </c>
      <c r="AP32" s="177">
        <f>IF(OR(AP$15&lt;$G32,AP$15&gt;$G32+$F$5),0,IF(OR(AP$15=$G32,AP$15=$G32+$F$5),0.5,1)/$F$5)</f>
        <v/>
      </c>
      <c r="AQ32" s="177">
        <f>IF(OR(AQ$15&lt;$G32,AQ$15&gt;$G32+$F$5),0,IF(OR(AQ$15=$G32,AQ$15=$G32+$F$5),0.5,1)/$F$5)</f>
        <v/>
      </c>
      <c r="AR32" s="177">
        <f>IF(OR(AR$15&lt;$G32,AR$15&gt;$G32+$F$5),0,IF(OR(AR$15=$G32,AR$15=$G32+$F$5),0.5,1)/$F$5)</f>
        <v/>
      </c>
      <c r="AS32" s="177">
        <f>IF(OR(AS$15&lt;$G32,AS$15&gt;$G32+$F$5),0,IF(OR(AS$15=$G32,AS$15=$G32+$F$5),0.5,1)/$F$5)</f>
        <v/>
      </c>
      <c r="AT32" s="177">
        <f>IF(OR(AT$15&lt;$G32,AT$15&gt;$G32+$F$5),0,IF(OR(AT$15=$G32,AT$15=$G32+$F$5),0.5,1)/$F$5)</f>
        <v/>
      </c>
      <c r="AU32" s="177">
        <f>IF(OR(AU$15&lt;$G32,AU$15&gt;$G32+$F$5),0,IF(OR(AU$15=$G32,AU$15=$G32+$F$5),0.5,1)/$F$5)</f>
        <v/>
      </c>
      <c r="AV32" s="177">
        <f>IF(OR(AV$15&lt;$G32,AV$15&gt;$G32+$F$5),0,IF(OR(AV$15=$G32,AV$15=$G32+$F$5),0.5,1)/$F$5)</f>
        <v/>
      </c>
      <c r="AW32" s="177">
        <f>IF(OR(AW$15&lt;$G32,AW$15&gt;$G32+$F$5),0,IF(OR(AW$15=$G32,AW$15=$G32+$F$5),0.5,1)/$F$5)</f>
        <v/>
      </c>
      <c r="AX32" s="177">
        <f>IF(OR(AX$15&lt;$G32,AX$15&gt;$G32+$F$5),0,IF(OR(AX$15=$G32,AX$15=$G32+$F$5),0.5,1)/$F$5)</f>
        <v/>
      </c>
      <c r="AY32" s="177">
        <f>IF(OR(AY$15&lt;$G32,AY$15&gt;$G32+$F$5),0,IF(OR(AY$15=$G32,AY$15=$G32+$F$5),0.5,1)/$F$5)</f>
        <v/>
      </c>
      <c r="AZ32" s="177">
        <f>IF(OR(AZ$15&lt;$G32,AZ$15&gt;$G32+$F$5),0,IF(OR(AZ$15=$G32,AZ$15=$G32+$F$5),0.5,1)/$F$5)</f>
        <v/>
      </c>
      <c r="BA32" s="177">
        <f>IF(OR(BA$15&lt;$G32,BA$15&gt;$G32+$F$5),0,IF(OR(BA$15=$G32,BA$15=$G32+$F$5),0.5,1)/$F$5)</f>
        <v/>
      </c>
      <c r="BB32" s="177">
        <f>IF(OR(BB$15&lt;$G32,BB$15&gt;$G32+$F$5),0,IF(OR(BB$15=$G32,BB$15=$G32+$F$5),0.5,1)/$F$5)</f>
        <v/>
      </c>
      <c r="BC32" s="177">
        <f>IF(OR(BC$15&lt;$G32,BC$15&gt;$G32+$F$5),0,IF(OR(BC$15=$G32,BC$15=$G32+$F$5),0.5,1)/$F$5)</f>
        <v/>
      </c>
      <c r="BD32" s="177">
        <f>IF(OR(BD$15&lt;$G32,BD$15&gt;$G32+$F$5),0,IF(OR(BD$15=$G32,BD$15=$G32+$F$5),0.5,1)/$F$5)</f>
        <v/>
      </c>
      <c r="BE32" s="177">
        <f>IF(OR(BE$15&lt;$G32,BE$15&gt;$G32+$F$5),0,IF(OR(BE$15=$G32,BE$15=$G32+$F$5),0.5,1)/$F$5)</f>
        <v/>
      </c>
      <c r="BF32" s="211">
        <f>IF(OR($G32&lt;V$15,$G32+$F$5&gt;BE$15),0,ABS(SUM(V32:BE32)-1))</f>
        <v/>
      </c>
    </row>
    <row r="33">
      <c r="A33" s="145" t="n">
        <v>17</v>
      </c>
      <c r="B33" s="204">
        <f>EDATE($B32,1)</f>
        <v/>
      </c>
      <c r="C33" s="205">
        <f>EOMONTH($B33,0)</f>
        <v/>
      </c>
      <c r="D33" s="201">
        <f>$C33-$B33+1</f>
        <v/>
      </c>
      <c r="E33" s="201">
        <f>MONTH($B33)</f>
        <v/>
      </c>
      <c r="F33" s="206">
        <f>($B33+$C33+1)/2</f>
        <v/>
      </c>
      <c r="G33" s="201">
        <f>YEAR($B33)*12+MONTH($B33)-1</f>
        <v/>
      </c>
      <c r="H33" s="207">
        <f>IF(OR(nr_SeasonOn="OFF",$F$6=0,$F$7=0),1,12*INDEX(se_block,$F$6,$E33)/$F$7)</f>
        <v/>
      </c>
      <c r="I33" s="208">
        <f>EXP(SUMPRODUCT((rl_eff&lt;$B33)*(rl_key=nr_SelKey)*rl_ln1p))</f>
        <v/>
      </c>
      <c r="J33" s="208">
        <f>EXP(SUMPRODUCT((rl_eff&lt;=$C33)*(rl_key=nr_SelKey)*rl_ln1p))</f>
        <v/>
      </c>
      <c r="K33" s="201">
        <f>COUNTIFS(rl_key,nr_SelKey,rl_eff,"&gt;="&amp;$B33,rl_eff,"&lt;="&amp;$C33)</f>
        <v/>
      </c>
      <c r="L33" s="201">
        <f>SUMIFS(rl_daysafter,rl_key,nr_SelKey,rl_effmonth,$B33,rl_first,1)</f>
        <v/>
      </c>
      <c r="M33" s="209">
        <f>IF($K33=0,0,MIN(1,$L33/$D33))</f>
        <v/>
      </c>
      <c r="N33" s="208">
        <f>IF($K33=0,$J33,(1-$M33)*$I33+$M33*$J33)</f>
        <v/>
      </c>
      <c r="O33" s="210">
        <f>'Mod Engine'!$E33</f>
        <v/>
      </c>
      <c r="P33" s="208">
        <f>MIN(1,MAX(0,(nr_MEndPm1-$G33+0.5)/$F$5))-MIN(1,MAX(0,(nr_MStartPm1-1-$G33+0.5)/$F$5))</f>
        <v/>
      </c>
      <c r="Q33" s="208">
        <f>MIN(1,MAX(0,(nr_MEndP-$G33+0.5)/$F$5))-MIN(1,MAX(0,(nr_MStartP-1-$G33+0.5)/$F$5))</f>
        <v/>
      </c>
      <c r="R33" s="208">
        <f>MIN(1,MAX(0,(nr_MEndP1-$G33+0.5)/$F$5))-MIN(1,MAX(0,(nr_MStartP1-1-$G33+0.5)/$F$5))</f>
        <v/>
      </c>
      <c r="S33" s="208">
        <f>IF(nr_NetMode,$N33*IF(nr_ModAdjEff="ON",$O33/nr_MInd,1),"")</f>
        <v/>
      </c>
      <c r="T33" s="208">
        <f>IF(NOT(nr_NetMode),"",IF($G33&lt;nr_MStartP,$S33,$T21*(1+IF($G33&lt;nr_MStartP1,nr_NetSelP,nr_NetSelP1))))</f>
        <v/>
      </c>
      <c r="U33" s="208">
        <f>IF(nr_NetMode,$T33,$N33)</f>
        <v/>
      </c>
      <c r="V33" s="177">
        <f>IF(OR(V$15&lt;$G33,V$15&gt;$G33+$F$5),0,IF(OR(V$15=$G33,V$15=$G33+$F$5),0.5,1)/$F$5)</f>
        <v/>
      </c>
      <c r="W33" s="177">
        <f>IF(OR(W$15&lt;$G33,W$15&gt;$G33+$F$5),0,IF(OR(W$15=$G33,W$15=$G33+$F$5),0.5,1)/$F$5)</f>
        <v/>
      </c>
      <c r="X33" s="177">
        <f>IF(OR(X$15&lt;$G33,X$15&gt;$G33+$F$5),0,IF(OR(X$15=$G33,X$15=$G33+$F$5),0.5,1)/$F$5)</f>
        <v/>
      </c>
      <c r="Y33" s="177">
        <f>IF(OR(Y$15&lt;$G33,Y$15&gt;$G33+$F$5),0,IF(OR(Y$15=$G33,Y$15=$G33+$F$5),0.5,1)/$F$5)</f>
        <v/>
      </c>
      <c r="Z33" s="177">
        <f>IF(OR(Z$15&lt;$G33,Z$15&gt;$G33+$F$5),0,IF(OR(Z$15=$G33,Z$15=$G33+$F$5),0.5,1)/$F$5)</f>
        <v/>
      </c>
      <c r="AA33" s="177">
        <f>IF(OR(AA$15&lt;$G33,AA$15&gt;$G33+$F$5),0,IF(OR(AA$15=$G33,AA$15=$G33+$F$5),0.5,1)/$F$5)</f>
        <v/>
      </c>
      <c r="AB33" s="177">
        <f>IF(OR(AB$15&lt;$G33,AB$15&gt;$G33+$F$5),0,IF(OR(AB$15=$G33,AB$15=$G33+$F$5),0.5,1)/$F$5)</f>
        <v/>
      </c>
      <c r="AC33" s="177">
        <f>IF(OR(AC$15&lt;$G33,AC$15&gt;$G33+$F$5),0,IF(OR(AC$15=$G33,AC$15=$G33+$F$5),0.5,1)/$F$5)</f>
        <v/>
      </c>
      <c r="AD33" s="177">
        <f>IF(OR(AD$15&lt;$G33,AD$15&gt;$G33+$F$5),0,IF(OR(AD$15=$G33,AD$15=$G33+$F$5),0.5,1)/$F$5)</f>
        <v/>
      </c>
      <c r="AE33" s="177">
        <f>IF(OR(AE$15&lt;$G33,AE$15&gt;$G33+$F$5),0,IF(OR(AE$15=$G33,AE$15=$G33+$F$5),0.5,1)/$F$5)</f>
        <v/>
      </c>
      <c r="AF33" s="177">
        <f>IF(OR(AF$15&lt;$G33,AF$15&gt;$G33+$F$5),0,IF(OR(AF$15=$G33,AF$15=$G33+$F$5),0.5,1)/$F$5)</f>
        <v/>
      </c>
      <c r="AG33" s="177">
        <f>IF(OR(AG$15&lt;$G33,AG$15&gt;$G33+$F$5),0,IF(OR(AG$15=$G33,AG$15=$G33+$F$5),0.5,1)/$F$5)</f>
        <v/>
      </c>
      <c r="AH33" s="177">
        <f>IF(OR(AH$15&lt;$G33,AH$15&gt;$G33+$F$5),0,IF(OR(AH$15=$G33,AH$15=$G33+$F$5),0.5,1)/$F$5)</f>
        <v/>
      </c>
      <c r="AI33" s="177">
        <f>IF(OR(AI$15&lt;$G33,AI$15&gt;$G33+$F$5),0,IF(OR(AI$15=$G33,AI$15=$G33+$F$5),0.5,1)/$F$5)</f>
        <v/>
      </c>
      <c r="AJ33" s="177">
        <f>IF(OR(AJ$15&lt;$G33,AJ$15&gt;$G33+$F$5),0,IF(OR(AJ$15=$G33,AJ$15=$G33+$F$5),0.5,1)/$F$5)</f>
        <v/>
      </c>
      <c r="AK33" s="177">
        <f>IF(OR(AK$15&lt;$G33,AK$15&gt;$G33+$F$5),0,IF(OR(AK$15=$G33,AK$15=$G33+$F$5),0.5,1)/$F$5)</f>
        <v/>
      </c>
      <c r="AL33" s="177">
        <f>IF(OR(AL$15&lt;$G33,AL$15&gt;$G33+$F$5),0,IF(OR(AL$15=$G33,AL$15=$G33+$F$5),0.5,1)/$F$5)</f>
        <v/>
      </c>
      <c r="AM33" s="177">
        <f>IF(OR(AM$15&lt;$G33,AM$15&gt;$G33+$F$5),0,IF(OR(AM$15=$G33,AM$15=$G33+$F$5),0.5,1)/$F$5)</f>
        <v/>
      </c>
      <c r="AN33" s="177">
        <f>IF(OR(AN$15&lt;$G33,AN$15&gt;$G33+$F$5),0,IF(OR(AN$15=$G33,AN$15=$G33+$F$5),0.5,1)/$F$5)</f>
        <v/>
      </c>
      <c r="AO33" s="177">
        <f>IF(OR(AO$15&lt;$G33,AO$15&gt;$G33+$F$5),0,IF(OR(AO$15=$G33,AO$15=$G33+$F$5),0.5,1)/$F$5)</f>
        <v/>
      </c>
      <c r="AP33" s="177">
        <f>IF(OR(AP$15&lt;$G33,AP$15&gt;$G33+$F$5),0,IF(OR(AP$15=$G33,AP$15=$G33+$F$5),0.5,1)/$F$5)</f>
        <v/>
      </c>
      <c r="AQ33" s="177">
        <f>IF(OR(AQ$15&lt;$G33,AQ$15&gt;$G33+$F$5),0,IF(OR(AQ$15=$G33,AQ$15=$G33+$F$5),0.5,1)/$F$5)</f>
        <v/>
      </c>
      <c r="AR33" s="177">
        <f>IF(OR(AR$15&lt;$G33,AR$15&gt;$G33+$F$5),0,IF(OR(AR$15=$G33,AR$15=$G33+$F$5),0.5,1)/$F$5)</f>
        <v/>
      </c>
      <c r="AS33" s="177">
        <f>IF(OR(AS$15&lt;$G33,AS$15&gt;$G33+$F$5),0,IF(OR(AS$15=$G33,AS$15=$G33+$F$5),0.5,1)/$F$5)</f>
        <v/>
      </c>
      <c r="AT33" s="177">
        <f>IF(OR(AT$15&lt;$G33,AT$15&gt;$G33+$F$5),0,IF(OR(AT$15=$G33,AT$15=$G33+$F$5),0.5,1)/$F$5)</f>
        <v/>
      </c>
      <c r="AU33" s="177">
        <f>IF(OR(AU$15&lt;$G33,AU$15&gt;$G33+$F$5),0,IF(OR(AU$15=$G33,AU$15=$G33+$F$5),0.5,1)/$F$5)</f>
        <v/>
      </c>
      <c r="AV33" s="177">
        <f>IF(OR(AV$15&lt;$G33,AV$15&gt;$G33+$F$5),0,IF(OR(AV$15=$G33,AV$15=$G33+$F$5),0.5,1)/$F$5)</f>
        <v/>
      </c>
      <c r="AW33" s="177">
        <f>IF(OR(AW$15&lt;$G33,AW$15&gt;$G33+$F$5),0,IF(OR(AW$15=$G33,AW$15=$G33+$F$5),0.5,1)/$F$5)</f>
        <v/>
      </c>
      <c r="AX33" s="177">
        <f>IF(OR(AX$15&lt;$G33,AX$15&gt;$G33+$F$5),0,IF(OR(AX$15=$G33,AX$15=$G33+$F$5),0.5,1)/$F$5)</f>
        <v/>
      </c>
      <c r="AY33" s="177">
        <f>IF(OR(AY$15&lt;$G33,AY$15&gt;$G33+$F$5),0,IF(OR(AY$15=$G33,AY$15=$G33+$F$5),0.5,1)/$F$5)</f>
        <v/>
      </c>
      <c r="AZ33" s="177">
        <f>IF(OR(AZ$15&lt;$G33,AZ$15&gt;$G33+$F$5),0,IF(OR(AZ$15=$G33,AZ$15=$G33+$F$5),0.5,1)/$F$5)</f>
        <v/>
      </c>
      <c r="BA33" s="177">
        <f>IF(OR(BA$15&lt;$G33,BA$15&gt;$G33+$F$5),0,IF(OR(BA$15=$G33,BA$15=$G33+$F$5),0.5,1)/$F$5)</f>
        <v/>
      </c>
      <c r="BB33" s="177">
        <f>IF(OR(BB$15&lt;$G33,BB$15&gt;$G33+$F$5),0,IF(OR(BB$15=$G33,BB$15=$G33+$F$5),0.5,1)/$F$5)</f>
        <v/>
      </c>
      <c r="BC33" s="177">
        <f>IF(OR(BC$15&lt;$G33,BC$15&gt;$G33+$F$5),0,IF(OR(BC$15=$G33,BC$15=$G33+$F$5),0.5,1)/$F$5)</f>
        <v/>
      </c>
      <c r="BD33" s="177">
        <f>IF(OR(BD$15&lt;$G33,BD$15&gt;$G33+$F$5),0,IF(OR(BD$15=$G33,BD$15=$G33+$F$5),0.5,1)/$F$5)</f>
        <v/>
      </c>
      <c r="BE33" s="177">
        <f>IF(OR(BE$15&lt;$G33,BE$15&gt;$G33+$F$5),0,IF(OR(BE$15=$G33,BE$15=$G33+$F$5),0.5,1)/$F$5)</f>
        <v/>
      </c>
      <c r="BF33" s="211">
        <f>IF(OR($G33&lt;V$15,$G33+$F$5&gt;BE$15),0,ABS(SUM(V33:BE33)-1))</f>
        <v/>
      </c>
    </row>
    <row r="34">
      <c r="A34" s="145" t="n">
        <v>18</v>
      </c>
      <c r="B34" s="204">
        <f>EDATE($B33,1)</f>
        <v/>
      </c>
      <c r="C34" s="205">
        <f>EOMONTH($B34,0)</f>
        <v/>
      </c>
      <c r="D34" s="201">
        <f>$C34-$B34+1</f>
        <v/>
      </c>
      <c r="E34" s="201">
        <f>MONTH($B34)</f>
        <v/>
      </c>
      <c r="F34" s="206">
        <f>($B34+$C34+1)/2</f>
        <v/>
      </c>
      <c r="G34" s="201">
        <f>YEAR($B34)*12+MONTH($B34)-1</f>
        <v/>
      </c>
      <c r="H34" s="207">
        <f>IF(OR(nr_SeasonOn="OFF",$F$6=0,$F$7=0),1,12*INDEX(se_block,$F$6,$E34)/$F$7)</f>
        <v/>
      </c>
      <c r="I34" s="208">
        <f>EXP(SUMPRODUCT((rl_eff&lt;$B34)*(rl_key=nr_SelKey)*rl_ln1p))</f>
        <v/>
      </c>
      <c r="J34" s="208">
        <f>EXP(SUMPRODUCT((rl_eff&lt;=$C34)*(rl_key=nr_SelKey)*rl_ln1p))</f>
        <v/>
      </c>
      <c r="K34" s="201">
        <f>COUNTIFS(rl_key,nr_SelKey,rl_eff,"&gt;="&amp;$B34,rl_eff,"&lt;="&amp;$C34)</f>
        <v/>
      </c>
      <c r="L34" s="201">
        <f>SUMIFS(rl_daysafter,rl_key,nr_SelKey,rl_effmonth,$B34,rl_first,1)</f>
        <v/>
      </c>
      <c r="M34" s="209">
        <f>IF($K34=0,0,MIN(1,$L34/$D34))</f>
        <v/>
      </c>
      <c r="N34" s="208">
        <f>IF($K34=0,$J34,(1-$M34)*$I34+$M34*$J34)</f>
        <v/>
      </c>
      <c r="O34" s="210">
        <f>'Mod Engine'!$E34</f>
        <v/>
      </c>
      <c r="P34" s="208">
        <f>MIN(1,MAX(0,(nr_MEndPm1-$G34+0.5)/$F$5))-MIN(1,MAX(0,(nr_MStartPm1-1-$G34+0.5)/$F$5))</f>
        <v/>
      </c>
      <c r="Q34" s="208">
        <f>MIN(1,MAX(0,(nr_MEndP-$G34+0.5)/$F$5))-MIN(1,MAX(0,(nr_MStartP-1-$G34+0.5)/$F$5))</f>
        <v/>
      </c>
      <c r="R34" s="208">
        <f>MIN(1,MAX(0,(nr_MEndP1-$G34+0.5)/$F$5))-MIN(1,MAX(0,(nr_MStartP1-1-$G34+0.5)/$F$5))</f>
        <v/>
      </c>
      <c r="S34" s="208">
        <f>IF(nr_NetMode,$N34*IF(nr_ModAdjEff="ON",$O34/nr_MInd,1),"")</f>
        <v/>
      </c>
      <c r="T34" s="208">
        <f>IF(NOT(nr_NetMode),"",IF($G34&lt;nr_MStartP,$S34,$T22*(1+IF($G34&lt;nr_MStartP1,nr_NetSelP,nr_NetSelP1))))</f>
        <v/>
      </c>
      <c r="U34" s="208">
        <f>IF(nr_NetMode,$T34,$N34)</f>
        <v/>
      </c>
      <c r="V34" s="177">
        <f>IF(OR(V$15&lt;$G34,V$15&gt;$G34+$F$5),0,IF(OR(V$15=$G34,V$15=$G34+$F$5),0.5,1)/$F$5)</f>
        <v/>
      </c>
      <c r="W34" s="177">
        <f>IF(OR(W$15&lt;$G34,W$15&gt;$G34+$F$5),0,IF(OR(W$15=$G34,W$15=$G34+$F$5),0.5,1)/$F$5)</f>
        <v/>
      </c>
      <c r="X34" s="177">
        <f>IF(OR(X$15&lt;$G34,X$15&gt;$G34+$F$5),0,IF(OR(X$15=$G34,X$15=$G34+$F$5),0.5,1)/$F$5)</f>
        <v/>
      </c>
      <c r="Y34" s="177">
        <f>IF(OR(Y$15&lt;$G34,Y$15&gt;$G34+$F$5),0,IF(OR(Y$15=$G34,Y$15=$G34+$F$5),0.5,1)/$F$5)</f>
        <v/>
      </c>
      <c r="Z34" s="177">
        <f>IF(OR(Z$15&lt;$G34,Z$15&gt;$G34+$F$5),0,IF(OR(Z$15=$G34,Z$15=$G34+$F$5),0.5,1)/$F$5)</f>
        <v/>
      </c>
      <c r="AA34" s="177">
        <f>IF(OR(AA$15&lt;$G34,AA$15&gt;$G34+$F$5),0,IF(OR(AA$15=$G34,AA$15=$G34+$F$5),0.5,1)/$F$5)</f>
        <v/>
      </c>
      <c r="AB34" s="177">
        <f>IF(OR(AB$15&lt;$G34,AB$15&gt;$G34+$F$5),0,IF(OR(AB$15=$G34,AB$15=$G34+$F$5),0.5,1)/$F$5)</f>
        <v/>
      </c>
      <c r="AC34" s="177">
        <f>IF(OR(AC$15&lt;$G34,AC$15&gt;$G34+$F$5),0,IF(OR(AC$15=$G34,AC$15=$G34+$F$5),0.5,1)/$F$5)</f>
        <v/>
      </c>
      <c r="AD34" s="177">
        <f>IF(OR(AD$15&lt;$G34,AD$15&gt;$G34+$F$5),0,IF(OR(AD$15=$G34,AD$15=$G34+$F$5),0.5,1)/$F$5)</f>
        <v/>
      </c>
      <c r="AE34" s="177">
        <f>IF(OR(AE$15&lt;$G34,AE$15&gt;$G34+$F$5),0,IF(OR(AE$15=$G34,AE$15=$G34+$F$5),0.5,1)/$F$5)</f>
        <v/>
      </c>
      <c r="AF34" s="177">
        <f>IF(OR(AF$15&lt;$G34,AF$15&gt;$G34+$F$5),0,IF(OR(AF$15=$G34,AF$15=$G34+$F$5),0.5,1)/$F$5)</f>
        <v/>
      </c>
      <c r="AG34" s="177">
        <f>IF(OR(AG$15&lt;$G34,AG$15&gt;$G34+$F$5),0,IF(OR(AG$15=$G34,AG$15=$G34+$F$5),0.5,1)/$F$5)</f>
        <v/>
      </c>
      <c r="AH34" s="177">
        <f>IF(OR(AH$15&lt;$G34,AH$15&gt;$G34+$F$5),0,IF(OR(AH$15=$G34,AH$15=$G34+$F$5),0.5,1)/$F$5)</f>
        <v/>
      </c>
      <c r="AI34" s="177">
        <f>IF(OR(AI$15&lt;$G34,AI$15&gt;$G34+$F$5),0,IF(OR(AI$15=$G34,AI$15=$G34+$F$5),0.5,1)/$F$5)</f>
        <v/>
      </c>
      <c r="AJ34" s="177">
        <f>IF(OR(AJ$15&lt;$G34,AJ$15&gt;$G34+$F$5),0,IF(OR(AJ$15=$G34,AJ$15=$G34+$F$5),0.5,1)/$F$5)</f>
        <v/>
      </c>
      <c r="AK34" s="177">
        <f>IF(OR(AK$15&lt;$G34,AK$15&gt;$G34+$F$5),0,IF(OR(AK$15=$G34,AK$15=$G34+$F$5),0.5,1)/$F$5)</f>
        <v/>
      </c>
      <c r="AL34" s="177">
        <f>IF(OR(AL$15&lt;$G34,AL$15&gt;$G34+$F$5),0,IF(OR(AL$15=$G34,AL$15=$G34+$F$5),0.5,1)/$F$5)</f>
        <v/>
      </c>
      <c r="AM34" s="177">
        <f>IF(OR(AM$15&lt;$G34,AM$15&gt;$G34+$F$5),0,IF(OR(AM$15=$G34,AM$15=$G34+$F$5),0.5,1)/$F$5)</f>
        <v/>
      </c>
      <c r="AN34" s="177">
        <f>IF(OR(AN$15&lt;$G34,AN$15&gt;$G34+$F$5),0,IF(OR(AN$15=$G34,AN$15=$G34+$F$5),0.5,1)/$F$5)</f>
        <v/>
      </c>
      <c r="AO34" s="177">
        <f>IF(OR(AO$15&lt;$G34,AO$15&gt;$G34+$F$5),0,IF(OR(AO$15=$G34,AO$15=$G34+$F$5),0.5,1)/$F$5)</f>
        <v/>
      </c>
      <c r="AP34" s="177">
        <f>IF(OR(AP$15&lt;$G34,AP$15&gt;$G34+$F$5),0,IF(OR(AP$15=$G34,AP$15=$G34+$F$5),0.5,1)/$F$5)</f>
        <v/>
      </c>
      <c r="AQ34" s="177">
        <f>IF(OR(AQ$15&lt;$G34,AQ$15&gt;$G34+$F$5),0,IF(OR(AQ$15=$G34,AQ$15=$G34+$F$5),0.5,1)/$F$5)</f>
        <v/>
      </c>
      <c r="AR34" s="177">
        <f>IF(OR(AR$15&lt;$G34,AR$15&gt;$G34+$F$5),0,IF(OR(AR$15=$G34,AR$15=$G34+$F$5),0.5,1)/$F$5)</f>
        <v/>
      </c>
      <c r="AS34" s="177">
        <f>IF(OR(AS$15&lt;$G34,AS$15&gt;$G34+$F$5),0,IF(OR(AS$15=$G34,AS$15=$G34+$F$5),0.5,1)/$F$5)</f>
        <v/>
      </c>
      <c r="AT34" s="177">
        <f>IF(OR(AT$15&lt;$G34,AT$15&gt;$G34+$F$5),0,IF(OR(AT$15=$G34,AT$15=$G34+$F$5),0.5,1)/$F$5)</f>
        <v/>
      </c>
      <c r="AU34" s="177">
        <f>IF(OR(AU$15&lt;$G34,AU$15&gt;$G34+$F$5),0,IF(OR(AU$15=$G34,AU$15=$G34+$F$5),0.5,1)/$F$5)</f>
        <v/>
      </c>
      <c r="AV34" s="177">
        <f>IF(OR(AV$15&lt;$G34,AV$15&gt;$G34+$F$5),0,IF(OR(AV$15=$G34,AV$15=$G34+$F$5),0.5,1)/$F$5)</f>
        <v/>
      </c>
      <c r="AW34" s="177">
        <f>IF(OR(AW$15&lt;$G34,AW$15&gt;$G34+$F$5),0,IF(OR(AW$15=$G34,AW$15=$G34+$F$5),0.5,1)/$F$5)</f>
        <v/>
      </c>
      <c r="AX34" s="177">
        <f>IF(OR(AX$15&lt;$G34,AX$15&gt;$G34+$F$5),0,IF(OR(AX$15=$G34,AX$15=$G34+$F$5),0.5,1)/$F$5)</f>
        <v/>
      </c>
      <c r="AY34" s="177">
        <f>IF(OR(AY$15&lt;$G34,AY$15&gt;$G34+$F$5),0,IF(OR(AY$15=$G34,AY$15=$G34+$F$5),0.5,1)/$F$5)</f>
        <v/>
      </c>
      <c r="AZ34" s="177">
        <f>IF(OR(AZ$15&lt;$G34,AZ$15&gt;$G34+$F$5),0,IF(OR(AZ$15=$G34,AZ$15=$G34+$F$5),0.5,1)/$F$5)</f>
        <v/>
      </c>
      <c r="BA34" s="177">
        <f>IF(OR(BA$15&lt;$G34,BA$15&gt;$G34+$F$5),0,IF(OR(BA$15=$G34,BA$15=$G34+$F$5),0.5,1)/$F$5)</f>
        <v/>
      </c>
      <c r="BB34" s="177">
        <f>IF(OR(BB$15&lt;$G34,BB$15&gt;$G34+$F$5),0,IF(OR(BB$15=$G34,BB$15=$G34+$F$5),0.5,1)/$F$5)</f>
        <v/>
      </c>
      <c r="BC34" s="177">
        <f>IF(OR(BC$15&lt;$G34,BC$15&gt;$G34+$F$5),0,IF(OR(BC$15=$G34,BC$15=$G34+$F$5),0.5,1)/$F$5)</f>
        <v/>
      </c>
      <c r="BD34" s="177">
        <f>IF(OR(BD$15&lt;$G34,BD$15&gt;$G34+$F$5),0,IF(OR(BD$15=$G34,BD$15=$G34+$F$5),0.5,1)/$F$5)</f>
        <v/>
      </c>
      <c r="BE34" s="177">
        <f>IF(OR(BE$15&lt;$G34,BE$15&gt;$G34+$F$5),0,IF(OR(BE$15=$G34,BE$15=$G34+$F$5),0.5,1)/$F$5)</f>
        <v/>
      </c>
      <c r="BF34" s="211">
        <f>IF(OR($G34&lt;V$15,$G34+$F$5&gt;BE$15),0,ABS(SUM(V34:BE34)-1))</f>
        <v/>
      </c>
    </row>
    <row r="35">
      <c r="A35" s="145" t="n">
        <v>19</v>
      </c>
      <c r="B35" s="204">
        <f>EDATE($B34,1)</f>
        <v/>
      </c>
      <c r="C35" s="205">
        <f>EOMONTH($B35,0)</f>
        <v/>
      </c>
      <c r="D35" s="201">
        <f>$C35-$B35+1</f>
        <v/>
      </c>
      <c r="E35" s="201">
        <f>MONTH($B35)</f>
        <v/>
      </c>
      <c r="F35" s="206">
        <f>($B35+$C35+1)/2</f>
        <v/>
      </c>
      <c r="G35" s="201">
        <f>YEAR($B35)*12+MONTH($B35)-1</f>
        <v/>
      </c>
      <c r="H35" s="207">
        <f>IF(OR(nr_SeasonOn="OFF",$F$6=0,$F$7=0),1,12*INDEX(se_block,$F$6,$E35)/$F$7)</f>
        <v/>
      </c>
      <c r="I35" s="208">
        <f>EXP(SUMPRODUCT((rl_eff&lt;$B35)*(rl_key=nr_SelKey)*rl_ln1p))</f>
        <v/>
      </c>
      <c r="J35" s="208">
        <f>EXP(SUMPRODUCT((rl_eff&lt;=$C35)*(rl_key=nr_SelKey)*rl_ln1p))</f>
        <v/>
      </c>
      <c r="K35" s="201">
        <f>COUNTIFS(rl_key,nr_SelKey,rl_eff,"&gt;="&amp;$B35,rl_eff,"&lt;="&amp;$C35)</f>
        <v/>
      </c>
      <c r="L35" s="201">
        <f>SUMIFS(rl_daysafter,rl_key,nr_SelKey,rl_effmonth,$B35,rl_first,1)</f>
        <v/>
      </c>
      <c r="M35" s="209">
        <f>IF($K35=0,0,MIN(1,$L35/$D35))</f>
        <v/>
      </c>
      <c r="N35" s="208">
        <f>IF($K35=0,$J35,(1-$M35)*$I35+$M35*$J35)</f>
        <v/>
      </c>
      <c r="O35" s="210">
        <f>'Mod Engine'!$E35</f>
        <v/>
      </c>
      <c r="P35" s="208">
        <f>MIN(1,MAX(0,(nr_MEndPm1-$G35+0.5)/$F$5))-MIN(1,MAX(0,(nr_MStartPm1-1-$G35+0.5)/$F$5))</f>
        <v/>
      </c>
      <c r="Q35" s="208">
        <f>MIN(1,MAX(0,(nr_MEndP-$G35+0.5)/$F$5))-MIN(1,MAX(0,(nr_MStartP-1-$G35+0.5)/$F$5))</f>
        <v/>
      </c>
      <c r="R35" s="208">
        <f>MIN(1,MAX(0,(nr_MEndP1-$G35+0.5)/$F$5))-MIN(1,MAX(0,(nr_MStartP1-1-$G35+0.5)/$F$5))</f>
        <v/>
      </c>
      <c r="S35" s="208">
        <f>IF(nr_NetMode,$N35*IF(nr_ModAdjEff="ON",$O35/nr_MInd,1),"")</f>
        <v/>
      </c>
      <c r="T35" s="208">
        <f>IF(NOT(nr_NetMode),"",IF($G35&lt;nr_MStartP,$S35,$T23*(1+IF($G35&lt;nr_MStartP1,nr_NetSelP,nr_NetSelP1))))</f>
        <v/>
      </c>
      <c r="U35" s="208">
        <f>IF(nr_NetMode,$T35,$N35)</f>
        <v/>
      </c>
      <c r="V35" s="177">
        <f>IF(OR(V$15&lt;$G35,V$15&gt;$G35+$F$5),0,IF(OR(V$15=$G35,V$15=$G35+$F$5),0.5,1)/$F$5)</f>
        <v/>
      </c>
      <c r="W35" s="177">
        <f>IF(OR(W$15&lt;$G35,W$15&gt;$G35+$F$5),0,IF(OR(W$15=$G35,W$15=$G35+$F$5),0.5,1)/$F$5)</f>
        <v/>
      </c>
      <c r="X35" s="177">
        <f>IF(OR(X$15&lt;$G35,X$15&gt;$G35+$F$5),0,IF(OR(X$15=$G35,X$15=$G35+$F$5),0.5,1)/$F$5)</f>
        <v/>
      </c>
      <c r="Y35" s="177">
        <f>IF(OR(Y$15&lt;$G35,Y$15&gt;$G35+$F$5),0,IF(OR(Y$15=$G35,Y$15=$G35+$F$5),0.5,1)/$F$5)</f>
        <v/>
      </c>
      <c r="Z35" s="177">
        <f>IF(OR(Z$15&lt;$G35,Z$15&gt;$G35+$F$5),0,IF(OR(Z$15=$G35,Z$15=$G35+$F$5),0.5,1)/$F$5)</f>
        <v/>
      </c>
      <c r="AA35" s="177">
        <f>IF(OR(AA$15&lt;$G35,AA$15&gt;$G35+$F$5),0,IF(OR(AA$15=$G35,AA$15=$G35+$F$5),0.5,1)/$F$5)</f>
        <v/>
      </c>
      <c r="AB35" s="177">
        <f>IF(OR(AB$15&lt;$G35,AB$15&gt;$G35+$F$5),0,IF(OR(AB$15=$G35,AB$15=$G35+$F$5),0.5,1)/$F$5)</f>
        <v/>
      </c>
      <c r="AC35" s="177">
        <f>IF(OR(AC$15&lt;$G35,AC$15&gt;$G35+$F$5),0,IF(OR(AC$15=$G35,AC$15=$G35+$F$5),0.5,1)/$F$5)</f>
        <v/>
      </c>
      <c r="AD35" s="177">
        <f>IF(OR(AD$15&lt;$G35,AD$15&gt;$G35+$F$5),0,IF(OR(AD$15=$G35,AD$15=$G35+$F$5),0.5,1)/$F$5)</f>
        <v/>
      </c>
      <c r="AE35" s="177">
        <f>IF(OR(AE$15&lt;$G35,AE$15&gt;$G35+$F$5),0,IF(OR(AE$15=$G35,AE$15=$G35+$F$5),0.5,1)/$F$5)</f>
        <v/>
      </c>
      <c r="AF35" s="177">
        <f>IF(OR(AF$15&lt;$G35,AF$15&gt;$G35+$F$5),0,IF(OR(AF$15=$G35,AF$15=$G35+$F$5),0.5,1)/$F$5)</f>
        <v/>
      </c>
      <c r="AG35" s="177">
        <f>IF(OR(AG$15&lt;$G35,AG$15&gt;$G35+$F$5),0,IF(OR(AG$15=$G35,AG$15=$G35+$F$5),0.5,1)/$F$5)</f>
        <v/>
      </c>
      <c r="AH35" s="177">
        <f>IF(OR(AH$15&lt;$G35,AH$15&gt;$G35+$F$5),0,IF(OR(AH$15=$G35,AH$15=$G35+$F$5),0.5,1)/$F$5)</f>
        <v/>
      </c>
      <c r="AI35" s="177">
        <f>IF(OR(AI$15&lt;$G35,AI$15&gt;$G35+$F$5),0,IF(OR(AI$15=$G35,AI$15=$G35+$F$5),0.5,1)/$F$5)</f>
        <v/>
      </c>
      <c r="AJ35" s="177">
        <f>IF(OR(AJ$15&lt;$G35,AJ$15&gt;$G35+$F$5),0,IF(OR(AJ$15=$G35,AJ$15=$G35+$F$5),0.5,1)/$F$5)</f>
        <v/>
      </c>
      <c r="AK35" s="177">
        <f>IF(OR(AK$15&lt;$G35,AK$15&gt;$G35+$F$5),0,IF(OR(AK$15=$G35,AK$15=$G35+$F$5),0.5,1)/$F$5)</f>
        <v/>
      </c>
      <c r="AL35" s="177">
        <f>IF(OR(AL$15&lt;$G35,AL$15&gt;$G35+$F$5),0,IF(OR(AL$15=$G35,AL$15=$G35+$F$5),0.5,1)/$F$5)</f>
        <v/>
      </c>
      <c r="AM35" s="177">
        <f>IF(OR(AM$15&lt;$G35,AM$15&gt;$G35+$F$5),0,IF(OR(AM$15=$G35,AM$15=$G35+$F$5),0.5,1)/$F$5)</f>
        <v/>
      </c>
      <c r="AN35" s="177">
        <f>IF(OR(AN$15&lt;$G35,AN$15&gt;$G35+$F$5),0,IF(OR(AN$15=$G35,AN$15=$G35+$F$5),0.5,1)/$F$5)</f>
        <v/>
      </c>
      <c r="AO35" s="177">
        <f>IF(OR(AO$15&lt;$G35,AO$15&gt;$G35+$F$5),0,IF(OR(AO$15=$G35,AO$15=$G35+$F$5),0.5,1)/$F$5)</f>
        <v/>
      </c>
      <c r="AP35" s="177">
        <f>IF(OR(AP$15&lt;$G35,AP$15&gt;$G35+$F$5),0,IF(OR(AP$15=$G35,AP$15=$G35+$F$5),0.5,1)/$F$5)</f>
        <v/>
      </c>
      <c r="AQ35" s="177">
        <f>IF(OR(AQ$15&lt;$G35,AQ$15&gt;$G35+$F$5),0,IF(OR(AQ$15=$G35,AQ$15=$G35+$F$5),0.5,1)/$F$5)</f>
        <v/>
      </c>
      <c r="AR35" s="177">
        <f>IF(OR(AR$15&lt;$G35,AR$15&gt;$G35+$F$5),0,IF(OR(AR$15=$G35,AR$15=$G35+$F$5),0.5,1)/$F$5)</f>
        <v/>
      </c>
      <c r="AS35" s="177">
        <f>IF(OR(AS$15&lt;$G35,AS$15&gt;$G35+$F$5),0,IF(OR(AS$15=$G35,AS$15=$G35+$F$5),0.5,1)/$F$5)</f>
        <v/>
      </c>
      <c r="AT35" s="177">
        <f>IF(OR(AT$15&lt;$G35,AT$15&gt;$G35+$F$5),0,IF(OR(AT$15=$G35,AT$15=$G35+$F$5),0.5,1)/$F$5)</f>
        <v/>
      </c>
      <c r="AU35" s="177">
        <f>IF(OR(AU$15&lt;$G35,AU$15&gt;$G35+$F$5),0,IF(OR(AU$15=$G35,AU$15=$G35+$F$5),0.5,1)/$F$5)</f>
        <v/>
      </c>
      <c r="AV35" s="177">
        <f>IF(OR(AV$15&lt;$G35,AV$15&gt;$G35+$F$5),0,IF(OR(AV$15=$G35,AV$15=$G35+$F$5),0.5,1)/$F$5)</f>
        <v/>
      </c>
      <c r="AW35" s="177">
        <f>IF(OR(AW$15&lt;$G35,AW$15&gt;$G35+$F$5),0,IF(OR(AW$15=$G35,AW$15=$G35+$F$5),0.5,1)/$F$5)</f>
        <v/>
      </c>
      <c r="AX35" s="177">
        <f>IF(OR(AX$15&lt;$G35,AX$15&gt;$G35+$F$5),0,IF(OR(AX$15=$G35,AX$15=$G35+$F$5),0.5,1)/$F$5)</f>
        <v/>
      </c>
      <c r="AY35" s="177">
        <f>IF(OR(AY$15&lt;$G35,AY$15&gt;$G35+$F$5),0,IF(OR(AY$15=$G35,AY$15=$G35+$F$5),0.5,1)/$F$5)</f>
        <v/>
      </c>
      <c r="AZ35" s="177">
        <f>IF(OR(AZ$15&lt;$G35,AZ$15&gt;$G35+$F$5),0,IF(OR(AZ$15=$G35,AZ$15=$G35+$F$5),0.5,1)/$F$5)</f>
        <v/>
      </c>
      <c r="BA35" s="177">
        <f>IF(OR(BA$15&lt;$G35,BA$15&gt;$G35+$F$5),0,IF(OR(BA$15=$G35,BA$15=$G35+$F$5),0.5,1)/$F$5)</f>
        <v/>
      </c>
      <c r="BB35" s="177">
        <f>IF(OR(BB$15&lt;$G35,BB$15&gt;$G35+$F$5),0,IF(OR(BB$15=$G35,BB$15=$G35+$F$5),0.5,1)/$F$5)</f>
        <v/>
      </c>
      <c r="BC35" s="177">
        <f>IF(OR(BC$15&lt;$G35,BC$15&gt;$G35+$F$5),0,IF(OR(BC$15=$G35,BC$15=$G35+$F$5),0.5,1)/$F$5)</f>
        <v/>
      </c>
      <c r="BD35" s="177">
        <f>IF(OR(BD$15&lt;$G35,BD$15&gt;$G35+$F$5),0,IF(OR(BD$15=$G35,BD$15=$G35+$F$5),0.5,1)/$F$5)</f>
        <v/>
      </c>
      <c r="BE35" s="177">
        <f>IF(OR(BE$15&lt;$G35,BE$15&gt;$G35+$F$5),0,IF(OR(BE$15=$G35,BE$15=$G35+$F$5),0.5,1)/$F$5)</f>
        <v/>
      </c>
      <c r="BF35" s="211">
        <f>IF(OR($G35&lt;V$15,$G35+$F$5&gt;BE$15),0,ABS(SUM(V35:BE35)-1))</f>
        <v/>
      </c>
    </row>
    <row r="36">
      <c r="A36" s="145" t="n">
        <v>20</v>
      </c>
      <c r="B36" s="204">
        <f>EDATE($B35,1)</f>
        <v/>
      </c>
      <c r="C36" s="205">
        <f>EOMONTH($B36,0)</f>
        <v/>
      </c>
      <c r="D36" s="201">
        <f>$C36-$B36+1</f>
        <v/>
      </c>
      <c r="E36" s="201">
        <f>MONTH($B36)</f>
        <v/>
      </c>
      <c r="F36" s="206">
        <f>($B36+$C36+1)/2</f>
        <v/>
      </c>
      <c r="G36" s="201">
        <f>YEAR($B36)*12+MONTH($B36)-1</f>
        <v/>
      </c>
      <c r="H36" s="207">
        <f>IF(OR(nr_SeasonOn="OFF",$F$6=0,$F$7=0),1,12*INDEX(se_block,$F$6,$E36)/$F$7)</f>
        <v/>
      </c>
      <c r="I36" s="208">
        <f>EXP(SUMPRODUCT((rl_eff&lt;$B36)*(rl_key=nr_SelKey)*rl_ln1p))</f>
        <v/>
      </c>
      <c r="J36" s="208">
        <f>EXP(SUMPRODUCT((rl_eff&lt;=$C36)*(rl_key=nr_SelKey)*rl_ln1p))</f>
        <v/>
      </c>
      <c r="K36" s="201">
        <f>COUNTIFS(rl_key,nr_SelKey,rl_eff,"&gt;="&amp;$B36,rl_eff,"&lt;="&amp;$C36)</f>
        <v/>
      </c>
      <c r="L36" s="201">
        <f>SUMIFS(rl_daysafter,rl_key,nr_SelKey,rl_effmonth,$B36,rl_first,1)</f>
        <v/>
      </c>
      <c r="M36" s="209">
        <f>IF($K36=0,0,MIN(1,$L36/$D36))</f>
        <v/>
      </c>
      <c r="N36" s="208">
        <f>IF($K36=0,$J36,(1-$M36)*$I36+$M36*$J36)</f>
        <v/>
      </c>
      <c r="O36" s="210">
        <f>'Mod Engine'!$E36</f>
        <v/>
      </c>
      <c r="P36" s="208">
        <f>MIN(1,MAX(0,(nr_MEndPm1-$G36+0.5)/$F$5))-MIN(1,MAX(0,(nr_MStartPm1-1-$G36+0.5)/$F$5))</f>
        <v/>
      </c>
      <c r="Q36" s="208">
        <f>MIN(1,MAX(0,(nr_MEndP-$G36+0.5)/$F$5))-MIN(1,MAX(0,(nr_MStartP-1-$G36+0.5)/$F$5))</f>
        <v/>
      </c>
      <c r="R36" s="208">
        <f>MIN(1,MAX(0,(nr_MEndP1-$G36+0.5)/$F$5))-MIN(1,MAX(0,(nr_MStartP1-1-$G36+0.5)/$F$5))</f>
        <v/>
      </c>
      <c r="S36" s="208">
        <f>IF(nr_NetMode,$N36*IF(nr_ModAdjEff="ON",$O36/nr_MInd,1),"")</f>
        <v/>
      </c>
      <c r="T36" s="208">
        <f>IF(NOT(nr_NetMode),"",IF($G36&lt;nr_MStartP,$S36,$T24*(1+IF($G36&lt;nr_MStartP1,nr_NetSelP,nr_NetSelP1))))</f>
        <v/>
      </c>
      <c r="U36" s="208">
        <f>IF(nr_NetMode,$T36,$N36)</f>
        <v/>
      </c>
      <c r="V36" s="177">
        <f>IF(OR(V$15&lt;$G36,V$15&gt;$G36+$F$5),0,IF(OR(V$15=$G36,V$15=$G36+$F$5),0.5,1)/$F$5)</f>
        <v/>
      </c>
      <c r="W36" s="177">
        <f>IF(OR(W$15&lt;$G36,W$15&gt;$G36+$F$5),0,IF(OR(W$15=$G36,W$15=$G36+$F$5),0.5,1)/$F$5)</f>
        <v/>
      </c>
      <c r="X36" s="177">
        <f>IF(OR(X$15&lt;$G36,X$15&gt;$G36+$F$5),0,IF(OR(X$15=$G36,X$15=$G36+$F$5),0.5,1)/$F$5)</f>
        <v/>
      </c>
      <c r="Y36" s="177">
        <f>IF(OR(Y$15&lt;$G36,Y$15&gt;$G36+$F$5),0,IF(OR(Y$15=$G36,Y$15=$G36+$F$5),0.5,1)/$F$5)</f>
        <v/>
      </c>
      <c r="Z36" s="177">
        <f>IF(OR(Z$15&lt;$G36,Z$15&gt;$G36+$F$5),0,IF(OR(Z$15=$G36,Z$15=$G36+$F$5),0.5,1)/$F$5)</f>
        <v/>
      </c>
      <c r="AA36" s="177">
        <f>IF(OR(AA$15&lt;$G36,AA$15&gt;$G36+$F$5),0,IF(OR(AA$15=$G36,AA$15=$G36+$F$5),0.5,1)/$F$5)</f>
        <v/>
      </c>
      <c r="AB36" s="177">
        <f>IF(OR(AB$15&lt;$G36,AB$15&gt;$G36+$F$5),0,IF(OR(AB$15=$G36,AB$15=$G36+$F$5),0.5,1)/$F$5)</f>
        <v/>
      </c>
      <c r="AC36" s="177">
        <f>IF(OR(AC$15&lt;$G36,AC$15&gt;$G36+$F$5),0,IF(OR(AC$15=$G36,AC$15=$G36+$F$5),0.5,1)/$F$5)</f>
        <v/>
      </c>
      <c r="AD36" s="177">
        <f>IF(OR(AD$15&lt;$G36,AD$15&gt;$G36+$F$5),0,IF(OR(AD$15=$G36,AD$15=$G36+$F$5),0.5,1)/$F$5)</f>
        <v/>
      </c>
      <c r="AE36" s="177">
        <f>IF(OR(AE$15&lt;$G36,AE$15&gt;$G36+$F$5),0,IF(OR(AE$15=$G36,AE$15=$G36+$F$5),0.5,1)/$F$5)</f>
        <v/>
      </c>
      <c r="AF36" s="177">
        <f>IF(OR(AF$15&lt;$G36,AF$15&gt;$G36+$F$5),0,IF(OR(AF$15=$G36,AF$15=$G36+$F$5),0.5,1)/$F$5)</f>
        <v/>
      </c>
      <c r="AG36" s="177">
        <f>IF(OR(AG$15&lt;$G36,AG$15&gt;$G36+$F$5),0,IF(OR(AG$15=$G36,AG$15=$G36+$F$5),0.5,1)/$F$5)</f>
        <v/>
      </c>
      <c r="AH36" s="177">
        <f>IF(OR(AH$15&lt;$G36,AH$15&gt;$G36+$F$5),0,IF(OR(AH$15=$G36,AH$15=$G36+$F$5),0.5,1)/$F$5)</f>
        <v/>
      </c>
      <c r="AI36" s="177">
        <f>IF(OR(AI$15&lt;$G36,AI$15&gt;$G36+$F$5),0,IF(OR(AI$15=$G36,AI$15=$G36+$F$5),0.5,1)/$F$5)</f>
        <v/>
      </c>
      <c r="AJ36" s="177">
        <f>IF(OR(AJ$15&lt;$G36,AJ$15&gt;$G36+$F$5),0,IF(OR(AJ$15=$G36,AJ$15=$G36+$F$5),0.5,1)/$F$5)</f>
        <v/>
      </c>
      <c r="AK36" s="177">
        <f>IF(OR(AK$15&lt;$G36,AK$15&gt;$G36+$F$5),0,IF(OR(AK$15=$G36,AK$15=$G36+$F$5),0.5,1)/$F$5)</f>
        <v/>
      </c>
      <c r="AL36" s="177">
        <f>IF(OR(AL$15&lt;$G36,AL$15&gt;$G36+$F$5),0,IF(OR(AL$15=$G36,AL$15=$G36+$F$5),0.5,1)/$F$5)</f>
        <v/>
      </c>
      <c r="AM36" s="177">
        <f>IF(OR(AM$15&lt;$G36,AM$15&gt;$G36+$F$5),0,IF(OR(AM$15=$G36,AM$15=$G36+$F$5),0.5,1)/$F$5)</f>
        <v/>
      </c>
      <c r="AN36" s="177">
        <f>IF(OR(AN$15&lt;$G36,AN$15&gt;$G36+$F$5),0,IF(OR(AN$15=$G36,AN$15=$G36+$F$5),0.5,1)/$F$5)</f>
        <v/>
      </c>
      <c r="AO36" s="177">
        <f>IF(OR(AO$15&lt;$G36,AO$15&gt;$G36+$F$5),0,IF(OR(AO$15=$G36,AO$15=$G36+$F$5),0.5,1)/$F$5)</f>
        <v/>
      </c>
      <c r="AP36" s="177">
        <f>IF(OR(AP$15&lt;$G36,AP$15&gt;$G36+$F$5),0,IF(OR(AP$15=$G36,AP$15=$G36+$F$5),0.5,1)/$F$5)</f>
        <v/>
      </c>
      <c r="AQ36" s="177">
        <f>IF(OR(AQ$15&lt;$G36,AQ$15&gt;$G36+$F$5),0,IF(OR(AQ$15=$G36,AQ$15=$G36+$F$5),0.5,1)/$F$5)</f>
        <v/>
      </c>
      <c r="AR36" s="177">
        <f>IF(OR(AR$15&lt;$G36,AR$15&gt;$G36+$F$5),0,IF(OR(AR$15=$G36,AR$15=$G36+$F$5),0.5,1)/$F$5)</f>
        <v/>
      </c>
      <c r="AS36" s="177">
        <f>IF(OR(AS$15&lt;$G36,AS$15&gt;$G36+$F$5),0,IF(OR(AS$15=$G36,AS$15=$G36+$F$5),0.5,1)/$F$5)</f>
        <v/>
      </c>
      <c r="AT36" s="177">
        <f>IF(OR(AT$15&lt;$G36,AT$15&gt;$G36+$F$5),0,IF(OR(AT$15=$G36,AT$15=$G36+$F$5),0.5,1)/$F$5)</f>
        <v/>
      </c>
      <c r="AU36" s="177">
        <f>IF(OR(AU$15&lt;$G36,AU$15&gt;$G36+$F$5),0,IF(OR(AU$15=$G36,AU$15=$G36+$F$5),0.5,1)/$F$5)</f>
        <v/>
      </c>
      <c r="AV36" s="177">
        <f>IF(OR(AV$15&lt;$G36,AV$15&gt;$G36+$F$5),0,IF(OR(AV$15=$G36,AV$15=$G36+$F$5),0.5,1)/$F$5)</f>
        <v/>
      </c>
      <c r="AW36" s="177">
        <f>IF(OR(AW$15&lt;$G36,AW$15&gt;$G36+$F$5),0,IF(OR(AW$15=$G36,AW$15=$G36+$F$5),0.5,1)/$F$5)</f>
        <v/>
      </c>
      <c r="AX36" s="177">
        <f>IF(OR(AX$15&lt;$G36,AX$15&gt;$G36+$F$5),0,IF(OR(AX$15=$G36,AX$15=$G36+$F$5),0.5,1)/$F$5)</f>
        <v/>
      </c>
      <c r="AY36" s="177">
        <f>IF(OR(AY$15&lt;$G36,AY$15&gt;$G36+$F$5),0,IF(OR(AY$15=$G36,AY$15=$G36+$F$5),0.5,1)/$F$5)</f>
        <v/>
      </c>
      <c r="AZ36" s="177">
        <f>IF(OR(AZ$15&lt;$G36,AZ$15&gt;$G36+$F$5),0,IF(OR(AZ$15=$G36,AZ$15=$G36+$F$5),0.5,1)/$F$5)</f>
        <v/>
      </c>
      <c r="BA36" s="177">
        <f>IF(OR(BA$15&lt;$G36,BA$15&gt;$G36+$F$5),0,IF(OR(BA$15=$G36,BA$15=$G36+$F$5),0.5,1)/$F$5)</f>
        <v/>
      </c>
      <c r="BB36" s="177">
        <f>IF(OR(BB$15&lt;$G36,BB$15&gt;$G36+$F$5),0,IF(OR(BB$15=$G36,BB$15=$G36+$F$5),0.5,1)/$F$5)</f>
        <v/>
      </c>
      <c r="BC36" s="177">
        <f>IF(OR(BC$15&lt;$G36,BC$15&gt;$G36+$F$5),0,IF(OR(BC$15=$G36,BC$15=$G36+$F$5),0.5,1)/$F$5)</f>
        <v/>
      </c>
      <c r="BD36" s="177">
        <f>IF(OR(BD$15&lt;$G36,BD$15&gt;$G36+$F$5),0,IF(OR(BD$15=$G36,BD$15=$G36+$F$5),0.5,1)/$F$5)</f>
        <v/>
      </c>
      <c r="BE36" s="177">
        <f>IF(OR(BE$15&lt;$G36,BE$15&gt;$G36+$F$5),0,IF(OR(BE$15=$G36,BE$15=$G36+$F$5),0.5,1)/$F$5)</f>
        <v/>
      </c>
      <c r="BF36" s="211">
        <f>IF(OR($G36&lt;V$15,$G36+$F$5&gt;BE$15),0,ABS(SUM(V36:BE36)-1))</f>
        <v/>
      </c>
    </row>
    <row r="37">
      <c r="A37" s="145" t="n">
        <v>21</v>
      </c>
      <c r="B37" s="204">
        <f>EDATE($B36,1)</f>
        <v/>
      </c>
      <c r="C37" s="205">
        <f>EOMONTH($B37,0)</f>
        <v/>
      </c>
      <c r="D37" s="201">
        <f>$C37-$B37+1</f>
        <v/>
      </c>
      <c r="E37" s="201">
        <f>MONTH($B37)</f>
        <v/>
      </c>
      <c r="F37" s="206">
        <f>($B37+$C37+1)/2</f>
        <v/>
      </c>
      <c r="G37" s="201">
        <f>YEAR($B37)*12+MONTH($B37)-1</f>
        <v/>
      </c>
      <c r="H37" s="207">
        <f>IF(OR(nr_SeasonOn="OFF",$F$6=0,$F$7=0),1,12*INDEX(se_block,$F$6,$E37)/$F$7)</f>
        <v/>
      </c>
      <c r="I37" s="208">
        <f>EXP(SUMPRODUCT((rl_eff&lt;$B37)*(rl_key=nr_SelKey)*rl_ln1p))</f>
        <v/>
      </c>
      <c r="J37" s="208">
        <f>EXP(SUMPRODUCT((rl_eff&lt;=$C37)*(rl_key=nr_SelKey)*rl_ln1p))</f>
        <v/>
      </c>
      <c r="K37" s="201">
        <f>COUNTIFS(rl_key,nr_SelKey,rl_eff,"&gt;="&amp;$B37,rl_eff,"&lt;="&amp;$C37)</f>
        <v/>
      </c>
      <c r="L37" s="201">
        <f>SUMIFS(rl_daysafter,rl_key,nr_SelKey,rl_effmonth,$B37,rl_first,1)</f>
        <v/>
      </c>
      <c r="M37" s="209">
        <f>IF($K37=0,0,MIN(1,$L37/$D37))</f>
        <v/>
      </c>
      <c r="N37" s="208">
        <f>IF($K37=0,$J37,(1-$M37)*$I37+$M37*$J37)</f>
        <v/>
      </c>
      <c r="O37" s="210">
        <f>'Mod Engine'!$E37</f>
        <v/>
      </c>
      <c r="P37" s="208">
        <f>MIN(1,MAX(0,(nr_MEndPm1-$G37+0.5)/$F$5))-MIN(1,MAX(0,(nr_MStartPm1-1-$G37+0.5)/$F$5))</f>
        <v/>
      </c>
      <c r="Q37" s="208">
        <f>MIN(1,MAX(0,(nr_MEndP-$G37+0.5)/$F$5))-MIN(1,MAX(0,(nr_MStartP-1-$G37+0.5)/$F$5))</f>
        <v/>
      </c>
      <c r="R37" s="208">
        <f>MIN(1,MAX(0,(nr_MEndP1-$G37+0.5)/$F$5))-MIN(1,MAX(0,(nr_MStartP1-1-$G37+0.5)/$F$5))</f>
        <v/>
      </c>
      <c r="S37" s="208">
        <f>IF(nr_NetMode,$N37*IF(nr_ModAdjEff="ON",$O37/nr_MInd,1),"")</f>
        <v/>
      </c>
      <c r="T37" s="208">
        <f>IF(NOT(nr_NetMode),"",IF($G37&lt;nr_MStartP,$S37,$T25*(1+IF($G37&lt;nr_MStartP1,nr_NetSelP,nr_NetSelP1))))</f>
        <v/>
      </c>
      <c r="U37" s="208">
        <f>IF(nr_NetMode,$T37,$N37)</f>
        <v/>
      </c>
      <c r="V37" s="177">
        <f>IF(OR(V$15&lt;$G37,V$15&gt;$G37+$F$5),0,IF(OR(V$15=$G37,V$15=$G37+$F$5),0.5,1)/$F$5)</f>
        <v/>
      </c>
      <c r="W37" s="177">
        <f>IF(OR(W$15&lt;$G37,W$15&gt;$G37+$F$5),0,IF(OR(W$15=$G37,W$15=$G37+$F$5),0.5,1)/$F$5)</f>
        <v/>
      </c>
      <c r="X37" s="177">
        <f>IF(OR(X$15&lt;$G37,X$15&gt;$G37+$F$5),0,IF(OR(X$15=$G37,X$15=$G37+$F$5),0.5,1)/$F$5)</f>
        <v/>
      </c>
      <c r="Y37" s="177">
        <f>IF(OR(Y$15&lt;$G37,Y$15&gt;$G37+$F$5),0,IF(OR(Y$15=$G37,Y$15=$G37+$F$5),0.5,1)/$F$5)</f>
        <v/>
      </c>
      <c r="Z37" s="177">
        <f>IF(OR(Z$15&lt;$G37,Z$15&gt;$G37+$F$5),0,IF(OR(Z$15=$G37,Z$15=$G37+$F$5),0.5,1)/$F$5)</f>
        <v/>
      </c>
      <c r="AA37" s="177">
        <f>IF(OR(AA$15&lt;$G37,AA$15&gt;$G37+$F$5),0,IF(OR(AA$15=$G37,AA$15=$G37+$F$5),0.5,1)/$F$5)</f>
        <v/>
      </c>
      <c r="AB37" s="177">
        <f>IF(OR(AB$15&lt;$G37,AB$15&gt;$G37+$F$5),0,IF(OR(AB$15=$G37,AB$15=$G37+$F$5),0.5,1)/$F$5)</f>
        <v/>
      </c>
      <c r="AC37" s="177">
        <f>IF(OR(AC$15&lt;$G37,AC$15&gt;$G37+$F$5),0,IF(OR(AC$15=$G37,AC$15=$G37+$F$5),0.5,1)/$F$5)</f>
        <v/>
      </c>
      <c r="AD37" s="177">
        <f>IF(OR(AD$15&lt;$G37,AD$15&gt;$G37+$F$5),0,IF(OR(AD$15=$G37,AD$15=$G37+$F$5),0.5,1)/$F$5)</f>
        <v/>
      </c>
      <c r="AE37" s="177">
        <f>IF(OR(AE$15&lt;$G37,AE$15&gt;$G37+$F$5),0,IF(OR(AE$15=$G37,AE$15=$G37+$F$5),0.5,1)/$F$5)</f>
        <v/>
      </c>
      <c r="AF37" s="177">
        <f>IF(OR(AF$15&lt;$G37,AF$15&gt;$G37+$F$5),0,IF(OR(AF$15=$G37,AF$15=$G37+$F$5),0.5,1)/$F$5)</f>
        <v/>
      </c>
      <c r="AG37" s="177">
        <f>IF(OR(AG$15&lt;$G37,AG$15&gt;$G37+$F$5),0,IF(OR(AG$15=$G37,AG$15=$G37+$F$5),0.5,1)/$F$5)</f>
        <v/>
      </c>
      <c r="AH37" s="177">
        <f>IF(OR(AH$15&lt;$G37,AH$15&gt;$G37+$F$5),0,IF(OR(AH$15=$G37,AH$15=$G37+$F$5),0.5,1)/$F$5)</f>
        <v/>
      </c>
      <c r="AI37" s="177">
        <f>IF(OR(AI$15&lt;$G37,AI$15&gt;$G37+$F$5),0,IF(OR(AI$15=$G37,AI$15=$G37+$F$5),0.5,1)/$F$5)</f>
        <v/>
      </c>
      <c r="AJ37" s="177">
        <f>IF(OR(AJ$15&lt;$G37,AJ$15&gt;$G37+$F$5),0,IF(OR(AJ$15=$G37,AJ$15=$G37+$F$5),0.5,1)/$F$5)</f>
        <v/>
      </c>
      <c r="AK37" s="177">
        <f>IF(OR(AK$15&lt;$G37,AK$15&gt;$G37+$F$5),0,IF(OR(AK$15=$G37,AK$15=$G37+$F$5),0.5,1)/$F$5)</f>
        <v/>
      </c>
      <c r="AL37" s="177">
        <f>IF(OR(AL$15&lt;$G37,AL$15&gt;$G37+$F$5),0,IF(OR(AL$15=$G37,AL$15=$G37+$F$5),0.5,1)/$F$5)</f>
        <v/>
      </c>
      <c r="AM37" s="177">
        <f>IF(OR(AM$15&lt;$G37,AM$15&gt;$G37+$F$5),0,IF(OR(AM$15=$G37,AM$15=$G37+$F$5),0.5,1)/$F$5)</f>
        <v/>
      </c>
      <c r="AN37" s="177">
        <f>IF(OR(AN$15&lt;$G37,AN$15&gt;$G37+$F$5),0,IF(OR(AN$15=$G37,AN$15=$G37+$F$5),0.5,1)/$F$5)</f>
        <v/>
      </c>
      <c r="AO37" s="177">
        <f>IF(OR(AO$15&lt;$G37,AO$15&gt;$G37+$F$5),0,IF(OR(AO$15=$G37,AO$15=$G37+$F$5),0.5,1)/$F$5)</f>
        <v/>
      </c>
      <c r="AP37" s="177">
        <f>IF(OR(AP$15&lt;$G37,AP$15&gt;$G37+$F$5),0,IF(OR(AP$15=$G37,AP$15=$G37+$F$5),0.5,1)/$F$5)</f>
        <v/>
      </c>
      <c r="AQ37" s="177">
        <f>IF(OR(AQ$15&lt;$G37,AQ$15&gt;$G37+$F$5),0,IF(OR(AQ$15=$G37,AQ$15=$G37+$F$5),0.5,1)/$F$5)</f>
        <v/>
      </c>
      <c r="AR37" s="177">
        <f>IF(OR(AR$15&lt;$G37,AR$15&gt;$G37+$F$5),0,IF(OR(AR$15=$G37,AR$15=$G37+$F$5),0.5,1)/$F$5)</f>
        <v/>
      </c>
      <c r="AS37" s="177">
        <f>IF(OR(AS$15&lt;$G37,AS$15&gt;$G37+$F$5),0,IF(OR(AS$15=$G37,AS$15=$G37+$F$5),0.5,1)/$F$5)</f>
        <v/>
      </c>
      <c r="AT37" s="177">
        <f>IF(OR(AT$15&lt;$G37,AT$15&gt;$G37+$F$5),0,IF(OR(AT$15=$G37,AT$15=$G37+$F$5),0.5,1)/$F$5)</f>
        <v/>
      </c>
      <c r="AU37" s="177">
        <f>IF(OR(AU$15&lt;$G37,AU$15&gt;$G37+$F$5),0,IF(OR(AU$15=$G37,AU$15=$G37+$F$5),0.5,1)/$F$5)</f>
        <v/>
      </c>
      <c r="AV37" s="177">
        <f>IF(OR(AV$15&lt;$G37,AV$15&gt;$G37+$F$5),0,IF(OR(AV$15=$G37,AV$15=$G37+$F$5),0.5,1)/$F$5)</f>
        <v/>
      </c>
      <c r="AW37" s="177">
        <f>IF(OR(AW$15&lt;$G37,AW$15&gt;$G37+$F$5),0,IF(OR(AW$15=$G37,AW$15=$G37+$F$5),0.5,1)/$F$5)</f>
        <v/>
      </c>
      <c r="AX37" s="177">
        <f>IF(OR(AX$15&lt;$G37,AX$15&gt;$G37+$F$5),0,IF(OR(AX$15=$G37,AX$15=$G37+$F$5),0.5,1)/$F$5)</f>
        <v/>
      </c>
      <c r="AY37" s="177">
        <f>IF(OR(AY$15&lt;$G37,AY$15&gt;$G37+$F$5),0,IF(OR(AY$15=$G37,AY$15=$G37+$F$5),0.5,1)/$F$5)</f>
        <v/>
      </c>
      <c r="AZ37" s="177">
        <f>IF(OR(AZ$15&lt;$G37,AZ$15&gt;$G37+$F$5),0,IF(OR(AZ$15=$G37,AZ$15=$G37+$F$5),0.5,1)/$F$5)</f>
        <v/>
      </c>
      <c r="BA37" s="177">
        <f>IF(OR(BA$15&lt;$G37,BA$15&gt;$G37+$F$5),0,IF(OR(BA$15=$G37,BA$15=$G37+$F$5),0.5,1)/$F$5)</f>
        <v/>
      </c>
      <c r="BB37" s="177">
        <f>IF(OR(BB$15&lt;$G37,BB$15&gt;$G37+$F$5),0,IF(OR(BB$15=$G37,BB$15=$G37+$F$5),0.5,1)/$F$5)</f>
        <v/>
      </c>
      <c r="BC37" s="177">
        <f>IF(OR(BC$15&lt;$G37,BC$15&gt;$G37+$F$5),0,IF(OR(BC$15=$G37,BC$15=$G37+$F$5),0.5,1)/$F$5)</f>
        <v/>
      </c>
      <c r="BD37" s="177">
        <f>IF(OR(BD$15&lt;$G37,BD$15&gt;$G37+$F$5),0,IF(OR(BD$15=$G37,BD$15=$G37+$F$5),0.5,1)/$F$5)</f>
        <v/>
      </c>
      <c r="BE37" s="177">
        <f>IF(OR(BE$15&lt;$G37,BE$15&gt;$G37+$F$5),0,IF(OR(BE$15=$G37,BE$15=$G37+$F$5),0.5,1)/$F$5)</f>
        <v/>
      </c>
      <c r="BF37" s="211">
        <f>IF(OR($G37&lt;V$15,$G37+$F$5&gt;BE$15),0,ABS(SUM(V37:BE37)-1))</f>
        <v/>
      </c>
    </row>
    <row r="38">
      <c r="A38" s="145" t="n">
        <v>22</v>
      </c>
      <c r="B38" s="204">
        <f>EDATE($B37,1)</f>
        <v/>
      </c>
      <c r="C38" s="205">
        <f>EOMONTH($B38,0)</f>
        <v/>
      </c>
      <c r="D38" s="201">
        <f>$C38-$B38+1</f>
        <v/>
      </c>
      <c r="E38" s="201">
        <f>MONTH($B38)</f>
        <v/>
      </c>
      <c r="F38" s="206">
        <f>($B38+$C38+1)/2</f>
        <v/>
      </c>
      <c r="G38" s="201">
        <f>YEAR($B38)*12+MONTH($B38)-1</f>
        <v/>
      </c>
      <c r="H38" s="207">
        <f>IF(OR(nr_SeasonOn="OFF",$F$6=0,$F$7=0),1,12*INDEX(se_block,$F$6,$E38)/$F$7)</f>
        <v/>
      </c>
      <c r="I38" s="208">
        <f>EXP(SUMPRODUCT((rl_eff&lt;$B38)*(rl_key=nr_SelKey)*rl_ln1p))</f>
        <v/>
      </c>
      <c r="J38" s="208">
        <f>EXP(SUMPRODUCT((rl_eff&lt;=$C38)*(rl_key=nr_SelKey)*rl_ln1p))</f>
        <v/>
      </c>
      <c r="K38" s="201">
        <f>COUNTIFS(rl_key,nr_SelKey,rl_eff,"&gt;="&amp;$B38,rl_eff,"&lt;="&amp;$C38)</f>
        <v/>
      </c>
      <c r="L38" s="201">
        <f>SUMIFS(rl_daysafter,rl_key,nr_SelKey,rl_effmonth,$B38,rl_first,1)</f>
        <v/>
      </c>
      <c r="M38" s="209">
        <f>IF($K38=0,0,MIN(1,$L38/$D38))</f>
        <v/>
      </c>
      <c r="N38" s="208">
        <f>IF($K38=0,$J38,(1-$M38)*$I38+$M38*$J38)</f>
        <v/>
      </c>
      <c r="O38" s="210">
        <f>'Mod Engine'!$E38</f>
        <v/>
      </c>
      <c r="P38" s="208">
        <f>MIN(1,MAX(0,(nr_MEndPm1-$G38+0.5)/$F$5))-MIN(1,MAX(0,(nr_MStartPm1-1-$G38+0.5)/$F$5))</f>
        <v/>
      </c>
      <c r="Q38" s="208">
        <f>MIN(1,MAX(0,(nr_MEndP-$G38+0.5)/$F$5))-MIN(1,MAX(0,(nr_MStartP-1-$G38+0.5)/$F$5))</f>
        <v/>
      </c>
      <c r="R38" s="208">
        <f>MIN(1,MAX(0,(nr_MEndP1-$G38+0.5)/$F$5))-MIN(1,MAX(0,(nr_MStartP1-1-$G38+0.5)/$F$5))</f>
        <v/>
      </c>
      <c r="S38" s="208">
        <f>IF(nr_NetMode,$N38*IF(nr_ModAdjEff="ON",$O38/nr_MInd,1),"")</f>
        <v/>
      </c>
      <c r="T38" s="208">
        <f>IF(NOT(nr_NetMode),"",IF($G38&lt;nr_MStartP,$S38,$T26*(1+IF($G38&lt;nr_MStartP1,nr_NetSelP,nr_NetSelP1))))</f>
        <v/>
      </c>
      <c r="U38" s="208">
        <f>IF(nr_NetMode,$T38,$N38)</f>
        <v/>
      </c>
      <c r="V38" s="177">
        <f>IF(OR(V$15&lt;$G38,V$15&gt;$G38+$F$5),0,IF(OR(V$15=$G38,V$15=$G38+$F$5),0.5,1)/$F$5)</f>
        <v/>
      </c>
      <c r="W38" s="177">
        <f>IF(OR(W$15&lt;$G38,W$15&gt;$G38+$F$5),0,IF(OR(W$15=$G38,W$15=$G38+$F$5),0.5,1)/$F$5)</f>
        <v/>
      </c>
      <c r="X38" s="177">
        <f>IF(OR(X$15&lt;$G38,X$15&gt;$G38+$F$5),0,IF(OR(X$15=$G38,X$15=$G38+$F$5),0.5,1)/$F$5)</f>
        <v/>
      </c>
      <c r="Y38" s="177">
        <f>IF(OR(Y$15&lt;$G38,Y$15&gt;$G38+$F$5),0,IF(OR(Y$15=$G38,Y$15=$G38+$F$5),0.5,1)/$F$5)</f>
        <v/>
      </c>
      <c r="Z38" s="177">
        <f>IF(OR(Z$15&lt;$G38,Z$15&gt;$G38+$F$5),0,IF(OR(Z$15=$G38,Z$15=$G38+$F$5),0.5,1)/$F$5)</f>
        <v/>
      </c>
      <c r="AA38" s="177">
        <f>IF(OR(AA$15&lt;$G38,AA$15&gt;$G38+$F$5),0,IF(OR(AA$15=$G38,AA$15=$G38+$F$5),0.5,1)/$F$5)</f>
        <v/>
      </c>
      <c r="AB38" s="177">
        <f>IF(OR(AB$15&lt;$G38,AB$15&gt;$G38+$F$5),0,IF(OR(AB$15=$G38,AB$15=$G38+$F$5),0.5,1)/$F$5)</f>
        <v/>
      </c>
      <c r="AC38" s="177">
        <f>IF(OR(AC$15&lt;$G38,AC$15&gt;$G38+$F$5),0,IF(OR(AC$15=$G38,AC$15=$G38+$F$5),0.5,1)/$F$5)</f>
        <v/>
      </c>
      <c r="AD38" s="177">
        <f>IF(OR(AD$15&lt;$G38,AD$15&gt;$G38+$F$5),0,IF(OR(AD$15=$G38,AD$15=$G38+$F$5),0.5,1)/$F$5)</f>
        <v/>
      </c>
      <c r="AE38" s="177">
        <f>IF(OR(AE$15&lt;$G38,AE$15&gt;$G38+$F$5),0,IF(OR(AE$15=$G38,AE$15=$G38+$F$5),0.5,1)/$F$5)</f>
        <v/>
      </c>
      <c r="AF38" s="177">
        <f>IF(OR(AF$15&lt;$G38,AF$15&gt;$G38+$F$5),0,IF(OR(AF$15=$G38,AF$15=$G38+$F$5),0.5,1)/$F$5)</f>
        <v/>
      </c>
      <c r="AG38" s="177">
        <f>IF(OR(AG$15&lt;$G38,AG$15&gt;$G38+$F$5),0,IF(OR(AG$15=$G38,AG$15=$G38+$F$5),0.5,1)/$F$5)</f>
        <v/>
      </c>
      <c r="AH38" s="177">
        <f>IF(OR(AH$15&lt;$G38,AH$15&gt;$G38+$F$5),0,IF(OR(AH$15=$G38,AH$15=$G38+$F$5),0.5,1)/$F$5)</f>
        <v/>
      </c>
      <c r="AI38" s="177">
        <f>IF(OR(AI$15&lt;$G38,AI$15&gt;$G38+$F$5),0,IF(OR(AI$15=$G38,AI$15=$G38+$F$5),0.5,1)/$F$5)</f>
        <v/>
      </c>
      <c r="AJ38" s="177">
        <f>IF(OR(AJ$15&lt;$G38,AJ$15&gt;$G38+$F$5),0,IF(OR(AJ$15=$G38,AJ$15=$G38+$F$5),0.5,1)/$F$5)</f>
        <v/>
      </c>
      <c r="AK38" s="177">
        <f>IF(OR(AK$15&lt;$G38,AK$15&gt;$G38+$F$5),0,IF(OR(AK$15=$G38,AK$15=$G38+$F$5),0.5,1)/$F$5)</f>
        <v/>
      </c>
      <c r="AL38" s="177">
        <f>IF(OR(AL$15&lt;$G38,AL$15&gt;$G38+$F$5),0,IF(OR(AL$15=$G38,AL$15=$G38+$F$5),0.5,1)/$F$5)</f>
        <v/>
      </c>
      <c r="AM38" s="177">
        <f>IF(OR(AM$15&lt;$G38,AM$15&gt;$G38+$F$5),0,IF(OR(AM$15=$G38,AM$15=$G38+$F$5),0.5,1)/$F$5)</f>
        <v/>
      </c>
      <c r="AN38" s="177">
        <f>IF(OR(AN$15&lt;$G38,AN$15&gt;$G38+$F$5),0,IF(OR(AN$15=$G38,AN$15=$G38+$F$5),0.5,1)/$F$5)</f>
        <v/>
      </c>
      <c r="AO38" s="177">
        <f>IF(OR(AO$15&lt;$G38,AO$15&gt;$G38+$F$5),0,IF(OR(AO$15=$G38,AO$15=$G38+$F$5),0.5,1)/$F$5)</f>
        <v/>
      </c>
      <c r="AP38" s="177">
        <f>IF(OR(AP$15&lt;$G38,AP$15&gt;$G38+$F$5),0,IF(OR(AP$15=$G38,AP$15=$G38+$F$5),0.5,1)/$F$5)</f>
        <v/>
      </c>
      <c r="AQ38" s="177">
        <f>IF(OR(AQ$15&lt;$G38,AQ$15&gt;$G38+$F$5),0,IF(OR(AQ$15=$G38,AQ$15=$G38+$F$5),0.5,1)/$F$5)</f>
        <v/>
      </c>
      <c r="AR38" s="177">
        <f>IF(OR(AR$15&lt;$G38,AR$15&gt;$G38+$F$5),0,IF(OR(AR$15=$G38,AR$15=$G38+$F$5),0.5,1)/$F$5)</f>
        <v/>
      </c>
      <c r="AS38" s="177">
        <f>IF(OR(AS$15&lt;$G38,AS$15&gt;$G38+$F$5),0,IF(OR(AS$15=$G38,AS$15=$G38+$F$5),0.5,1)/$F$5)</f>
        <v/>
      </c>
      <c r="AT38" s="177">
        <f>IF(OR(AT$15&lt;$G38,AT$15&gt;$G38+$F$5),0,IF(OR(AT$15=$G38,AT$15=$G38+$F$5),0.5,1)/$F$5)</f>
        <v/>
      </c>
      <c r="AU38" s="177">
        <f>IF(OR(AU$15&lt;$G38,AU$15&gt;$G38+$F$5),0,IF(OR(AU$15=$G38,AU$15=$G38+$F$5),0.5,1)/$F$5)</f>
        <v/>
      </c>
      <c r="AV38" s="177">
        <f>IF(OR(AV$15&lt;$G38,AV$15&gt;$G38+$F$5),0,IF(OR(AV$15=$G38,AV$15=$G38+$F$5),0.5,1)/$F$5)</f>
        <v/>
      </c>
      <c r="AW38" s="177">
        <f>IF(OR(AW$15&lt;$G38,AW$15&gt;$G38+$F$5),0,IF(OR(AW$15=$G38,AW$15=$G38+$F$5),0.5,1)/$F$5)</f>
        <v/>
      </c>
      <c r="AX38" s="177">
        <f>IF(OR(AX$15&lt;$G38,AX$15&gt;$G38+$F$5),0,IF(OR(AX$15=$G38,AX$15=$G38+$F$5),0.5,1)/$F$5)</f>
        <v/>
      </c>
      <c r="AY38" s="177">
        <f>IF(OR(AY$15&lt;$G38,AY$15&gt;$G38+$F$5),0,IF(OR(AY$15=$G38,AY$15=$G38+$F$5),0.5,1)/$F$5)</f>
        <v/>
      </c>
      <c r="AZ38" s="177">
        <f>IF(OR(AZ$15&lt;$G38,AZ$15&gt;$G38+$F$5),0,IF(OR(AZ$15=$G38,AZ$15=$G38+$F$5),0.5,1)/$F$5)</f>
        <v/>
      </c>
      <c r="BA38" s="177">
        <f>IF(OR(BA$15&lt;$G38,BA$15&gt;$G38+$F$5),0,IF(OR(BA$15=$G38,BA$15=$G38+$F$5),0.5,1)/$F$5)</f>
        <v/>
      </c>
      <c r="BB38" s="177">
        <f>IF(OR(BB$15&lt;$G38,BB$15&gt;$G38+$F$5),0,IF(OR(BB$15=$G38,BB$15=$G38+$F$5),0.5,1)/$F$5)</f>
        <v/>
      </c>
      <c r="BC38" s="177">
        <f>IF(OR(BC$15&lt;$G38,BC$15&gt;$G38+$F$5),0,IF(OR(BC$15=$G38,BC$15=$G38+$F$5),0.5,1)/$F$5)</f>
        <v/>
      </c>
      <c r="BD38" s="177">
        <f>IF(OR(BD$15&lt;$G38,BD$15&gt;$G38+$F$5),0,IF(OR(BD$15=$G38,BD$15=$G38+$F$5),0.5,1)/$F$5)</f>
        <v/>
      </c>
      <c r="BE38" s="177">
        <f>IF(OR(BE$15&lt;$G38,BE$15&gt;$G38+$F$5),0,IF(OR(BE$15=$G38,BE$15=$G38+$F$5),0.5,1)/$F$5)</f>
        <v/>
      </c>
      <c r="BF38" s="211">
        <f>IF(OR($G38&lt;V$15,$G38+$F$5&gt;BE$15),0,ABS(SUM(V38:BE38)-1))</f>
        <v/>
      </c>
    </row>
    <row r="39">
      <c r="A39" s="145" t="n">
        <v>23</v>
      </c>
      <c r="B39" s="204">
        <f>EDATE($B38,1)</f>
        <v/>
      </c>
      <c r="C39" s="205">
        <f>EOMONTH($B39,0)</f>
        <v/>
      </c>
      <c r="D39" s="201">
        <f>$C39-$B39+1</f>
        <v/>
      </c>
      <c r="E39" s="201">
        <f>MONTH($B39)</f>
        <v/>
      </c>
      <c r="F39" s="206">
        <f>($B39+$C39+1)/2</f>
        <v/>
      </c>
      <c r="G39" s="201">
        <f>YEAR($B39)*12+MONTH($B39)-1</f>
        <v/>
      </c>
      <c r="H39" s="207">
        <f>IF(OR(nr_SeasonOn="OFF",$F$6=0,$F$7=0),1,12*INDEX(se_block,$F$6,$E39)/$F$7)</f>
        <v/>
      </c>
      <c r="I39" s="208">
        <f>EXP(SUMPRODUCT((rl_eff&lt;$B39)*(rl_key=nr_SelKey)*rl_ln1p))</f>
        <v/>
      </c>
      <c r="J39" s="208">
        <f>EXP(SUMPRODUCT((rl_eff&lt;=$C39)*(rl_key=nr_SelKey)*rl_ln1p))</f>
        <v/>
      </c>
      <c r="K39" s="201">
        <f>COUNTIFS(rl_key,nr_SelKey,rl_eff,"&gt;="&amp;$B39,rl_eff,"&lt;="&amp;$C39)</f>
        <v/>
      </c>
      <c r="L39" s="201">
        <f>SUMIFS(rl_daysafter,rl_key,nr_SelKey,rl_effmonth,$B39,rl_first,1)</f>
        <v/>
      </c>
      <c r="M39" s="209">
        <f>IF($K39=0,0,MIN(1,$L39/$D39))</f>
        <v/>
      </c>
      <c r="N39" s="208">
        <f>IF($K39=0,$J39,(1-$M39)*$I39+$M39*$J39)</f>
        <v/>
      </c>
      <c r="O39" s="210">
        <f>'Mod Engine'!$E39</f>
        <v/>
      </c>
      <c r="P39" s="208">
        <f>MIN(1,MAX(0,(nr_MEndPm1-$G39+0.5)/$F$5))-MIN(1,MAX(0,(nr_MStartPm1-1-$G39+0.5)/$F$5))</f>
        <v/>
      </c>
      <c r="Q39" s="208">
        <f>MIN(1,MAX(0,(nr_MEndP-$G39+0.5)/$F$5))-MIN(1,MAX(0,(nr_MStartP-1-$G39+0.5)/$F$5))</f>
        <v/>
      </c>
      <c r="R39" s="208">
        <f>MIN(1,MAX(0,(nr_MEndP1-$G39+0.5)/$F$5))-MIN(1,MAX(0,(nr_MStartP1-1-$G39+0.5)/$F$5))</f>
        <v/>
      </c>
      <c r="S39" s="208">
        <f>IF(nr_NetMode,$N39*IF(nr_ModAdjEff="ON",$O39/nr_MInd,1),"")</f>
        <v/>
      </c>
      <c r="T39" s="208">
        <f>IF(NOT(nr_NetMode),"",IF($G39&lt;nr_MStartP,$S39,$T27*(1+IF($G39&lt;nr_MStartP1,nr_NetSelP,nr_NetSelP1))))</f>
        <v/>
      </c>
      <c r="U39" s="208">
        <f>IF(nr_NetMode,$T39,$N39)</f>
        <v/>
      </c>
      <c r="V39" s="177">
        <f>IF(OR(V$15&lt;$G39,V$15&gt;$G39+$F$5),0,IF(OR(V$15=$G39,V$15=$G39+$F$5),0.5,1)/$F$5)</f>
        <v/>
      </c>
      <c r="W39" s="177">
        <f>IF(OR(W$15&lt;$G39,W$15&gt;$G39+$F$5),0,IF(OR(W$15=$G39,W$15=$G39+$F$5),0.5,1)/$F$5)</f>
        <v/>
      </c>
      <c r="X39" s="177">
        <f>IF(OR(X$15&lt;$G39,X$15&gt;$G39+$F$5),0,IF(OR(X$15=$G39,X$15=$G39+$F$5),0.5,1)/$F$5)</f>
        <v/>
      </c>
      <c r="Y39" s="177">
        <f>IF(OR(Y$15&lt;$G39,Y$15&gt;$G39+$F$5),0,IF(OR(Y$15=$G39,Y$15=$G39+$F$5),0.5,1)/$F$5)</f>
        <v/>
      </c>
      <c r="Z39" s="177">
        <f>IF(OR(Z$15&lt;$G39,Z$15&gt;$G39+$F$5),0,IF(OR(Z$15=$G39,Z$15=$G39+$F$5),0.5,1)/$F$5)</f>
        <v/>
      </c>
      <c r="AA39" s="177">
        <f>IF(OR(AA$15&lt;$G39,AA$15&gt;$G39+$F$5),0,IF(OR(AA$15=$G39,AA$15=$G39+$F$5),0.5,1)/$F$5)</f>
        <v/>
      </c>
      <c r="AB39" s="177">
        <f>IF(OR(AB$15&lt;$G39,AB$15&gt;$G39+$F$5),0,IF(OR(AB$15=$G39,AB$15=$G39+$F$5),0.5,1)/$F$5)</f>
        <v/>
      </c>
      <c r="AC39" s="177">
        <f>IF(OR(AC$15&lt;$G39,AC$15&gt;$G39+$F$5),0,IF(OR(AC$15=$G39,AC$15=$G39+$F$5),0.5,1)/$F$5)</f>
        <v/>
      </c>
      <c r="AD39" s="177">
        <f>IF(OR(AD$15&lt;$G39,AD$15&gt;$G39+$F$5),0,IF(OR(AD$15=$G39,AD$15=$G39+$F$5),0.5,1)/$F$5)</f>
        <v/>
      </c>
      <c r="AE39" s="177">
        <f>IF(OR(AE$15&lt;$G39,AE$15&gt;$G39+$F$5),0,IF(OR(AE$15=$G39,AE$15=$G39+$F$5),0.5,1)/$F$5)</f>
        <v/>
      </c>
      <c r="AF39" s="177">
        <f>IF(OR(AF$15&lt;$G39,AF$15&gt;$G39+$F$5),0,IF(OR(AF$15=$G39,AF$15=$G39+$F$5),0.5,1)/$F$5)</f>
        <v/>
      </c>
      <c r="AG39" s="177">
        <f>IF(OR(AG$15&lt;$G39,AG$15&gt;$G39+$F$5),0,IF(OR(AG$15=$G39,AG$15=$G39+$F$5),0.5,1)/$F$5)</f>
        <v/>
      </c>
      <c r="AH39" s="177">
        <f>IF(OR(AH$15&lt;$G39,AH$15&gt;$G39+$F$5),0,IF(OR(AH$15=$G39,AH$15=$G39+$F$5),0.5,1)/$F$5)</f>
        <v/>
      </c>
      <c r="AI39" s="177">
        <f>IF(OR(AI$15&lt;$G39,AI$15&gt;$G39+$F$5),0,IF(OR(AI$15=$G39,AI$15=$G39+$F$5),0.5,1)/$F$5)</f>
        <v/>
      </c>
      <c r="AJ39" s="177">
        <f>IF(OR(AJ$15&lt;$G39,AJ$15&gt;$G39+$F$5),0,IF(OR(AJ$15=$G39,AJ$15=$G39+$F$5),0.5,1)/$F$5)</f>
        <v/>
      </c>
      <c r="AK39" s="177">
        <f>IF(OR(AK$15&lt;$G39,AK$15&gt;$G39+$F$5),0,IF(OR(AK$15=$G39,AK$15=$G39+$F$5),0.5,1)/$F$5)</f>
        <v/>
      </c>
      <c r="AL39" s="177">
        <f>IF(OR(AL$15&lt;$G39,AL$15&gt;$G39+$F$5),0,IF(OR(AL$15=$G39,AL$15=$G39+$F$5),0.5,1)/$F$5)</f>
        <v/>
      </c>
      <c r="AM39" s="177">
        <f>IF(OR(AM$15&lt;$G39,AM$15&gt;$G39+$F$5),0,IF(OR(AM$15=$G39,AM$15=$G39+$F$5),0.5,1)/$F$5)</f>
        <v/>
      </c>
      <c r="AN39" s="177">
        <f>IF(OR(AN$15&lt;$G39,AN$15&gt;$G39+$F$5),0,IF(OR(AN$15=$G39,AN$15=$G39+$F$5),0.5,1)/$F$5)</f>
        <v/>
      </c>
      <c r="AO39" s="177">
        <f>IF(OR(AO$15&lt;$G39,AO$15&gt;$G39+$F$5),0,IF(OR(AO$15=$G39,AO$15=$G39+$F$5),0.5,1)/$F$5)</f>
        <v/>
      </c>
      <c r="AP39" s="177">
        <f>IF(OR(AP$15&lt;$G39,AP$15&gt;$G39+$F$5),0,IF(OR(AP$15=$G39,AP$15=$G39+$F$5),0.5,1)/$F$5)</f>
        <v/>
      </c>
      <c r="AQ39" s="177">
        <f>IF(OR(AQ$15&lt;$G39,AQ$15&gt;$G39+$F$5),0,IF(OR(AQ$15=$G39,AQ$15=$G39+$F$5),0.5,1)/$F$5)</f>
        <v/>
      </c>
      <c r="AR39" s="177">
        <f>IF(OR(AR$15&lt;$G39,AR$15&gt;$G39+$F$5),0,IF(OR(AR$15=$G39,AR$15=$G39+$F$5),0.5,1)/$F$5)</f>
        <v/>
      </c>
      <c r="AS39" s="177">
        <f>IF(OR(AS$15&lt;$G39,AS$15&gt;$G39+$F$5),0,IF(OR(AS$15=$G39,AS$15=$G39+$F$5),0.5,1)/$F$5)</f>
        <v/>
      </c>
      <c r="AT39" s="177">
        <f>IF(OR(AT$15&lt;$G39,AT$15&gt;$G39+$F$5),0,IF(OR(AT$15=$G39,AT$15=$G39+$F$5),0.5,1)/$F$5)</f>
        <v/>
      </c>
      <c r="AU39" s="177">
        <f>IF(OR(AU$15&lt;$G39,AU$15&gt;$G39+$F$5),0,IF(OR(AU$15=$G39,AU$15=$G39+$F$5),0.5,1)/$F$5)</f>
        <v/>
      </c>
      <c r="AV39" s="177">
        <f>IF(OR(AV$15&lt;$G39,AV$15&gt;$G39+$F$5),0,IF(OR(AV$15=$G39,AV$15=$G39+$F$5),0.5,1)/$F$5)</f>
        <v/>
      </c>
      <c r="AW39" s="177">
        <f>IF(OR(AW$15&lt;$G39,AW$15&gt;$G39+$F$5),0,IF(OR(AW$15=$G39,AW$15=$G39+$F$5),0.5,1)/$F$5)</f>
        <v/>
      </c>
      <c r="AX39" s="177">
        <f>IF(OR(AX$15&lt;$G39,AX$15&gt;$G39+$F$5),0,IF(OR(AX$15=$G39,AX$15=$G39+$F$5),0.5,1)/$F$5)</f>
        <v/>
      </c>
      <c r="AY39" s="177">
        <f>IF(OR(AY$15&lt;$G39,AY$15&gt;$G39+$F$5),0,IF(OR(AY$15=$G39,AY$15=$G39+$F$5),0.5,1)/$F$5)</f>
        <v/>
      </c>
      <c r="AZ39" s="177">
        <f>IF(OR(AZ$15&lt;$G39,AZ$15&gt;$G39+$F$5),0,IF(OR(AZ$15=$G39,AZ$15=$G39+$F$5),0.5,1)/$F$5)</f>
        <v/>
      </c>
      <c r="BA39" s="177">
        <f>IF(OR(BA$15&lt;$G39,BA$15&gt;$G39+$F$5),0,IF(OR(BA$15=$G39,BA$15=$G39+$F$5),0.5,1)/$F$5)</f>
        <v/>
      </c>
      <c r="BB39" s="177">
        <f>IF(OR(BB$15&lt;$G39,BB$15&gt;$G39+$F$5),0,IF(OR(BB$15=$G39,BB$15=$G39+$F$5),0.5,1)/$F$5)</f>
        <v/>
      </c>
      <c r="BC39" s="177">
        <f>IF(OR(BC$15&lt;$G39,BC$15&gt;$G39+$F$5),0,IF(OR(BC$15=$G39,BC$15=$G39+$F$5),0.5,1)/$F$5)</f>
        <v/>
      </c>
      <c r="BD39" s="177">
        <f>IF(OR(BD$15&lt;$G39,BD$15&gt;$G39+$F$5),0,IF(OR(BD$15=$G39,BD$15=$G39+$F$5),0.5,1)/$F$5)</f>
        <v/>
      </c>
      <c r="BE39" s="177">
        <f>IF(OR(BE$15&lt;$G39,BE$15&gt;$G39+$F$5),0,IF(OR(BE$15=$G39,BE$15=$G39+$F$5),0.5,1)/$F$5)</f>
        <v/>
      </c>
      <c r="BF39" s="211">
        <f>IF(OR($G39&lt;V$15,$G39+$F$5&gt;BE$15),0,ABS(SUM(V39:BE39)-1))</f>
        <v/>
      </c>
    </row>
    <row r="40">
      <c r="A40" s="145" t="n">
        <v>24</v>
      </c>
      <c r="B40" s="204">
        <f>EDATE($B39,1)</f>
        <v/>
      </c>
      <c r="C40" s="205">
        <f>EOMONTH($B40,0)</f>
        <v/>
      </c>
      <c r="D40" s="201">
        <f>$C40-$B40+1</f>
        <v/>
      </c>
      <c r="E40" s="201">
        <f>MONTH($B40)</f>
        <v/>
      </c>
      <c r="F40" s="206">
        <f>($B40+$C40+1)/2</f>
        <v/>
      </c>
      <c r="G40" s="201">
        <f>YEAR($B40)*12+MONTH($B40)-1</f>
        <v/>
      </c>
      <c r="H40" s="207">
        <f>IF(OR(nr_SeasonOn="OFF",$F$6=0,$F$7=0),1,12*INDEX(se_block,$F$6,$E40)/$F$7)</f>
        <v/>
      </c>
      <c r="I40" s="208">
        <f>EXP(SUMPRODUCT((rl_eff&lt;$B40)*(rl_key=nr_SelKey)*rl_ln1p))</f>
        <v/>
      </c>
      <c r="J40" s="208">
        <f>EXP(SUMPRODUCT((rl_eff&lt;=$C40)*(rl_key=nr_SelKey)*rl_ln1p))</f>
        <v/>
      </c>
      <c r="K40" s="201">
        <f>COUNTIFS(rl_key,nr_SelKey,rl_eff,"&gt;="&amp;$B40,rl_eff,"&lt;="&amp;$C40)</f>
        <v/>
      </c>
      <c r="L40" s="201">
        <f>SUMIFS(rl_daysafter,rl_key,nr_SelKey,rl_effmonth,$B40,rl_first,1)</f>
        <v/>
      </c>
      <c r="M40" s="209">
        <f>IF($K40=0,0,MIN(1,$L40/$D40))</f>
        <v/>
      </c>
      <c r="N40" s="208">
        <f>IF($K40=0,$J40,(1-$M40)*$I40+$M40*$J40)</f>
        <v/>
      </c>
      <c r="O40" s="210">
        <f>'Mod Engine'!$E40</f>
        <v/>
      </c>
      <c r="P40" s="208">
        <f>MIN(1,MAX(0,(nr_MEndPm1-$G40+0.5)/$F$5))-MIN(1,MAX(0,(nr_MStartPm1-1-$G40+0.5)/$F$5))</f>
        <v/>
      </c>
      <c r="Q40" s="208">
        <f>MIN(1,MAX(0,(nr_MEndP-$G40+0.5)/$F$5))-MIN(1,MAX(0,(nr_MStartP-1-$G40+0.5)/$F$5))</f>
        <v/>
      </c>
      <c r="R40" s="208">
        <f>MIN(1,MAX(0,(nr_MEndP1-$G40+0.5)/$F$5))-MIN(1,MAX(0,(nr_MStartP1-1-$G40+0.5)/$F$5))</f>
        <v/>
      </c>
      <c r="S40" s="208">
        <f>IF(nr_NetMode,$N40*IF(nr_ModAdjEff="ON",$O40/nr_MInd,1),"")</f>
        <v/>
      </c>
      <c r="T40" s="208">
        <f>IF(NOT(nr_NetMode),"",IF($G40&lt;nr_MStartP,$S40,$T28*(1+IF($G40&lt;nr_MStartP1,nr_NetSelP,nr_NetSelP1))))</f>
        <v/>
      </c>
      <c r="U40" s="208">
        <f>IF(nr_NetMode,$T40,$N40)</f>
        <v/>
      </c>
      <c r="V40" s="177">
        <f>IF(OR(V$15&lt;$G40,V$15&gt;$G40+$F$5),0,IF(OR(V$15=$G40,V$15=$G40+$F$5),0.5,1)/$F$5)</f>
        <v/>
      </c>
      <c r="W40" s="177">
        <f>IF(OR(W$15&lt;$G40,W$15&gt;$G40+$F$5),0,IF(OR(W$15=$G40,W$15=$G40+$F$5),0.5,1)/$F$5)</f>
        <v/>
      </c>
      <c r="X40" s="177">
        <f>IF(OR(X$15&lt;$G40,X$15&gt;$G40+$F$5),0,IF(OR(X$15=$G40,X$15=$G40+$F$5),0.5,1)/$F$5)</f>
        <v/>
      </c>
      <c r="Y40" s="177">
        <f>IF(OR(Y$15&lt;$G40,Y$15&gt;$G40+$F$5),0,IF(OR(Y$15=$G40,Y$15=$G40+$F$5),0.5,1)/$F$5)</f>
        <v/>
      </c>
      <c r="Z40" s="177">
        <f>IF(OR(Z$15&lt;$G40,Z$15&gt;$G40+$F$5),0,IF(OR(Z$15=$G40,Z$15=$G40+$F$5),0.5,1)/$F$5)</f>
        <v/>
      </c>
      <c r="AA40" s="177">
        <f>IF(OR(AA$15&lt;$G40,AA$15&gt;$G40+$F$5),0,IF(OR(AA$15=$G40,AA$15=$G40+$F$5),0.5,1)/$F$5)</f>
        <v/>
      </c>
      <c r="AB40" s="177">
        <f>IF(OR(AB$15&lt;$G40,AB$15&gt;$G40+$F$5),0,IF(OR(AB$15=$G40,AB$15=$G40+$F$5),0.5,1)/$F$5)</f>
        <v/>
      </c>
      <c r="AC40" s="177">
        <f>IF(OR(AC$15&lt;$G40,AC$15&gt;$G40+$F$5),0,IF(OR(AC$15=$G40,AC$15=$G40+$F$5),0.5,1)/$F$5)</f>
        <v/>
      </c>
      <c r="AD40" s="177">
        <f>IF(OR(AD$15&lt;$G40,AD$15&gt;$G40+$F$5),0,IF(OR(AD$15=$G40,AD$15=$G40+$F$5),0.5,1)/$F$5)</f>
        <v/>
      </c>
      <c r="AE40" s="177">
        <f>IF(OR(AE$15&lt;$G40,AE$15&gt;$G40+$F$5),0,IF(OR(AE$15=$G40,AE$15=$G40+$F$5),0.5,1)/$F$5)</f>
        <v/>
      </c>
      <c r="AF40" s="177">
        <f>IF(OR(AF$15&lt;$G40,AF$15&gt;$G40+$F$5),0,IF(OR(AF$15=$G40,AF$15=$G40+$F$5),0.5,1)/$F$5)</f>
        <v/>
      </c>
      <c r="AG40" s="177">
        <f>IF(OR(AG$15&lt;$G40,AG$15&gt;$G40+$F$5),0,IF(OR(AG$15=$G40,AG$15=$G40+$F$5),0.5,1)/$F$5)</f>
        <v/>
      </c>
      <c r="AH40" s="177">
        <f>IF(OR(AH$15&lt;$G40,AH$15&gt;$G40+$F$5),0,IF(OR(AH$15=$G40,AH$15=$G40+$F$5),0.5,1)/$F$5)</f>
        <v/>
      </c>
      <c r="AI40" s="177">
        <f>IF(OR(AI$15&lt;$G40,AI$15&gt;$G40+$F$5),0,IF(OR(AI$15=$G40,AI$15=$G40+$F$5),0.5,1)/$F$5)</f>
        <v/>
      </c>
      <c r="AJ40" s="177">
        <f>IF(OR(AJ$15&lt;$G40,AJ$15&gt;$G40+$F$5),0,IF(OR(AJ$15=$G40,AJ$15=$G40+$F$5),0.5,1)/$F$5)</f>
        <v/>
      </c>
      <c r="AK40" s="177">
        <f>IF(OR(AK$15&lt;$G40,AK$15&gt;$G40+$F$5),0,IF(OR(AK$15=$G40,AK$15=$G40+$F$5),0.5,1)/$F$5)</f>
        <v/>
      </c>
      <c r="AL40" s="177">
        <f>IF(OR(AL$15&lt;$G40,AL$15&gt;$G40+$F$5),0,IF(OR(AL$15=$G40,AL$15=$G40+$F$5),0.5,1)/$F$5)</f>
        <v/>
      </c>
      <c r="AM40" s="177">
        <f>IF(OR(AM$15&lt;$G40,AM$15&gt;$G40+$F$5),0,IF(OR(AM$15=$G40,AM$15=$G40+$F$5),0.5,1)/$F$5)</f>
        <v/>
      </c>
      <c r="AN40" s="177">
        <f>IF(OR(AN$15&lt;$G40,AN$15&gt;$G40+$F$5),0,IF(OR(AN$15=$G40,AN$15=$G40+$F$5),0.5,1)/$F$5)</f>
        <v/>
      </c>
      <c r="AO40" s="177">
        <f>IF(OR(AO$15&lt;$G40,AO$15&gt;$G40+$F$5),0,IF(OR(AO$15=$G40,AO$15=$G40+$F$5),0.5,1)/$F$5)</f>
        <v/>
      </c>
      <c r="AP40" s="177">
        <f>IF(OR(AP$15&lt;$G40,AP$15&gt;$G40+$F$5),0,IF(OR(AP$15=$G40,AP$15=$G40+$F$5),0.5,1)/$F$5)</f>
        <v/>
      </c>
      <c r="AQ40" s="177">
        <f>IF(OR(AQ$15&lt;$G40,AQ$15&gt;$G40+$F$5),0,IF(OR(AQ$15=$G40,AQ$15=$G40+$F$5),0.5,1)/$F$5)</f>
        <v/>
      </c>
      <c r="AR40" s="177">
        <f>IF(OR(AR$15&lt;$G40,AR$15&gt;$G40+$F$5),0,IF(OR(AR$15=$G40,AR$15=$G40+$F$5),0.5,1)/$F$5)</f>
        <v/>
      </c>
      <c r="AS40" s="177">
        <f>IF(OR(AS$15&lt;$G40,AS$15&gt;$G40+$F$5),0,IF(OR(AS$15=$G40,AS$15=$G40+$F$5),0.5,1)/$F$5)</f>
        <v/>
      </c>
      <c r="AT40" s="177">
        <f>IF(OR(AT$15&lt;$G40,AT$15&gt;$G40+$F$5),0,IF(OR(AT$15=$G40,AT$15=$G40+$F$5),0.5,1)/$F$5)</f>
        <v/>
      </c>
      <c r="AU40" s="177">
        <f>IF(OR(AU$15&lt;$G40,AU$15&gt;$G40+$F$5),0,IF(OR(AU$15=$G40,AU$15=$G40+$F$5),0.5,1)/$F$5)</f>
        <v/>
      </c>
      <c r="AV40" s="177">
        <f>IF(OR(AV$15&lt;$G40,AV$15&gt;$G40+$F$5),0,IF(OR(AV$15=$G40,AV$15=$G40+$F$5),0.5,1)/$F$5)</f>
        <v/>
      </c>
      <c r="AW40" s="177">
        <f>IF(OR(AW$15&lt;$G40,AW$15&gt;$G40+$F$5),0,IF(OR(AW$15=$G40,AW$15=$G40+$F$5),0.5,1)/$F$5)</f>
        <v/>
      </c>
      <c r="AX40" s="177">
        <f>IF(OR(AX$15&lt;$G40,AX$15&gt;$G40+$F$5),0,IF(OR(AX$15=$G40,AX$15=$G40+$F$5),0.5,1)/$F$5)</f>
        <v/>
      </c>
      <c r="AY40" s="177">
        <f>IF(OR(AY$15&lt;$G40,AY$15&gt;$G40+$F$5),0,IF(OR(AY$15=$G40,AY$15=$G40+$F$5),0.5,1)/$F$5)</f>
        <v/>
      </c>
      <c r="AZ40" s="177">
        <f>IF(OR(AZ$15&lt;$G40,AZ$15&gt;$G40+$F$5),0,IF(OR(AZ$15=$G40,AZ$15=$G40+$F$5),0.5,1)/$F$5)</f>
        <v/>
      </c>
      <c r="BA40" s="177">
        <f>IF(OR(BA$15&lt;$G40,BA$15&gt;$G40+$F$5),0,IF(OR(BA$15=$G40,BA$15=$G40+$F$5),0.5,1)/$F$5)</f>
        <v/>
      </c>
      <c r="BB40" s="177">
        <f>IF(OR(BB$15&lt;$G40,BB$15&gt;$G40+$F$5),0,IF(OR(BB$15=$G40,BB$15=$G40+$F$5),0.5,1)/$F$5)</f>
        <v/>
      </c>
      <c r="BC40" s="177">
        <f>IF(OR(BC$15&lt;$G40,BC$15&gt;$G40+$F$5),0,IF(OR(BC$15=$G40,BC$15=$G40+$F$5),0.5,1)/$F$5)</f>
        <v/>
      </c>
      <c r="BD40" s="177">
        <f>IF(OR(BD$15&lt;$G40,BD$15&gt;$G40+$F$5),0,IF(OR(BD$15=$G40,BD$15=$G40+$F$5),0.5,1)/$F$5)</f>
        <v/>
      </c>
      <c r="BE40" s="177">
        <f>IF(OR(BE$15&lt;$G40,BE$15&gt;$G40+$F$5),0,IF(OR(BE$15=$G40,BE$15=$G40+$F$5),0.5,1)/$F$5)</f>
        <v/>
      </c>
      <c r="BF40" s="211">
        <f>IF(OR($G40&lt;V$15,$G40+$F$5&gt;BE$15),0,ABS(SUM(V40:BE40)-1))</f>
        <v/>
      </c>
    </row>
    <row r="41">
      <c r="A41" s="145" t="n">
        <v>25</v>
      </c>
      <c r="B41" s="204">
        <f>EDATE($B40,1)</f>
        <v/>
      </c>
      <c r="C41" s="205">
        <f>EOMONTH($B41,0)</f>
        <v/>
      </c>
      <c r="D41" s="201">
        <f>$C41-$B41+1</f>
        <v/>
      </c>
      <c r="E41" s="201">
        <f>MONTH($B41)</f>
        <v/>
      </c>
      <c r="F41" s="206">
        <f>($B41+$C41+1)/2</f>
        <v/>
      </c>
      <c r="G41" s="201">
        <f>YEAR($B41)*12+MONTH($B41)-1</f>
        <v/>
      </c>
      <c r="H41" s="207">
        <f>IF(OR(nr_SeasonOn="OFF",$F$6=0,$F$7=0),1,12*INDEX(se_block,$F$6,$E41)/$F$7)</f>
        <v/>
      </c>
      <c r="I41" s="208">
        <f>EXP(SUMPRODUCT((rl_eff&lt;$B41)*(rl_key=nr_SelKey)*rl_ln1p))</f>
        <v/>
      </c>
      <c r="J41" s="208">
        <f>EXP(SUMPRODUCT((rl_eff&lt;=$C41)*(rl_key=nr_SelKey)*rl_ln1p))</f>
        <v/>
      </c>
      <c r="K41" s="201">
        <f>COUNTIFS(rl_key,nr_SelKey,rl_eff,"&gt;="&amp;$B41,rl_eff,"&lt;="&amp;$C41)</f>
        <v/>
      </c>
      <c r="L41" s="201">
        <f>SUMIFS(rl_daysafter,rl_key,nr_SelKey,rl_effmonth,$B41,rl_first,1)</f>
        <v/>
      </c>
      <c r="M41" s="209">
        <f>IF($K41=0,0,MIN(1,$L41/$D41))</f>
        <v/>
      </c>
      <c r="N41" s="208">
        <f>IF($K41=0,$J41,(1-$M41)*$I41+$M41*$J41)</f>
        <v/>
      </c>
      <c r="O41" s="210">
        <f>'Mod Engine'!$E41</f>
        <v/>
      </c>
      <c r="P41" s="208">
        <f>MIN(1,MAX(0,(nr_MEndPm1-$G41+0.5)/$F$5))-MIN(1,MAX(0,(nr_MStartPm1-1-$G41+0.5)/$F$5))</f>
        <v/>
      </c>
      <c r="Q41" s="208">
        <f>MIN(1,MAX(0,(nr_MEndP-$G41+0.5)/$F$5))-MIN(1,MAX(0,(nr_MStartP-1-$G41+0.5)/$F$5))</f>
        <v/>
      </c>
      <c r="R41" s="208">
        <f>MIN(1,MAX(0,(nr_MEndP1-$G41+0.5)/$F$5))-MIN(1,MAX(0,(nr_MStartP1-1-$G41+0.5)/$F$5))</f>
        <v/>
      </c>
      <c r="S41" s="208">
        <f>IF(nr_NetMode,$N41*IF(nr_ModAdjEff="ON",$O41/nr_MInd,1),"")</f>
        <v/>
      </c>
      <c r="T41" s="208">
        <f>IF(NOT(nr_NetMode),"",IF($G41&lt;nr_MStartP,$S41,$T29*(1+IF($G41&lt;nr_MStartP1,nr_NetSelP,nr_NetSelP1))))</f>
        <v/>
      </c>
      <c r="U41" s="208">
        <f>IF(nr_NetMode,$T41,$N41)</f>
        <v/>
      </c>
      <c r="V41" s="177">
        <f>IF(OR(V$15&lt;$G41,V$15&gt;$G41+$F$5),0,IF(OR(V$15=$G41,V$15=$G41+$F$5),0.5,1)/$F$5)</f>
        <v/>
      </c>
      <c r="W41" s="177">
        <f>IF(OR(W$15&lt;$G41,W$15&gt;$G41+$F$5),0,IF(OR(W$15=$G41,W$15=$G41+$F$5),0.5,1)/$F$5)</f>
        <v/>
      </c>
      <c r="X41" s="177">
        <f>IF(OR(X$15&lt;$G41,X$15&gt;$G41+$F$5),0,IF(OR(X$15=$G41,X$15=$G41+$F$5),0.5,1)/$F$5)</f>
        <v/>
      </c>
      <c r="Y41" s="177">
        <f>IF(OR(Y$15&lt;$G41,Y$15&gt;$G41+$F$5),0,IF(OR(Y$15=$G41,Y$15=$G41+$F$5),0.5,1)/$F$5)</f>
        <v/>
      </c>
      <c r="Z41" s="177">
        <f>IF(OR(Z$15&lt;$G41,Z$15&gt;$G41+$F$5),0,IF(OR(Z$15=$G41,Z$15=$G41+$F$5),0.5,1)/$F$5)</f>
        <v/>
      </c>
      <c r="AA41" s="177">
        <f>IF(OR(AA$15&lt;$G41,AA$15&gt;$G41+$F$5),0,IF(OR(AA$15=$G41,AA$15=$G41+$F$5),0.5,1)/$F$5)</f>
        <v/>
      </c>
      <c r="AB41" s="177">
        <f>IF(OR(AB$15&lt;$G41,AB$15&gt;$G41+$F$5),0,IF(OR(AB$15=$G41,AB$15=$G41+$F$5),0.5,1)/$F$5)</f>
        <v/>
      </c>
      <c r="AC41" s="177">
        <f>IF(OR(AC$15&lt;$G41,AC$15&gt;$G41+$F$5),0,IF(OR(AC$15=$G41,AC$15=$G41+$F$5),0.5,1)/$F$5)</f>
        <v/>
      </c>
      <c r="AD41" s="177">
        <f>IF(OR(AD$15&lt;$G41,AD$15&gt;$G41+$F$5),0,IF(OR(AD$15=$G41,AD$15=$G41+$F$5),0.5,1)/$F$5)</f>
        <v/>
      </c>
      <c r="AE41" s="177">
        <f>IF(OR(AE$15&lt;$G41,AE$15&gt;$G41+$F$5),0,IF(OR(AE$15=$G41,AE$15=$G41+$F$5),0.5,1)/$F$5)</f>
        <v/>
      </c>
      <c r="AF41" s="177">
        <f>IF(OR(AF$15&lt;$G41,AF$15&gt;$G41+$F$5),0,IF(OR(AF$15=$G41,AF$15=$G41+$F$5),0.5,1)/$F$5)</f>
        <v/>
      </c>
      <c r="AG41" s="177">
        <f>IF(OR(AG$15&lt;$G41,AG$15&gt;$G41+$F$5),0,IF(OR(AG$15=$G41,AG$15=$G41+$F$5),0.5,1)/$F$5)</f>
        <v/>
      </c>
      <c r="AH41" s="177">
        <f>IF(OR(AH$15&lt;$G41,AH$15&gt;$G41+$F$5),0,IF(OR(AH$15=$G41,AH$15=$G41+$F$5),0.5,1)/$F$5)</f>
        <v/>
      </c>
      <c r="AI41" s="177">
        <f>IF(OR(AI$15&lt;$G41,AI$15&gt;$G41+$F$5),0,IF(OR(AI$15=$G41,AI$15=$G41+$F$5),0.5,1)/$F$5)</f>
        <v/>
      </c>
      <c r="AJ41" s="177">
        <f>IF(OR(AJ$15&lt;$G41,AJ$15&gt;$G41+$F$5),0,IF(OR(AJ$15=$G41,AJ$15=$G41+$F$5),0.5,1)/$F$5)</f>
        <v/>
      </c>
      <c r="AK41" s="177">
        <f>IF(OR(AK$15&lt;$G41,AK$15&gt;$G41+$F$5),0,IF(OR(AK$15=$G41,AK$15=$G41+$F$5),0.5,1)/$F$5)</f>
        <v/>
      </c>
      <c r="AL41" s="177">
        <f>IF(OR(AL$15&lt;$G41,AL$15&gt;$G41+$F$5),0,IF(OR(AL$15=$G41,AL$15=$G41+$F$5),0.5,1)/$F$5)</f>
        <v/>
      </c>
      <c r="AM41" s="177">
        <f>IF(OR(AM$15&lt;$G41,AM$15&gt;$G41+$F$5),0,IF(OR(AM$15=$G41,AM$15=$G41+$F$5),0.5,1)/$F$5)</f>
        <v/>
      </c>
      <c r="AN41" s="177">
        <f>IF(OR(AN$15&lt;$G41,AN$15&gt;$G41+$F$5),0,IF(OR(AN$15=$G41,AN$15=$G41+$F$5),0.5,1)/$F$5)</f>
        <v/>
      </c>
      <c r="AO41" s="177">
        <f>IF(OR(AO$15&lt;$G41,AO$15&gt;$G41+$F$5),0,IF(OR(AO$15=$G41,AO$15=$G41+$F$5),0.5,1)/$F$5)</f>
        <v/>
      </c>
      <c r="AP41" s="177">
        <f>IF(OR(AP$15&lt;$G41,AP$15&gt;$G41+$F$5),0,IF(OR(AP$15=$G41,AP$15=$G41+$F$5),0.5,1)/$F$5)</f>
        <v/>
      </c>
      <c r="AQ41" s="177">
        <f>IF(OR(AQ$15&lt;$G41,AQ$15&gt;$G41+$F$5),0,IF(OR(AQ$15=$G41,AQ$15=$G41+$F$5),0.5,1)/$F$5)</f>
        <v/>
      </c>
      <c r="AR41" s="177">
        <f>IF(OR(AR$15&lt;$G41,AR$15&gt;$G41+$F$5),0,IF(OR(AR$15=$G41,AR$15=$G41+$F$5),0.5,1)/$F$5)</f>
        <v/>
      </c>
      <c r="AS41" s="177">
        <f>IF(OR(AS$15&lt;$G41,AS$15&gt;$G41+$F$5),0,IF(OR(AS$15=$G41,AS$15=$G41+$F$5),0.5,1)/$F$5)</f>
        <v/>
      </c>
      <c r="AT41" s="177">
        <f>IF(OR(AT$15&lt;$G41,AT$15&gt;$G41+$F$5),0,IF(OR(AT$15=$G41,AT$15=$G41+$F$5),0.5,1)/$F$5)</f>
        <v/>
      </c>
      <c r="AU41" s="177">
        <f>IF(OR(AU$15&lt;$G41,AU$15&gt;$G41+$F$5),0,IF(OR(AU$15=$G41,AU$15=$G41+$F$5),0.5,1)/$F$5)</f>
        <v/>
      </c>
      <c r="AV41" s="177">
        <f>IF(OR(AV$15&lt;$G41,AV$15&gt;$G41+$F$5),0,IF(OR(AV$15=$G41,AV$15=$G41+$F$5),0.5,1)/$F$5)</f>
        <v/>
      </c>
      <c r="AW41" s="177">
        <f>IF(OR(AW$15&lt;$G41,AW$15&gt;$G41+$F$5),0,IF(OR(AW$15=$G41,AW$15=$G41+$F$5),0.5,1)/$F$5)</f>
        <v/>
      </c>
      <c r="AX41" s="177">
        <f>IF(OR(AX$15&lt;$G41,AX$15&gt;$G41+$F$5),0,IF(OR(AX$15=$G41,AX$15=$G41+$F$5),0.5,1)/$F$5)</f>
        <v/>
      </c>
      <c r="AY41" s="177">
        <f>IF(OR(AY$15&lt;$G41,AY$15&gt;$G41+$F$5),0,IF(OR(AY$15=$G41,AY$15=$G41+$F$5),0.5,1)/$F$5)</f>
        <v/>
      </c>
      <c r="AZ41" s="177">
        <f>IF(OR(AZ$15&lt;$G41,AZ$15&gt;$G41+$F$5),0,IF(OR(AZ$15=$G41,AZ$15=$G41+$F$5),0.5,1)/$F$5)</f>
        <v/>
      </c>
      <c r="BA41" s="177">
        <f>IF(OR(BA$15&lt;$G41,BA$15&gt;$G41+$F$5),0,IF(OR(BA$15=$G41,BA$15=$G41+$F$5),0.5,1)/$F$5)</f>
        <v/>
      </c>
      <c r="BB41" s="177">
        <f>IF(OR(BB$15&lt;$G41,BB$15&gt;$G41+$F$5),0,IF(OR(BB$15=$G41,BB$15=$G41+$F$5),0.5,1)/$F$5)</f>
        <v/>
      </c>
      <c r="BC41" s="177">
        <f>IF(OR(BC$15&lt;$G41,BC$15&gt;$G41+$F$5),0,IF(OR(BC$15=$G41,BC$15=$G41+$F$5),0.5,1)/$F$5)</f>
        <v/>
      </c>
      <c r="BD41" s="177">
        <f>IF(OR(BD$15&lt;$G41,BD$15&gt;$G41+$F$5),0,IF(OR(BD$15=$G41,BD$15=$G41+$F$5),0.5,1)/$F$5)</f>
        <v/>
      </c>
      <c r="BE41" s="177">
        <f>IF(OR(BE$15&lt;$G41,BE$15&gt;$G41+$F$5),0,IF(OR(BE$15=$G41,BE$15=$G41+$F$5),0.5,1)/$F$5)</f>
        <v/>
      </c>
      <c r="BF41" s="211">
        <f>IF(OR($G41&lt;V$15,$G41+$F$5&gt;BE$15),0,ABS(SUM(V41:BE41)-1))</f>
        <v/>
      </c>
    </row>
    <row r="42">
      <c r="A42" s="145" t="n">
        <v>26</v>
      </c>
      <c r="B42" s="204">
        <f>EDATE($B41,1)</f>
        <v/>
      </c>
      <c r="C42" s="205">
        <f>EOMONTH($B42,0)</f>
        <v/>
      </c>
      <c r="D42" s="201">
        <f>$C42-$B42+1</f>
        <v/>
      </c>
      <c r="E42" s="201">
        <f>MONTH($B42)</f>
        <v/>
      </c>
      <c r="F42" s="206">
        <f>($B42+$C42+1)/2</f>
        <v/>
      </c>
      <c r="G42" s="201">
        <f>YEAR($B42)*12+MONTH($B42)-1</f>
        <v/>
      </c>
      <c r="H42" s="207">
        <f>IF(OR(nr_SeasonOn="OFF",$F$6=0,$F$7=0),1,12*INDEX(se_block,$F$6,$E42)/$F$7)</f>
        <v/>
      </c>
      <c r="I42" s="208">
        <f>EXP(SUMPRODUCT((rl_eff&lt;$B42)*(rl_key=nr_SelKey)*rl_ln1p))</f>
        <v/>
      </c>
      <c r="J42" s="208">
        <f>EXP(SUMPRODUCT((rl_eff&lt;=$C42)*(rl_key=nr_SelKey)*rl_ln1p))</f>
        <v/>
      </c>
      <c r="K42" s="201">
        <f>COUNTIFS(rl_key,nr_SelKey,rl_eff,"&gt;="&amp;$B42,rl_eff,"&lt;="&amp;$C42)</f>
        <v/>
      </c>
      <c r="L42" s="201">
        <f>SUMIFS(rl_daysafter,rl_key,nr_SelKey,rl_effmonth,$B42,rl_first,1)</f>
        <v/>
      </c>
      <c r="M42" s="209">
        <f>IF($K42=0,0,MIN(1,$L42/$D42))</f>
        <v/>
      </c>
      <c r="N42" s="208">
        <f>IF($K42=0,$J42,(1-$M42)*$I42+$M42*$J42)</f>
        <v/>
      </c>
      <c r="O42" s="210">
        <f>'Mod Engine'!$E42</f>
        <v/>
      </c>
      <c r="P42" s="208">
        <f>MIN(1,MAX(0,(nr_MEndPm1-$G42+0.5)/$F$5))-MIN(1,MAX(0,(nr_MStartPm1-1-$G42+0.5)/$F$5))</f>
        <v/>
      </c>
      <c r="Q42" s="208">
        <f>MIN(1,MAX(0,(nr_MEndP-$G42+0.5)/$F$5))-MIN(1,MAX(0,(nr_MStartP-1-$G42+0.5)/$F$5))</f>
        <v/>
      </c>
      <c r="R42" s="208">
        <f>MIN(1,MAX(0,(nr_MEndP1-$G42+0.5)/$F$5))-MIN(1,MAX(0,(nr_MStartP1-1-$G42+0.5)/$F$5))</f>
        <v/>
      </c>
      <c r="S42" s="208">
        <f>IF(nr_NetMode,$N42*IF(nr_ModAdjEff="ON",$O42/nr_MInd,1),"")</f>
        <v/>
      </c>
      <c r="T42" s="208">
        <f>IF(NOT(nr_NetMode),"",IF($G42&lt;nr_MStartP,$S42,$T30*(1+IF($G42&lt;nr_MStartP1,nr_NetSelP,nr_NetSelP1))))</f>
        <v/>
      </c>
      <c r="U42" s="208">
        <f>IF(nr_NetMode,$T42,$N42)</f>
        <v/>
      </c>
      <c r="V42" s="177">
        <f>IF(OR(V$15&lt;$G42,V$15&gt;$G42+$F$5),0,IF(OR(V$15=$G42,V$15=$G42+$F$5),0.5,1)/$F$5)</f>
        <v/>
      </c>
      <c r="W42" s="177">
        <f>IF(OR(W$15&lt;$G42,W$15&gt;$G42+$F$5),0,IF(OR(W$15=$G42,W$15=$G42+$F$5),0.5,1)/$F$5)</f>
        <v/>
      </c>
      <c r="X42" s="177">
        <f>IF(OR(X$15&lt;$G42,X$15&gt;$G42+$F$5),0,IF(OR(X$15=$G42,X$15=$G42+$F$5),0.5,1)/$F$5)</f>
        <v/>
      </c>
      <c r="Y42" s="177">
        <f>IF(OR(Y$15&lt;$G42,Y$15&gt;$G42+$F$5),0,IF(OR(Y$15=$G42,Y$15=$G42+$F$5),0.5,1)/$F$5)</f>
        <v/>
      </c>
      <c r="Z42" s="177">
        <f>IF(OR(Z$15&lt;$G42,Z$15&gt;$G42+$F$5),0,IF(OR(Z$15=$G42,Z$15=$G42+$F$5),0.5,1)/$F$5)</f>
        <v/>
      </c>
      <c r="AA42" s="177">
        <f>IF(OR(AA$15&lt;$G42,AA$15&gt;$G42+$F$5),0,IF(OR(AA$15=$G42,AA$15=$G42+$F$5),0.5,1)/$F$5)</f>
        <v/>
      </c>
      <c r="AB42" s="177">
        <f>IF(OR(AB$15&lt;$G42,AB$15&gt;$G42+$F$5),0,IF(OR(AB$15=$G42,AB$15=$G42+$F$5),0.5,1)/$F$5)</f>
        <v/>
      </c>
      <c r="AC42" s="177">
        <f>IF(OR(AC$15&lt;$G42,AC$15&gt;$G42+$F$5),0,IF(OR(AC$15=$G42,AC$15=$G42+$F$5),0.5,1)/$F$5)</f>
        <v/>
      </c>
      <c r="AD42" s="177">
        <f>IF(OR(AD$15&lt;$G42,AD$15&gt;$G42+$F$5),0,IF(OR(AD$15=$G42,AD$15=$G42+$F$5),0.5,1)/$F$5)</f>
        <v/>
      </c>
      <c r="AE42" s="177">
        <f>IF(OR(AE$15&lt;$G42,AE$15&gt;$G42+$F$5),0,IF(OR(AE$15=$G42,AE$15=$G42+$F$5),0.5,1)/$F$5)</f>
        <v/>
      </c>
      <c r="AF42" s="177">
        <f>IF(OR(AF$15&lt;$G42,AF$15&gt;$G42+$F$5),0,IF(OR(AF$15=$G42,AF$15=$G42+$F$5),0.5,1)/$F$5)</f>
        <v/>
      </c>
      <c r="AG42" s="177">
        <f>IF(OR(AG$15&lt;$G42,AG$15&gt;$G42+$F$5),0,IF(OR(AG$15=$G42,AG$15=$G42+$F$5),0.5,1)/$F$5)</f>
        <v/>
      </c>
      <c r="AH42" s="177">
        <f>IF(OR(AH$15&lt;$G42,AH$15&gt;$G42+$F$5),0,IF(OR(AH$15=$G42,AH$15=$G42+$F$5),0.5,1)/$F$5)</f>
        <v/>
      </c>
      <c r="AI42" s="177">
        <f>IF(OR(AI$15&lt;$G42,AI$15&gt;$G42+$F$5),0,IF(OR(AI$15=$G42,AI$15=$G42+$F$5),0.5,1)/$F$5)</f>
        <v/>
      </c>
      <c r="AJ42" s="177">
        <f>IF(OR(AJ$15&lt;$G42,AJ$15&gt;$G42+$F$5),0,IF(OR(AJ$15=$G42,AJ$15=$G42+$F$5),0.5,1)/$F$5)</f>
        <v/>
      </c>
      <c r="AK42" s="177">
        <f>IF(OR(AK$15&lt;$G42,AK$15&gt;$G42+$F$5),0,IF(OR(AK$15=$G42,AK$15=$G42+$F$5),0.5,1)/$F$5)</f>
        <v/>
      </c>
      <c r="AL42" s="177">
        <f>IF(OR(AL$15&lt;$G42,AL$15&gt;$G42+$F$5),0,IF(OR(AL$15=$G42,AL$15=$G42+$F$5),0.5,1)/$F$5)</f>
        <v/>
      </c>
      <c r="AM42" s="177">
        <f>IF(OR(AM$15&lt;$G42,AM$15&gt;$G42+$F$5),0,IF(OR(AM$15=$G42,AM$15=$G42+$F$5),0.5,1)/$F$5)</f>
        <v/>
      </c>
      <c r="AN42" s="177">
        <f>IF(OR(AN$15&lt;$G42,AN$15&gt;$G42+$F$5),0,IF(OR(AN$15=$G42,AN$15=$G42+$F$5),0.5,1)/$F$5)</f>
        <v/>
      </c>
      <c r="AO42" s="177">
        <f>IF(OR(AO$15&lt;$G42,AO$15&gt;$G42+$F$5),0,IF(OR(AO$15=$G42,AO$15=$G42+$F$5),0.5,1)/$F$5)</f>
        <v/>
      </c>
      <c r="AP42" s="177">
        <f>IF(OR(AP$15&lt;$G42,AP$15&gt;$G42+$F$5),0,IF(OR(AP$15=$G42,AP$15=$G42+$F$5),0.5,1)/$F$5)</f>
        <v/>
      </c>
      <c r="AQ42" s="177">
        <f>IF(OR(AQ$15&lt;$G42,AQ$15&gt;$G42+$F$5),0,IF(OR(AQ$15=$G42,AQ$15=$G42+$F$5),0.5,1)/$F$5)</f>
        <v/>
      </c>
      <c r="AR42" s="177">
        <f>IF(OR(AR$15&lt;$G42,AR$15&gt;$G42+$F$5),0,IF(OR(AR$15=$G42,AR$15=$G42+$F$5),0.5,1)/$F$5)</f>
        <v/>
      </c>
      <c r="AS42" s="177">
        <f>IF(OR(AS$15&lt;$G42,AS$15&gt;$G42+$F$5),0,IF(OR(AS$15=$G42,AS$15=$G42+$F$5),0.5,1)/$F$5)</f>
        <v/>
      </c>
      <c r="AT42" s="177">
        <f>IF(OR(AT$15&lt;$G42,AT$15&gt;$G42+$F$5),0,IF(OR(AT$15=$G42,AT$15=$G42+$F$5),0.5,1)/$F$5)</f>
        <v/>
      </c>
      <c r="AU42" s="177">
        <f>IF(OR(AU$15&lt;$G42,AU$15&gt;$G42+$F$5),0,IF(OR(AU$15=$G42,AU$15=$G42+$F$5),0.5,1)/$F$5)</f>
        <v/>
      </c>
      <c r="AV42" s="177">
        <f>IF(OR(AV$15&lt;$G42,AV$15&gt;$G42+$F$5),0,IF(OR(AV$15=$G42,AV$15=$G42+$F$5),0.5,1)/$F$5)</f>
        <v/>
      </c>
      <c r="AW42" s="177">
        <f>IF(OR(AW$15&lt;$G42,AW$15&gt;$G42+$F$5),0,IF(OR(AW$15=$G42,AW$15=$G42+$F$5),0.5,1)/$F$5)</f>
        <v/>
      </c>
      <c r="AX42" s="177">
        <f>IF(OR(AX$15&lt;$G42,AX$15&gt;$G42+$F$5),0,IF(OR(AX$15=$G42,AX$15=$G42+$F$5),0.5,1)/$F$5)</f>
        <v/>
      </c>
      <c r="AY42" s="177">
        <f>IF(OR(AY$15&lt;$G42,AY$15&gt;$G42+$F$5),0,IF(OR(AY$15=$G42,AY$15=$G42+$F$5),0.5,1)/$F$5)</f>
        <v/>
      </c>
      <c r="AZ42" s="177">
        <f>IF(OR(AZ$15&lt;$G42,AZ$15&gt;$G42+$F$5),0,IF(OR(AZ$15=$G42,AZ$15=$G42+$F$5),0.5,1)/$F$5)</f>
        <v/>
      </c>
      <c r="BA42" s="177">
        <f>IF(OR(BA$15&lt;$G42,BA$15&gt;$G42+$F$5),0,IF(OR(BA$15=$G42,BA$15=$G42+$F$5),0.5,1)/$F$5)</f>
        <v/>
      </c>
      <c r="BB42" s="177">
        <f>IF(OR(BB$15&lt;$G42,BB$15&gt;$G42+$F$5),0,IF(OR(BB$15=$G42,BB$15=$G42+$F$5),0.5,1)/$F$5)</f>
        <v/>
      </c>
      <c r="BC42" s="177">
        <f>IF(OR(BC$15&lt;$G42,BC$15&gt;$G42+$F$5),0,IF(OR(BC$15=$G42,BC$15=$G42+$F$5),0.5,1)/$F$5)</f>
        <v/>
      </c>
      <c r="BD42" s="177">
        <f>IF(OR(BD$15&lt;$G42,BD$15&gt;$G42+$F$5),0,IF(OR(BD$15=$G42,BD$15=$G42+$F$5),0.5,1)/$F$5)</f>
        <v/>
      </c>
      <c r="BE42" s="177">
        <f>IF(OR(BE$15&lt;$G42,BE$15&gt;$G42+$F$5),0,IF(OR(BE$15=$G42,BE$15=$G42+$F$5),0.5,1)/$F$5)</f>
        <v/>
      </c>
      <c r="BF42" s="211">
        <f>IF(OR($G42&lt;V$15,$G42+$F$5&gt;BE$15),0,ABS(SUM(V42:BE42)-1))</f>
        <v/>
      </c>
    </row>
    <row r="43">
      <c r="A43" s="145" t="n">
        <v>27</v>
      </c>
      <c r="B43" s="204">
        <f>EDATE($B42,1)</f>
        <v/>
      </c>
      <c r="C43" s="205">
        <f>EOMONTH($B43,0)</f>
        <v/>
      </c>
      <c r="D43" s="201">
        <f>$C43-$B43+1</f>
        <v/>
      </c>
      <c r="E43" s="201">
        <f>MONTH($B43)</f>
        <v/>
      </c>
      <c r="F43" s="206">
        <f>($B43+$C43+1)/2</f>
        <v/>
      </c>
      <c r="G43" s="201">
        <f>YEAR($B43)*12+MONTH($B43)-1</f>
        <v/>
      </c>
      <c r="H43" s="207">
        <f>IF(OR(nr_SeasonOn="OFF",$F$6=0,$F$7=0),1,12*INDEX(se_block,$F$6,$E43)/$F$7)</f>
        <v/>
      </c>
      <c r="I43" s="208">
        <f>EXP(SUMPRODUCT((rl_eff&lt;$B43)*(rl_key=nr_SelKey)*rl_ln1p))</f>
        <v/>
      </c>
      <c r="J43" s="208">
        <f>EXP(SUMPRODUCT((rl_eff&lt;=$C43)*(rl_key=nr_SelKey)*rl_ln1p))</f>
        <v/>
      </c>
      <c r="K43" s="201">
        <f>COUNTIFS(rl_key,nr_SelKey,rl_eff,"&gt;="&amp;$B43,rl_eff,"&lt;="&amp;$C43)</f>
        <v/>
      </c>
      <c r="L43" s="201">
        <f>SUMIFS(rl_daysafter,rl_key,nr_SelKey,rl_effmonth,$B43,rl_first,1)</f>
        <v/>
      </c>
      <c r="M43" s="209">
        <f>IF($K43=0,0,MIN(1,$L43/$D43))</f>
        <v/>
      </c>
      <c r="N43" s="208">
        <f>IF($K43=0,$J43,(1-$M43)*$I43+$M43*$J43)</f>
        <v/>
      </c>
      <c r="O43" s="210">
        <f>'Mod Engine'!$E43</f>
        <v/>
      </c>
      <c r="P43" s="208">
        <f>MIN(1,MAX(0,(nr_MEndPm1-$G43+0.5)/$F$5))-MIN(1,MAX(0,(nr_MStartPm1-1-$G43+0.5)/$F$5))</f>
        <v/>
      </c>
      <c r="Q43" s="208">
        <f>MIN(1,MAX(0,(nr_MEndP-$G43+0.5)/$F$5))-MIN(1,MAX(0,(nr_MStartP-1-$G43+0.5)/$F$5))</f>
        <v/>
      </c>
      <c r="R43" s="208">
        <f>MIN(1,MAX(0,(nr_MEndP1-$G43+0.5)/$F$5))-MIN(1,MAX(0,(nr_MStartP1-1-$G43+0.5)/$F$5))</f>
        <v/>
      </c>
      <c r="S43" s="208">
        <f>IF(nr_NetMode,$N43*IF(nr_ModAdjEff="ON",$O43/nr_MInd,1),"")</f>
        <v/>
      </c>
      <c r="T43" s="208">
        <f>IF(NOT(nr_NetMode),"",IF($G43&lt;nr_MStartP,$S43,$T31*(1+IF($G43&lt;nr_MStartP1,nr_NetSelP,nr_NetSelP1))))</f>
        <v/>
      </c>
      <c r="U43" s="208">
        <f>IF(nr_NetMode,$T43,$N43)</f>
        <v/>
      </c>
      <c r="V43" s="177">
        <f>IF(OR(V$15&lt;$G43,V$15&gt;$G43+$F$5),0,IF(OR(V$15=$G43,V$15=$G43+$F$5),0.5,1)/$F$5)</f>
        <v/>
      </c>
      <c r="W43" s="177">
        <f>IF(OR(W$15&lt;$G43,W$15&gt;$G43+$F$5),0,IF(OR(W$15=$G43,W$15=$G43+$F$5),0.5,1)/$F$5)</f>
        <v/>
      </c>
      <c r="X43" s="177">
        <f>IF(OR(X$15&lt;$G43,X$15&gt;$G43+$F$5),0,IF(OR(X$15=$G43,X$15=$G43+$F$5),0.5,1)/$F$5)</f>
        <v/>
      </c>
      <c r="Y43" s="177">
        <f>IF(OR(Y$15&lt;$G43,Y$15&gt;$G43+$F$5),0,IF(OR(Y$15=$G43,Y$15=$G43+$F$5),0.5,1)/$F$5)</f>
        <v/>
      </c>
      <c r="Z43" s="177">
        <f>IF(OR(Z$15&lt;$G43,Z$15&gt;$G43+$F$5),0,IF(OR(Z$15=$G43,Z$15=$G43+$F$5),0.5,1)/$F$5)</f>
        <v/>
      </c>
      <c r="AA43" s="177">
        <f>IF(OR(AA$15&lt;$G43,AA$15&gt;$G43+$F$5),0,IF(OR(AA$15=$G43,AA$15=$G43+$F$5),0.5,1)/$F$5)</f>
        <v/>
      </c>
      <c r="AB43" s="177">
        <f>IF(OR(AB$15&lt;$G43,AB$15&gt;$G43+$F$5),0,IF(OR(AB$15=$G43,AB$15=$G43+$F$5),0.5,1)/$F$5)</f>
        <v/>
      </c>
      <c r="AC43" s="177">
        <f>IF(OR(AC$15&lt;$G43,AC$15&gt;$G43+$F$5),0,IF(OR(AC$15=$G43,AC$15=$G43+$F$5),0.5,1)/$F$5)</f>
        <v/>
      </c>
      <c r="AD43" s="177">
        <f>IF(OR(AD$15&lt;$G43,AD$15&gt;$G43+$F$5),0,IF(OR(AD$15=$G43,AD$15=$G43+$F$5),0.5,1)/$F$5)</f>
        <v/>
      </c>
      <c r="AE43" s="177">
        <f>IF(OR(AE$15&lt;$G43,AE$15&gt;$G43+$F$5),0,IF(OR(AE$15=$G43,AE$15=$G43+$F$5),0.5,1)/$F$5)</f>
        <v/>
      </c>
      <c r="AF43" s="177">
        <f>IF(OR(AF$15&lt;$G43,AF$15&gt;$G43+$F$5),0,IF(OR(AF$15=$G43,AF$15=$G43+$F$5),0.5,1)/$F$5)</f>
        <v/>
      </c>
      <c r="AG43" s="177">
        <f>IF(OR(AG$15&lt;$G43,AG$15&gt;$G43+$F$5),0,IF(OR(AG$15=$G43,AG$15=$G43+$F$5),0.5,1)/$F$5)</f>
        <v/>
      </c>
      <c r="AH43" s="177">
        <f>IF(OR(AH$15&lt;$G43,AH$15&gt;$G43+$F$5),0,IF(OR(AH$15=$G43,AH$15=$G43+$F$5),0.5,1)/$F$5)</f>
        <v/>
      </c>
      <c r="AI43" s="177">
        <f>IF(OR(AI$15&lt;$G43,AI$15&gt;$G43+$F$5),0,IF(OR(AI$15=$G43,AI$15=$G43+$F$5),0.5,1)/$F$5)</f>
        <v/>
      </c>
      <c r="AJ43" s="177">
        <f>IF(OR(AJ$15&lt;$G43,AJ$15&gt;$G43+$F$5),0,IF(OR(AJ$15=$G43,AJ$15=$G43+$F$5),0.5,1)/$F$5)</f>
        <v/>
      </c>
      <c r="AK43" s="177">
        <f>IF(OR(AK$15&lt;$G43,AK$15&gt;$G43+$F$5),0,IF(OR(AK$15=$G43,AK$15=$G43+$F$5),0.5,1)/$F$5)</f>
        <v/>
      </c>
      <c r="AL43" s="177">
        <f>IF(OR(AL$15&lt;$G43,AL$15&gt;$G43+$F$5),0,IF(OR(AL$15=$G43,AL$15=$G43+$F$5),0.5,1)/$F$5)</f>
        <v/>
      </c>
      <c r="AM43" s="177">
        <f>IF(OR(AM$15&lt;$G43,AM$15&gt;$G43+$F$5),0,IF(OR(AM$15=$G43,AM$15=$G43+$F$5),0.5,1)/$F$5)</f>
        <v/>
      </c>
      <c r="AN43" s="177">
        <f>IF(OR(AN$15&lt;$G43,AN$15&gt;$G43+$F$5),0,IF(OR(AN$15=$G43,AN$15=$G43+$F$5),0.5,1)/$F$5)</f>
        <v/>
      </c>
      <c r="AO43" s="177">
        <f>IF(OR(AO$15&lt;$G43,AO$15&gt;$G43+$F$5),0,IF(OR(AO$15=$G43,AO$15=$G43+$F$5),0.5,1)/$F$5)</f>
        <v/>
      </c>
      <c r="AP43" s="177">
        <f>IF(OR(AP$15&lt;$G43,AP$15&gt;$G43+$F$5),0,IF(OR(AP$15=$G43,AP$15=$G43+$F$5),0.5,1)/$F$5)</f>
        <v/>
      </c>
      <c r="AQ43" s="177">
        <f>IF(OR(AQ$15&lt;$G43,AQ$15&gt;$G43+$F$5),0,IF(OR(AQ$15=$G43,AQ$15=$G43+$F$5),0.5,1)/$F$5)</f>
        <v/>
      </c>
      <c r="AR43" s="177">
        <f>IF(OR(AR$15&lt;$G43,AR$15&gt;$G43+$F$5),0,IF(OR(AR$15=$G43,AR$15=$G43+$F$5),0.5,1)/$F$5)</f>
        <v/>
      </c>
      <c r="AS43" s="177">
        <f>IF(OR(AS$15&lt;$G43,AS$15&gt;$G43+$F$5),0,IF(OR(AS$15=$G43,AS$15=$G43+$F$5),0.5,1)/$F$5)</f>
        <v/>
      </c>
      <c r="AT43" s="177">
        <f>IF(OR(AT$15&lt;$G43,AT$15&gt;$G43+$F$5),0,IF(OR(AT$15=$G43,AT$15=$G43+$F$5),0.5,1)/$F$5)</f>
        <v/>
      </c>
      <c r="AU43" s="177">
        <f>IF(OR(AU$15&lt;$G43,AU$15&gt;$G43+$F$5),0,IF(OR(AU$15=$G43,AU$15=$G43+$F$5),0.5,1)/$F$5)</f>
        <v/>
      </c>
      <c r="AV43" s="177">
        <f>IF(OR(AV$15&lt;$G43,AV$15&gt;$G43+$F$5),0,IF(OR(AV$15=$G43,AV$15=$G43+$F$5),0.5,1)/$F$5)</f>
        <v/>
      </c>
      <c r="AW43" s="177">
        <f>IF(OR(AW$15&lt;$G43,AW$15&gt;$G43+$F$5),0,IF(OR(AW$15=$G43,AW$15=$G43+$F$5),0.5,1)/$F$5)</f>
        <v/>
      </c>
      <c r="AX43" s="177">
        <f>IF(OR(AX$15&lt;$G43,AX$15&gt;$G43+$F$5),0,IF(OR(AX$15=$G43,AX$15=$G43+$F$5),0.5,1)/$F$5)</f>
        <v/>
      </c>
      <c r="AY43" s="177">
        <f>IF(OR(AY$15&lt;$G43,AY$15&gt;$G43+$F$5),0,IF(OR(AY$15=$G43,AY$15=$G43+$F$5),0.5,1)/$F$5)</f>
        <v/>
      </c>
      <c r="AZ43" s="177">
        <f>IF(OR(AZ$15&lt;$G43,AZ$15&gt;$G43+$F$5),0,IF(OR(AZ$15=$G43,AZ$15=$G43+$F$5),0.5,1)/$F$5)</f>
        <v/>
      </c>
      <c r="BA43" s="177">
        <f>IF(OR(BA$15&lt;$G43,BA$15&gt;$G43+$F$5),0,IF(OR(BA$15=$G43,BA$15=$G43+$F$5),0.5,1)/$F$5)</f>
        <v/>
      </c>
      <c r="BB43" s="177">
        <f>IF(OR(BB$15&lt;$G43,BB$15&gt;$G43+$F$5),0,IF(OR(BB$15=$G43,BB$15=$G43+$F$5),0.5,1)/$F$5)</f>
        <v/>
      </c>
      <c r="BC43" s="177">
        <f>IF(OR(BC$15&lt;$G43,BC$15&gt;$G43+$F$5),0,IF(OR(BC$15=$G43,BC$15=$G43+$F$5),0.5,1)/$F$5)</f>
        <v/>
      </c>
      <c r="BD43" s="177">
        <f>IF(OR(BD$15&lt;$G43,BD$15&gt;$G43+$F$5),0,IF(OR(BD$15=$G43,BD$15=$G43+$F$5),0.5,1)/$F$5)</f>
        <v/>
      </c>
      <c r="BE43" s="177">
        <f>IF(OR(BE$15&lt;$G43,BE$15&gt;$G43+$F$5),0,IF(OR(BE$15=$G43,BE$15=$G43+$F$5),0.5,1)/$F$5)</f>
        <v/>
      </c>
      <c r="BF43" s="211">
        <f>IF(OR($G43&lt;V$15,$G43+$F$5&gt;BE$15),0,ABS(SUM(V43:BE43)-1))</f>
        <v/>
      </c>
    </row>
    <row r="44">
      <c r="A44" s="145" t="n">
        <v>28</v>
      </c>
      <c r="B44" s="204">
        <f>EDATE($B43,1)</f>
        <v/>
      </c>
      <c r="C44" s="205">
        <f>EOMONTH($B44,0)</f>
        <v/>
      </c>
      <c r="D44" s="201">
        <f>$C44-$B44+1</f>
        <v/>
      </c>
      <c r="E44" s="201">
        <f>MONTH($B44)</f>
        <v/>
      </c>
      <c r="F44" s="206">
        <f>($B44+$C44+1)/2</f>
        <v/>
      </c>
      <c r="G44" s="201">
        <f>YEAR($B44)*12+MONTH($B44)-1</f>
        <v/>
      </c>
      <c r="H44" s="207">
        <f>IF(OR(nr_SeasonOn="OFF",$F$6=0,$F$7=0),1,12*INDEX(se_block,$F$6,$E44)/$F$7)</f>
        <v/>
      </c>
      <c r="I44" s="208">
        <f>EXP(SUMPRODUCT((rl_eff&lt;$B44)*(rl_key=nr_SelKey)*rl_ln1p))</f>
        <v/>
      </c>
      <c r="J44" s="208">
        <f>EXP(SUMPRODUCT((rl_eff&lt;=$C44)*(rl_key=nr_SelKey)*rl_ln1p))</f>
        <v/>
      </c>
      <c r="K44" s="201">
        <f>COUNTIFS(rl_key,nr_SelKey,rl_eff,"&gt;="&amp;$B44,rl_eff,"&lt;="&amp;$C44)</f>
        <v/>
      </c>
      <c r="L44" s="201">
        <f>SUMIFS(rl_daysafter,rl_key,nr_SelKey,rl_effmonth,$B44,rl_first,1)</f>
        <v/>
      </c>
      <c r="M44" s="209">
        <f>IF($K44=0,0,MIN(1,$L44/$D44))</f>
        <v/>
      </c>
      <c r="N44" s="208">
        <f>IF($K44=0,$J44,(1-$M44)*$I44+$M44*$J44)</f>
        <v/>
      </c>
      <c r="O44" s="210">
        <f>'Mod Engine'!$E44</f>
        <v/>
      </c>
      <c r="P44" s="208">
        <f>MIN(1,MAX(0,(nr_MEndPm1-$G44+0.5)/$F$5))-MIN(1,MAX(0,(nr_MStartPm1-1-$G44+0.5)/$F$5))</f>
        <v/>
      </c>
      <c r="Q44" s="208">
        <f>MIN(1,MAX(0,(nr_MEndP-$G44+0.5)/$F$5))-MIN(1,MAX(0,(nr_MStartP-1-$G44+0.5)/$F$5))</f>
        <v/>
      </c>
      <c r="R44" s="208">
        <f>MIN(1,MAX(0,(nr_MEndP1-$G44+0.5)/$F$5))-MIN(1,MAX(0,(nr_MStartP1-1-$G44+0.5)/$F$5))</f>
        <v/>
      </c>
      <c r="S44" s="208">
        <f>IF(nr_NetMode,$N44*IF(nr_ModAdjEff="ON",$O44/nr_MInd,1),"")</f>
        <v/>
      </c>
      <c r="T44" s="208">
        <f>IF(NOT(nr_NetMode),"",IF($G44&lt;nr_MStartP,$S44,$T32*(1+IF($G44&lt;nr_MStartP1,nr_NetSelP,nr_NetSelP1))))</f>
        <v/>
      </c>
      <c r="U44" s="208">
        <f>IF(nr_NetMode,$T44,$N44)</f>
        <v/>
      </c>
      <c r="V44" s="177">
        <f>IF(OR(V$15&lt;$G44,V$15&gt;$G44+$F$5),0,IF(OR(V$15=$G44,V$15=$G44+$F$5),0.5,1)/$F$5)</f>
        <v/>
      </c>
      <c r="W44" s="177">
        <f>IF(OR(W$15&lt;$G44,W$15&gt;$G44+$F$5),0,IF(OR(W$15=$G44,W$15=$G44+$F$5),0.5,1)/$F$5)</f>
        <v/>
      </c>
      <c r="X44" s="177">
        <f>IF(OR(X$15&lt;$G44,X$15&gt;$G44+$F$5),0,IF(OR(X$15=$G44,X$15=$G44+$F$5),0.5,1)/$F$5)</f>
        <v/>
      </c>
      <c r="Y44" s="177">
        <f>IF(OR(Y$15&lt;$G44,Y$15&gt;$G44+$F$5),0,IF(OR(Y$15=$G44,Y$15=$G44+$F$5),0.5,1)/$F$5)</f>
        <v/>
      </c>
      <c r="Z44" s="177">
        <f>IF(OR(Z$15&lt;$G44,Z$15&gt;$G44+$F$5),0,IF(OR(Z$15=$G44,Z$15=$G44+$F$5),0.5,1)/$F$5)</f>
        <v/>
      </c>
      <c r="AA44" s="177">
        <f>IF(OR(AA$15&lt;$G44,AA$15&gt;$G44+$F$5),0,IF(OR(AA$15=$G44,AA$15=$G44+$F$5),0.5,1)/$F$5)</f>
        <v/>
      </c>
      <c r="AB44" s="177">
        <f>IF(OR(AB$15&lt;$G44,AB$15&gt;$G44+$F$5),0,IF(OR(AB$15=$G44,AB$15=$G44+$F$5),0.5,1)/$F$5)</f>
        <v/>
      </c>
      <c r="AC44" s="177">
        <f>IF(OR(AC$15&lt;$G44,AC$15&gt;$G44+$F$5),0,IF(OR(AC$15=$G44,AC$15=$G44+$F$5),0.5,1)/$F$5)</f>
        <v/>
      </c>
      <c r="AD44" s="177">
        <f>IF(OR(AD$15&lt;$G44,AD$15&gt;$G44+$F$5),0,IF(OR(AD$15=$G44,AD$15=$G44+$F$5),0.5,1)/$F$5)</f>
        <v/>
      </c>
      <c r="AE44" s="177">
        <f>IF(OR(AE$15&lt;$G44,AE$15&gt;$G44+$F$5),0,IF(OR(AE$15=$G44,AE$15=$G44+$F$5),0.5,1)/$F$5)</f>
        <v/>
      </c>
      <c r="AF44" s="177">
        <f>IF(OR(AF$15&lt;$G44,AF$15&gt;$G44+$F$5),0,IF(OR(AF$15=$G44,AF$15=$G44+$F$5),0.5,1)/$F$5)</f>
        <v/>
      </c>
      <c r="AG44" s="177">
        <f>IF(OR(AG$15&lt;$G44,AG$15&gt;$G44+$F$5),0,IF(OR(AG$15=$G44,AG$15=$G44+$F$5),0.5,1)/$F$5)</f>
        <v/>
      </c>
      <c r="AH44" s="177">
        <f>IF(OR(AH$15&lt;$G44,AH$15&gt;$G44+$F$5),0,IF(OR(AH$15=$G44,AH$15=$G44+$F$5),0.5,1)/$F$5)</f>
        <v/>
      </c>
      <c r="AI44" s="177">
        <f>IF(OR(AI$15&lt;$G44,AI$15&gt;$G44+$F$5),0,IF(OR(AI$15=$G44,AI$15=$G44+$F$5),0.5,1)/$F$5)</f>
        <v/>
      </c>
      <c r="AJ44" s="177">
        <f>IF(OR(AJ$15&lt;$G44,AJ$15&gt;$G44+$F$5),0,IF(OR(AJ$15=$G44,AJ$15=$G44+$F$5),0.5,1)/$F$5)</f>
        <v/>
      </c>
      <c r="AK44" s="177">
        <f>IF(OR(AK$15&lt;$G44,AK$15&gt;$G44+$F$5),0,IF(OR(AK$15=$G44,AK$15=$G44+$F$5),0.5,1)/$F$5)</f>
        <v/>
      </c>
      <c r="AL44" s="177">
        <f>IF(OR(AL$15&lt;$G44,AL$15&gt;$G44+$F$5),0,IF(OR(AL$15=$G44,AL$15=$G44+$F$5),0.5,1)/$F$5)</f>
        <v/>
      </c>
      <c r="AM44" s="177">
        <f>IF(OR(AM$15&lt;$G44,AM$15&gt;$G44+$F$5),0,IF(OR(AM$15=$G44,AM$15=$G44+$F$5),0.5,1)/$F$5)</f>
        <v/>
      </c>
      <c r="AN44" s="177">
        <f>IF(OR(AN$15&lt;$G44,AN$15&gt;$G44+$F$5),0,IF(OR(AN$15=$G44,AN$15=$G44+$F$5),0.5,1)/$F$5)</f>
        <v/>
      </c>
      <c r="AO44" s="177">
        <f>IF(OR(AO$15&lt;$G44,AO$15&gt;$G44+$F$5),0,IF(OR(AO$15=$G44,AO$15=$G44+$F$5),0.5,1)/$F$5)</f>
        <v/>
      </c>
      <c r="AP44" s="177">
        <f>IF(OR(AP$15&lt;$G44,AP$15&gt;$G44+$F$5),0,IF(OR(AP$15=$G44,AP$15=$G44+$F$5),0.5,1)/$F$5)</f>
        <v/>
      </c>
      <c r="AQ44" s="177">
        <f>IF(OR(AQ$15&lt;$G44,AQ$15&gt;$G44+$F$5),0,IF(OR(AQ$15=$G44,AQ$15=$G44+$F$5),0.5,1)/$F$5)</f>
        <v/>
      </c>
      <c r="AR44" s="177">
        <f>IF(OR(AR$15&lt;$G44,AR$15&gt;$G44+$F$5),0,IF(OR(AR$15=$G44,AR$15=$G44+$F$5),0.5,1)/$F$5)</f>
        <v/>
      </c>
      <c r="AS44" s="177">
        <f>IF(OR(AS$15&lt;$G44,AS$15&gt;$G44+$F$5),0,IF(OR(AS$15=$G44,AS$15=$G44+$F$5),0.5,1)/$F$5)</f>
        <v/>
      </c>
      <c r="AT44" s="177">
        <f>IF(OR(AT$15&lt;$G44,AT$15&gt;$G44+$F$5),0,IF(OR(AT$15=$G44,AT$15=$G44+$F$5),0.5,1)/$F$5)</f>
        <v/>
      </c>
      <c r="AU44" s="177">
        <f>IF(OR(AU$15&lt;$G44,AU$15&gt;$G44+$F$5),0,IF(OR(AU$15=$G44,AU$15=$G44+$F$5),0.5,1)/$F$5)</f>
        <v/>
      </c>
      <c r="AV44" s="177">
        <f>IF(OR(AV$15&lt;$G44,AV$15&gt;$G44+$F$5),0,IF(OR(AV$15=$G44,AV$15=$G44+$F$5),0.5,1)/$F$5)</f>
        <v/>
      </c>
      <c r="AW44" s="177">
        <f>IF(OR(AW$15&lt;$G44,AW$15&gt;$G44+$F$5),0,IF(OR(AW$15=$G44,AW$15=$G44+$F$5),0.5,1)/$F$5)</f>
        <v/>
      </c>
      <c r="AX44" s="177">
        <f>IF(OR(AX$15&lt;$G44,AX$15&gt;$G44+$F$5),0,IF(OR(AX$15=$G44,AX$15=$G44+$F$5),0.5,1)/$F$5)</f>
        <v/>
      </c>
      <c r="AY44" s="177">
        <f>IF(OR(AY$15&lt;$G44,AY$15&gt;$G44+$F$5),0,IF(OR(AY$15=$G44,AY$15=$G44+$F$5),0.5,1)/$F$5)</f>
        <v/>
      </c>
      <c r="AZ44" s="177">
        <f>IF(OR(AZ$15&lt;$G44,AZ$15&gt;$G44+$F$5),0,IF(OR(AZ$15=$G44,AZ$15=$G44+$F$5),0.5,1)/$F$5)</f>
        <v/>
      </c>
      <c r="BA44" s="177">
        <f>IF(OR(BA$15&lt;$G44,BA$15&gt;$G44+$F$5),0,IF(OR(BA$15=$G44,BA$15=$G44+$F$5),0.5,1)/$F$5)</f>
        <v/>
      </c>
      <c r="BB44" s="177">
        <f>IF(OR(BB$15&lt;$G44,BB$15&gt;$G44+$F$5),0,IF(OR(BB$15=$G44,BB$15=$G44+$F$5),0.5,1)/$F$5)</f>
        <v/>
      </c>
      <c r="BC44" s="177">
        <f>IF(OR(BC$15&lt;$G44,BC$15&gt;$G44+$F$5),0,IF(OR(BC$15=$G44,BC$15=$G44+$F$5),0.5,1)/$F$5)</f>
        <v/>
      </c>
      <c r="BD44" s="177">
        <f>IF(OR(BD$15&lt;$G44,BD$15&gt;$G44+$F$5),0,IF(OR(BD$15=$G44,BD$15=$G44+$F$5),0.5,1)/$F$5)</f>
        <v/>
      </c>
      <c r="BE44" s="177">
        <f>IF(OR(BE$15&lt;$G44,BE$15&gt;$G44+$F$5),0,IF(OR(BE$15=$G44,BE$15=$G44+$F$5),0.5,1)/$F$5)</f>
        <v/>
      </c>
      <c r="BF44" s="211">
        <f>IF(OR($G44&lt;V$15,$G44+$F$5&gt;BE$15),0,ABS(SUM(V44:BE44)-1))</f>
        <v/>
      </c>
    </row>
    <row r="45">
      <c r="A45" s="145" t="n">
        <v>29</v>
      </c>
      <c r="B45" s="204">
        <f>EDATE($B44,1)</f>
        <v/>
      </c>
      <c r="C45" s="205">
        <f>EOMONTH($B45,0)</f>
        <v/>
      </c>
      <c r="D45" s="201">
        <f>$C45-$B45+1</f>
        <v/>
      </c>
      <c r="E45" s="201">
        <f>MONTH($B45)</f>
        <v/>
      </c>
      <c r="F45" s="206">
        <f>($B45+$C45+1)/2</f>
        <v/>
      </c>
      <c r="G45" s="201">
        <f>YEAR($B45)*12+MONTH($B45)-1</f>
        <v/>
      </c>
      <c r="H45" s="207">
        <f>IF(OR(nr_SeasonOn="OFF",$F$6=0,$F$7=0),1,12*INDEX(se_block,$F$6,$E45)/$F$7)</f>
        <v/>
      </c>
      <c r="I45" s="208">
        <f>EXP(SUMPRODUCT((rl_eff&lt;$B45)*(rl_key=nr_SelKey)*rl_ln1p))</f>
        <v/>
      </c>
      <c r="J45" s="208">
        <f>EXP(SUMPRODUCT((rl_eff&lt;=$C45)*(rl_key=nr_SelKey)*rl_ln1p))</f>
        <v/>
      </c>
      <c r="K45" s="201">
        <f>COUNTIFS(rl_key,nr_SelKey,rl_eff,"&gt;="&amp;$B45,rl_eff,"&lt;="&amp;$C45)</f>
        <v/>
      </c>
      <c r="L45" s="201">
        <f>SUMIFS(rl_daysafter,rl_key,nr_SelKey,rl_effmonth,$B45,rl_first,1)</f>
        <v/>
      </c>
      <c r="M45" s="209">
        <f>IF($K45=0,0,MIN(1,$L45/$D45))</f>
        <v/>
      </c>
      <c r="N45" s="208">
        <f>IF($K45=0,$J45,(1-$M45)*$I45+$M45*$J45)</f>
        <v/>
      </c>
      <c r="O45" s="210">
        <f>'Mod Engine'!$E45</f>
        <v/>
      </c>
      <c r="P45" s="208">
        <f>MIN(1,MAX(0,(nr_MEndPm1-$G45+0.5)/$F$5))-MIN(1,MAX(0,(nr_MStartPm1-1-$G45+0.5)/$F$5))</f>
        <v/>
      </c>
      <c r="Q45" s="208">
        <f>MIN(1,MAX(0,(nr_MEndP-$G45+0.5)/$F$5))-MIN(1,MAX(0,(nr_MStartP-1-$G45+0.5)/$F$5))</f>
        <v/>
      </c>
      <c r="R45" s="208">
        <f>MIN(1,MAX(0,(nr_MEndP1-$G45+0.5)/$F$5))-MIN(1,MAX(0,(nr_MStartP1-1-$G45+0.5)/$F$5))</f>
        <v/>
      </c>
      <c r="S45" s="208">
        <f>IF(nr_NetMode,$N45*IF(nr_ModAdjEff="ON",$O45/nr_MInd,1),"")</f>
        <v/>
      </c>
      <c r="T45" s="208">
        <f>IF(NOT(nr_NetMode),"",IF($G45&lt;nr_MStartP,$S45,$T33*(1+IF($G45&lt;nr_MStartP1,nr_NetSelP,nr_NetSelP1))))</f>
        <v/>
      </c>
      <c r="U45" s="208">
        <f>IF(nr_NetMode,$T45,$N45)</f>
        <v/>
      </c>
      <c r="V45" s="177">
        <f>IF(OR(V$15&lt;$G45,V$15&gt;$G45+$F$5),0,IF(OR(V$15=$G45,V$15=$G45+$F$5),0.5,1)/$F$5)</f>
        <v/>
      </c>
      <c r="W45" s="177">
        <f>IF(OR(W$15&lt;$G45,W$15&gt;$G45+$F$5),0,IF(OR(W$15=$G45,W$15=$G45+$F$5),0.5,1)/$F$5)</f>
        <v/>
      </c>
      <c r="X45" s="177">
        <f>IF(OR(X$15&lt;$G45,X$15&gt;$G45+$F$5),0,IF(OR(X$15=$G45,X$15=$G45+$F$5),0.5,1)/$F$5)</f>
        <v/>
      </c>
      <c r="Y45" s="177">
        <f>IF(OR(Y$15&lt;$G45,Y$15&gt;$G45+$F$5),0,IF(OR(Y$15=$G45,Y$15=$G45+$F$5),0.5,1)/$F$5)</f>
        <v/>
      </c>
      <c r="Z45" s="177">
        <f>IF(OR(Z$15&lt;$G45,Z$15&gt;$G45+$F$5),0,IF(OR(Z$15=$G45,Z$15=$G45+$F$5),0.5,1)/$F$5)</f>
        <v/>
      </c>
      <c r="AA45" s="177">
        <f>IF(OR(AA$15&lt;$G45,AA$15&gt;$G45+$F$5),0,IF(OR(AA$15=$G45,AA$15=$G45+$F$5),0.5,1)/$F$5)</f>
        <v/>
      </c>
      <c r="AB45" s="177">
        <f>IF(OR(AB$15&lt;$G45,AB$15&gt;$G45+$F$5),0,IF(OR(AB$15=$G45,AB$15=$G45+$F$5),0.5,1)/$F$5)</f>
        <v/>
      </c>
      <c r="AC45" s="177">
        <f>IF(OR(AC$15&lt;$G45,AC$15&gt;$G45+$F$5),0,IF(OR(AC$15=$G45,AC$15=$G45+$F$5),0.5,1)/$F$5)</f>
        <v/>
      </c>
      <c r="AD45" s="177">
        <f>IF(OR(AD$15&lt;$G45,AD$15&gt;$G45+$F$5),0,IF(OR(AD$15=$G45,AD$15=$G45+$F$5),0.5,1)/$F$5)</f>
        <v/>
      </c>
      <c r="AE45" s="177">
        <f>IF(OR(AE$15&lt;$G45,AE$15&gt;$G45+$F$5),0,IF(OR(AE$15=$G45,AE$15=$G45+$F$5),0.5,1)/$F$5)</f>
        <v/>
      </c>
      <c r="AF45" s="177">
        <f>IF(OR(AF$15&lt;$G45,AF$15&gt;$G45+$F$5),0,IF(OR(AF$15=$G45,AF$15=$G45+$F$5),0.5,1)/$F$5)</f>
        <v/>
      </c>
      <c r="AG45" s="177">
        <f>IF(OR(AG$15&lt;$G45,AG$15&gt;$G45+$F$5),0,IF(OR(AG$15=$G45,AG$15=$G45+$F$5),0.5,1)/$F$5)</f>
        <v/>
      </c>
      <c r="AH45" s="177">
        <f>IF(OR(AH$15&lt;$G45,AH$15&gt;$G45+$F$5),0,IF(OR(AH$15=$G45,AH$15=$G45+$F$5),0.5,1)/$F$5)</f>
        <v/>
      </c>
      <c r="AI45" s="177">
        <f>IF(OR(AI$15&lt;$G45,AI$15&gt;$G45+$F$5),0,IF(OR(AI$15=$G45,AI$15=$G45+$F$5),0.5,1)/$F$5)</f>
        <v/>
      </c>
      <c r="AJ45" s="177">
        <f>IF(OR(AJ$15&lt;$G45,AJ$15&gt;$G45+$F$5),0,IF(OR(AJ$15=$G45,AJ$15=$G45+$F$5),0.5,1)/$F$5)</f>
        <v/>
      </c>
      <c r="AK45" s="177">
        <f>IF(OR(AK$15&lt;$G45,AK$15&gt;$G45+$F$5),0,IF(OR(AK$15=$G45,AK$15=$G45+$F$5),0.5,1)/$F$5)</f>
        <v/>
      </c>
      <c r="AL45" s="177">
        <f>IF(OR(AL$15&lt;$G45,AL$15&gt;$G45+$F$5),0,IF(OR(AL$15=$G45,AL$15=$G45+$F$5),0.5,1)/$F$5)</f>
        <v/>
      </c>
      <c r="AM45" s="177">
        <f>IF(OR(AM$15&lt;$G45,AM$15&gt;$G45+$F$5),0,IF(OR(AM$15=$G45,AM$15=$G45+$F$5),0.5,1)/$F$5)</f>
        <v/>
      </c>
      <c r="AN45" s="177">
        <f>IF(OR(AN$15&lt;$G45,AN$15&gt;$G45+$F$5),0,IF(OR(AN$15=$G45,AN$15=$G45+$F$5),0.5,1)/$F$5)</f>
        <v/>
      </c>
      <c r="AO45" s="177">
        <f>IF(OR(AO$15&lt;$G45,AO$15&gt;$G45+$F$5),0,IF(OR(AO$15=$G45,AO$15=$G45+$F$5),0.5,1)/$F$5)</f>
        <v/>
      </c>
      <c r="AP45" s="177">
        <f>IF(OR(AP$15&lt;$G45,AP$15&gt;$G45+$F$5),0,IF(OR(AP$15=$G45,AP$15=$G45+$F$5),0.5,1)/$F$5)</f>
        <v/>
      </c>
      <c r="AQ45" s="177">
        <f>IF(OR(AQ$15&lt;$G45,AQ$15&gt;$G45+$F$5),0,IF(OR(AQ$15=$G45,AQ$15=$G45+$F$5),0.5,1)/$F$5)</f>
        <v/>
      </c>
      <c r="AR45" s="177">
        <f>IF(OR(AR$15&lt;$G45,AR$15&gt;$G45+$F$5),0,IF(OR(AR$15=$G45,AR$15=$G45+$F$5),0.5,1)/$F$5)</f>
        <v/>
      </c>
      <c r="AS45" s="177">
        <f>IF(OR(AS$15&lt;$G45,AS$15&gt;$G45+$F$5),0,IF(OR(AS$15=$G45,AS$15=$G45+$F$5),0.5,1)/$F$5)</f>
        <v/>
      </c>
      <c r="AT45" s="177">
        <f>IF(OR(AT$15&lt;$G45,AT$15&gt;$G45+$F$5),0,IF(OR(AT$15=$G45,AT$15=$G45+$F$5),0.5,1)/$F$5)</f>
        <v/>
      </c>
      <c r="AU45" s="177">
        <f>IF(OR(AU$15&lt;$G45,AU$15&gt;$G45+$F$5),0,IF(OR(AU$15=$G45,AU$15=$G45+$F$5),0.5,1)/$F$5)</f>
        <v/>
      </c>
      <c r="AV45" s="177">
        <f>IF(OR(AV$15&lt;$G45,AV$15&gt;$G45+$F$5),0,IF(OR(AV$15=$G45,AV$15=$G45+$F$5),0.5,1)/$F$5)</f>
        <v/>
      </c>
      <c r="AW45" s="177">
        <f>IF(OR(AW$15&lt;$G45,AW$15&gt;$G45+$F$5),0,IF(OR(AW$15=$G45,AW$15=$G45+$F$5),0.5,1)/$F$5)</f>
        <v/>
      </c>
      <c r="AX45" s="177">
        <f>IF(OR(AX$15&lt;$G45,AX$15&gt;$G45+$F$5),0,IF(OR(AX$15=$G45,AX$15=$G45+$F$5),0.5,1)/$F$5)</f>
        <v/>
      </c>
      <c r="AY45" s="177">
        <f>IF(OR(AY$15&lt;$G45,AY$15&gt;$G45+$F$5),0,IF(OR(AY$15=$G45,AY$15=$G45+$F$5),0.5,1)/$F$5)</f>
        <v/>
      </c>
      <c r="AZ45" s="177">
        <f>IF(OR(AZ$15&lt;$G45,AZ$15&gt;$G45+$F$5),0,IF(OR(AZ$15=$G45,AZ$15=$G45+$F$5),0.5,1)/$F$5)</f>
        <v/>
      </c>
      <c r="BA45" s="177">
        <f>IF(OR(BA$15&lt;$G45,BA$15&gt;$G45+$F$5),0,IF(OR(BA$15=$G45,BA$15=$G45+$F$5),0.5,1)/$F$5)</f>
        <v/>
      </c>
      <c r="BB45" s="177">
        <f>IF(OR(BB$15&lt;$G45,BB$15&gt;$G45+$F$5),0,IF(OR(BB$15=$G45,BB$15=$G45+$F$5),0.5,1)/$F$5)</f>
        <v/>
      </c>
      <c r="BC45" s="177">
        <f>IF(OR(BC$15&lt;$G45,BC$15&gt;$G45+$F$5),0,IF(OR(BC$15=$G45,BC$15=$G45+$F$5),0.5,1)/$F$5)</f>
        <v/>
      </c>
      <c r="BD45" s="177">
        <f>IF(OR(BD$15&lt;$G45,BD$15&gt;$G45+$F$5),0,IF(OR(BD$15=$G45,BD$15=$G45+$F$5),0.5,1)/$F$5)</f>
        <v/>
      </c>
      <c r="BE45" s="177">
        <f>IF(OR(BE$15&lt;$G45,BE$15&gt;$G45+$F$5),0,IF(OR(BE$15=$G45,BE$15=$G45+$F$5),0.5,1)/$F$5)</f>
        <v/>
      </c>
      <c r="BF45" s="211">
        <f>IF(OR($G45&lt;V$15,$G45+$F$5&gt;BE$15),0,ABS(SUM(V45:BE45)-1))</f>
        <v/>
      </c>
    </row>
    <row r="46">
      <c r="A46" s="145" t="n">
        <v>30</v>
      </c>
      <c r="B46" s="204">
        <f>EDATE($B45,1)</f>
        <v/>
      </c>
      <c r="C46" s="205">
        <f>EOMONTH($B46,0)</f>
        <v/>
      </c>
      <c r="D46" s="201">
        <f>$C46-$B46+1</f>
        <v/>
      </c>
      <c r="E46" s="201">
        <f>MONTH($B46)</f>
        <v/>
      </c>
      <c r="F46" s="206">
        <f>($B46+$C46+1)/2</f>
        <v/>
      </c>
      <c r="G46" s="201">
        <f>YEAR($B46)*12+MONTH($B46)-1</f>
        <v/>
      </c>
      <c r="H46" s="207">
        <f>IF(OR(nr_SeasonOn="OFF",$F$6=0,$F$7=0),1,12*INDEX(se_block,$F$6,$E46)/$F$7)</f>
        <v/>
      </c>
      <c r="I46" s="208">
        <f>EXP(SUMPRODUCT((rl_eff&lt;$B46)*(rl_key=nr_SelKey)*rl_ln1p))</f>
        <v/>
      </c>
      <c r="J46" s="208">
        <f>EXP(SUMPRODUCT((rl_eff&lt;=$C46)*(rl_key=nr_SelKey)*rl_ln1p))</f>
        <v/>
      </c>
      <c r="K46" s="201">
        <f>COUNTIFS(rl_key,nr_SelKey,rl_eff,"&gt;="&amp;$B46,rl_eff,"&lt;="&amp;$C46)</f>
        <v/>
      </c>
      <c r="L46" s="201">
        <f>SUMIFS(rl_daysafter,rl_key,nr_SelKey,rl_effmonth,$B46,rl_first,1)</f>
        <v/>
      </c>
      <c r="M46" s="209">
        <f>IF($K46=0,0,MIN(1,$L46/$D46))</f>
        <v/>
      </c>
      <c r="N46" s="208">
        <f>IF($K46=0,$J46,(1-$M46)*$I46+$M46*$J46)</f>
        <v/>
      </c>
      <c r="O46" s="210">
        <f>'Mod Engine'!$E46</f>
        <v/>
      </c>
      <c r="P46" s="208">
        <f>MIN(1,MAX(0,(nr_MEndPm1-$G46+0.5)/$F$5))-MIN(1,MAX(0,(nr_MStartPm1-1-$G46+0.5)/$F$5))</f>
        <v/>
      </c>
      <c r="Q46" s="208">
        <f>MIN(1,MAX(0,(nr_MEndP-$G46+0.5)/$F$5))-MIN(1,MAX(0,(nr_MStartP-1-$G46+0.5)/$F$5))</f>
        <v/>
      </c>
      <c r="R46" s="208">
        <f>MIN(1,MAX(0,(nr_MEndP1-$G46+0.5)/$F$5))-MIN(1,MAX(0,(nr_MStartP1-1-$G46+0.5)/$F$5))</f>
        <v/>
      </c>
      <c r="S46" s="208">
        <f>IF(nr_NetMode,$N46*IF(nr_ModAdjEff="ON",$O46/nr_MInd,1),"")</f>
        <v/>
      </c>
      <c r="T46" s="208">
        <f>IF(NOT(nr_NetMode),"",IF($G46&lt;nr_MStartP,$S46,$T34*(1+IF($G46&lt;nr_MStartP1,nr_NetSelP,nr_NetSelP1))))</f>
        <v/>
      </c>
      <c r="U46" s="208">
        <f>IF(nr_NetMode,$T46,$N46)</f>
        <v/>
      </c>
      <c r="V46" s="177">
        <f>IF(OR(V$15&lt;$G46,V$15&gt;$G46+$F$5),0,IF(OR(V$15=$G46,V$15=$G46+$F$5),0.5,1)/$F$5)</f>
        <v/>
      </c>
      <c r="W46" s="177">
        <f>IF(OR(W$15&lt;$G46,W$15&gt;$G46+$F$5),0,IF(OR(W$15=$G46,W$15=$G46+$F$5),0.5,1)/$F$5)</f>
        <v/>
      </c>
      <c r="X46" s="177">
        <f>IF(OR(X$15&lt;$G46,X$15&gt;$G46+$F$5),0,IF(OR(X$15=$G46,X$15=$G46+$F$5),0.5,1)/$F$5)</f>
        <v/>
      </c>
      <c r="Y46" s="177">
        <f>IF(OR(Y$15&lt;$G46,Y$15&gt;$G46+$F$5),0,IF(OR(Y$15=$G46,Y$15=$G46+$F$5),0.5,1)/$F$5)</f>
        <v/>
      </c>
      <c r="Z46" s="177">
        <f>IF(OR(Z$15&lt;$G46,Z$15&gt;$G46+$F$5),0,IF(OR(Z$15=$G46,Z$15=$G46+$F$5),0.5,1)/$F$5)</f>
        <v/>
      </c>
      <c r="AA46" s="177">
        <f>IF(OR(AA$15&lt;$G46,AA$15&gt;$G46+$F$5),0,IF(OR(AA$15=$G46,AA$15=$G46+$F$5),0.5,1)/$F$5)</f>
        <v/>
      </c>
      <c r="AB46" s="177">
        <f>IF(OR(AB$15&lt;$G46,AB$15&gt;$G46+$F$5),0,IF(OR(AB$15=$G46,AB$15=$G46+$F$5),0.5,1)/$F$5)</f>
        <v/>
      </c>
      <c r="AC46" s="177">
        <f>IF(OR(AC$15&lt;$G46,AC$15&gt;$G46+$F$5),0,IF(OR(AC$15=$G46,AC$15=$G46+$F$5),0.5,1)/$F$5)</f>
        <v/>
      </c>
      <c r="AD46" s="177">
        <f>IF(OR(AD$15&lt;$G46,AD$15&gt;$G46+$F$5),0,IF(OR(AD$15=$G46,AD$15=$G46+$F$5),0.5,1)/$F$5)</f>
        <v/>
      </c>
      <c r="AE46" s="177">
        <f>IF(OR(AE$15&lt;$G46,AE$15&gt;$G46+$F$5),0,IF(OR(AE$15=$G46,AE$15=$G46+$F$5),0.5,1)/$F$5)</f>
        <v/>
      </c>
      <c r="AF46" s="177">
        <f>IF(OR(AF$15&lt;$G46,AF$15&gt;$G46+$F$5),0,IF(OR(AF$15=$G46,AF$15=$G46+$F$5),0.5,1)/$F$5)</f>
        <v/>
      </c>
      <c r="AG46" s="177">
        <f>IF(OR(AG$15&lt;$G46,AG$15&gt;$G46+$F$5),0,IF(OR(AG$15=$G46,AG$15=$G46+$F$5),0.5,1)/$F$5)</f>
        <v/>
      </c>
      <c r="AH46" s="177">
        <f>IF(OR(AH$15&lt;$G46,AH$15&gt;$G46+$F$5),0,IF(OR(AH$15=$G46,AH$15=$G46+$F$5),0.5,1)/$F$5)</f>
        <v/>
      </c>
      <c r="AI46" s="177">
        <f>IF(OR(AI$15&lt;$G46,AI$15&gt;$G46+$F$5),0,IF(OR(AI$15=$G46,AI$15=$G46+$F$5),0.5,1)/$F$5)</f>
        <v/>
      </c>
      <c r="AJ46" s="177">
        <f>IF(OR(AJ$15&lt;$G46,AJ$15&gt;$G46+$F$5),0,IF(OR(AJ$15=$G46,AJ$15=$G46+$F$5),0.5,1)/$F$5)</f>
        <v/>
      </c>
      <c r="AK46" s="177">
        <f>IF(OR(AK$15&lt;$G46,AK$15&gt;$G46+$F$5),0,IF(OR(AK$15=$G46,AK$15=$G46+$F$5),0.5,1)/$F$5)</f>
        <v/>
      </c>
      <c r="AL46" s="177">
        <f>IF(OR(AL$15&lt;$G46,AL$15&gt;$G46+$F$5),0,IF(OR(AL$15=$G46,AL$15=$G46+$F$5),0.5,1)/$F$5)</f>
        <v/>
      </c>
      <c r="AM46" s="177">
        <f>IF(OR(AM$15&lt;$G46,AM$15&gt;$G46+$F$5),0,IF(OR(AM$15=$G46,AM$15=$G46+$F$5),0.5,1)/$F$5)</f>
        <v/>
      </c>
      <c r="AN46" s="177">
        <f>IF(OR(AN$15&lt;$G46,AN$15&gt;$G46+$F$5),0,IF(OR(AN$15=$G46,AN$15=$G46+$F$5),0.5,1)/$F$5)</f>
        <v/>
      </c>
      <c r="AO46" s="177">
        <f>IF(OR(AO$15&lt;$G46,AO$15&gt;$G46+$F$5),0,IF(OR(AO$15=$G46,AO$15=$G46+$F$5),0.5,1)/$F$5)</f>
        <v/>
      </c>
      <c r="AP46" s="177">
        <f>IF(OR(AP$15&lt;$G46,AP$15&gt;$G46+$F$5),0,IF(OR(AP$15=$G46,AP$15=$G46+$F$5),0.5,1)/$F$5)</f>
        <v/>
      </c>
      <c r="AQ46" s="177">
        <f>IF(OR(AQ$15&lt;$G46,AQ$15&gt;$G46+$F$5),0,IF(OR(AQ$15=$G46,AQ$15=$G46+$F$5),0.5,1)/$F$5)</f>
        <v/>
      </c>
      <c r="AR46" s="177">
        <f>IF(OR(AR$15&lt;$G46,AR$15&gt;$G46+$F$5),0,IF(OR(AR$15=$G46,AR$15=$G46+$F$5),0.5,1)/$F$5)</f>
        <v/>
      </c>
      <c r="AS46" s="177">
        <f>IF(OR(AS$15&lt;$G46,AS$15&gt;$G46+$F$5),0,IF(OR(AS$15=$G46,AS$15=$G46+$F$5),0.5,1)/$F$5)</f>
        <v/>
      </c>
      <c r="AT46" s="177">
        <f>IF(OR(AT$15&lt;$G46,AT$15&gt;$G46+$F$5),0,IF(OR(AT$15=$G46,AT$15=$G46+$F$5),0.5,1)/$F$5)</f>
        <v/>
      </c>
      <c r="AU46" s="177">
        <f>IF(OR(AU$15&lt;$G46,AU$15&gt;$G46+$F$5),0,IF(OR(AU$15=$G46,AU$15=$G46+$F$5),0.5,1)/$F$5)</f>
        <v/>
      </c>
      <c r="AV46" s="177">
        <f>IF(OR(AV$15&lt;$G46,AV$15&gt;$G46+$F$5),0,IF(OR(AV$15=$G46,AV$15=$G46+$F$5),0.5,1)/$F$5)</f>
        <v/>
      </c>
      <c r="AW46" s="177">
        <f>IF(OR(AW$15&lt;$G46,AW$15&gt;$G46+$F$5),0,IF(OR(AW$15=$G46,AW$15=$G46+$F$5),0.5,1)/$F$5)</f>
        <v/>
      </c>
      <c r="AX46" s="177">
        <f>IF(OR(AX$15&lt;$G46,AX$15&gt;$G46+$F$5),0,IF(OR(AX$15=$G46,AX$15=$G46+$F$5),0.5,1)/$F$5)</f>
        <v/>
      </c>
      <c r="AY46" s="177">
        <f>IF(OR(AY$15&lt;$G46,AY$15&gt;$G46+$F$5),0,IF(OR(AY$15=$G46,AY$15=$G46+$F$5),0.5,1)/$F$5)</f>
        <v/>
      </c>
      <c r="AZ46" s="177">
        <f>IF(OR(AZ$15&lt;$G46,AZ$15&gt;$G46+$F$5),0,IF(OR(AZ$15=$G46,AZ$15=$G46+$F$5),0.5,1)/$F$5)</f>
        <v/>
      </c>
      <c r="BA46" s="177">
        <f>IF(OR(BA$15&lt;$G46,BA$15&gt;$G46+$F$5),0,IF(OR(BA$15=$G46,BA$15=$G46+$F$5),0.5,1)/$F$5)</f>
        <v/>
      </c>
      <c r="BB46" s="177">
        <f>IF(OR(BB$15&lt;$G46,BB$15&gt;$G46+$F$5),0,IF(OR(BB$15=$G46,BB$15=$G46+$F$5),0.5,1)/$F$5)</f>
        <v/>
      </c>
      <c r="BC46" s="177">
        <f>IF(OR(BC$15&lt;$G46,BC$15&gt;$G46+$F$5),0,IF(OR(BC$15=$G46,BC$15=$G46+$F$5),0.5,1)/$F$5)</f>
        <v/>
      </c>
      <c r="BD46" s="177">
        <f>IF(OR(BD$15&lt;$G46,BD$15&gt;$G46+$F$5),0,IF(OR(BD$15=$G46,BD$15=$G46+$F$5),0.5,1)/$F$5)</f>
        <v/>
      </c>
      <c r="BE46" s="177">
        <f>IF(OR(BE$15&lt;$G46,BE$15&gt;$G46+$F$5),0,IF(OR(BE$15=$G46,BE$15=$G46+$F$5),0.5,1)/$F$5)</f>
        <v/>
      </c>
      <c r="BF46" s="211">
        <f>IF(OR($G46&lt;V$15,$G46+$F$5&gt;BE$15),0,ABS(SUM(V46:BE46)-1))</f>
        <v/>
      </c>
    </row>
    <row r="47">
      <c r="A47" s="145" t="n">
        <v>31</v>
      </c>
      <c r="B47" s="204">
        <f>EDATE($B46,1)</f>
        <v/>
      </c>
      <c r="C47" s="205">
        <f>EOMONTH($B47,0)</f>
        <v/>
      </c>
      <c r="D47" s="201">
        <f>$C47-$B47+1</f>
        <v/>
      </c>
      <c r="E47" s="201">
        <f>MONTH($B47)</f>
        <v/>
      </c>
      <c r="F47" s="206">
        <f>($B47+$C47+1)/2</f>
        <v/>
      </c>
      <c r="G47" s="201">
        <f>YEAR($B47)*12+MONTH($B47)-1</f>
        <v/>
      </c>
      <c r="H47" s="207">
        <f>IF(OR(nr_SeasonOn="OFF",$F$6=0,$F$7=0),1,12*INDEX(se_block,$F$6,$E47)/$F$7)</f>
        <v/>
      </c>
      <c r="I47" s="208">
        <f>EXP(SUMPRODUCT((rl_eff&lt;$B47)*(rl_key=nr_SelKey)*rl_ln1p))</f>
        <v/>
      </c>
      <c r="J47" s="208">
        <f>EXP(SUMPRODUCT((rl_eff&lt;=$C47)*(rl_key=nr_SelKey)*rl_ln1p))</f>
        <v/>
      </c>
      <c r="K47" s="201">
        <f>COUNTIFS(rl_key,nr_SelKey,rl_eff,"&gt;="&amp;$B47,rl_eff,"&lt;="&amp;$C47)</f>
        <v/>
      </c>
      <c r="L47" s="201">
        <f>SUMIFS(rl_daysafter,rl_key,nr_SelKey,rl_effmonth,$B47,rl_first,1)</f>
        <v/>
      </c>
      <c r="M47" s="209">
        <f>IF($K47=0,0,MIN(1,$L47/$D47))</f>
        <v/>
      </c>
      <c r="N47" s="208">
        <f>IF($K47=0,$J47,(1-$M47)*$I47+$M47*$J47)</f>
        <v/>
      </c>
      <c r="O47" s="210">
        <f>'Mod Engine'!$E47</f>
        <v/>
      </c>
      <c r="P47" s="208">
        <f>MIN(1,MAX(0,(nr_MEndPm1-$G47+0.5)/$F$5))-MIN(1,MAX(0,(nr_MStartPm1-1-$G47+0.5)/$F$5))</f>
        <v/>
      </c>
      <c r="Q47" s="208">
        <f>MIN(1,MAX(0,(nr_MEndP-$G47+0.5)/$F$5))-MIN(1,MAX(0,(nr_MStartP-1-$G47+0.5)/$F$5))</f>
        <v/>
      </c>
      <c r="R47" s="208">
        <f>MIN(1,MAX(0,(nr_MEndP1-$G47+0.5)/$F$5))-MIN(1,MAX(0,(nr_MStartP1-1-$G47+0.5)/$F$5))</f>
        <v/>
      </c>
      <c r="S47" s="208">
        <f>IF(nr_NetMode,$N47*IF(nr_ModAdjEff="ON",$O47/nr_MInd,1),"")</f>
        <v/>
      </c>
      <c r="T47" s="208">
        <f>IF(NOT(nr_NetMode),"",IF($G47&lt;nr_MStartP,$S47,$T35*(1+IF($G47&lt;nr_MStartP1,nr_NetSelP,nr_NetSelP1))))</f>
        <v/>
      </c>
      <c r="U47" s="208">
        <f>IF(nr_NetMode,$T47,$N47)</f>
        <v/>
      </c>
      <c r="V47" s="177">
        <f>IF(OR(V$15&lt;$G47,V$15&gt;$G47+$F$5),0,IF(OR(V$15=$G47,V$15=$G47+$F$5),0.5,1)/$F$5)</f>
        <v/>
      </c>
      <c r="W47" s="177">
        <f>IF(OR(W$15&lt;$G47,W$15&gt;$G47+$F$5),0,IF(OR(W$15=$G47,W$15=$G47+$F$5),0.5,1)/$F$5)</f>
        <v/>
      </c>
      <c r="X47" s="177">
        <f>IF(OR(X$15&lt;$G47,X$15&gt;$G47+$F$5),0,IF(OR(X$15=$G47,X$15=$G47+$F$5),0.5,1)/$F$5)</f>
        <v/>
      </c>
      <c r="Y47" s="177">
        <f>IF(OR(Y$15&lt;$G47,Y$15&gt;$G47+$F$5),0,IF(OR(Y$15=$G47,Y$15=$G47+$F$5),0.5,1)/$F$5)</f>
        <v/>
      </c>
      <c r="Z47" s="177">
        <f>IF(OR(Z$15&lt;$G47,Z$15&gt;$G47+$F$5),0,IF(OR(Z$15=$G47,Z$15=$G47+$F$5),0.5,1)/$F$5)</f>
        <v/>
      </c>
      <c r="AA47" s="177">
        <f>IF(OR(AA$15&lt;$G47,AA$15&gt;$G47+$F$5),0,IF(OR(AA$15=$G47,AA$15=$G47+$F$5),0.5,1)/$F$5)</f>
        <v/>
      </c>
      <c r="AB47" s="177">
        <f>IF(OR(AB$15&lt;$G47,AB$15&gt;$G47+$F$5),0,IF(OR(AB$15=$G47,AB$15=$G47+$F$5),0.5,1)/$F$5)</f>
        <v/>
      </c>
      <c r="AC47" s="177">
        <f>IF(OR(AC$15&lt;$G47,AC$15&gt;$G47+$F$5),0,IF(OR(AC$15=$G47,AC$15=$G47+$F$5),0.5,1)/$F$5)</f>
        <v/>
      </c>
      <c r="AD47" s="177">
        <f>IF(OR(AD$15&lt;$G47,AD$15&gt;$G47+$F$5),0,IF(OR(AD$15=$G47,AD$15=$G47+$F$5),0.5,1)/$F$5)</f>
        <v/>
      </c>
      <c r="AE47" s="177">
        <f>IF(OR(AE$15&lt;$G47,AE$15&gt;$G47+$F$5),0,IF(OR(AE$15=$G47,AE$15=$G47+$F$5),0.5,1)/$F$5)</f>
        <v/>
      </c>
      <c r="AF47" s="177">
        <f>IF(OR(AF$15&lt;$G47,AF$15&gt;$G47+$F$5),0,IF(OR(AF$15=$G47,AF$15=$G47+$F$5),0.5,1)/$F$5)</f>
        <v/>
      </c>
      <c r="AG47" s="177">
        <f>IF(OR(AG$15&lt;$G47,AG$15&gt;$G47+$F$5),0,IF(OR(AG$15=$G47,AG$15=$G47+$F$5),0.5,1)/$F$5)</f>
        <v/>
      </c>
      <c r="AH47" s="177">
        <f>IF(OR(AH$15&lt;$G47,AH$15&gt;$G47+$F$5),0,IF(OR(AH$15=$G47,AH$15=$G47+$F$5),0.5,1)/$F$5)</f>
        <v/>
      </c>
      <c r="AI47" s="177">
        <f>IF(OR(AI$15&lt;$G47,AI$15&gt;$G47+$F$5),0,IF(OR(AI$15=$G47,AI$15=$G47+$F$5),0.5,1)/$F$5)</f>
        <v/>
      </c>
      <c r="AJ47" s="177">
        <f>IF(OR(AJ$15&lt;$G47,AJ$15&gt;$G47+$F$5),0,IF(OR(AJ$15=$G47,AJ$15=$G47+$F$5),0.5,1)/$F$5)</f>
        <v/>
      </c>
      <c r="AK47" s="177">
        <f>IF(OR(AK$15&lt;$G47,AK$15&gt;$G47+$F$5),0,IF(OR(AK$15=$G47,AK$15=$G47+$F$5),0.5,1)/$F$5)</f>
        <v/>
      </c>
      <c r="AL47" s="177">
        <f>IF(OR(AL$15&lt;$G47,AL$15&gt;$G47+$F$5),0,IF(OR(AL$15=$G47,AL$15=$G47+$F$5),0.5,1)/$F$5)</f>
        <v/>
      </c>
      <c r="AM47" s="177">
        <f>IF(OR(AM$15&lt;$G47,AM$15&gt;$G47+$F$5),0,IF(OR(AM$15=$G47,AM$15=$G47+$F$5),0.5,1)/$F$5)</f>
        <v/>
      </c>
      <c r="AN47" s="177">
        <f>IF(OR(AN$15&lt;$G47,AN$15&gt;$G47+$F$5),0,IF(OR(AN$15=$G47,AN$15=$G47+$F$5),0.5,1)/$F$5)</f>
        <v/>
      </c>
      <c r="AO47" s="177">
        <f>IF(OR(AO$15&lt;$G47,AO$15&gt;$G47+$F$5),0,IF(OR(AO$15=$G47,AO$15=$G47+$F$5),0.5,1)/$F$5)</f>
        <v/>
      </c>
      <c r="AP47" s="177">
        <f>IF(OR(AP$15&lt;$G47,AP$15&gt;$G47+$F$5),0,IF(OR(AP$15=$G47,AP$15=$G47+$F$5),0.5,1)/$F$5)</f>
        <v/>
      </c>
      <c r="AQ47" s="177">
        <f>IF(OR(AQ$15&lt;$G47,AQ$15&gt;$G47+$F$5),0,IF(OR(AQ$15=$G47,AQ$15=$G47+$F$5),0.5,1)/$F$5)</f>
        <v/>
      </c>
      <c r="AR47" s="177">
        <f>IF(OR(AR$15&lt;$G47,AR$15&gt;$G47+$F$5),0,IF(OR(AR$15=$G47,AR$15=$G47+$F$5),0.5,1)/$F$5)</f>
        <v/>
      </c>
      <c r="AS47" s="177">
        <f>IF(OR(AS$15&lt;$G47,AS$15&gt;$G47+$F$5),0,IF(OR(AS$15=$G47,AS$15=$G47+$F$5),0.5,1)/$F$5)</f>
        <v/>
      </c>
      <c r="AT47" s="177">
        <f>IF(OR(AT$15&lt;$G47,AT$15&gt;$G47+$F$5),0,IF(OR(AT$15=$G47,AT$15=$G47+$F$5),0.5,1)/$F$5)</f>
        <v/>
      </c>
      <c r="AU47" s="177">
        <f>IF(OR(AU$15&lt;$G47,AU$15&gt;$G47+$F$5),0,IF(OR(AU$15=$G47,AU$15=$G47+$F$5),0.5,1)/$F$5)</f>
        <v/>
      </c>
      <c r="AV47" s="177">
        <f>IF(OR(AV$15&lt;$G47,AV$15&gt;$G47+$F$5),0,IF(OR(AV$15=$G47,AV$15=$G47+$F$5),0.5,1)/$F$5)</f>
        <v/>
      </c>
      <c r="AW47" s="177">
        <f>IF(OR(AW$15&lt;$G47,AW$15&gt;$G47+$F$5),0,IF(OR(AW$15=$G47,AW$15=$G47+$F$5),0.5,1)/$F$5)</f>
        <v/>
      </c>
      <c r="AX47" s="177">
        <f>IF(OR(AX$15&lt;$G47,AX$15&gt;$G47+$F$5),0,IF(OR(AX$15=$G47,AX$15=$G47+$F$5),0.5,1)/$F$5)</f>
        <v/>
      </c>
      <c r="AY47" s="177">
        <f>IF(OR(AY$15&lt;$G47,AY$15&gt;$G47+$F$5),0,IF(OR(AY$15=$G47,AY$15=$G47+$F$5),0.5,1)/$F$5)</f>
        <v/>
      </c>
      <c r="AZ47" s="177">
        <f>IF(OR(AZ$15&lt;$G47,AZ$15&gt;$G47+$F$5),0,IF(OR(AZ$15=$G47,AZ$15=$G47+$F$5),0.5,1)/$F$5)</f>
        <v/>
      </c>
      <c r="BA47" s="177">
        <f>IF(OR(BA$15&lt;$G47,BA$15&gt;$G47+$F$5),0,IF(OR(BA$15=$G47,BA$15=$G47+$F$5),0.5,1)/$F$5)</f>
        <v/>
      </c>
      <c r="BB47" s="177">
        <f>IF(OR(BB$15&lt;$G47,BB$15&gt;$G47+$F$5),0,IF(OR(BB$15=$G47,BB$15=$G47+$F$5),0.5,1)/$F$5)</f>
        <v/>
      </c>
      <c r="BC47" s="177">
        <f>IF(OR(BC$15&lt;$G47,BC$15&gt;$G47+$F$5),0,IF(OR(BC$15=$G47,BC$15=$G47+$F$5),0.5,1)/$F$5)</f>
        <v/>
      </c>
      <c r="BD47" s="177">
        <f>IF(OR(BD$15&lt;$G47,BD$15&gt;$G47+$F$5),0,IF(OR(BD$15=$G47,BD$15=$G47+$F$5),0.5,1)/$F$5)</f>
        <v/>
      </c>
      <c r="BE47" s="177">
        <f>IF(OR(BE$15&lt;$G47,BE$15&gt;$G47+$F$5),0,IF(OR(BE$15=$G47,BE$15=$G47+$F$5),0.5,1)/$F$5)</f>
        <v/>
      </c>
      <c r="BF47" s="211">
        <f>IF(OR($G47&lt;V$15,$G47+$F$5&gt;BE$15),0,ABS(SUM(V47:BE47)-1))</f>
        <v/>
      </c>
    </row>
    <row r="48">
      <c r="A48" s="145" t="n">
        <v>32</v>
      </c>
      <c r="B48" s="204">
        <f>EDATE($B47,1)</f>
        <v/>
      </c>
      <c r="C48" s="205">
        <f>EOMONTH($B48,0)</f>
        <v/>
      </c>
      <c r="D48" s="201">
        <f>$C48-$B48+1</f>
        <v/>
      </c>
      <c r="E48" s="201">
        <f>MONTH($B48)</f>
        <v/>
      </c>
      <c r="F48" s="206">
        <f>($B48+$C48+1)/2</f>
        <v/>
      </c>
      <c r="G48" s="201">
        <f>YEAR($B48)*12+MONTH($B48)-1</f>
        <v/>
      </c>
      <c r="H48" s="207">
        <f>IF(OR(nr_SeasonOn="OFF",$F$6=0,$F$7=0),1,12*INDEX(se_block,$F$6,$E48)/$F$7)</f>
        <v/>
      </c>
      <c r="I48" s="208">
        <f>EXP(SUMPRODUCT((rl_eff&lt;$B48)*(rl_key=nr_SelKey)*rl_ln1p))</f>
        <v/>
      </c>
      <c r="J48" s="208">
        <f>EXP(SUMPRODUCT((rl_eff&lt;=$C48)*(rl_key=nr_SelKey)*rl_ln1p))</f>
        <v/>
      </c>
      <c r="K48" s="201">
        <f>COUNTIFS(rl_key,nr_SelKey,rl_eff,"&gt;="&amp;$B48,rl_eff,"&lt;="&amp;$C48)</f>
        <v/>
      </c>
      <c r="L48" s="201">
        <f>SUMIFS(rl_daysafter,rl_key,nr_SelKey,rl_effmonth,$B48,rl_first,1)</f>
        <v/>
      </c>
      <c r="M48" s="209">
        <f>IF($K48=0,0,MIN(1,$L48/$D48))</f>
        <v/>
      </c>
      <c r="N48" s="208">
        <f>IF($K48=0,$J48,(1-$M48)*$I48+$M48*$J48)</f>
        <v/>
      </c>
      <c r="O48" s="210">
        <f>'Mod Engine'!$E48</f>
        <v/>
      </c>
      <c r="P48" s="208">
        <f>MIN(1,MAX(0,(nr_MEndPm1-$G48+0.5)/$F$5))-MIN(1,MAX(0,(nr_MStartPm1-1-$G48+0.5)/$F$5))</f>
        <v/>
      </c>
      <c r="Q48" s="208">
        <f>MIN(1,MAX(0,(nr_MEndP-$G48+0.5)/$F$5))-MIN(1,MAX(0,(nr_MStartP-1-$G48+0.5)/$F$5))</f>
        <v/>
      </c>
      <c r="R48" s="208">
        <f>MIN(1,MAX(0,(nr_MEndP1-$G48+0.5)/$F$5))-MIN(1,MAX(0,(nr_MStartP1-1-$G48+0.5)/$F$5))</f>
        <v/>
      </c>
      <c r="S48" s="208">
        <f>IF(nr_NetMode,$N48*IF(nr_ModAdjEff="ON",$O48/nr_MInd,1),"")</f>
        <v/>
      </c>
      <c r="T48" s="208">
        <f>IF(NOT(nr_NetMode),"",IF($G48&lt;nr_MStartP,$S48,$T36*(1+IF($G48&lt;nr_MStartP1,nr_NetSelP,nr_NetSelP1))))</f>
        <v/>
      </c>
      <c r="U48" s="208">
        <f>IF(nr_NetMode,$T48,$N48)</f>
        <v/>
      </c>
      <c r="V48" s="177">
        <f>IF(OR(V$15&lt;$G48,V$15&gt;$G48+$F$5),0,IF(OR(V$15=$G48,V$15=$G48+$F$5),0.5,1)/$F$5)</f>
        <v/>
      </c>
      <c r="W48" s="177">
        <f>IF(OR(W$15&lt;$G48,W$15&gt;$G48+$F$5),0,IF(OR(W$15=$G48,W$15=$G48+$F$5),0.5,1)/$F$5)</f>
        <v/>
      </c>
      <c r="X48" s="177">
        <f>IF(OR(X$15&lt;$G48,X$15&gt;$G48+$F$5),0,IF(OR(X$15=$G48,X$15=$G48+$F$5),0.5,1)/$F$5)</f>
        <v/>
      </c>
      <c r="Y48" s="177">
        <f>IF(OR(Y$15&lt;$G48,Y$15&gt;$G48+$F$5),0,IF(OR(Y$15=$G48,Y$15=$G48+$F$5),0.5,1)/$F$5)</f>
        <v/>
      </c>
      <c r="Z48" s="177">
        <f>IF(OR(Z$15&lt;$G48,Z$15&gt;$G48+$F$5),0,IF(OR(Z$15=$G48,Z$15=$G48+$F$5),0.5,1)/$F$5)</f>
        <v/>
      </c>
      <c r="AA48" s="177">
        <f>IF(OR(AA$15&lt;$G48,AA$15&gt;$G48+$F$5),0,IF(OR(AA$15=$G48,AA$15=$G48+$F$5),0.5,1)/$F$5)</f>
        <v/>
      </c>
      <c r="AB48" s="177">
        <f>IF(OR(AB$15&lt;$G48,AB$15&gt;$G48+$F$5),0,IF(OR(AB$15=$G48,AB$15=$G48+$F$5),0.5,1)/$F$5)</f>
        <v/>
      </c>
      <c r="AC48" s="177">
        <f>IF(OR(AC$15&lt;$G48,AC$15&gt;$G48+$F$5),0,IF(OR(AC$15=$G48,AC$15=$G48+$F$5),0.5,1)/$F$5)</f>
        <v/>
      </c>
      <c r="AD48" s="177">
        <f>IF(OR(AD$15&lt;$G48,AD$15&gt;$G48+$F$5),0,IF(OR(AD$15=$G48,AD$15=$G48+$F$5),0.5,1)/$F$5)</f>
        <v/>
      </c>
      <c r="AE48" s="177">
        <f>IF(OR(AE$15&lt;$G48,AE$15&gt;$G48+$F$5),0,IF(OR(AE$15=$G48,AE$15=$G48+$F$5),0.5,1)/$F$5)</f>
        <v/>
      </c>
      <c r="AF48" s="177">
        <f>IF(OR(AF$15&lt;$G48,AF$15&gt;$G48+$F$5),0,IF(OR(AF$15=$G48,AF$15=$G48+$F$5),0.5,1)/$F$5)</f>
        <v/>
      </c>
      <c r="AG48" s="177">
        <f>IF(OR(AG$15&lt;$G48,AG$15&gt;$G48+$F$5),0,IF(OR(AG$15=$G48,AG$15=$G48+$F$5),0.5,1)/$F$5)</f>
        <v/>
      </c>
      <c r="AH48" s="177">
        <f>IF(OR(AH$15&lt;$G48,AH$15&gt;$G48+$F$5),0,IF(OR(AH$15=$G48,AH$15=$G48+$F$5),0.5,1)/$F$5)</f>
        <v/>
      </c>
      <c r="AI48" s="177">
        <f>IF(OR(AI$15&lt;$G48,AI$15&gt;$G48+$F$5),0,IF(OR(AI$15=$G48,AI$15=$G48+$F$5),0.5,1)/$F$5)</f>
        <v/>
      </c>
      <c r="AJ48" s="177">
        <f>IF(OR(AJ$15&lt;$G48,AJ$15&gt;$G48+$F$5),0,IF(OR(AJ$15=$G48,AJ$15=$G48+$F$5),0.5,1)/$F$5)</f>
        <v/>
      </c>
      <c r="AK48" s="177">
        <f>IF(OR(AK$15&lt;$G48,AK$15&gt;$G48+$F$5),0,IF(OR(AK$15=$G48,AK$15=$G48+$F$5),0.5,1)/$F$5)</f>
        <v/>
      </c>
      <c r="AL48" s="177">
        <f>IF(OR(AL$15&lt;$G48,AL$15&gt;$G48+$F$5),0,IF(OR(AL$15=$G48,AL$15=$G48+$F$5),0.5,1)/$F$5)</f>
        <v/>
      </c>
      <c r="AM48" s="177">
        <f>IF(OR(AM$15&lt;$G48,AM$15&gt;$G48+$F$5),0,IF(OR(AM$15=$G48,AM$15=$G48+$F$5),0.5,1)/$F$5)</f>
        <v/>
      </c>
      <c r="AN48" s="177">
        <f>IF(OR(AN$15&lt;$G48,AN$15&gt;$G48+$F$5),0,IF(OR(AN$15=$G48,AN$15=$G48+$F$5),0.5,1)/$F$5)</f>
        <v/>
      </c>
      <c r="AO48" s="177">
        <f>IF(OR(AO$15&lt;$G48,AO$15&gt;$G48+$F$5),0,IF(OR(AO$15=$G48,AO$15=$G48+$F$5),0.5,1)/$F$5)</f>
        <v/>
      </c>
      <c r="AP48" s="177">
        <f>IF(OR(AP$15&lt;$G48,AP$15&gt;$G48+$F$5),0,IF(OR(AP$15=$G48,AP$15=$G48+$F$5),0.5,1)/$F$5)</f>
        <v/>
      </c>
      <c r="AQ48" s="177">
        <f>IF(OR(AQ$15&lt;$G48,AQ$15&gt;$G48+$F$5),0,IF(OR(AQ$15=$G48,AQ$15=$G48+$F$5),0.5,1)/$F$5)</f>
        <v/>
      </c>
      <c r="AR48" s="177">
        <f>IF(OR(AR$15&lt;$G48,AR$15&gt;$G48+$F$5),0,IF(OR(AR$15=$G48,AR$15=$G48+$F$5),0.5,1)/$F$5)</f>
        <v/>
      </c>
      <c r="AS48" s="177">
        <f>IF(OR(AS$15&lt;$G48,AS$15&gt;$G48+$F$5),0,IF(OR(AS$15=$G48,AS$15=$G48+$F$5),0.5,1)/$F$5)</f>
        <v/>
      </c>
      <c r="AT48" s="177">
        <f>IF(OR(AT$15&lt;$G48,AT$15&gt;$G48+$F$5),0,IF(OR(AT$15=$G48,AT$15=$G48+$F$5),0.5,1)/$F$5)</f>
        <v/>
      </c>
      <c r="AU48" s="177">
        <f>IF(OR(AU$15&lt;$G48,AU$15&gt;$G48+$F$5),0,IF(OR(AU$15=$G48,AU$15=$G48+$F$5),0.5,1)/$F$5)</f>
        <v/>
      </c>
      <c r="AV48" s="177">
        <f>IF(OR(AV$15&lt;$G48,AV$15&gt;$G48+$F$5),0,IF(OR(AV$15=$G48,AV$15=$G48+$F$5),0.5,1)/$F$5)</f>
        <v/>
      </c>
      <c r="AW48" s="177">
        <f>IF(OR(AW$15&lt;$G48,AW$15&gt;$G48+$F$5),0,IF(OR(AW$15=$G48,AW$15=$G48+$F$5),0.5,1)/$F$5)</f>
        <v/>
      </c>
      <c r="AX48" s="177">
        <f>IF(OR(AX$15&lt;$G48,AX$15&gt;$G48+$F$5),0,IF(OR(AX$15=$G48,AX$15=$G48+$F$5),0.5,1)/$F$5)</f>
        <v/>
      </c>
      <c r="AY48" s="177">
        <f>IF(OR(AY$15&lt;$G48,AY$15&gt;$G48+$F$5),0,IF(OR(AY$15=$G48,AY$15=$G48+$F$5),0.5,1)/$F$5)</f>
        <v/>
      </c>
      <c r="AZ48" s="177">
        <f>IF(OR(AZ$15&lt;$G48,AZ$15&gt;$G48+$F$5),0,IF(OR(AZ$15=$G48,AZ$15=$G48+$F$5),0.5,1)/$F$5)</f>
        <v/>
      </c>
      <c r="BA48" s="177">
        <f>IF(OR(BA$15&lt;$G48,BA$15&gt;$G48+$F$5),0,IF(OR(BA$15=$G48,BA$15=$G48+$F$5),0.5,1)/$F$5)</f>
        <v/>
      </c>
      <c r="BB48" s="177">
        <f>IF(OR(BB$15&lt;$G48,BB$15&gt;$G48+$F$5),0,IF(OR(BB$15=$G48,BB$15=$G48+$F$5),0.5,1)/$F$5)</f>
        <v/>
      </c>
      <c r="BC48" s="177">
        <f>IF(OR(BC$15&lt;$G48,BC$15&gt;$G48+$F$5),0,IF(OR(BC$15=$G48,BC$15=$G48+$F$5),0.5,1)/$F$5)</f>
        <v/>
      </c>
      <c r="BD48" s="177">
        <f>IF(OR(BD$15&lt;$G48,BD$15&gt;$G48+$F$5),0,IF(OR(BD$15=$G48,BD$15=$G48+$F$5),0.5,1)/$F$5)</f>
        <v/>
      </c>
      <c r="BE48" s="177">
        <f>IF(OR(BE$15&lt;$G48,BE$15&gt;$G48+$F$5),0,IF(OR(BE$15=$G48,BE$15=$G48+$F$5),0.5,1)/$F$5)</f>
        <v/>
      </c>
      <c r="BF48" s="211">
        <f>IF(OR($G48&lt;V$15,$G48+$F$5&gt;BE$15),0,ABS(SUM(V48:BE48)-1))</f>
        <v/>
      </c>
    </row>
    <row r="49">
      <c r="A49" s="145" t="n">
        <v>33</v>
      </c>
      <c r="B49" s="204">
        <f>EDATE($B48,1)</f>
        <v/>
      </c>
      <c r="C49" s="205">
        <f>EOMONTH($B49,0)</f>
        <v/>
      </c>
      <c r="D49" s="201">
        <f>$C49-$B49+1</f>
        <v/>
      </c>
      <c r="E49" s="201">
        <f>MONTH($B49)</f>
        <v/>
      </c>
      <c r="F49" s="206">
        <f>($B49+$C49+1)/2</f>
        <v/>
      </c>
      <c r="G49" s="201">
        <f>YEAR($B49)*12+MONTH($B49)-1</f>
        <v/>
      </c>
      <c r="H49" s="207">
        <f>IF(OR(nr_SeasonOn="OFF",$F$6=0,$F$7=0),1,12*INDEX(se_block,$F$6,$E49)/$F$7)</f>
        <v/>
      </c>
      <c r="I49" s="208">
        <f>EXP(SUMPRODUCT((rl_eff&lt;$B49)*(rl_key=nr_SelKey)*rl_ln1p))</f>
        <v/>
      </c>
      <c r="J49" s="208">
        <f>EXP(SUMPRODUCT((rl_eff&lt;=$C49)*(rl_key=nr_SelKey)*rl_ln1p))</f>
        <v/>
      </c>
      <c r="K49" s="201">
        <f>COUNTIFS(rl_key,nr_SelKey,rl_eff,"&gt;="&amp;$B49,rl_eff,"&lt;="&amp;$C49)</f>
        <v/>
      </c>
      <c r="L49" s="201">
        <f>SUMIFS(rl_daysafter,rl_key,nr_SelKey,rl_effmonth,$B49,rl_first,1)</f>
        <v/>
      </c>
      <c r="M49" s="209">
        <f>IF($K49=0,0,MIN(1,$L49/$D49))</f>
        <v/>
      </c>
      <c r="N49" s="208">
        <f>IF($K49=0,$J49,(1-$M49)*$I49+$M49*$J49)</f>
        <v/>
      </c>
      <c r="O49" s="210">
        <f>'Mod Engine'!$E49</f>
        <v/>
      </c>
      <c r="P49" s="208">
        <f>MIN(1,MAX(0,(nr_MEndPm1-$G49+0.5)/$F$5))-MIN(1,MAX(0,(nr_MStartPm1-1-$G49+0.5)/$F$5))</f>
        <v/>
      </c>
      <c r="Q49" s="208">
        <f>MIN(1,MAX(0,(nr_MEndP-$G49+0.5)/$F$5))-MIN(1,MAX(0,(nr_MStartP-1-$G49+0.5)/$F$5))</f>
        <v/>
      </c>
      <c r="R49" s="208">
        <f>MIN(1,MAX(0,(nr_MEndP1-$G49+0.5)/$F$5))-MIN(1,MAX(0,(nr_MStartP1-1-$G49+0.5)/$F$5))</f>
        <v/>
      </c>
      <c r="S49" s="208">
        <f>IF(nr_NetMode,$N49*IF(nr_ModAdjEff="ON",$O49/nr_MInd,1),"")</f>
        <v/>
      </c>
      <c r="T49" s="208">
        <f>IF(NOT(nr_NetMode),"",IF($G49&lt;nr_MStartP,$S49,$T37*(1+IF($G49&lt;nr_MStartP1,nr_NetSelP,nr_NetSelP1))))</f>
        <v/>
      </c>
      <c r="U49" s="208">
        <f>IF(nr_NetMode,$T49,$N49)</f>
        <v/>
      </c>
      <c r="V49" s="177">
        <f>IF(OR(V$15&lt;$G49,V$15&gt;$G49+$F$5),0,IF(OR(V$15=$G49,V$15=$G49+$F$5),0.5,1)/$F$5)</f>
        <v/>
      </c>
      <c r="W49" s="177">
        <f>IF(OR(W$15&lt;$G49,W$15&gt;$G49+$F$5),0,IF(OR(W$15=$G49,W$15=$G49+$F$5),0.5,1)/$F$5)</f>
        <v/>
      </c>
      <c r="X49" s="177">
        <f>IF(OR(X$15&lt;$G49,X$15&gt;$G49+$F$5),0,IF(OR(X$15=$G49,X$15=$G49+$F$5),0.5,1)/$F$5)</f>
        <v/>
      </c>
      <c r="Y49" s="177">
        <f>IF(OR(Y$15&lt;$G49,Y$15&gt;$G49+$F$5),0,IF(OR(Y$15=$G49,Y$15=$G49+$F$5),0.5,1)/$F$5)</f>
        <v/>
      </c>
      <c r="Z49" s="177">
        <f>IF(OR(Z$15&lt;$G49,Z$15&gt;$G49+$F$5),0,IF(OR(Z$15=$G49,Z$15=$G49+$F$5),0.5,1)/$F$5)</f>
        <v/>
      </c>
      <c r="AA49" s="177">
        <f>IF(OR(AA$15&lt;$G49,AA$15&gt;$G49+$F$5),0,IF(OR(AA$15=$G49,AA$15=$G49+$F$5),0.5,1)/$F$5)</f>
        <v/>
      </c>
      <c r="AB49" s="177">
        <f>IF(OR(AB$15&lt;$G49,AB$15&gt;$G49+$F$5),0,IF(OR(AB$15=$G49,AB$15=$G49+$F$5),0.5,1)/$F$5)</f>
        <v/>
      </c>
      <c r="AC49" s="177">
        <f>IF(OR(AC$15&lt;$G49,AC$15&gt;$G49+$F$5),0,IF(OR(AC$15=$G49,AC$15=$G49+$F$5),0.5,1)/$F$5)</f>
        <v/>
      </c>
      <c r="AD49" s="177">
        <f>IF(OR(AD$15&lt;$G49,AD$15&gt;$G49+$F$5),0,IF(OR(AD$15=$G49,AD$15=$G49+$F$5),0.5,1)/$F$5)</f>
        <v/>
      </c>
      <c r="AE49" s="177">
        <f>IF(OR(AE$15&lt;$G49,AE$15&gt;$G49+$F$5),0,IF(OR(AE$15=$G49,AE$15=$G49+$F$5),0.5,1)/$F$5)</f>
        <v/>
      </c>
      <c r="AF49" s="177">
        <f>IF(OR(AF$15&lt;$G49,AF$15&gt;$G49+$F$5),0,IF(OR(AF$15=$G49,AF$15=$G49+$F$5),0.5,1)/$F$5)</f>
        <v/>
      </c>
      <c r="AG49" s="177">
        <f>IF(OR(AG$15&lt;$G49,AG$15&gt;$G49+$F$5),0,IF(OR(AG$15=$G49,AG$15=$G49+$F$5),0.5,1)/$F$5)</f>
        <v/>
      </c>
      <c r="AH49" s="177">
        <f>IF(OR(AH$15&lt;$G49,AH$15&gt;$G49+$F$5),0,IF(OR(AH$15=$G49,AH$15=$G49+$F$5),0.5,1)/$F$5)</f>
        <v/>
      </c>
      <c r="AI49" s="177">
        <f>IF(OR(AI$15&lt;$G49,AI$15&gt;$G49+$F$5),0,IF(OR(AI$15=$G49,AI$15=$G49+$F$5),0.5,1)/$F$5)</f>
        <v/>
      </c>
      <c r="AJ49" s="177">
        <f>IF(OR(AJ$15&lt;$G49,AJ$15&gt;$G49+$F$5),0,IF(OR(AJ$15=$G49,AJ$15=$G49+$F$5),0.5,1)/$F$5)</f>
        <v/>
      </c>
      <c r="AK49" s="177">
        <f>IF(OR(AK$15&lt;$G49,AK$15&gt;$G49+$F$5),0,IF(OR(AK$15=$G49,AK$15=$G49+$F$5),0.5,1)/$F$5)</f>
        <v/>
      </c>
      <c r="AL49" s="177">
        <f>IF(OR(AL$15&lt;$G49,AL$15&gt;$G49+$F$5),0,IF(OR(AL$15=$G49,AL$15=$G49+$F$5),0.5,1)/$F$5)</f>
        <v/>
      </c>
      <c r="AM49" s="177">
        <f>IF(OR(AM$15&lt;$G49,AM$15&gt;$G49+$F$5),0,IF(OR(AM$15=$G49,AM$15=$G49+$F$5),0.5,1)/$F$5)</f>
        <v/>
      </c>
      <c r="AN49" s="177">
        <f>IF(OR(AN$15&lt;$G49,AN$15&gt;$G49+$F$5),0,IF(OR(AN$15=$G49,AN$15=$G49+$F$5),0.5,1)/$F$5)</f>
        <v/>
      </c>
      <c r="AO49" s="177">
        <f>IF(OR(AO$15&lt;$G49,AO$15&gt;$G49+$F$5),0,IF(OR(AO$15=$G49,AO$15=$G49+$F$5),0.5,1)/$F$5)</f>
        <v/>
      </c>
      <c r="AP49" s="177">
        <f>IF(OR(AP$15&lt;$G49,AP$15&gt;$G49+$F$5),0,IF(OR(AP$15=$G49,AP$15=$G49+$F$5),0.5,1)/$F$5)</f>
        <v/>
      </c>
      <c r="AQ49" s="177">
        <f>IF(OR(AQ$15&lt;$G49,AQ$15&gt;$G49+$F$5),0,IF(OR(AQ$15=$G49,AQ$15=$G49+$F$5),0.5,1)/$F$5)</f>
        <v/>
      </c>
      <c r="AR49" s="177">
        <f>IF(OR(AR$15&lt;$G49,AR$15&gt;$G49+$F$5),0,IF(OR(AR$15=$G49,AR$15=$G49+$F$5),0.5,1)/$F$5)</f>
        <v/>
      </c>
      <c r="AS49" s="177">
        <f>IF(OR(AS$15&lt;$G49,AS$15&gt;$G49+$F$5),0,IF(OR(AS$15=$G49,AS$15=$G49+$F$5),0.5,1)/$F$5)</f>
        <v/>
      </c>
      <c r="AT49" s="177">
        <f>IF(OR(AT$15&lt;$G49,AT$15&gt;$G49+$F$5),0,IF(OR(AT$15=$G49,AT$15=$G49+$F$5),0.5,1)/$F$5)</f>
        <v/>
      </c>
      <c r="AU49" s="177">
        <f>IF(OR(AU$15&lt;$G49,AU$15&gt;$G49+$F$5),0,IF(OR(AU$15=$G49,AU$15=$G49+$F$5),0.5,1)/$F$5)</f>
        <v/>
      </c>
      <c r="AV49" s="177">
        <f>IF(OR(AV$15&lt;$G49,AV$15&gt;$G49+$F$5),0,IF(OR(AV$15=$G49,AV$15=$G49+$F$5),0.5,1)/$F$5)</f>
        <v/>
      </c>
      <c r="AW49" s="177">
        <f>IF(OR(AW$15&lt;$G49,AW$15&gt;$G49+$F$5),0,IF(OR(AW$15=$G49,AW$15=$G49+$F$5),0.5,1)/$F$5)</f>
        <v/>
      </c>
      <c r="AX49" s="177">
        <f>IF(OR(AX$15&lt;$G49,AX$15&gt;$G49+$F$5),0,IF(OR(AX$15=$G49,AX$15=$G49+$F$5),0.5,1)/$F$5)</f>
        <v/>
      </c>
      <c r="AY49" s="177">
        <f>IF(OR(AY$15&lt;$G49,AY$15&gt;$G49+$F$5),0,IF(OR(AY$15=$G49,AY$15=$G49+$F$5),0.5,1)/$F$5)</f>
        <v/>
      </c>
      <c r="AZ49" s="177">
        <f>IF(OR(AZ$15&lt;$G49,AZ$15&gt;$G49+$F$5),0,IF(OR(AZ$15=$G49,AZ$15=$G49+$F$5),0.5,1)/$F$5)</f>
        <v/>
      </c>
      <c r="BA49" s="177">
        <f>IF(OR(BA$15&lt;$G49,BA$15&gt;$G49+$F$5),0,IF(OR(BA$15=$G49,BA$15=$G49+$F$5),0.5,1)/$F$5)</f>
        <v/>
      </c>
      <c r="BB49" s="177">
        <f>IF(OR(BB$15&lt;$G49,BB$15&gt;$G49+$F$5),0,IF(OR(BB$15=$G49,BB$15=$G49+$F$5),0.5,1)/$F$5)</f>
        <v/>
      </c>
      <c r="BC49" s="177">
        <f>IF(OR(BC$15&lt;$G49,BC$15&gt;$G49+$F$5),0,IF(OR(BC$15=$G49,BC$15=$G49+$F$5),0.5,1)/$F$5)</f>
        <v/>
      </c>
      <c r="BD49" s="177">
        <f>IF(OR(BD$15&lt;$G49,BD$15&gt;$G49+$F$5),0,IF(OR(BD$15=$G49,BD$15=$G49+$F$5),0.5,1)/$F$5)</f>
        <v/>
      </c>
      <c r="BE49" s="177">
        <f>IF(OR(BE$15&lt;$G49,BE$15&gt;$G49+$F$5),0,IF(OR(BE$15=$G49,BE$15=$G49+$F$5),0.5,1)/$F$5)</f>
        <v/>
      </c>
      <c r="BF49" s="211">
        <f>IF(OR($G49&lt;V$15,$G49+$F$5&gt;BE$15),0,ABS(SUM(V49:BE49)-1))</f>
        <v/>
      </c>
    </row>
    <row r="50">
      <c r="A50" s="145" t="n">
        <v>34</v>
      </c>
      <c r="B50" s="204">
        <f>EDATE($B49,1)</f>
        <v/>
      </c>
      <c r="C50" s="205">
        <f>EOMONTH($B50,0)</f>
        <v/>
      </c>
      <c r="D50" s="201">
        <f>$C50-$B50+1</f>
        <v/>
      </c>
      <c r="E50" s="201">
        <f>MONTH($B50)</f>
        <v/>
      </c>
      <c r="F50" s="206">
        <f>($B50+$C50+1)/2</f>
        <v/>
      </c>
      <c r="G50" s="201">
        <f>YEAR($B50)*12+MONTH($B50)-1</f>
        <v/>
      </c>
      <c r="H50" s="207">
        <f>IF(OR(nr_SeasonOn="OFF",$F$6=0,$F$7=0),1,12*INDEX(se_block,$F$6,$E50)/$F$7)</f>
        <v/>
      </c>
      <c r="I50" s="208">
        <f>EXP(SUMPRODUCT((rl_eff&lt;$B50)*(rl_key=nr_SelKey)*rl_ln1p))</f>
        <v/>
      </c>
      <c r="J50" s="208">
        <f>EXP(SUMPRODUCT((rl_eff&lt;=$C50)*(rl_key=nr_SelKey)*rl_ln1p))</f>
        <v/>
      </c>
      <c r="K50" s="201">
        <f>COUNTIFS(rl_key,nr_SelKey,rl_eff,"&gt;="&amp;$B50,rl_eff,"&lt;="&amp;$C50)</f>
        <v/>
      </c>
      <c r="L50" s="201">
        <f>SUMIFS(rl_daysafter,rl_key,nr_SelKey,rl_effmonth,$B50,rl_first,1)</f>
        <v/>
      </c>
      <c r="M50" s="209">
        <f>IF($K50=0,0,MIN(1,$L50/$D50))</f>
        <v/>
      </c>
      <c r="N50" s="208">
        <f>IF($K50=0,$J50,(1-$M50)*$I50+$M50*$J50)</f>
        <v/>
      </c>
      <c r="O50" s="210">
        <f>'Mod Engine'!$E50</f>
        <v/>
      </c>
      <c r="P50" s="208">
        <f>MIN(1,MAX(0,(nr_MEndPm1-$G50+0.5)/$F$5))-MIN(1,MAX(0,(nr_MStartPm1-1-$G50+0.5)/$F$5))</f>
        <v/>
      </c>
      <c r="Q50" s="208">
        <f>MIN(1,MAX(0,(nr_MEndP-$G50+0.5)/$F$5))-MIN(1,MAX(0,(nr_MStartP-1-$G50+0.5)/$F$5))</f>
        <v/>
      </c>
      <c r="R50" s="208">
        <f>MIN(1,MAX(0,(nr_MEndP1-$G50+0.5)/$F$5))-MIN(1,MAX(0,(nr_MStartP1-1-$G50+0.5)/$F$5))</f>
        <v/>
      </c>
      <c r="S50" s="208">
        <f>IF(nr_NetMode,$N50*IF(nr_ModAdjEff="ON",$O50/nr_MInd,1),"")</f>
        <v/>
      </c>
      <c r="T50" s="208">
        <f>IF(NOT(nr_NetMode),"",IF($G50&lt;nr_MStartP,$S50,$T38*(1+IF($G50&lt;nr_MStartP1,nr_NetSelP,nr_NetSelP1))))</f>
        <v/>
      </c>
      <c r="U50" s="208">
        <f>IF(nr_NetMode,$T50,$N50)</f>
        <v/>
      </c>
      <c r="V50" s="177">
        <f>IF(OR(V$15&lt;$G50,V$15&gt;$G50+$F$5),0,IF(OR(V$15=$G50,V$15=$G50+$F$5),0.5,1)/$F$5)</f>
        <v/>
      </c>
      <c r="W50" s="177">
        <f>IF(OR(W$15&lt;$G50,W$15&gt;$G50+$F$5),0,IF(OR(W$15=$G50,W$15=$G50+$F$5),0.5,1)/$F$5)</f>
        <v/>
      </c>
      <c r="X50" s="177">
        <f>IF(OR(X$15&lt;$G50,X$15&gt;$G50+$F$5),0,IF(OR(X$15=$G50,X$15=$G50+$F$5),0.5,1)/$F$5)</f>
        <v/>
      </c>
      <c r="Y50" s="177">
        <f>IF(OR(Y$15&lt;$G50,Y$15&gt;$G50+$F$5),0,IF(OR(Y$15=$G50,Y$15=$G50+$F$5),0.5,1)/$F$5)</f>
        <v/>
      </c>
      <c r="Z50" s="177">
        <f>IF(OR(Z$15&lt;$G50,Z$15&gt;$G50+$F$5),0,IF(OR(Z$15=$G50,Z$15=$G50+$F$5),0.5,1)/$F$5)</f>
        <v/>
      </c>
      <c r="AA50" s="177">
        <f>IF(OR(AA$15&lt;$G50,AA$15&gt;$G50+$F$5),0,IF(OR(AA$15=$G50,AA$15=$G50+$F$5),0.5,1)/$F$5)</f>
        <v/>
      </c>
      <c r="AB50" s="177">
        <f>IF(OR(AB$15&lt;$G50,AB$15&gt;$G50+$F$5),0,IF(OR(AB$15=$G50,AB$15=$G50+$F$5),0.5,1)/$F$5)</f>
        <v/>
      </c>
      <c r="AC50" s="177">
        <f>IF(OR(AC$15&lt;$G50,AC$15&gt;$G50+$F$5),0,IF(OR(AC$15=$G50,AC$15=$G50+$F$5),0.5,1)/$F$5)</f>
        <v/>
      </c>
      <c r="AD50" s="177">
        <f>IF(OR(AD$15&lt;$G50,AD$15&gt;$G50+$F$5),0,IF(OR(AD$15=$G50,AD$15=$G50+$F$5),0.5,1)/$F$5)</f>
        <v/>
      </c>
      <c r="AE50" s="177">
        <f>IF(OR(AE$15&lt;$G50,AE$15&gt;$G50+$F$5),0,IF(OR(AE$15=$G50,AE$15=$G50+$F$5),0.5,1)/$F$5)</f>
        <v/>
      </c>
      <c r="AF50" s="177">
        <f>IF(OR(AF$15&lt;$G50,AF$15&gt;$G50+$F$5),0,IF(OR(AF$15=$G50,AF$15=$G50+$F$5),0.5,1)/$F$5)</f>
        <v/>
      </c>
      <c r="AG50" s="177">
        <f>IF(OR(AG$15&lt;$G50,AG$15&gt;$G50+$F$5),0,IF(OR(AG$15=$G50,AG$15=$G50+$F$5),0.5,1)/$F$5)</f>
        <v/>
      </c>
      <c r="AH50" s="177">
        <f>IF(OR(AH$15&lt;$G50,AH$15&gt;$G50+$F$5),0,IF(OR(AH$15=$G50,AH$15=$G50+$F$5),0.5,1)/$F$5)</f>
        <v/>
      </c>
      <c r="AI50" s="177">
        <f>IF(OR(AI$15&lt;$G50,AI$15&gt;$G50+$F$5),0,IF(OR(AI$15=$G50,AI$15=$G50+$F$5),0.5,1)/$F$5)</f>
        <v/>
      </c>
      <c r="AJ50" s="177">
        <f>IF(OR(AJ$15&lt;$G50,AJ$15&gt;$G50+$F$5),0,IF(OR(AJ$15=$G50,AJ$15=$G50+$F$5),0.5,1)/$F$5)</f>
        <v/>
      </c>
      <c r="AK50" s="177">
        <f>IF(OR(AK$15&lt;$G50,AK$15&gt;$G50+$F$5),0,IF(OR(AK$15=$G50,AK$15=$G50+$F$5),0.5,1)/$F$5)</f>
        <v/>
      </c>
      <c r="AL50" s="177">
        <f>IF(OR(AL$15&lt;$G50,AL$15&gt;$G50+$F$5),0,IF(OR(AL$15=$G50,AL$15=$G50+$F$5),0.5,1)/$F$5)</f>
        <v/>
      </c>
      <c r="AM50" s="177">
        <f>IF(OR(AM$15&lt;$G50,AM$15&gt;$G50+$F$5),0,IF(OR(AM$15=$G50,AM$15=$G50+$F$5),0.5,1)/$F$5)</f>
        <v/>
      </c>
      <c r="AN50" s="177">
        <f>IF(OR(AN$15&lt;$G50,AN$15&gt;$G50+$F$5),0,IF(OR(AN$15=$G50,AN$15=$G50+$F$5),0.5,1)/$F$5)</f>
        <v/>
      </c>
      <c r="AO50" s="177">
        <f>IF(OR(AO$15&lt;$G50,AO$15&gt;$G50+$F$5),0,IF(OR(AO$15=$G50,AO$15=$G50+$F$5),0.5,1)/$F$5)</f>
        <v/>
      </c>
      <c r="AP50" s="177">
        <f>IF(OR(AP$15&lt;$G50,AP$15&gt;$G50+$F$5),0,IF(OR(AP$15=$G50,AP$15=$G50+$F$5),0.5,1)/$F$5)</f>
        <v/>
      </c>
      <c r="AQ50" s="177">
        <f>IF(OR(AQ$15&lt;$G50,AQ$15&gt;$G50+$F$5),0,IF(OR(AQ$15=$G50,AQ$15=$G50+$F$5),0.5,1)/$F$5)</f>
        <v/>
      </c>
      <c r="AR50" s="177">
        <f>IF(OR(AR$15&lt;$G50,AR$15&gt;$G50+$F$5),0,IF(OR(AR$15=$G50,AR$15=$G50+$F$5),0.5,1)/$F$5)</f>
        <v/>
      </c>
      <c r="AS50" s="177">
        <f>IF(OR(AS$15&lt;$G50,AS$15&gt;$G50+$F$5),0,IF(OR(AS$15=$G50,AS$15=$G50+$F$5),0.5,1)/$F$5)</f>
        <v/>
      </c>
      <c r="AT50" s="177">
        <f>IF(OR(AT$15&lt;$G50,AT$15&gt;$G50+$F$5),0,IF(OR(AT$15=$G50,AT$15=$G50+$F$5),0.5,1)/$F$5)</f>
        <v/>
      </c>
      <c r="AU50" s="177">
        <f>IF(OR(AU$15&lt;$G50,AU$15&gt;$G50+$F$5),0,IF(OR(AU$15=$G50,AU$15=$G50+$F$5),0.5,1)/$F$5)</f>
        <v/>
      </c>
      <c r="AV50" s="177">
        <f>IF(OR(AV$15&lt;$G50,AV$15&gt;$G50+$F$5),0,IF(OR(AV$15=$G50,AV$15=$G50+$F$5),0.5,1)/$F$5)</f>
        <v/>
      </c>
      <c r="AW50" s="177">
        <f>IF(OR(AW$15&lt;$G50,AW$15&gt;$G50+$F$5),0,IF(OR(AW$15=$G50,AW$15=$G50+$F$5),0.5,1)/$F$5)</f>
        <v/>
      </c>
      <c r="AX50" s="177">
        <f>IF(OR(AX$15&lt;$G50,AX$15&gt;$G50+$F$5),0,IF(OR(AX$15=$G50,AX$15=$G50+$F$5),0.5,1)/$F$5)</f>
        <v/>
      </c>
      <c r="AY50" s="177">
        <f>IF(OR(AY$15&lt;$G50,AY$15&gt;$G50+$F$5),0,IF(OR(AY$15=$G50,AY$15=$G50+$F$5),0.5,1)/$F$5)</f>
        <v/>
      </c>
      <c r="AZ50" s="177">
        <f>IF(OR(AZ$15&lt;$G50,AZ$15&gt;$G50+$F$5),0,IF(OR(AZ$15=$G50,AZ$15=$G50+$F$5),0.5,1)/$F$5)</f>
        <v/>
      </c>
      <c r="BA50" s="177">
        <f>IF(OR(BA$15&lt;$G50,BA$15&gt;$G50+$F$5),0,IF(OR(BA$15=$G50,BA$15=$G50+$F$5),0.5,1)/$F$5)</f>
        <v/>
      </c>
      <c r="BB50" s="177">
        <f>IF(OR(BB$15&lt;$G50,BB$15&gt;$G50+$F$5),0,IF(OR(BB$15=$G50,BB$15=$G50+$F$5),0.5,1)/$F$5)</f>
        <v/>
      </c>
      <c r="BC50" s="177">
        <f>IF(OR(BC$15&lt;$G50,BC$15&gt;$G50+$F$5),0,IF(OR(BC$15=$G50,BC$15=$G50+$F$5),0.5,1)/$F$5)</f>
        <v/>
      </c>
      <c r="BD50" s="177">
        <f>IF(OR(BD$15&lt;$G50,BD$15&gt;$G50+$F$5),0,IF(OR(BD$15=$G50,BD$15=$G50+$F$5),0.5,1)/$F$5)</f>
        <v/>
      </c>
      <c r="BE50" s="177">
        <f>IF(OR(BE$15&lt;$G50,BE$15&gt;$G50+$F$5),0,IF(OR(BE$15=$G50,BE$15=$G50+$F$5),0.5,1)/$F$5)</f>
        <v/>
      </c>
      <c r="BF50" s="211">
        <f>IF(OR($G50&lt;V$15,$G50+$F$5&gt;BE$15),0,ABS(SUM(V50:BE50)-1))</f>
        <v/>
      </c>
    </row>
    <row r="51">
      <c r="A51" s="145" t="n">
        <v>35</v>
      </c>
      <c r="B51" s="204">
        <f>EDATE($B50,1)</f>
        <v/>
      </c>
      <c r="C51" s="205">
        <f>EOMONTH($B51,0)</f>
        <v/>
      </c>
      <c r="D51" s="201">
        <f>$C51-$B51+1</f>
        <v/>
      </c>
      <c r="E51" s="201">
        <f>MONTH($B51)</f>
        <v/>
      </c>
      <c r="F51" s="206">
        <f>($B51+$C51+1)/2</f>
        <v/>
      </c>
      <c r="G51" s="201">
        <f>YEAR($B51)*12+MONTH($B51)-1</f>
        <v/>
      </c>
      <c r="H51" s="207">
        <f>IF(OR(nr_SeasonOn="OFF",$F$6=0,$F$7=0),1,12*INDEX(se_block,$F$6,$E51)/$F$7)</f>
        <v/>
      </c>
      <c r="I51" s="208">
        <f>EXP(SUMPRODUCT((rl_eff&lt;$B51)*(rl_key=nr_SelKey)*rl_ln1p))</f>
        <v/>
      </c>
      <c r="J51" s="208">
        <f>EXP(SUMPRODUCT((rl_eff&lt;=$C51)*(rl_key=nr_SelKey)*rl_ln1p))</f>
        <v/>
      </c>
      <c r="K51" s="201">
        <f>COUNTIFS(rl_key,nr_SelKey,rl_eff,"&gt;="&amp;$B51,rl_eff,"&lt;="&amp;$C51)</f>
        <v/>
      </c>
      <c r="L51" s="201">
        <f>SUMIFS(rl_daysafter,rl_key,nr_SelKey,rl_effmonth,$B51,rl_first,1)</f>
        <v/>
      </c>
      <c r="M51" s="209">
        <f>IF($K51=0,0,MIN(1,$L51/$D51))</f>
        <v/>
      </c>
      <c r="N51" s="208">
        <f>IF($K51=0,$J51,(1-$M51)*$I51+$M51*$J51)</f>
        <v/>
      </c>
      <c r="O51" s="210">
        <f>'Mod Engine'!$E51</f>
        <v/>
      </c>
      <c r="P51" s="208">
        <f>MIN(1,MAX(0,(nr_MEndPm1-$G51+0.5)/$F$5))-MIN(1,MAX(0,(nr_MStartPm1-1-$G51+0.5)/$F$5))</f>
        <v/>
      </c>
      <c r="Q51" s="208">
        <f>MIN(1,MAX(0,(nr_MEndP-$G51+0.5)/$F$5))-MIN(1,MAX(0,(nr_MStartP-1-$G51+0.5)/$F$5))</f>
        <v/>
      </c>
      <c r="R51" s="208">
        <f>MIN(1,MAX(0,(nr_MEndP1-$G51+0.5)/$F$5))-MIN(1,MAX(0,(nr_MStartP1-1-$G51+0.5)/$F$5))</f>
        <v/>
      </c>
      <c r="S51" s="208">
        <f>IF(nr_NetMode,$N51*IF(nr_ModAdjEff="ON",$O51/nr_MInd,1),"")</f>
        <v/>
      </c>
      <c r="T51" s="208">
        <f>IF(NOT(nr_NetMode),"",IF($G51&lt;nr_MStartP,$S51,$T39*(1+IF($G51&lt;nr_MStartP1,nr_NetSelP,nr_NetSelP1))))</f>
        <v/>
      </c>
      <c r="U51" s="208">
        <f>IF(nr_NetMode,$T51,$N51)</f>
        <v/>
      </c>
      <c r="V51" s="177">
        <f>IF(OR(V$15&lt;$G51,V$15&gt;$G51+$F$5),0,IF(OR(V$15=$G51,V$15=$G51+$F$5),0.5,1)/$F$5)</f>
        <v/>
      </c>
      <c r="W51" s="177">
        <f>IF(OR(W$15&lt;$G51,W$15&gt;$G51+$F$5),0,IF(OR(W$15=$G51,W$15=$G51+$F$5),0.5,1)/$F$5)</f>
        <v/>
      </c>
      <c r="X51" s="177">
        <f>IF(OR(X$15&lt;$G51,X$15&gt;$G51+$F$5),0,IF(OR(X$15=$G51,X$15=$G51+$F$5),0.5,1)/$F$5)</f>
        <v/>
      </c>
      <c r="Y51" s="177">
        <f>IF(OR(Y$15&lt;$G51,Y$15&gt;$G51+$F$5),0,IF(OR(Y$15=$G51,Y$15=$G51+$F$5),0.5,1)/$F$5)</f>
        <v/>
      </c>
      <c r="Z51" s="177">
        <f>IF(OR(Z$15&lt;$G51,Z$15&gt;$G51+$F$5),0,IF(OR(Z$15=$G51,Z$15=$G51+$F$5),0.5,1)/$F$5)</f>
        <v/>
      </c>
      <c r="AA51" s="177">
        <f>IF(OR(AA$15&lt;$G51,AA$15&gt;$G51+$F$5),0,IF(OR(AA$15=$G51,AA$15=$G51+$F$5),0.5,1)/$F$5)</f>
        <v/>
      </c>
      <c r="AB51" s="177">
        <f>IF(OR(AB$15&lt;$G51,AB$15&gt;$G51+$F$5),0,IF(OR(AB$15=$G51,AB$15=$G51+$F$5),0.5,1)/$F$5)</f>
        <v/>
      </c>
      <c r="AC51" s="177">
        <f>IF(OR(AC$15&lt;$G51,AC$15&gt;$G51+$F$5),0,IF(OR(AC$15=$G51,AC$15=$G51+$F$5),0.5,1)/$F$5)</f>
        <v/>
      </c>
      <c r="AD51" s="177">
        <f>IF(OR(AD$15&lt;$G51,AD$15&gt;$G51+$F$5),0,IF(OR(AD$15=$G51,AD$15=$G51+$F$5),0.5,1)/$F$5)</f>
        <v/>
      </c>
      <c r="AE51" s="177">
        <f>IF(OR(AE$15&lt;$G51,AE$15&gt;$G51+$F$5),0,IF(OR(AE$15=$G51,AE$15=$G51+$F$5),0.5,1)/$F$5)</f>
        <v/>
      </c>
      <c r="AF51" s="177">
        <f>IF(OR(AF$15&lt;$G51,AF$15&gt;$G51+$F$5),0,IF(OR(AF$15=$G51,AF$15=$G51+$F$5),0.5,1)/$F$5)</f>
        <v/>
      </c>
      <c r="AG51" s="177">
        <f>IF(OR(AG$15&lt;$G51,AG$15&gt;$G51+$F$5),0,IF(OR(AG$15=$G51,AG$15=$G51+$F$5),0.5,1)/$F$5)</f>
        <v/>
      </c>
      <c r="AH51" s="177">
        <f>IF(OR(AH$15&lt;$G51,AH$15&gt;$G51+$F$5),0,IF(OR(AH$15=$G51,AH$15=$G51+$F$5),0.5,1)/$F$5)</f>
        <v/>
      </c>
      <c r="AI51" s="177">
        <f>IF(OR(AI$15&lt;$G51,AI$15&gt;$G51+$F$5),0,IF(OR(AI$15=$G51,AI$15=$G51+$F$5),0.5,1)/$F$5)</f>
        <v/>
      </c>
      <c r="AJ51" s="177">
        <f>IF(OR(AJ$15&lt;$G51,AJ$15&gt;$G51+$F$5),0,IF(OR(AJ$15=$G51,AJ$15=$G51+$F$5),0.5,1)/$F$5)</f>
        <v/>
      </c>
      <c r="AK51" s="177">
        <f>IF(OR(AK$15&lt;$G51,AK$15&gt;$G51+$F$5),0,IF(OR(AK$15=$G51,AK$15=$G51+$F$5),0.5,1)/$F$5)</f>
        <v/>
      </c>
      <c r="AL51" s="177">
        <f>IF(OR(AL$15&lt;$G51,AL$15&gt;$G51+$F$5),0,IF(OR(AL$15=$G51,AL$15=$G51+$F$5),0.5,1)/$F$5)</f>
        <v/>
      </c>
      <c r="AM51" s="177">
        <f>IF(OR(AM$15&lt;$G51,AM$15&gt;$G51+$F$5),0,IF(OR(AM$15=$G51,AM$15=$G51+$F$5),0.5,1)/$F$5)</f>
        <v/>
      </c>
      <c r="AN51" s="177">
        <f>IF(OR(AN$15&lt;$G51,AN$15&gt;$G51+$F$5),0,IF(OR(AN$15=$G51,AN$15=$G51+$F$5),0.5,1)/$F$5)</f>
        <v/>
      </c>
      <c r="AO51" s="177">
        <f>IF(OR(AO$15&lt;$G51,AO$15&gt;$G51+$F$5),0,IF(OR(AO$15=$G51,AO$15=$G51+$F$5),0.5,1)/$F$5)</f>
        <v/>
      </c>
      <c r="AP51" s="177">
        <f>IF(OR(AP$15&lt;$G51,AP$15&gt;$G51+$F$5),0,IF(OR(AP$15=$G51,AP$15=$G51+$F$5),0.5,1)/$F$5)</f>
        <v/>
      </c>
      <c r="AQ51" s="177">
        <f>IF(OR(AQ$15&lt;$G51,AQ$15&gt;$G51+$F$5),0,IF(OR(AQ$15=$G51,AQ$15=$G51+$F$5),0.5,1)/$F$5)</f>
        <v/>
      </c>
      <c r="AR51" s="177">
        <f>IF(OR(AR$15&lt;$G51,AR$15&gt;$G51+$F$5),0,IF(OR(AR$15=$G51,AR$15=$G51+$F$5),0.5,1)/$F$5)</f>
        <v/>
      </c>
      <c r="AS51" s="177">
        <f>IF(OR(AS$15&lt;$G51,AS$15&gt;$G51+$F$5),0,IF(OR(AS$15=$G51,AS$15=$G51+$F$5),0.5,1)/$F$5)</f>
        <v/>
      </c>
      <c r="AT51" s="177">
        <f>IF(OR(AT$15&lt;$G51,AT$15&gt;$G51+$F$5),0,IF(OR(AT$15=$G51,AT$15=$G51+$F$5),0.5,1)/$F$5)</f>
        <v/>
      </c>
      <c r="AU51" s="177">
        <f>IF(OR(AU$15&lt;$G51,AU$15&gt;$G51+$F$5),0,IF(OR(AU$15=$G51,AU$15=$G51+$F$5),0.5,1)/$F$5)</f>
        <v/>
      </c>
      <c r="AV51" s="177">
        <f>IF(OR(AV$15&lt;$G51,AV$15&gt;$G51+$F$5),0,IF(OR(AV$15=$G51,AV$15=$G51+$F$5),0.5,1)/$F$5)</f>
        <v/>
      </c>
      <c r="AW51" s="177">
        <f>IF(OR(AW$15&lt;$G51,AW$15&gt;$G51+$F$5),0,IF(OR(AW$15=$G51,AW$15=$G51+$F$5),0.5,1)/$F$5)</f>
        <v/>
      </c>
      <c r="AX51" s="177">
        <f>IF(OR(AX$15&lt;$G51,AX$15&gt;$G51+$F$5),0,IF(OR(AX$15=$G51,AX$15=$G51+$F$5),0.5,1)/$F$5)</f>
        <v/>
      </c>
      <c r="AY51" s="177">
        <f>IF(OR(AY$15&lt;$G51,AY$15&gt;$G51+$F$5),0,IF(OR(AY$15=$G51,AY$15=$G51+$F$5),0.5,1)/$F$5)</f>
        <v/>
      </c>
      <c r="AZ51" s="177">
        <f>IF(OR(AZ$15&lt;$G51,AZ$15&gt;$G51+$F$5),0,IF(OR(AZ$15=$G51,AZ$15=$G51+$F$5),0.5,1)/$F$5)</f>
        <v/>
      </c>
      <c r="BA51" s="177">
        <f>IF(OR(BA$15&lt;$G51,BA$15&gt;$G51+$F$5),0,IF(OR(BA$15=$G51,BA$15=$G51+$F$5),0.5,1)/$F$5)</f>
        <v/>
      </c>
      <c r="BB51" s="177">
        <f>IF(OR(BB$15&lt;$G51,BB$15&gt;$G51+$F$5),0,IF(OR(BB$15=$G51,BB$15=$G51+$F$5),0.5,1)/$F$5)</f>
        <v/>
      </c>
      <c r="BC51" s="177">
        <f>IF(OR(BC$15&lt;$G51,BC$15&gt;$G51+$F$5),0,IF(OR(BC$15=$G51,BC$15=$G51+$F$5),0.5,1)/$F$5)</f>
        <v/>
      </c>
      <c r="BD51" s="177">
        <f>IF(OR(BD$15&lt;$G51,BD$15&gt;$G51+$F$5),0,IF(OR(BD$15=$G51,BD$15=$G51+$F$5),0.5,1)/$F$5)</f>
        <v/>
      </c>
      <c r="BE51" s="177">
        <f>IF(OR(BE$15&lt;$G51,BE$15&gt;$G51+$F$5),0,IF(OR(BE$15=$G51,BE$15=$G51+$F$5),0.5,1)/$F$5)</f>
        <v/>
      </c>
      <c r="BF51" s="211">
        <f>IF(OR($G51&lt;V$15,$G51+$F$5&gt;BE$15),0,ABS(SUM(V51:BE51)-1))</f>
        <v/>
      </c>
    </row>
    <row r="52">
      <c r="A52" s="145" t="n">
        <v>36</v>
      </c>
      <c r="B52" s="204">
        <f>EDATE($B51,1)</f>
        <v/>
      </c>
      <c r="C52" s="205">
        <f>EOMONTH($B52,0)</f>
        <v/>
      </c>
      <c r="D52" s="201">
        <f>$C52-$B52+1</f>
        <v/>
      </c>
      <c r="E52" s="201">
        <f>MONTH($B52)</f>
        <v/>
      </c>
      <c r="F52" s="206">
        <f>($B52+$C52+1)/2</f>
        <v/>
      </c>
      <c r="G52" s="201">
        <f>YEAR($B52)*12+MONTH($B52)-1</f>
        <v/>
      </c>
      <c r="H52" s="207">
        <f>IF(OR(nr_SeasonOn="OFF",$F$6=0,$F$7=0),1,12*INDEX(se_block,$F$6,$E52)/$F$7)</f>
        <v/>
      </c>
      <c r="I52" s="208">
        <f>EXP(SUMPRODUCT((rl_eff&lt;$B52)*(rl_key=nr_SelKey)*rl_ln1p))</f>
        <v/>
      </c>
      <c r="J52" s="208">
        <f>EXP(SUMPRODUCT((rl_eff&lt;=$C52)*(rl_key=nr_SelKey)*rl_ln1p))</f>
        <v/>
      </c>
      <c r="K52" s="201">
        <f>COUNTIFS(rl_key,nr_SelKey,rl_eff,"&gt;="&amp;$B52,rl_eff,"&lt;="&amp;$C52)</f>
        <v/>
      </c>
      <c r="L52" s="201">
        <f>SUMIFS(rl_daysafter,rl_key,nr_SelKey,rl_effmonth,$B52,rl_first,1)</f>
        <v/>
      </c>
      <c r="M52" s="209">
        <f>IF($K52=0,0,MIN(1,$L52/$D52))</f>
        <v/>
      </c>
      <c r="N52" s="208">
        <f>IF($K52=0,$J52,(1-$M52)*$I52+$M52*$J52)</f>
        <v/>
      </c>
      <c r="O52" s="210">
        <f>'Mod Engine'!$E52</f>
        <v/>
      </c>
      <c r="P52" s="208">
        <f>MIN(1,MAX(0,(nr_MEndPm1-$G52+0.5)/$F$5))-MIN(1,MAX(0,(nr_MStartPm1-1-$G52+0.5)/$F$5))</f>
        <v/>
      </c>
      <c r="Q52" s="208">
        <f>MIN(1,MAX(0,(nr_MEndP-$G52+0.5)/$F$5))-MIN(1,MAX(0,(nr_MStartP-1-$G52+0.5)/$F$5))</f>
        <v/>
      </c>
      <c r="R52" s="208">
        <f>MIN(1,MAX(0,(nr_MEndP1-$G52+0.5)/$F$5))-MIN(1,MAX(0,(nr_MStartP1-1-$G52+0.5)/$F$5))</f>
        <v/>
      </c>
      <c r="S52" s="208">
        <f>IF(nr_NetMode,$N52*IF(nr_ModAdjEff="ON",$O52/nr_MInd,1),"")</f>
        <v/>
      </c>
      <c r="T52" s="208">
        <f>IF(NOT(nr_NetMode),"",IF($G52&lt;nr_MStartP,$S52,$T40*(1+IF($G52&lt;nr_MStartP1,nr_NetSelP,nr_NetSelP1))))</f>
        <v/>
      </c>
      <c r="U52" s="208">
        <f>IF(nr_NetMode,$T52,$N52)</f>
        <v/>
      </c>
      <c r="V52" s="177">
        <f>IF(OR(V$15&lt;$G52,V$15&gt;$G52+$F$5),0,IF(OR(V$15=$G52,V$15=$G52+$F$5),0.5,1)/$F$5)</f>
        <v/>
      </c>
      <c r="W52" s="177">
        <f>IF(OR(W$15&lt;$G52,W$15&gt;$G52+$F$5),0,IF(OR(W$15=$G52,W$15=$G52+$F$5),0.5,1)/$F$5)</f>
        <v/>
      </c>
      <c r="X52" s="177">
        <f>IF(OR(X$15&lt;$G52,X$15&gt;$G52+$F$5),0,IF(OR(X$15=$G52,X$15=$G52+$F$5),0.5,1)/$F$5)</f>
        <v/>
      </c>
      <c r="Y52" s="177">
        <f>IF(OR(Y$15&lt;$G52,Y$15&gt;$G52+$F$5),0,IF(OR(Y$15=$G52,Y$15=$G52+$F$5),0.5,1)/$F$5)</f>
        <v/>
      </c>
      <c r="Z52" s="177">
        <f>IF(OR(Z$15&lt;$G52,Z$15&gt;$G52+$F$5),0,IF(OR(Z$15=$G52,Z$15=$G52+$F$5),0.5,1)/$F$5)</f>
        <v/>
      </c>
      <c r="AA52" s="177">
        <f>IF(OR(AA$15&lt;$G52,AA$15&gt;$G52+$F$5),0,IF(OR(AA$15=$G52,AA$15=$G52+$F$5),0.5,1)/$F$5)</f>
        <v/>
      </c>
      <c r="AB52" s="177">
        <f>IF(OR(AB$15&lt;$G52,AB$15&gt;$G52+$F$5),0,IF(OR(AB$15=$G52,AB$15=$G52+$F$5),0.5,1)/$F$5)</f>
        <v/>
      </c>
      <c r="AC52" s="177">
        <f>IF(OR(AC$15&lt;$G52,AC$15&gt;$G52+$F$5),0,IF(OR(AC$15=$G52,AC$15=$G52+$F$5),0.5,1)/$F$5)</f>
        <v/>
      </c>
      <c r="AD52" s="177">
        <f>IF(OR(AD$15&lt;$G52,AD$15&gt;$G52+$F$5),0,IF(OR(AD$15=$G52,AD$15=$G52+$F$5),0.5,1)/$F$5)</f>
        <v/>
      </c>
      <c r="AE52" s="177">
        <f>IF(OR(AE$15&lt;$G52,AE$15&gt;$G52+$F$5),0,IF(OR(AE$15=$G52,AE$15=$G52+$F$5),0.5,1)/$F$5)</f>
        <v/>
      </c>
      <c r="AF52" s="177">
        <f>IF(OR(AF$15&lt;$G52,AF$15&gt;$G52+$F$5),0,IF(OR(AF$15=$G52,AF$15=$G52+$F$5),0.5,1)/$F$5)</f>
        <v/>
      </c>
      <c r="AG52" s="177">
        <f>IF(OR(AG$15&lt;$G52,AG$15&gt;$G52+$F$5),0,IF(OR(AG$15=$G52,AG$15=$G52+$F$5),0.5,1)/$F$5)</f>
        <v/>
      </c>
      <c r="AH52" s="177">
        <f>IF(OR(AH$15&lt;$G52,AH$15&gt;$G52+$F$5),0,IF(OR(AH$15=$G52,AH$15=$G52+$F$5),0.5,1)/$F$5)</f>
        <v/>
      </c>
      <c r="AI52" s="177">
        <f>IF(OR(AI$15&lt;$G52,AI$15&gt;$G52+$F$5),0,IF(OR(AI$15=$G52,AI$15=$G52+$F$5),0.5,1)/$F$5)</f>
        <v/>
      </c>
      <c r="AJ52" s="177">
        <f>IF(OR(AJ$15&lt;$G52,AJ$15&gt;$G52+$F$5),0,IF(OR(AJ$15=$G52,AJ$15=$G52+$F$5),0.5,1)/$F$5)</f>
        <v/>
      </c>
      <c r="AK52" s="177">
        <f>IF(OR(AK$15&lt;$G52,AK$15&gt;$G52+$F$5),0,IF(OR(AK$15=$G52,AK$15=$G52+$F$5),0.5,1)/$F$5)</f>
        <v/>
      </c>
      <c r="AL52" s="177">
        <f>IF(OR(AL$15&lt;$G52,AL$15&gt;$G52+$F$5),0,IF(OR(AL$15=$G52,AL$15=$G52+$F$5),0.5,1)/$F$5)</f>
        <v/>
      </c>
      <c r="AM52" s="177">
        <f>IF(OR(AM$15&lt;$G52,AM$15&gt;$G52+$F$5),0,IF(OR(AM$15=$G52,AM$15=$G52+$F$5),0.5,1)/$F$5)</f>
        <v/>
      </c>
      <c r="AN52" s="177">
        <f>IF(OR(AN$15&lt;$G52,AN$15&gt;$G52+$F$5),0,IF(OR(AN$15=$G52,AN$15=$G52+$F$5),0.5,1)/$F$5)</f>
        <v/>
      </c>
      <c r="AO52" s="177">
        <f>IF(OR(AO$15&lt;$G52,AO$15&gt;$G52+$F$5),0,IF(OR(AO$15=$G52,AO$15=$G52+$F$5),0.5,1)/$F$5)</f>
        <v/>
      </c>
      <c r="AP52" s="177">
        <f>IF(OR(AP$15&lt;$G52,AP$15&gt;$G52+$F$5),0,IF(OR(AP$15=$G52,AP$15=$G52+$F$5),0.5,1)/$F$5)</f>
        <v/>
      </c>
      <c r="AQ52" s="177">
        <f>IF(OR(AQ$15&lt;$G52,AQ$15&gt;$G52+$F$5),0,IF(OR(AQ$15=$G52,AQ$15=$G52+$F$5),0.5,1)/$F$5)</f>
        <v/>
      </c>
      <c r="AR52" s="177">
        <f>IF(OR(AR$15&lt;$G52,AR$15&gt;$G52+$F$5),0,IF(OR(AR$15=$G52,AR$15=$G52+$F$5),0.5,1)/$F$5)</f>
        <v/>
      </c>
      <c r="AS52" s="177">
        <f>IF(OR(AS$15&lt;$G52,AS$15&gt;$G52+$F$5),0,IF(OR(AS$15=$G52,AS$15=$G52+$F$5),0.5,1)/$F$5)</f>
        <v/>
      </c>
      <c r="AT52" s="177">
        <f>IF(OR(AT$15&lt;$G52,AT$15&gt;$G52+$F$5),0,IF(OR(AT$15=$G52,AT$15=$G52+$F$5),0.5,1)/$F$5)</f>
        <v/>
      </c>
      <c r="AU52" s="177">
        <f>IF(OR(AU$15&lt;$G52,AU$15&gt;$G52+$F$5),0,IF(OR(AU$15=$G52,AU$15=$G52+$F$5),0.5,1)/$F$5)</f>
        <v/>
      </c>
      <c r="AV52" s="177">
        <f>IF(OR(AV$15&lt;$G52,AV$15&gt;$G52+$F$5),0,IF(OR(AV$15=$G52,AV$15=$G52+$F$5),0.5,1)/$F$5)</f>
        <v/>
      </c>
      <c r="AW52" s="177">
        <f>IF(OR(AW$15&lt;$G52,AW$15&gt;$G52+$F$5),0,IF(OR(AW$15=$G52,AW$15=$G52+$F$5),0.5,1)/$F$5)</f>
        <v/>
      </c>
      <c r="AX52" s="177">
        <f>IF(OR(AX$15&lt;$G52,AX$15&gt;$G52+$F$5),0,IF(OR(AX$15=$G52,AX$15=$G52+$F$5),0.5,1)/$F$5)</f>
        <v/>
      </c>
      <c r="AY52" s="177">
        <f>IF(OR(AY$15&lt;$G52,AY$15&gt;$G52+$F$5),0,IF(OR(AY$15=$G52,AY$15=$G52+$F$5),0.5,1)/$F$5)</f>
        <v/>
      </c>
      <c r="AZ52" s="177">
        <f>IF(OR(AZ$15&lt;$G52,AZ$15&gt;$G52+$F$5),0,IF(OR(AZ$15=$G52,AZ$15=$G52+$F$5),0.5,1)/$F$5)</f>
        <v/>
      </c>
      <c r="BA52" s="177">
        <f>IF(OR(BA$15&lt;$G52,BA$15&gt;$G52+$F$5),0,IF(OR(BA$15=$G52,BA$15=$G52+$F$5),0.5,1)/$F$5)</f>
        <v/>
      </c>
      <c r="BB52" s="177">
        <f>IF(OR(BB$15&lt;$G52,BB$15&gt;$G52+$F$5),0,IF(OR(BB$15=$G52,BB$15=$G52+$F$5),0.5,1)/$F$5)</f>
        <v/>
      </c>
      <c r="BC52" s="177">
        <f>IF(OR(BC$15&lt;$G52,BC$15&gt;$G52+$F$5),0,IF(OR(BC$15=$G52,BC$15=$G52+$F$5),0.5,1)/$F$5)</f>
        <v/>
      </c>
      <c r="BD52" s="177">
        <f>IF(OR(BD$15&lt;$G52,BD$15&gt;$G52+$F$5),0,IF(OR(BD$15=$G52,BD$15=$G52+$F$5),0.5,1)/$F$5)</f>
        <v/>
      </c>
      <c r="BE52" s="177">
        <f>IF(OR(BE$15&lt;$G52,BE$15&gt;$G52+$F$5),0,IF(OR(BE$15=$G52,BE$15=$G52+$F$5),0.5,1)/$F$5)</f>
        <v/>
      </c>
      <c r="BF52" s="211">
        <f>IF(OR($G52&lt;V$15,$G52+$F$5&gt;BE$15),0,ABS(SUM(V52:BE52)-1))</f>
        <v/>
      </c>
    </row>
    <row r="53">
      <c r="A53" s="145" t="n">
        <v>37</v>
      </c>
      <c r="B53" s="204">
        <f>EDATE($B52,1)</f>
        <v/>
      </c>
      <c r="C53" s="205">
        <f>EOMONTH($B53,0)</f>
        <v/>
      </c>
      <c r="D53" s="201">
        <f>$C53-$B53+1</f>
        <v/>
      </c>
      <c r="E53" s="201">
        <f>MONTH($B53)</f>
        <v/>
      </c>
      <c r="F53" s="206">
        <f>($B53+$C53+1)/2</f>
        <v/>
      </c>
      <c r="G53" s="201">
        <f>YEAR($B53)*12+MONTH($B53)-1</f>
        <v/>
      </c>
      <c r="H53" s="207">
        <f>IF(OR(nr_SeasonOn="OFF",$F$6=0,$F$7=0),1,12*INDEX(se_block,$F$6,$E53)/$F$7)</f>
        <v/>
      </c>
      <c r="I53" s="208">
        <f>EXP(SUMPRODUCT((rl_eff&lt;$B53)*(rl_key=nr_SelKey)*rl_ln1p))</f>
        <v/>
      </c>
      <c r="J53" s="208">
        <f>EXP(SUMPRODUCT((rl_eff&lt;=$C53)*(rl_key=nr_SelKey)*rl_ln1p))</f>
        <v/>
      </c>
      <c r="K53" s="201">
        <f>COUNTIFS(rl_key,nr_SelKey,rl_eff,"&gt;="&amp;$B53,rl_eff,"&lt;="&amp;$C53)</f>
        <v/>
      </c>
      <c r="L53" s="201">
        <f>SUMIFS(rl_daysafter,rl_key,nr_SelKey,rl_effmonth,$B53,rl_first,1)</f>
        <v/>
      </c>
      <c r="M53" s="209">
        <f>IF($K53=0,0,MIN(1,$L53/$D53))</f>
        <v/>
      </c>
      <c r="N53" s="208">
        <f>IF($K53=0,$J53,(1-$M53)*$I53+$M53*$J53)</f>
        <v/>
      </c>
      <c r="O53" s="210">
        <f>'Mod Engine'!$E53</f>
        <v/>
      </c>
      <c r="P53" s="208">
        <f>MIN(1,MAX(0,(nr_MEndPm1-$G53+0.5)/$F$5))-MIN(1,MAX(0,(nr_MStartPm1-1-$G53+0.5)/$F$5))</f>
        <v/>
      </c>
      <c r="Q53" s="208">
        <f>MIN(1,MAX(0,(nr_MEndP-$G53+0.5)/$F$5))-MIN(1,MAX(0,(nr_MStartP-1-$G53+0.5)/$F$5))</f>
        <v/>
      </c>
      <c r="R53" s="208">
        <f>MIN(1,MAX(0,(nr_MEndP1-$G53+0.5)/$F$5))-MIN(1,MAX(0,(nr_MStartP1-1-$G53+0.5)/$F$5))</f>
        <v/>
      </c>
      <c r="S53" s="208">
        <f>IF(nr_NetMode,$N53*IF(nr_ModAdjEff="ON",$O53/nr_MInd,1),"")</f>
        <v/>
      </c>
      <c r="T53" s="208">
        <f>IF(NOT(nr_NetMode),"",IF($G53&lt;nr_MStartP,$S53,$T41*(1+IF($G53&lt;nr_MStartP1,nr_NetSelP,nr_NetSelP1))))</f>
        <v/>
      </c>
      <c r="U53" s="208">
        <f>IF(nr_NetMode,$T53,$N53)</f>
        <v/>
      </c>
      <c r="V53" s="177">
        <f>IF(OR(V$15&lt;$G53,V$15&gt;$G53+$F$5),0,IF(OR(V$15=$G53,V$15=$G53+$F$5),0.5,1)/$F$5)</f>
        <v/>
      </c>
      <c r="W53" s="177">
        <f>IF(OR(W$15&lt;$G53,W$15&gt;$G53+$F$5),0,IF(OR(W$15=$G53,W$15=$G53+$F$5),0.5,1)/$F$5)</f>
        <v/>
      </c>
      <c r="X53" s="177">
        <f>IF(OR(X$15&lt;$G53,X$15&gt;$G53+$F$5),0,IF(OR(X$15=$G53,X$15=$G53+$F$5),0.5,1)/$F$5)</f>
        <v/>
      </c>
      <c r="Y53" s="177">
        <f>IF(OR(Y$15&lt;$G53,Y$15&gt;$G53+$F$5),0,IF(OR(Y$15=$G53,Y$15=$G53+$F$5),0.5,1)/$F$5)</f>
        <v/>
      </c>
      <c r="Z53" s="177">
        <f>IF(OR(Z$15&lt;$G53,Z$15&gt;$G53+$F$5),0,IF(OR(Z$15=$G53,Z$15=$G53+$F$5),0.5,1)/$F$5)</f>
        <v/>
      </c>
      <c r="AA53" s="177">
        <f>IF(OR(AA$15&lt;$G53,AA$15&gt;$G53+$F$5),0,IF(OR(AA$15=$G53,AA$15=$G53+$F$5),0.5,1)/$F$5)</f>
        <v/>
      </c>
      <c r="AB53" s="177">
        <f>IF(OR(AB$15&lt;$G53,AB$15&gt;$G53+$F$5),0,IF(OR(AB$15=$G53,AB$15=$G53+$F$5),0.5,1)/$F$5)</f>
        <v/>
      </c>
      <c r="AC53" s="177">
        <f>IF(OR(AC$15&lt;$G53,AC$15&gt;$G53+$F$5),0,IF(OR(AC$15=$G53,AC$15=$G53+$F$5),0.5,1)/$F$5)</f>
        <v/>
      </c>
      <c r="AD53" s="177">
        <f>IF(OR(AD$15&lt;$G53,AD$15&gt;$G53+$F$5),0,IF(OR(AD$15=$G53,AD$15=$G53+$F$5),0.5,1)/$F$5)</f>
        <v/>
      </c>
      <c r="AE53" s="177">
        <f>IF(OR(AE$15&lt;$G53,AE$15&gt;$G53+$F$5),0,IF(OR(AE$15=$G53,AE$15=$G53+$F$5),0.5,1)/$F$5)</f>
        <v/>
      </c>
      <c r="AF53" s="177">
        <f>IF(OR(AF$15&lt;$G53,AF$15&gt;$G53+$F$5),0,IF(OR(AF$15=$G53,AF$15=$G53+$F$5),0.5,1)/$F$5)</f>
        <v/>
      </c>
      <c r="AG53" s="177">
        <f>IF(OR(AG$15&lt;$G53,AG$15&gt;$G53+$F$5),0,IF(OR(AG$15=$G53,AG$15=$G53+$F$5),0.5,1)/$F$5)</f>
        <v/>
      </c>
      <c r="AH53" s="177">
        <f>IF(OR(AH$15&lt;$G53,AH$15&gt;$G53+$F$5),0,IF(OR(AH$15=$G53,AH$15=$G53+$F$5),0.5,1)/$F$5)</f>
        <v/>
      </c>
      <c r="AI53" s="177">
        <f>IF(OR(AI$15&lt;$G53,AI$15&gt;$G53+$F$5),0,IF(OR(AI$15=$G53,AI$15=$G53+$F$5),0.5,1)/$F$5)</f>
        <v/>
      </c>
      <c r="AJ53" s="177">
        <f>IF(OR(AJ$15&lt;$G53,AJ$15&gt;$G53+$F$5),0,IF(OR(AJ$15=$G53,AJ$15=$G53+$F$5),0.5,1)/$F$5)</f>
        <v/>
      </c>
      <c r="AK53" s="177">
        <f>IF(OR(AK$15&lt;$G53,AK$15&gt;$G53+$F$5),0,IF(OR(AK$15=$G53,AK$15=$G53+$F$5),0.5,1)/$F$5)</f>
        <v/>
      </c>
      <c r="AL53" s="177">
        <f>IF(OR(AL$15&lt;$G53,AL$15&gt;$G53+$F$5),0,IF(OR(AL$15=$G53,AL$15=$G53+$F$5),0.5,1)/$F$5)</f>
        <v/>
      </c>
      <c r="AM53" s="177">
        <f>IF(OR(AM$15&lt;$G53,AM$15&gt;$G53+$F$5),0,IF(OR(AM$15=$G53,AM$15=$G53+$F$5),0.5,1)/$F$5)</f>
        <v/>
      </c>
      <c r="AN53" s="177">
        <f>IF(OR(AN$15&lt;$G53,AN$15&gt;$G53+$F$5),0,IF(OR(AN$15=$G53,AN$15=$G53+$F$5),0.5,1)/$F$5)</f>
        <v/>
      </c>
      <c r="AO53" s="177">
        <f>IF(OR(AO$15&lt;$G53,AO$15&gt;$G53+$F$5),0,IF(OR(AO$15=$G53,AO$15=$G53+$F$5),0.5,1)/$F$5)</f>
        <v/>
      </c>
      <c r="AP53" s="177">
        <f>IF(OR(AP$15&lt;$G53,AP$15&gt;$G53+$F$5),0,IF(OR(AP$15=$G53,AP$15=$G53+$F$5),0.5,1)/$F$5)</f>
        <v/>
      </c>
      <c r="AQ53" s="177">
        <f>IF(OR(AQ$15&lt;$G53,AQ$15&gt;$G53+$F$5),0,IF(OR(AQ$15=$G53,AQ$15=$G53+$F$5),0.5,1)/$F$5)</f>
        <v/>
      </c>
      <c r="AR53" s="177">
        <f>IF(OR(AR$15&lt;$G53,AR$15&gt;$G53+$F$5),0,IF(OR(AR$15=$G53,AR$15=$G53+$F$5),0.5,1)/$F$5)</f>
        <v/>
      </c>
      <c r="AS53" s="177">
        <f>IF(OR(AS$15&lt;$G53,AS$15&gt;$G53+$F$5),0,IF(OR(AS$15=$G53,AS$15=$G53+$F$5),0.5,1)/$F$5)</f>
        <v/>
      </c>
      <c r="AT53" s="177">
        <f>IF(OR(AT$15&lt;$G53,AT$15&gt;$G53+$F$5),0,IF(OR(AT$15=$G53,AT$15=$G53+$F$5),0.5,1)/$F$5)</f>
        <v/>
      </c>
      <c r="AU53" s="177">
        <f>IF(OR(AU$15&lt;$G53,AU$15&gt;$G53+$F$5),0,IF(OR(AU$15=$G53,AU$15=$G53+$F$5),0.5,1)/$F$5)</f>
        <v/>
      </c>
      <c r="AV53" s="177">
        <f>IF(OR(AV$15&lt;$G53,AV$15&gt;$G53+$F$5),0,IF(OR(AV$15=$G53,AV$15=$G53+$F$5),0.5,1)/$F$5)</f>
        <v/>
      </c>
      <c r="AW53" s="177">
        <f>IF(OR(AW$15&lt;$G53,AW$15&gt;$G53+$F$5),0,IF(OR(AW$15=$G53,AW$15=$G53+$F$5),0.5,1)/$F$5)</f>
        <v/>
      </c>
      <c r="AX53" s="177">
        <f>IF(OR(AX$15&lt;$G53,AX$15&gt;$G53+$F$5),0,IF(OR(AX$15=$G53,AX$15=$G53+$F$5),0.5,1)/$F$5)</f>
        <v/>
      </c>
      <c r="AY53" s="177">
        <f>IF(OR(AY$15&lt;$G53,AY$15&gt;$G53+$F$5),0,IF(OR(AY$15=$G53,AY$15=$G53+$F$5),0.5,1)/$F$5)</f>
        <v/>
      </c>
      <c r="AZ53" s="177">
        <f>IF(OR(AZ$15&lt;$G53,AZ$15&gt;$G53+$F$5),0,IF(OR(AZ$15=$G53,AZ$15=$G53+$F$5),0.5,1)/$F$5)</f>
        <v/>
      </c>
      <c r="BA53" s="177">
        <f>IF(OR(BA$15&lt;$G53,BA$15&gt;$G53+$F$5),0,IF(OR(BA$15=$G53,BA$15=$G53+$F$5),0.5,1)/$F$5)</f>
        <v/>
      </c>
      <c r="BB53" s="177">
        <f>IF(OR(BB$15&lt;$G53,BB$15&gt;$G53+$F$5),0,IF(OR(BB$15=$G53,BB$15=$G53+$F$5),0.5,1)/$F$5)</f>
        <v/>
      </c>
      <c r="BC53" s="177">
        <f>IF(OR(BC$15&lt;$G53,BC$15&gt;$G53+$F$5),0,IF(OR(BC$15=$G53,BC$15=$G53+$F$5),0.5,1)/$F$5)</f>
        <v/>
      </c>
      <c r="BD53" s="177">
        <f>IF(OR(BD$15&lt;$G53,BD$15&gt;$G53+$F$5),0,IF(OR(BD$15=$G53,BD$15=$G53+$F$5),0.5,1)/$F$5)</f>
        <v/>
      </c>
      <c r="BE53" s="177">
        <f>IF(OR(BE$15&lt;$G53,BE$15&gt;$G53+$F$5),0,IF(OR(BE$15=$G53,BE$15=$G53+$F$5),0.5,1)/$F$5)</f>
        <v/>
      </c>
      <c r="BF53" s="211">
        <f>IF(OR($G53&lt;V$15,$G53+$F$5&gt;BE$15),0,ABS(SUM(V53:BE53)-1))</f>
        <v/>
      </c>
    </row>
    <row r="54">
      <c r="A54" s="145" t="n">
        <v>38</v>
      </c>
      <c r="B54" s="204">
        <f>EDATE($B53,1)</f>
        <v/>
      </c>
      <c r="C54" s="205">
        <f>EOMONTH($B54,0)</f>
        <v/>
      </c>
      <c r="D54" s="201">
        <f>$C54-$B54+1</f>
        <v/>
      </c>
      <c r="E54" s="201">
        <f>MONTH($B54)</f>
        <v/>
      </c>
      <c r="F54" s="206">
        <f>($B54+$C54+1)/2</f>
        <v/>
      </c>
      <c r="G54" s="201">
        <f>YEAR($B54)*12+MONTH($B54)-1</f>
        <v/>
      </c>
      <c r="H54" s="207">
        <f>IF(OR(nr_SeasonOn="OFF",$F$6=0,$F$7=0),1,12*INDEX(se_block,$F$6,$E54)/$F$7)</f>
        <v/>
      </c>
      <c r="I54" s="208">
        <f>EXP(SUMPRODUCT((rl_eff&lt;$B54)*(rl_key=nr_SelKey)*rl_ln1p))</f>
        <v/>
      </c>
      <c r="J54" s="208">
        <f>EXP(SUMPRODUCT((rl_eff&lt;=$C54)*(rl_key=nr_SelKey)*rl_ln1p))</f>
        <v/>
      </c>
      <c r="K54" s="201">
        <f>COUNTIFS(rl_key,nr_SelKey,rl_eff,"&gt;="&amp;$B54,rl_eff,"&lt;="&amp;$C54)</f>
        <v/>
      </c>
      <c r="L54" s="201">
        <f>SUMIFS(rl_daysafter,rl_key,nr_SelKey,rl_effmonth,$B54,rl_first,1)</f>
        <v/>
      </c>
      <c r="M54" s="209">
        <f>IF($K54=0,0,MIN(1,$L54/$D54))</f>
        <v/>
      </c>
      <c r="N54" s="208">
        <f>IF($K54=0,$J54,(1-$M54)*$I54+$M54*$J54)</f>
        <v/>
      </c>
      <c r="O54" s="210">
        <f>'Mod Engine'!$E54</f>
        <v/>
      </c>
      <c r="P54" s="208">
        <f>MIN(1,MAX(0,(nr_MEndPm1-$G54+0.5)/$F$5))-MIN(1,MAX(0,(nr_MStartPm1-1-$G54+0.5)/$F$5))</f>
        <v/>
      </c>
      <c r="Q54" s="208">
        <f>MIN(1,MAX(0,(nr_MEndP-$G54+0.5)/$F$5))-MIN(1,MAX(0,(nr_MStartP-1-$G54+0.5)/$F$5))</f>
        <v/>
      </c>
      <c r="R54" s="208">
        <f>MIN(1,MAX(0,(nr_MEndP1-$G54+0.5)/$F$5))-MIN(1,MAX(0,(nr_MStartP1-1-$G54+0.5)/$F$5))</f>
        <v/>
      </c>
      <c r="S54" s="208">
        <f>IF(nr_NetMode,$N54*IF(nr_ModAdjEff="ON",$O54/nr_MInd,1),"")</f>
        <v/>
      </c>
      <c r="T54" s="208">
        <f>IF(NOT(nr_NetMode),"",IF($G54&lt;nr_MStartP,$S54,$T42*(1+IF($G54&lt;nr_MStartP1,nr_NetSelP,nr_NetSelP1))))</f>
        <v/>
      </c>
      <c r="U54" s="208">
        <f>IF(nr_NetMode,$T54,$N54)</f>
        <v/>
      </c>
      <c r="V54" s="177">
        <f>IF(OR(V$15&lt;$G54,V$15&gt;$G54+$F$5),0,IF(OR(V$15=$G54,V$15=$G54+$F$5),0.5,1)/$F$5)</f>
        <v/>
      </c>
      <c r="W54" s="177">
        <f>IF(OR(W$15&lt;$G54,W$15&gt;$G54+$F$5),0,IF(OR(W$15=$G54,W$15=$G54+$F$5),0.5,1)/$F$5)</f>
        <v/>
      </c>
      <c r="X54" s="177">
        <f>IF(OR(X$15&lt;$G54,X$15&gt;$G54+$F$5),0,IF(OR(X$15=$G54,X$15=$G54+$F$5),0.5,1)/$F$5)</f>
        <v/>
      </c>
      <c r="Y54" s="177">
        <f>IF(OR(Y$15&lt;$G54,Y$15&gt;$G54+$F$5),0,IF(OR(Y$15=$G54,Y$15=$G54+$F$5),0.5,1)/$F$5)</f>
        <v/>
      </c>
      <c r="Z54" s="177">
        <f>IF(OR(Z$15&lt;$G54,Z$15&gt;$G54+$F$5),0,IF(OR(Z$15=$G54,Z$15=$G54+$F$5),0.5,1)/$F$5)</f>
        <v/>
      </c>
      <c r="AA54" s="177">
        <f>IF(OR(AA$15&lt;$G54,AA$15&gt;$G54+$F$5),0,IF(OR(AA$15=$G54,AA$15=$G54+$F$5),0.5,1)/$F$5)</f>
        <v/>
      </c>
      <c r="AB54" s="177">
        <f>IF(OR(AB$15&lt;$G54,AB$15&gt;$G54+$F$5),0,IF(OR(AB$15=$G54,AB$15=$G54+$F$5),0.5,1)/$F$5)</f>
        <v/>
      </c>
      <c r="AC54" s="177">
        <f>IF(OR(AC$15&lt;$G54,AC$15&gt;$G54+$F$5),0,IF(OR(AC$15=$G54,AC$15=$G54+$F$5),0.5,1)/$F$5)</f>
        <v/>
      </c>
      <c r="AD54" s="177">
        <f>IF(OR(AD$15&lt;$G54,AD$15&gt;$G54+$F$5),0,IF(OR(AD$15=$G54,AD$15=$G54+$F$5),0.5,1)/$F$5)</f>
        <v/>
      </c>
      <c r="AE54" s="177">
        <f>IF(OR(AE$15&lt;$G54,AE$15&gt;$G54+$F$5),0,IF(OR(AE$15=$G54,AE$15=$G54+$F$5),0.5,1)/$F$5)</f>
        <v/>
      </c>
      <c r="AF54" s="177">
        <f>IF(OR(AF$15&lt;$G54,AF$15&gt;$G54+$F$5),0,IF(OR(AF$15=$G54,AF$15=$G54+$F$5),0.5,1)/$F$5)</f>
        <v/>
      </c>
      <c r="AG54" s="177">
        <f>IF(OR(AG$15&lt;$G54,AG$15&gt;$G54+$F$5),0,IF(OR(AG$15=$G54,AG$15=$G54+$F$5),0.5,1)/$F$5)</f>
        <v/>
      </c>
      <c r="AH54" s="177">
        <f>IF(OR(AH$15&lt;$G54,AH$15&gt;$G54+$F$5),0,IF(OR(AH$15=$G54,AH$15=$G54+$F$5),0.5,1)/$F$5)</f>
        <v/>
      </c>
      <c r="AI54" s="177">
        <f>IF(OR(AI$15&lt;$G54,AI$15&gt;$G54+$F$5),0,IF(OR(AI$15=$G54,AI$15=$G54+$F$5),0.5,1)/$F$5)</f>
        <v/>
      </c>
      <c r="AJ54" s="177">
        <f>IF(OR(AJ$15&lt;$G54,AJ$15&gt;$G54+$F$5),0,IF(OR(AJ$15=$G54,AJ$15=$G54+$F$5),0.5,1)/$F$5)</f>
        <v/>
      </c>
      <c r="AK54" s="177">
        <f>IF(OR(AK$15&lt;$G54,AK$15&gt;$G54+$F$5),0,IF(OR(AK$15=$G54,AK$15=$G54+$F$5),0.5,1)/$F$5)</f>
        <v/>
      </c>
      <c r="AL54" s="177">
        <f>IF(OR(AL$15&lt;$G54,AL$15&gt;$G54+$F$5),0,IF(OR(AL$15=$G54,AL$15=$G54+$F$5),0.5,1)/$F$5)</f>
        <v/>
      </c>
      <c r="AM54" s="177">
        <f>IF(OR(AM$15&lt;$G54,AM$15&gt;$G54+$F$5),0,IF(OR(AM$15=$G54,AM$15=$G54+$F$5),0.5,1)/$F$5)</f>
        <v/>
      </c>
      <c r="AN54" s="177">
        <f>IF(OR(AN$15&lt;$G54,AN$15&gt;$G54+$F$5),0,IF(OR(AN$15=$G54,AN$15=$G54+$F$5),0.5,1)/$F$5)</f>
        <v/>
      </c>
      <c r="AO54" s="177">
        <f>IF(OR(AO$15&lt;$G54,AO$15&gt;$G54+$F$5),0,IF(OR(AO$15=$G54,AO$15=$G54+$F$5),0.5,1)/$F$5)</f>
        <v/>
      </c>
      <c r="AP54" s="177">
        <f>IF(OR(AP$15&lt;$G54,AP$15&gt;$G54+$F$5),0,IF(OR(AP$15=$G54,AP$15=$G54+$F$5),0.5,1)/$F$5)</f>
        <v/>
      </c>
      <c r="AQ54" s="177">
        <f>IF(OR(AQ$15&lt;$G54,AQ$15&gt;$G54+$F$5),0,IF(OR(AQ$15=$G54,AQ$15=$G54+$F$5),0.5,1)/$F$5)</f>
        <v/>
      </c>
      <c r="AR54" s="177">
        <f>IF(OR(AR$15&lt;$G54,AR$15&gt;$G54+$F$5),0,IF(OR(AR$15=$G54,AR$15=$G54+$F$5),0.5,1)/$F$5)</f>
        <v/>
      </c>
      <c r="AS54" s="177">
        <f>IF(OR(AS$15&lt;$G54,AS$15&gt;$G54+$F$5),0,IF(OR(AS$15=$G54,AS$15=$G54+$F$5),0.5,1)/$F$5)</f>
        <v/>
      </c>
      <c r="AT54" s="177">
        <f>IF(OR(AT$15&lt;$G54,AT$15&gt;$G54+$F$5),0,IF(OR(AT$15=$G54,AT$15=$G54+$F$5),0.5,1)/$F$5)</f>
        <v/>
      </c>
      <c r="AU54" s="177">
        <f>IF(OR(AU$15&lt;$G54,AU$15&gt;$G54+$F$5),0,IF(OR(AU$15=$G54,AU$15=$G54+$F$5),0.5,1)/$F$5)</f>
        <v/>
      </c>
      <c r="AV54" s="177">
        <f>IF(OR(AV$15&lt;$G54,AV$15&gt;$G54+$F$5),0,IF(OR(AV$15=$G54,AV$15=$G54+$F$5),0.5,1)/$F$5)</f>
        <v/>
      </c>
      <c r="AW54" s="177">
        <f>IF(OR(AW$15&lt;$G54,AW$15&gt;$G54+$F$5),0,IF(OR(AW$15=$G54,AW$15=$G54+$F$5),0.5,1)/$F$5)</f>
        <v/>
      </c>
      <c r="AX54" s="177">
        <f>IF(OR(AX$15&lt;$G54,AX$15&gt;$G54+$F$5),0,IF(OR(AX$15=$G54,AX$15=$G54+$F$5),0.5,1)/$F$5)</f>
        <v/>
      </c>
      <c r="AY54" s="177">
        <f>IF(OR(AY$15&lt;$G54,AY$15&gt;$G54+$F$5),0,IF(OR(AY$15=$G54,AY$15=$G54+$F$5),0.5,1)/$F$5)</f>
        <v/>
      </c>
      <c r="AZ54" s="177">
        <f>IF(OR(AZ$15&lt;$G54,AZ$15&gt;$G54+$F$5),0,IF(OR(AZ$15=$G54,AZ$15=$G54+$F$5),0.5,1)/$F$5)</f>
        <v/>
      </c>
      <c r="BA54" s="177">
        <f>IF(OR(BA$15&lt;$G54,BA$15&gt;$G54+$F$5),0,IF(OR(BA$15=$G54,BA$15=$G54+$F$5),0.5,1)/$F$5)</f>
        <v/>
      </c>
      <c r="BB54" s="177">
        <f>IF(OR(BB$15&lt;$G54,BB$15&gt;$G54+$F$5),0,IF(OR(BB$15=$G54,BB$15=$G54+$F$5),0.5,1)/$F$5)</f>
        <v/>
      </c>
      <c r="BC54" s="177">
        <f>IF(OR(BC$15&lt;$G54,BC$15&gt;$G54+$F$5),0,IF(OR(BC$15=$G54,BC$15=$G54+$F$5),0.5,1)/$F$5)</f>
        <v/>
      </c>
      <c r="BD54" s="177">
        <f>IF(OR(BD$15&lt;$G54,BD$15&gt;$G54+$F$5),0,IF(OR(BD$15=$G54,BD$15=$G54+$F$5),0.5,1)/$F$5)</f>
        <v/>
      </c>
      <c r="BE54" s="177">
        <f>IF(OR(BE$15&lt;$G54,BE$15&gt;$G54+$F$5),0,IF(OR(BE$15=$G54,BE$15=$G54+$F$5),0.5,1)/$F$5)</f>
        <v/>
      </c>
      <c r="BF54" s="211">
        <f>IF(OR($G54&lt;V$15,$G54+$F$5&gt;BE$15),0,ABS(SUM(V54:BE54)-1))</f>
        <v/>
      </c>
    </row>
    <row r="55">
      <c r="A55" s="145" t="n">
        <v>39</v>
      </c>
      <c r="B55" s="204">
        <f>EDATE($B54,1)</f>
        <v/>
      </c>
      <c r="C55" s="205">
        <f>EOMONTH($B55,0)</f>
        <v/>
      </c>
      <c r="D55" s="201">
        <f>$C55-$B55+1</f>
        <v/>
      </c>
      <c r="E55" s="201">
        <f>MONTH($B55)</f>
        <v/>
      </c>
      <c r="F55" s="206">
        <f>($B55+$C55+1)/2</f>
        <v/>
      </c>
      <c r="G55" s="201">
        <f>YEAR($B55)*12+MONTH($B55)-1</f>
        <v/>
      </c>
      <c r="H55" s="207">
        <f>IF(OR(nr_SeasonOn="OFF",$F$6=0,$F$7=0),1,12*INDEX(se_block,$F$6,$E55)/$F$7)</f>
        <v/>
      </c>
      <c r="I55" s="208">
        <f>EXP(SUMPRODUCT((rl_eff&lt;$B55)*(rl_key=nr_SelKey)*rl_ln1p))</f>
        <v/>
      </c>
      <c r="J55" s="208">
        <f>EXP(SUMPRODUCT((rl_eff&lt;=$C55)*(rl_key=nr_SelKey)*rl_ln1p))</f>
        <v/>
      </c>
      <c r="K55" s="201">
        <f>COUNTIFS(rl_key,nr_SelKey,rl_eff,"&gt;="&amp;$B55,rl_eff,"&lt;="&amp;$C55)</f>
        <v/>
      </c>
      <c r="L55" s="201">
        <f>SUMIFS(rl_daysafter,rl_key,nr_SelKey,rl_effmonth,$B55,rl_first,1)</f>
        <v/>
      </c>
      <c r="M55" s="209">
        <f>IF($K55=0,0,MIN(1,$L55/$D55))</f>
        <v/>
      </c>
      <c r="N55" s="208">
        <f>IF($K55=0,$J55,(1-$M55)*$I55+$M55*$J55)</f>
        <v/>
      </c>
      <c r="O55" s="210">
        <f>'Mod Engine'!$E55</f>
        <v/>
      </c>
      <c r="P55" s="208">
        <f>MIN(1,MAX(0,(nr_MEndPm1-$G55+0.5)/$F$5))-MIN(1,MAX(0,(nr_MStartPm1-1-$G55+0.5)/$F$5))</f>
        <v/>
      </c>
      <c r="Q55" s="208">
        <f>MIN(1,MAX(0,(nr_MEndP-$G55+0.5)/$F$5))-MIN(1,MAX(0,(nr_MStartP-1-$G55+0.5)/$F$5))</f>
        <v/>
      </c>
      <c r="R55" s="208">
        <f>MIN(1,MAX(0,(nr_MEndP1-$G55+0.5)/$F$5))-MIN(1,MAX(0,(nr_MStartP1-1-$G55+0.5)/$F$5))</f>
        <v/>
      </c>
      <c r="S55" s="208">
        <f>IF(nr_NetMode,$N55*IF(nr_ModAdjEff="ON",$O55/nr_MInd,1),"")</f>
        <v/>
      </c>
      <c r="T55" s="208">
        <f>IF(NOT(nr_NetMode),"",IF($G55&lt;nr_MStartP,$S55,$T43*(1+IF($G55&lt;nr_MStartP1,nr_NetSelP,nr_NetSelP1))))</f>
        <v/>
      </c>
      <c r="U55" s="208">
        <f>IF(nr_NetMode,$T55,$N55)</f>
        <v/>
      </c>
      <c r="V55" s="177">
        <f>IF(OR(V$15&lt;$G55,V$15&gt;$G55+$F$5),0,IF(OR(V$15=$G55,V$15=$G55+$F$5),0.5,1)/$F$5)</f>
        <v/>
      </c>
      <c r="W55" s="177">
        <f>IF(OR(W$15&lt;$G55,W$15&gt;$G55+$F$5),0,IF(OR(W$15=$G55,W$15=$G55+$F$5),0.5,1)/$F$5)</f>
        <v/>
      </c>
      <c r="X55" s="177">
        <f>IF(OR(X$15&lt;$G55,X$15&gt;$G55+$F$5),0,IF(OR(X$15=$G55,X$15=$G55+$F$5),0.5,1)/$F$5)</f>
        <v/>
      </c>
      <c r="Y55" s="177">
        <f>IF(OR(Y$15&lt;$G55,Y$15&gt;$G55+$F$5),0,IF(OR(Y$15=$G55,Y$15=$G55+$F$5),0.5,1)/$F$5)</f>
        <v/>
      </c>
      <c r="Z55" s="177">
        <f>IF(OR(Z$15&lt;$G55,Z$15&gt;$G55+$F$5),0,IF(OR(Z$15=$G55,Z$15=$G55+$F$5),0.5,1)/$F$5)</f>
        <v/>
      </c>
      <c r="AA55" s="177">
        <f>IF(OR(AA$15&lt;$G55,AA$15&gt;$G55+$F$5),0,IF(OR(AA$15=$G55,AA$15=$G55+$F$5),0.5,1)/$F$5)</f>
        <v/>
      </c>
      <c r="AB55" s="177">
        <f>IF(OR(AB$15&lt;$G55,AB$15&gt;$G55+$F$5),0,IF(OR(AB$15=$G55,AB$15=$G55+$F$5),0.5,1)/$F$5)</f>
        <v/>
      </c>
      <c r="AC55" s="177">
        <f>IF(OR(AC$15&lt;$G55,AC$15&gt;$G55+$F$5),0,IF(OR(AC$15=$G55,AC$15=$G55+$F$5),0.5,1)/$F$5)</f>
        <v/>
      </c>
      <c r="AD55" s="177">
        <f>IF(OR(AD$15&lt;$G55,AD$15&gt;$G55+$F$5),0,IF(OR(AD$15=$G55,AD$15=$G55+$F$5),0.5,1)/$F$5)</f>
        <v/>
      </c>
      <c r="AE55" s="177">
        <f>IF(OR(AE$15&lt;$G55,AE$15&gt;$G55+$F$5),0,IF(OR(AE$15=$G55,AE$15=$G55+$F$5),0.5,1)/$F$5)</f>
        <v/>
      </c>
      <c r="AF55" s="177">
        <f>IF(OR(AF$15&lt;$G55,AF$15&gt;$G55+$F$5),0,IF(OR(AF$15=$G55,AF$15=$G55+$F$5),0.5,1)/$F$5)</f>
        <v/>
      </c>
      <c r="AG55" s="177">
        <f>IF(OR(AG$15&lt;$G55,AG$15&gt;$G55+$F$5),0,IF(OR(AG$15=$G55,AG$15=$G55+$F$5),0.5,1)/$F$5)</f>
        <v/>
      </c>
      <c r="AH55" s="177">
        <f>IF(OR(AH$15&lt;$G55,AH$15&gt;$G55+$F$5),0,IF(OR(AH$15=$G55,AH$15=$G55+$F$5),0.5,1)/$F$5)</f>
        <v/>
      </c>
      <c r="AI55" s="177">
        <f>IF(OR(AI$15&lt;$G55,AI$15&gt;$G55+$F$5),0,IF(OR(AI$15=$G55,AI$15=$G55+$F$5),0.5,1)/$F$5)</f>
        <v/>
      </c>
      <c r="AJ55" s="177">
        <f>IF(OR(AJ$15&lt;$G55,AJ$15&gt;$G55+$F$5),0,IF(OR(AJ$15=$G55,AJ$15=$G55+$F$5),0.5,1)/$F$5)</f>
        <v/>
      </c>
      <c r="AK55" s="177">
        <f>IF(OR(AK$15&lt;$G55,AK$15&gt;$G55+$F$5),0,IF(OR(AK$15=$G55,AK$15=$G55+$F$5),0.5,1)/$F$5)</f>
        <v/>
      </c>
      <c r="AL55" s="177">
        <f>IF(OR(AL$15&lt;$G55,AL$15&gt;$G55+$F$5),0,IF(OR(AL$15=$G55,AL$15=$G55+$F$5),0.5,1)/$F$5)</f>
        <v/>
      </c>
      <c r="AM55" s="177">
        <f>IF(OR(AM$15&lt;$G55,AM$15&gt;$G55+$F$5),0,IF(OR(AM$15=$G55,AM$15=$G55+$F$5),0.5,1)/$F$5)</f>
        <v/>
      </c>
      <c r="AN55" s="177">
        <f>IF(OR(AN$15&lt;$G55,AN$15&gt;$G55+$F$5),0,IF(OR(AN$15=$G55,AN$15=$G55+$F$5),0.5,1)/$F$5)</f>
        <v/>
      </c>
      <c r="AO55" s="177">
        <f>IF(OR(AO$15&lt;$G55,AO$15&gt;$G55+$F$5),0,IF(OR(AO$15=$G55,AO$15=$G55+$F$5),0.5,1)/$F$5)</f>
        <v/>
      </c>
      <c r="AP55" s="177">
        <f>IF(OR(AP$15&lt;$G55,AP$15&gt;$G55+$F$5),0,IF(OR(AP$15=$G55,AP$15=$G55+$F$5),0.5,1)/$F$5)</f>
        <v/>
      </c>
      <c r="AQ55" s="177">
        <f>IF(OR(AQ$15&lt;$G55,AQ$15&gt;$G55+$F$5),0,IF(OR(AQ$15=$G55,AQ$15=$G55+$F$5),0.5,1)/$F$5)</f>
        <v/>
      </c>
      <c r="AR55" s="177">
        <f>IF(OR(AR$15&lt;$G55,AR$15&gt;$G55+$F$5),0,IF(OR(AR$15=$G55,AR$15=$G55+$F$5),0.5,1)/$F$5)</f>
        <v/>
      </c>
      <c r="AS55" s="177">
        <f>IF(OR(AS$15&lt;$G55,AS$15&gt;$G55+$F$5),0,IF(OR(AS$15=$G55,AS$15=$G55+$F$5),0.5,1)/$F$5)</f>
        <v/>
      </c>
      <c r="AT55" s="177">
        <f>IF(OR(AT$15&lt;$G55,AT$15&gt;$G55+$F$5),0,IF(OR(AT$15=$G55,AT$15=$G55+$F$5),0.5,1)/$F$5)</f>
        <v/>
      </c>
      <c r="AU55" s="177">
        <f>IF(OR(AU$15&lt;$G55,AU$15&gt;$G55+$F$5),0,IF(OR(AU$15=$G55,AU$15=$G55+$F$5),0.5,1)/$F$5)</f>
        <v/>
      </c>
      <c r="AV55" s="177">
        <f>IF(OR(AV$15&lt;$G55,AV$15&gt;$G55+$F$5),0,IF(OR(AV$15=$G55,AV$15=$G55+$F$5),0.5,1)/$F$5)</f>
        <v/>
      </c>
      <c r="AW55" s="177">
        <f>IF(OR(AW$15&lt;$G55,AW$15&gt;$G55+$F$5),0,IF(OR(AW$15=$G55,AW$15=$G55+$F$5),0.5,1)/$F$5)</f>
        <v/>
      </c>
      <c r="AX55" s="177">
        <f>IF(OR(AX$15&lt;$G55,AX$15&gt;$G55+$F$5),0,IF(OR(AX$15=$G55,AX$15=$G55+$F$5),0.5,1)/$F$5)</f>
        <v/>
      </c>
      <c r="AY55" s="177">
        <f>IF(OR(AY$15&lt;$G55,AY$15&gt;$G55+$F$5),0,IF(OR(AY$15=$G55,AY$15=$G55+$F$5),0.5,1)/$F$5)</f>
        <v/>
      </c>
      <c r="AZ55" s="177">
        <f>IF(OR(AZ$15&lt;$G55,AZ$15&gt;$G55+$F$5),0,IF(OR(AZ$15=$G55,AZ$15=$G55+$F$5),0.5,1)/$F$5)</f>
        <v/>
      </c>
      <c r="BA55" s="177">
        <f>IF(OR(BA$15&lt;$G55,BA$15&gt;$G55+$F$5),0,IF(OR(BA$15=$G55,BA$15=$G55+$F$5),0.5,1)/$F$5)</f>
        <v/>
      </c>
      <c r="BB55" s="177">
        <f>IF(OR(BB$15&lt;$G55,BB$15&gt;$G55+$F$5),0,IF(OR(BB$15=$G55,BB$15=$G55+$F$5),0.5,1)/$F$5)</f>
        <v/>
      </c>
      <c r="BC55" s="177">
        <f>IF(OR(BC$15&lt;$G55,BC$15&gt;$G55+$F$5),0,IF(OR(BC$15=$G55,BC$15=$G55+$F$5),0.5,1)/$F$5)</f>
        <v/>
      </c>
      <c r="BD55" s="177">
        <f>IF(OR(BD$15&lt;$G55,BD$15&gt;$G55+$F$5),0,IF(OR(BD$15=$G55,BD$15=$G55+$F$5),0.5,1)/$F$5)</f>
        <v/>
      </c>
      <c r="BE55" s="177">
        <f>IF(OR(BE$15&lt;$G55,BE$15&gt;$G55+$F$5),0,IF(OR(BE$15=$G55,BE$15=$G55+$F$5),0.5,1)/$F$5)</f>
        <v/>
      </c>
      <c r="BF55" s="211">
        <f>IF(OR($G55&lt;V$15,$G55+$F$5&gt;BE$15),0,ABS(SUM(V55:BE55)-1))</f>
        <v/>
      </c>
    </row>
    <row r="56">
      <c r="A56" s="145" t="n">
        <v>40</v>
      </c>
      <c r="B56" s="204">
        <f>EDATE($B55,1)</f>
        <v/>
      </c>
      <c r="C56" s="205">
        <f>EOMONTH($B56,0)</f>
        <v/>
      </c>
      <c r="D56" s="201">
        <f>$C56-$B56+1</f>
        <v/>
      </c>
      <c r="E56" s="201">
        <f>MONTH($B56)</f>
        <v/>
      </c>
      <c r="F56" s="206">
        <f>($B56+$C56+1)/2</f>
        <v/>
      </c>
      <c r="G56" s="201">
        <f>YEAR($B56)*12+MONTH($B56)-1</f>
        <v/>
      </c>
      <c r="H56" s="207">
        <f>IF(OR(nr_SeasonOn="OFF",$F$6=0,$F$7=0),1,12*INDEX(se_block,$F$6,$E56)/$F$7)</f>
        <v/>
      </c>
      <c r="I56" s="208">
        <f>EXP(SUMPRODUCT((rl_eff&lt;$B56)*(rl_key=nr_SelKey)*rl_ln1p))</f>
        <v/>
      </c>
      <c r="J56" s="208">
        <f>EXP(SUMPRODUCT((rl_eff&lt;=$C56)*(rl_key=nr_SelKey)*rl_ln1p))</f>
        <v/>
      </c>
      <c r="K56" s="201">
        <f>COUNTIFS(rl_key,nr_SelKey,rl_eff,"&gt;="&amp;$B56,rl_eff,"&lt;="&amp;$C56)</f>
        <v/>
      </c>
      <c r="L56" s="201">
        <f>SUMIFS(rl_daysafter,rl_key,nr_SelKey,rl_effmonth,$B56,rl_first,1)</f>
        <v/>
      </c>
      <c r="M56" s="209">
        <f>IF($K56=0,0,MIN(1,$L56/$D56))</f>
        <v/>
      </c>
      <c r="N56" s="208">
        <f>IF($K56=0,$J56,(1-$M56)*$I56+$M56*$J56)</f>
        <v/>
      </c>
      <c r="O56" s="210">
        <f>'Mod Engine'!$E56</f>
        <v/>
      </c>
      <c r="P56" s="208">
        <f>MIN(1,MAX(0,(nr_MEndPm1-$G56+0.5)/$F$5))-MIN(1,MAX(0,(nr_MStartPm1-1-$G56+0.5)/$F$5))</f>
        <v/>
      </c>
      <c r="Q56" s="208">
        <f>MIN(1,MAX(0,(nr_MEndP-$G56+0.5)/$F$5))-MIN(1,MAX(0,(nr_MStartP-1-$G56+0.5)/$F$5))</f>
        <v/>
      </c>
      <c r="R56" s="208">
        <f>MIN(1,MAX(0,(nr_MEndP1-$G56+0.5)/$F$5))-MIN(1,MAX(0,(nr_MStartP1-1-$G56+0.5)/$F$5))</f>
        <v/>
      </c>
      <c r="S56" s="208">
        <f>IF(nr_NetMode,$N56*IF(nr_ModAdjEff="ON",$O56/nr_MInd,1),"")</f>
        <v/>
      </c>
      <c r="T56" s="208">
        <f>IF(NOT(nr_NetMode),"",IF($G56&lt;nr_MStartP,$S56,$T44*(1+IF($G56&lt;nr_MStartP1,nr_NetSelP,nr_NetSelP1))))</f>
        <v/>
      </c>
      <c r="U56" s="208">
        <f>IF(nr_NetMode,$T56,$N56)</f>
        <v/>
      </c>
      <c r="V56" s="177">
        <f>IF(OR(V$15&lt;$G56,V$15&gt;$G56+$F$5),0,IF(OR(V$15=$G56,V$15=$G56+$F$5),0.5,1)/$F$5)</f>
        <v/>
      </c>
      <c r="W56" s="177">
        <f>IF(OR(W$15&lt;$G56,W$15&gt;$G56+$F$5),0,IF(OR(W$15=$G56,W$15=$G56+$F$5),0.5,1)/$F$5)</f>
        <v/>
      </c>
      <c r="X56" s="177">
        <f>IF(OR(X$15&lt;$G56,X$15&gt;$G56+$F$5),0,IF(OR(X$15=$G56,X$15=$G56+$F$5),0.5,1)/$F$5)</f>
        <v/>
      </c>
      <c r="Y56" s="177">
        <f>IF(OR(Y$15&lt;$G56,Y$15&gt;$G56+$F$5),0,IF(OR(Y$15=$G56,Y$15=$G56+$F$5),0.5,1)/$F$5)</f>
        <v/>
      </c>
      <c r="Z56" s="177">
        <f>IF(OR(Z$15&lt;$G56,Z$15&gt;$G56+$F$5),0,IF(OR(Z$15=$G56,Z$15=$G56+$F$5),0.5,1)/$F$5)</f>
        <v/>
      </c>
      <c r="AA56" s="177">
        <f>IF(OR(AA$15&lt;$G56,AA$15&gt;$G56+$F$5),0,IF(OR(AA$15=$G56,AA$15=$G56+$F$5),0.5,1)/$F$5)</f>
        <v/>
      </c>
      <c r="AB56" s="177">
        <f>IF(OR(AB$15&lt;$G56,AB$15&gt;$G56+$F$5),0,IF(OR(AB$15=$G56,AB$15=$G56+$F$5),0.5,1)/$F$5)</f>
        <v/>
      </c>
      <c r="AC56" s="177">
        <f>IF(OR(AC$15&lt;$G56,AC$15&gt;$G56+$F$5),0,IF(OR(AC$15=$G56,AC$15=$G56+$F$5),0.5,1)/$F$5)</f>
        <v/>
      </c>
      <c r="AD56" s="177">
        <f>IF(OR(AD$15&lt;$G56,AD$15&gt;$G56+$F$5),0,IF(OR(AD$15=$G56,AD$15=$G56+$F$5),0.5,1)/$F$5)</f>
        <v/>
      </c>
      <c r="AE56" s="177">
        <f>IF(OR(AE$15&lt;$G56,AE$15&gt;$G56+$F$5),0,IF(OR(AE$15=$G56,AE$15=$G56+$F$5),0.5,1)/$F$5)</f>
        <v/>
      </c>
      <c r="AF56" s="177">
        <f>IF(OR(AF$15&lt;$G56,AF$15&gt;$G56+$F$5),0,IF(OR(AF$15=$G56,AF$15=$G56+$F$5),0.5,1)/$F$5)</f>
        <v/>
      </c>
      <c r="AG56" s="177">
        <f>IF(OR(AG$15&lt;$G56,AG$15&gt;$G56+$F$5),0,IF(OR(AG$15=$G56,AG$15=$G56+$F$5),0.5,1)/$F$5)</f>
        <v/>
      </c>
      <c r="AH56" s="177">
        <f>IF(OR(AH$15&lt;$G56,AH$15&gt;$G56+$F$5),0,IF(OR(AH$15=$G56,AH$15=$G56+$F$5),0.5,1)/$F$5)</f>
        <v/>
      </c>
      <c r="AI56" s="177">
        <f>IF(OR(AI$15&lt;$G56,AI$15&gt;$G56+$F$5),0,IF(OR(AI$15=$G56,AI$15=$G56+$F$5),0.5,1)/$F$5)</f>
        <v/>
      </c>
      <c r="AJ56" s="177">
        <f>IF(OR(AJ$15&lt;$G56,AJ$15&gt;$G56+$F$5),0,IF(OR(AJ$15=$G56,AJ$15=$G56+$F$5),0.5,1)/$F$5)</f>
        <v/>
      </c>
      <c r="AK56" s="177">
        <f>IF(OR(AK$15&lt;$G56,AK$15&gt;$G56+$F$5),0,IF(OR(AK$15=$G56,AK$15=$G56+$F$5),0.5,1)/$F$5)</f>
        <v/>
      </c>
      <c r="AL56" s="177">
        <f>IF(OR(AL$15&lt;$G56,AL$15&gt;$G56+$F$5),0,IF(OR(AL$15=$G56,AL$15=$G56+$F$5),0.5,1)/$F$5)</f>
        <v/>
      </c>
      <c r="AM56" s="177">
        <f>IF(OR(AM$15&lt;$G56,AM$15&gt;$G56+$F$5),0,IF(OR(AM$15=$G56,AM$15=$G56+$F$5),0.5,1)/$F$5)</f>
        <v/>
      </c>
      <c r="AN56" s="177">
        <f>IF(OR(AN$15&lt;$G56,AN$15&gt;$G56+$F$5),0,IF(OR(AN$15=$G56,AN$15=$G56+$F$5),0.5,1)/$F$5)</f>
        <v/>
      </c>
      <c r="AO56" s="177">
        <f>IF(OR(AO$15&lt;$G56,AO$15&gt;$G56+$F$5),0,IF(OR(AO$15=$G56,AO$15=$G56+$F$5),0.5,1)/$F$5)</f>
        <v/>
      </c>
      <c r="AP56" s="177">
        <f>IF(OR(AP$15&lt;$G56,AP$15&gt;$G56+$F$5),0,IF(OR(AP$15=$G56,AP$15=$G56+$F$5),0.5,1)/$F$5)</f>
        <v/>
      </c>
      <c r="AQ56" s="177">
        <f>IF(OR(AQ$15&lt;$G56,AQ$15&gt;$G56+$F$5),0,IF(OR(AQ$15=$G56,AQ$15=$G56+$F$5),0.5,1)/$F$5)</f>
        <v/>
      </c>
      <c r="AR56" s="177">
        <f>IF(OR(AR$15&lt;$G56,AR$15&gt;$G56+$F$5),0,IF(OR(AR$15=$G56,AR$15=$G56+$F$5),0.5,1)/$F$5)</f>
        <v/>
      </c>
      <c r="AS56" s="177">
        <f>IF(OR(AS$15&lt;$G56,AS$15&gt;$G56+$F$5),0,IF(OR(AS$15=$G56,AS$15=$G56+$F$5),0.5,1)/$F$5)</f>
        <v/>
      </c>
      <c r="AT56" s="177">
        <f>IF(OR(AT$15&lt;$G56,AT$15&gt;$G56+$F$5),0,IF(OR(AT$15=$G56,AT$15=$G56+$F$5),0.5,1)/$F$5)</f>
        <v/>
      </c>
      <c r="AU56" s="177">
        <f>IF(OR(AU$15&lt;$G56,AU$15&gt;$G56+$F$5),0,IF(OR(AU$15=$G56,AU$15=$G56+$F$5),0.5,1)/$F$5)</f>
        <v/>
      </c>
      <c r="AV56" s="177">
        <f>IF(OR(AV$15&lt;$G56,AV$15&gt;$G56+$F$5),0,IF(OR(AV$15=$G56,AV$15=$G56+$F$5),0.5,1)/$F$5)</f>
        <v/>
      </c>
      <c r="AW56" s="177">
        <f>IF(OR(AW$15&lt;$G56,AW$15&gt;$G56+$F$5),0,IF(OR(AW$15=$G56,AW$15=$G56+$F$5),0.5,1)/$F$5)</f>
        <v/>
      </c>
      <c r="AX56" s="177">
        <f>IF(OR(AX$15&lt;$G56,AX$15&gt;$G56+$F$5),0,IF(OR(AX$15=$G56,AX$15=$G56+$F$5),0.5,1)/$F$5)</f>
        <v/>
      </c>
      <c r="AY56" s="177">
        <f>IF(OR(AY$15&lt;$G56,AY$15&gt;$G56+$F$5),0,IF(OR(AY$15=$G56,AY$15=$G56+$F$5),0.5,1)/$F$5)</f>
        <v/>
      </c>
      <c r="AZ56" s="177">
        <f>IF(OR(AZ$15&lt;$G56,AZ$15&gt;$G56+$F$5),0,IF(OR(AZ$15=$G56,AZ$15=$G56+$F$5),0.5,1)/$F$5)</f>
        <v/>
      </c>
      <c r="BA56" s="177">
        <f>IF(OR(BA$15&lt;$G56,BA$15&gt;$G56+$F$5),0,IF(OR(BA$15=$G56,BA$15=$G56+$F$5),0.5,1)/$F$5)</f>
        <v/>
      </c>
      <c r="BB56" s="177">
        <f>IF(OR(BB$15&lt;$G56,BB$15&gt;$G56+$F$5),0,IF(OR(BB$15=$G56,BB$15=$G56+$F$5),0.5,1)/$F$5)</f>
        <v/>
      </c>
      <c r="BC56" s="177">
        <f>IF(OR(BC$15&lt;$G56,BC$15&gt;$G56+$F$5),0,IF(OR(BC$15=$G56,BC$15=$G56+$F$5),0.5,1)/$F$5)</f>
        <v/>
      </c>
      <c r="BD56" s="177">
        <f>IF(OR(BD$15&lt;$G56,BD$15&gt;$G56+$F$5),0,IF(OR(BD$15=$G56,BD$15=$G56+$F$5),0.5,1)/$F$5)</f>
        <v/>
      </c>
      <c r="BE56" s="177">
        <f>IF(OR(BE$15&lt;$G56,BE$15&gt;$G56+$F$5),0,IF(OR(BE$15=$G56,BE$15=$G56+$F$5),0.5,1)/$F$5)</f>
        <v/>
      </c>
      <c r="BF56" s="211">
        <f>IF(OR($G56&lt;V$15,$G56+$F$5&gt;BE$15),0,ABS(SUM(V56:BE56)-1))</f>
        <v/>
      </c>
    </row>
    <row r="57">
      <c r="A57" s="145" t="n">
        <v>41</v>
      </c>
      <c r="B57" s="204">
        <f>EDATE($B56,1)</f>
        <v/>
      </c>
      <c r="C57" s="205">
        <f>EOMONTH($B57,0)</f>
        <v/>
      </c>
      <c r="D57" s="201">
        <f>$C57-$B57+1</f>
        <v/>
      </c>
      <c r="E57" s="201">
        <f>MONTH($B57)</f>
        <v/>
      </c>
      <c r="F57" s="206">
        <f>($B57+$C57+1)/2</f>
        <v/>
      </c>
      <c r="G57" s="201">
        <f>YEAR($B57)*12+MONTH($B57)-1</f>
        <v/>
      </c>
      <c r="H57" s="207">
        <f>IF(OR(nr_SeasonOn="OFF",$F$6=0,$F$7=0),1,12*INDEX(se_block,$F$6,$E57)/$F$7)</f>
        <v/>
      </c>
      <c r="I57" s="208">
        <f>EXP(SUMPRODUCT((rl_eff&lt;$B57)*(rl_key=nr_SelKey)*rl_ln1p))</f>
        <v/>
      </c>
      <c r="J57" s="208">
        <f>EXP(SUMPRODUCT((rl_eff&lt;=$C57)*(rl_key=nr_SelKey)*rl_ln1p))</f>
        <v/>
      </c>
      <c r="K57" s="201">
        <f>COUNTIFS(rl_key,nr_SelKey,rl_eff,"&gt;="&amp;$B57,rl_eff,"&lt;="&amp;$C57)</f>
        <v/>
      </c>
      <c r="L57" s="201">
        <f>SUMIFS(rl_daysafter,rl_key,nr_SelKey,rl_effmonth,$B57,rl_first,1)</f>
        <v/>
      </c>
      <c r="M57" s="209">
        <f>IF($K57=0,0,MIN(1,$L57/$D57))</f>
        <v/>
      </c>
      <c r="N57" s="208">
        <f>IF($K57=0,$J57,(1-$M57)*$I57+$M57*$J57)</f>
        <v/>
      </c>
      <c r="O57" s="210">
        <f>'Mod Engine'!$E57</f>
        <v/>
      </c>
      <c r="P57" s="208">
        <f>MIN(1,MAX(0,(nr_MEndPm1-$G57+0.5)/$F$5))-MIN(1,MAX(0,(nr_MStartPm1-1-$G57+0.5)/$F$5))</f>
        <v/>
      </c>
      <c r="Q57" s="208">
        <f>MIN(1,MAX(0,(nr_MEndP-$G57+0.5)/$F$5))-MIN(1,MAX(0,(nr_MStartP-1-$G57+0.5)/$F$5))</f>
        <v/>
      </c>
      <c r="R57" s="208">
        <f>MIN(1,MAX(0,(nr_MEndP1-$G57+0.5)/$F$5))-MIN(1,MAX(0,(nr_MStartP1-1-$G57+0.5)/$F$5))</f>
        <v/>
      </c>
      <c r="S57" s="208">
        <f>IF(nr_NetMode,$N57*IF(nr_ModAdjEff="ON",$O57/nr_MInd,1),"")</f>
        <v/>
      </c>
      <c r="T57" s="208">
        <f>IF(NOT(nr_NetMode),"",IF($G57&lt;nr_MStartP,$S57,$T45*(1+IF($G57&lt;nr_MStartP1,nr_NetSelP,nr_NetSelP1))))</f>
        <v/>
      </c>
      <c r="U57" s="208">
        <f>IF(nr_NetMode,$T57,$N57)</f>
        <v/>
      </c>
      <c r="V57" s="177">
        <f>IF(OR(V$15&lt;$G57,V$15&gt;$G57+$F$5),0,IF(OR(V$15=$G57,V$15=$G57+$F$5),0.5,1)/$F$5)</f>
        <v/>
      </c>
      <c r="W57" s="177">
        <f>IF(OR(W$15&lt;$G57,W$15&gt;$G57+$F$5),0,IF(OR(W$15=$G57,W$15=$G57+$F$5),0.5,1)/$F$5)</f>
        <v/>
      </c>
      <c r="X57" s="177">
        <f>IF(OR(X$15&lt;$G57,X$15&gt;$G57+$F$5),0,IF(OR(X$15=$G57,X$15=$G57+$F$5),0.5,1)/$F$5)</f>
        <v/>
      </c>
      <c r="Y57" s="177">
        <f>IF(OR(Y$15&lt;$G57,Y$15&gt;$G57+$F$5),0,IF(OR(Y$15=$G57,Y$15=$G57+$F$5),0.5,1)/$F$5)</f>
        <v/>
      </c>
      <c r="Z57" s="177">
        <f>IF(OR(Z$15&lt;$G57,Z$15&gt;$G57+$F$5),0,IF(OR(Z$15=$G57,Z$15=$G57+$F$5),0.5,1)/$F$5)</f>
        <v/>
      </c>
      <c r="AA57" s="177">
        <f>IF(OR(AA$15&lt;$G57,AA$15&gt;$G57+$F$5),0,IF(OR(AA$15=$G57,AA$15=$G57+$F$5),0.5,1)/$F$5)</f>
        <v/>
      </c>
      <c r="AB57" s="177">
        <f>IF(OR(AB$15&lt;$G57,AB$15&gt;$G57+$F$5),0,IF(OR(AB$15=$G57,AB$15=$G57+$F$5),0.5,1)/$F$5)</f>
        <v/>
      </c>
      <c r="AC57" s="177">
        <f>IF(OR(AC$15&lt;$G57,AC$15&gt;$G57+$F$5),0,IF(OR(AC$15=$G57,AC$15=$G57+$F$5),0.5,1)/$F$5)</f>
        <v/>
      </c>
      <c r="AD57" s="177">
        <f>IF(OR(AD$15&lt;$G57,AD$15&gt;$G57+$F$5),0,IF(OR(AD$15=$G57,AD$15=$G57+$F$5),0.5,1)/$F$5)</f>
        <v/>
      </c>
      <c r="AE57" s="177">
        <f>IF(OR(AE$15&lt;$G57,AE$15&gt;$G57+$F$5),0,IF(OR(AE$15=$G57,AE$15=$G57+$F$5),0.5,1)/$F$5)</f>
        <v/>
      </c>
      <c r="AF57" s="177">
        <f>IF(OR(AF$15&lt;$G57,AF$15&gt;$G57+$F$5),0,IF(OR(AF$15=$G57,AF$15=$G57+$F$5),0.5,1)/$F$5)</f>
        <v/>
      </c>
      <c r="AG57" s="177">
        <f>IF(OR(AG$15&lt;$G57,AG$15&gt;$G57+$F$5),0,IF(OR(AG$15=$G57,AG$15=$G57+$F$5),0.5,1)/$F$5)</f>
        <v/>
      </c>
      <c r="AH57" s="177">
        <f>IF(OR(AH$15&lt;$G57,AH$15&gt;$G57+$F$5),0,IF(OR(AH$15=$G57,AH$15=$G57+$F$5),0.5,1)/$F$5)</f>
        <v/>
      </c>
      <c r="AI57" s="177">
        <f>IF(OR(AI$15&lt;$G57,AI$15&gt;$G57+$F$5),0,IF(OR(AI$15=$G57,AI$15=$G57+$F$5),0.5,1)/$F$5)</f>
        <v/>
      </c>
      <c r="AJ57" s="177">
        <f>IF(OR(AJ$15&lt;$G57,AJ$15&gt;$G57+$F$5),0,IF(OR(AJ$15=$G57,AJ$15=$G57+$F$5),0.5,1)/$F$5)</f>
        <v/>
      </c>
      <c r="AK57" s="177">
        <f>IF(OR(AK$15&lt;$G57,AK$15&gt;$G57+$F$5),0,IF(OR(AK$15=$G57,AK$15=$G57+$F$5),0.5,1)/$F$5)</f>
        <v/>
      </c>
      <c r="AL57" s="177">
        <f>IF(OR(AL$15&lt;$G57,AL$15&gt;$G57+$F$5),0,IF(OR(AL$15=$G57,AL$15=$G57+$F$5),0.5,1)/$F$5)</f>
        <v/>
      </c>
      <c r="AM57" s="177">
        <f>IF(OR(AM$15&lt;$G57,AM$15&gt;$G57+$F$5),0,IF(OR(AM$15=$G57,AM$15=$G57+$F$5),0.5,1)/$F$5)</f>
        <v/>
      </c>
      <c r="AN57" s="177">
        <f>IF(OR(AN$15&lt;$G57,AN$15&gt;$G57+$F$5),0,IF(OR(AN$15=$G57,AN$15=$G57+$F$5),0.5,1)/$F$5)</f>
        <v/>
      </c>
      <c r="AO57" s="177">
        <f>IF(OR(AO$15&lt;$G57,AO$15&gt;$G57+$F$5),0,IF(OR(AO$15=$G57,AO$15=$G57+$F$5),0.5,1)/$F$5)</f>
        <v/>
      </c>
      <c r="AP57" s="177">
        <f>IF(OR(AP$15&lt;$G57,AP$15&gt;$G57+$F$5),0,IF(OR(AP$15=$G57,AP$15=$G57+$F$5),0.5,1)/$F$5)</f>
        <v/>
      </c>
      <c r="AQ57" s="177">
        <f>IF(OR(AQ$15&lt;$G57,AQ$15&gt;$G57+$F$5),0,IF(OR(AQ$15=$G57,AQ$15=$G57+$F$5),0.5,1)/$F$5)</f>
        <v/>
      </c>
      <c r="AR57" s="177">
        <f>IF(OR(AR$15&lt;$G57,AR$15&gt;$G57+$F$5),0,IF(OR(AR$15=$G57,AR$15=$G57+$F$5),0.5,1)/$F$5)</f>
        <v/>
      </c>
      <c r="AS57" s="177">
        <f>IF(OR(AS$15&lt;$G57,AS$15&gt;$G57+$F$5),0,IF(OR(AS$15=$G57,AS$15=$G57+$F$5),0.5,1)/$F$5)</f>
        <v/>
      </c>
      <c r="AT57" s="177">
        <f>IF(OR(AT$15&lt;$G57,AT$15&gt;$G57+$F$5),0,IF(OR(AT$15=$G57,AT$15=$G57+$F$5),0.5,1)/$F$5)</f>
        <v/>
      </c>
      <c r="AU57" s="177">
        <f>IF(OR(AU$15&lt;$G57,AU$15&gt;$G57+$F$5),0,IF(OR(AU$15=$G57,AU$15=$G57+$F$5),0.5,1)/$F$5)</f>
        <v/>
      </c>
      <c r="AV57" s="177">
        <f>IF(OR(AV$15&lt;$G57,AV$15&gt;$G57+$F$5),0,IF(OR(AV$15=$G57,AV$15=$G57+$F$5),0.5,1)/$F$5)</f>
        <v/>
      </c>
      <c r="AW57" s="177">
        <f>IF(OR(AW$15&lt;$G57,AW$15&gt;$G57+$F$5),0,IF(OR(AW$15=$G57,AW$15=$G57+$F$5),0.5,1)/$F$5)</f>
        <v/>
      </c>
      <c r="AX57" s="177">
        <f>IF(OR(AX$15&lt;$G57,AX$15&gt;$G57+$F$5),0,IF(OR(AX$15=$G57,AX$15=$G57+$F$5),0.5,1)/$F$5)</f>
        <v/>
      </c>
      <c r="AY57" s="177">
        <f>IF(OR(AY$15&lt;$G57,AY$15&gt;$G57+$F$5),0,IF(OR(AY$15=$G57,AY$15=$G57+$F$5),0.5,1)/$F$5)</f>
        <v/>
      </c>
      <c r="AZ57" s="177">
        <f>IF(OR(AZ$15&lt;$G57,AZ$15&gt;$G57+$F$5),0,IF(OR(AZ$15=$G57,AZ$15=$G57+$F$5),0.5,1)/$F$5)</f>
        <v/>
      </c>
      <c r="BA57" s="177">
        <f>IF(OR(BA$15&lt;$G57,BA$15&gt;$G57+$F$5),0,IF(OR(BA$15=$G57,BA$15=$G57+$F$5),0.5,1)/$F$5)</f>
        <v/>
      </c>
      <c r="BB57" s="177">
        <f>IF(OR(BB$15&lt;$G57,BB$15&gt;$G57+$F$5),0,IF(OR(BB$15=$G57,BB$15=$G57+$F$5),0.5,1)/$F$5)</f>
        <v/>
      </c>
      <c r="BC57" s="177">
        <f>IF(OR(BC$15&lt;$G57,BC$15&gt;$G57+$F$5),0,IF(OR(BC$15=$G57,BC$15=$G57+$F$5),0.5,1)/$F$5)</f>
        <v/>
      </c>
      <c r="BD57" s="177">
        <f>IF(OR(BD$15&lt;$G57,BD$15&gt;$G57+$F$5),0,IF(OR(BD$15=$G57,BD$15=$G57+$F$5),0.5,1)/$F$5)</f>
        <v/>
      </c>
      <c r="BE57" s="177">
        <f>IF(OR(BE$15&lt;$G57,BE$15&gt;$G57+$F$5),0,IF(OR(BE$15=$G57,BE$15=$G57+$F$5),0.5,1)/$F$5)</f>
        <v/>
      </c>
      <c r="BF57" s="211">
        <f>IF(OR($G57&lt;V$15,$G57+$F$5&gt;BE$15),0,ABS(SUM(V57:BE57)-1))</f>
        <v/>
      </c>
    </row>
    <row r="58">
      <c r="A58" s="145" t="n">
        <v>42</v>
      </c>
      <c r="B58" s="204">
        <f>EDATE($B57,1)</f>
        <v/>
      </c>
      <c r="C58" s="205">
        <f>EOMONTH($B58,0)</f>
        <v/>
      </c>
      <c r="D58" s="201">
        <f>$C58-$B58+1</f>
        <v/>
      </c>
      <c r="E58" s="201">
        <f>MONTH($B58)</f>
        <v/>
      </c>
      <c r="F58" s="206">
        <f>($B58+$C58+1)/2</f>
        <v/>
      </c>
      <c r="G58" s="201">
        <f>YEAR($B58)*12+MONTH($B58)-1</f>
        <v/>
      </c>
      <c r="H58" s="207">
        <f>IF(OR(nr_SeasonOn="OFF",$F$6=0,$F$7=0),1,12*INDEX(se_block,$F$6,$E58)/$F$7)</f>
        <v/>
      </c>
      <c r="I58" s="208">
        <f>EXP(SUMPRODUCT((rl_eff&lt;$B58)*(rl_key=nr_SelKey)*rl_ln1p))</f>
        <v/>
      </c>
      <c r="J58" s="208">
        <f>EXP(SUMPRODUCT((rl_eff&lt;=$C58)*(rl_key=nr_SelKey)*rl_ln1p))</f>
        <v/>
      </c>
      <c r="K58" s="201">
        <f>COUNTIFS(rl_key,nr_SelKey,rl_eff,"&gt;="&amp;$B58,rl_eff,"&lt;="&amp;$C58)</f>
        <v/>
      </c>
      <c r="L58" s="201">
        <f>SUMIFS(rl_daysafter,rl_key,nr_SelKey,rl_effmonth,$B58,rl_first,1)</f>
        <v/>
      </c>
      <c r="M58" s="209">
        <f>IF($K58=0,0,MIN(1,$L58/$D58))</f>
        <v/>
      </c>
      <c r="N58" s="208">
        <f>IF($K58=0,$J58,(1-$M58)*$I58+$M58*$J58)</f>
        <v/>
      </c>
      <c r="O58" s="210">
        <f>'Mod Engine'!$E58</f>
        <v/>
      </c>
      <c r="P58" s="208">
        <f>MIN(1,MAX(0,(nr_MEndPm1-$G58+0.5)/$F$5))-MIN(1,MAX(0,(nr_MStartPm1-1-$G58+0.5)/$F$5))</f>
        <v/>
      </c>
      <c r="Q58" s="208">
        <f>MIN(1,MAX(0,(nr_MEndP-$G58+0.5)/$F$5))-MIN(1,MAX(0,(nr_MStartP-1-$G58+0.5)/$F$5))</f>
        <v/>
      </c>
      <c r="R58" s="208">
        <f>MIN(1,MAX(0,(nr_MEndP1-$G58+0.5)/$F$5))-MIN(1,MAX(0,(nr_MStartP1-1-$G58+0.5)/$F$5))</f>
        <v/>
      </c>
      <c r="S58" s="208">
        <f>IF(nr_NetMode,$N58*IF(nr_ModAdjEff="ON",$O58/nr_MInd,1),"")</f>
        <v/>
      </c>
      <c r="T58" s="208">
        <f>IF(NOT(nr_NetMode),"",IF($G58&lt;nr_MStartP,$S58,$T46*(1+IF($G58&lt;nr_MStartP1,nr_NetSelP,nr_NetSelP1))))</f>
        <v/>
      </c>
      <c r="U58" s="208">
        <f>IF(nr_NetMode,$T58,$N58)</f>
        <v/>
      </c>
      <c r="V58" s="177">
        <f>IF(OR(V$15&lt;$G58,V$15&gt;$G58+$F$5),0,IF(OR(V$15=$G58,V$15=$G58+$F$5),0.5,1)/$F$5)</f>
        <v/>
      </c>
      <c r="W58" s="177">
        <f>IF(OR(W$15&lt;$G58,W$15&gt;$G58+$F$5),0,IF(OR(W$15=$G58,W$15=$G58+$F$5),0.5,1)/$F$5)</f>
        <v/>
      </c>
      <c r="X58" s="177">
        <f>IF(OR(X$15&lt;$G58,X$15&gt;$G58+$F$5),0,IF(OR(X$15=$G58,X$15=$G58+$F$5),0.5,1)/$F$5)</f>
        <v/>
      </c>
      <c r="Y58" s="177">
        <f>IF(OR(Y$15&lt;$G58,Y$15&gt;$G58+$F$5),0,IF(OR(Y$15=$G58,Y$15=$G58+$F$5),0.5,1)/$F$5)</f>
        <v/>
      </c>
      <c r="Z58" s="177">
        <f>IF(OR(Z$15&lt;$G58,Z$15&gt;$G58+$F$5),0,IF(OR(Z$15=$G58,Z$15=$G58+$F$5),0.5,1)/$F$5)</f>
        <v/>
      </c>
      <c r="AA58" s="177">
        <f>IF(OR(AA$15&lt;$G58,AA$15&gt;$G58+$F$5),0,IF(OR(AA$15=$G58,AA$15=$G58+$F$5),0.5,1)/$F$5)</f>
        <v/>
      </c>
      <c r="AB58" s="177">
        <f>IF(OR(AB$15&lt;$G58,AB$15&gt;$G58+$F$5),0,IF(OR(AB$15=$G58,AB$15=$G58+$F$5),0.5,1)/$F$5)</f>
        <v/>
      </c>
      <c r="AC58" s="177">
        <f>IF(OR(AC$15&lt;$G58,AC$15&gt;$G58+$F$5),0,IF(OR(AC$15=$G58,AC$15=$G58+$F$5),0.5,1)/$F$5)</f>
        <v/>
      </c>
      <c r="AD58" s="177">
        <f>IF(OR(AD$15&lt;$G58,AD$15&gt;$G58+$F$5),0,IF(OR(AD$15=$G58,AD$15=$G58+$F$5),0.5,1)/$F$5)</f>
        <v/>
      </c>
      <c r="AE58" s="177">
        <f>IF(OR(AE$15&lt;$G58,AE$15&gt;$G58+$F$5),0,IF(OR(AE$15=$G58,AE$15=$G58+$F$5),0.5,1)/$F$5)</f>
        <v/>
      </c>
      <c r="AF58" s="177">
        <f>IF(OR(AF$15&lt;$G58,AF$15&gt;$G58+$F$5),0,IF(OR(AF$15=$G58,AF$15=$G58+$F$5),0.5,1)/$F$5)</f>
        <v/>
      </c>
      <c r="AG58" s="177">
        <f>IF(OR(AG$15&lt;$G58,AG$15&gt;$G58+$F$5),0,IF(OR(AG$15=$G58,AG$15=$G58+$F$5),0.5,1)/$F$5)</f>
        <v/>
      </c>
      <c r="AH58" s="177">
        <f>IF(OR(AH$15&lt;$G58,AH$15&gt;$G58+$F$5),0,IF(OR(AH$15=$G58,AH$15=$G58+$F$5),0.5,1)/$F$5)</f>
        <v/>
      </c>
      <c r="AI58" s="177">
        <f>IF(OR(AI$15&lt;$G58,AI$15&gt;$G58+$F$5),0,IF(OR(AI$15=$G58,AI$15=$G58+$F$5),0.5,1)/$F$5)</f>
        <v/>
      </c>
      <c r="AJ58" s="177">
        <f>IF(OR(AJ$15&lt;$G58,AJ$15&gt;$G58+$F$5),0,IF(OR(AJ$15=$G58,AJ$15=$G58+$F$5),0.5,1)/$F$5)</f>
        <v/>
      </c>
      <c r="AK58" s="177">
        <f>IF(OR(AK$15&lt;$G58,AK$15&gt;$G58+$F$5),0,IF(OR(AK$15=$G58,AK$15=$G58+$F$5),0.5,1)/$F$5)</f>
        <v/>
      </c>
      <c r="AL58" s="177">
        <f>IF(OR(AL$15&lt;$G58,AL$15&gt;$G58+$F$5),0,IF(OR(AL$15=$G58,AL$15=$G58+$F$5),0.5,1)/$F$5)</f>
        <v/>
      </c>
      <c r="AM58" s="177">
        <f>IF(OR(AM$15&lt;$G58,AM$15&gt;$G58+$F$5),0,IF(OR(AM$15=$G58,AM$15=$G58+$F$5),0.5,1)/$F$5)</f>
        <v/>
      </c>
      <c r="AN58" s="177">
        <f>IF(OR(AN$15&lt;$G58,AN$15&gt;$G58+$F$5),0,IF(OR(AN$15=$G58,AN$15=$G58+$F$5),0.5,1)/$F$5)</f>
        <v/>
      </c>
      <c r="AO58" s="177">
        <f>IF(OR(AO$15&lt;$G58,AO$15&gt;$G58+$F$5),0,IF(OR(AO$15=$G58,AO$15=$G58+$F$5),0.5,1)/$F$5)</f>
        <v/>
      </c>
      <c r="AP58" s="177">
        <f>IF(OR(AP$15&lt;$G58,AP$15&gt;$G58+$F$5),0,IF(OR(AP$15=$G58,AP$15=$G58+$F$5),0.5,1)/$F$5)</f>
        <v/>
      </c>
      <c r="AQ58" s="177">
        <f>IF(OR(AQ$15&lt;$G58,AQ$15&gt;$G58+$F$5),0,IF(OR(AQ$15=$G58,AQ$15=$G58+$F$5),0.5,1)/$F$5)</f>
        <v/>
      </c>
      <c r="AR58" s="177">
        <f>IF(OR(AR$15&lt;$G58,AR$15&gt;$G58+$F$5),0,IF(OR(AR$15=$G58,AR$15=$G58+$F$5),0.5,1)/$F$5)</f>
        <v/>
      </c>
      <c r="AS58" s="177">
        <f>IF(OR(AS$15&lt;$G58,AS$15&gt;$G58+$F$5),0,IF(OR(AS$15=$G58,AS$15=$G58+$F$5),0.5,1)/$F$5)</f>
        <v/>
      </c>
      <c r="AT58" s="177">
        <f>IF(OR(AT$15&lt;$G58,AT$15&gt;$G58+$F$5),0,IF(OR(AT$15=$G58,AT$15=$G58+$F$5),0.5,1)/$F$5)</f>
        <v/>
      </c>
      <c r="AU58" s="177">
        <f>IF(OR(AU$15&lt;$G58,AU$15&gt;$G58+$F$5),0,IF(OR(AU$15=$G58,AU$15=$G58+$F$5),0.5,1)/$F$5)</f>
        <v/>
      </c>
      <c r="AV58" s="177">
        <f>IF(OR(AV$15&lt;$G58,AV$15&gt;$G58+$F$5),0,IF(OR(AV$15=$G58,AV$15=$G58+$F$5),0.5,1)/$F$5)</f>
        <v/>
      </c>
      <c r="AW58" s="177">
        <f>IF(OR(AW$15&lt;$G58,AW$15&gt;$G58+$F$5),0,IF(OR(AW$15=$G58,AW$15=$G58+$F$5),0.5,1)/$F$5)</f>
        <v/>
      </c>
      <c r="AX58" s="177">
        <f>IF(OR(AX$15&lt;$G58,AX$15&gt;$G58+$F$5),0,IF(OR(AX$15=$G58,AX$15=$G58+$F$5),0.5,1)/$F$5)</f>
        <v/>
      </c>
      <c r="AY58" s="177">
        <f>IF(OR(AY$15&lt;$G58,AY$15&gt;$G58+$F$5),0,IF(OR(AY$15=$G58,AY$15=$G58+$F$5),0.5,1)/$F$5)</f>
        <v/>
      </c>
      <c r="AZ58" s="177">
        <f>IF(OR(AZ$15&lt;$G58,AZ$15&gt;$G58+$F$5),0,IF(OR(AZ$15=$G58,AZ$15=$G58+$F$5),0.5,1)/$F$5)</f>
        <v/>
      </c>
      <c r="BA58" s="177">
        <f>IF(OR(BA$15&lt;$G58,BA$15&gt;$G58+$F$5),0,IF(OR(BA$15=$G58,BA$15=$G58+$F$5),0.5,1)/$F$5)</f>
        <v/>
      </c>
      <c r="BB58" s="177">
        <f>IF(OR(BB$15&lt;$G58,BB$15&gt;$G58+$F$5),0,IF(OR(BB$15=$G58,BB$15=$G58+$F$5),0.5,1)/$F$5)</f>
        <v/>
      </c>
      <c r="BC58" s="177">
        <f>IF(OR(BC$15&lt;$G58,BC$15&gt;$G58+$F$5),0,IF(OR(BC$15=$G58,BC$15=$G58+$F$5),0.5,1)/$F$5)</f>
        <v/>
      </c>
      <c r="BD58" s="177">
        <f>IF(OR(BD$15&lt;$G58,BD$15&gt;$G58+$F$5),0,IF(OR(BD$15=$G58,BD$15=$G58+$F$5),0.5,1)/$F$5)</f>
        <v/>
      </c>
      <c r="BE58" s="177">
        <f>IF(OR(BE$15&lt;$G58,BE$15&gt;$G58+$F$5),0,IF(OR(BE$15=$G58,BE$15=$G58+$F$5),0.5,1)/$F$5)</f>
        <v/>
      </c>
      <c r="BF58" s="211">
        <f>IF(OR($G58&lt;V$15,$G58+$F$5&gt;BE$15),0,ABS(SUM(V58:BE58)-1))</f>
        <v/>
      </c>
    </row>
    <row r="59">
      <c r="A59" s="145" t="n">
        <v>43</v>
      </c>
      <c r="B59" s="204">
        <f>EDATE($B58,1)</f>
        <v/>
      </c>
      <c r="C59" s="205">
        <f>EOMONTH($B59,0)</f>
        <v/>
      </c>
      <c r="D59" s="201">
        <f>$C59-$B59+1</f>
        <v/>
      </c>
      <c r="E59" s="201">
        <f>MONTH($B59)</f>
        <v/>
      </c>
      <c r="F59" s="206">
        <f>($B59+$C59+1)/2</f>
        <v/>
      </c>
      <c r="G59" s="201">
        <f>YEAR($B59)*12+MONTH($B59)-1</f>
        <v/>
      </c>
      <c r="H59" s="207">
        <f>IF(OR(nr_SeasonOn="OFF",$F$6=0,$F$7=0),1,12*INDEX(se_block,$F$6,$E59)/$F$7)</f>
        <v/>
      </c>
      <c r="I59" s="208">
        <f>EXP(SUMPRODUCT((rl_eff&lt;$B59)*(rl_key=nr_SelKey)*rl_ln1p))</f>
        <v/>
      </c>
      <c r="J59" s="208">
        <f>EXP(SUMPRODUCT((rl_eff&lt;=$C59)*(rl_key=nr_SelKey)*rl_ln1p))</f>
        <v/>
      </c>
      <c r="K59" s="201">
        <f>COUNTIFS(rl_key,nr_SelKey,rl_eff,"&gt;="&amp;$B59,rl_eff,"&lt;="&amp;$C59)</f>
        <v/>
      </c>
      <c r="L59" s="201">
        <f>SUMIFS(rl_daysafter,rl_key,nr_SelKey,rl_effmonth,$B59,rl_first,1)</f>
        <v/>
      </c>
      <c r="M59" s="209">
        <f>IF($K59=0,0,MIN(1,$L59/$D59))</f>
        <v/>
      </c>
      <c r="N59" s="208">
        <f>IF($K59=0,$J59,(1-$M59)*$I59+$M59*$J59)</f>
        <v/>
      </c>
      <c r="O59" s="210">
        <f>'Mod Engine'!$E59</f>
        <v/>
      </c>
      <c r="P59" s="208">
        <f>MIN(1,MAX(0,(nr_MEndPm1-$G59+0.5)/$F$5))-MIN(1,MAX(0,(nr_MStartPm1-1-$G59+0.5)/$F$5))</f>
        <v/>
      </c>
      <c r="Q59" s="208">
        <f>MIN(1,MAX(0,(nr_MEndP-$G59+0.5)/$F$5))-MIN(1,MAX(0,(nr_MStartP-1-$G59+0.5)/$F$5))</f>
        <v/>
      </c>
      <c r="R59" s="208">
        <f>MIN(1,MAX(0,(nr_MEndP1-$G59+0.5)/$F$5))-MIN(1,MAX(0,(nr_MStartP1-1-$G59+0.5)/$F$5))</f>
        <v/>
      </c>
      <c r="S59" s="208">
        <f>IF(nr_NetMode,$N59*IF(nr_ModAdjEff="ON",$O59/nr_MInd,1),"")</f>
        <v/>
      </c>
      <c r="T59" s="208">
        <f>IF(NOT(nr_NetMode),"",IF($G59&lt;nr_MStartP,$S59,$T47*(1+IF($G59&lt;nr_MStartP1,nr_NetSelP,nr_NetSelP1))))</f>
        <v/>
      </c>
      <c r="U59" s="208">
        <f>IF(nr_NetMode,$T59,$N59)</f>
        <v/>
      </c>
      <c r="V59" s="177">
        <f>IF(OR(V$15&lt;$G59,V$15&gt;$G59+$F$5),0,IF(OR(V$15=$G59,V$15=$G59+$F$5),0.5,1)/$F$5)</f>
        <v/>
      </c>
      <c r="W59" s="177">
        <f>IF(OR(W$15&lt;$G59,W$15&gt;$G59+$F$5),0,IF(OR(W$15=$G59,W$15=$G59+$F$5),0.5,1)/$F$5)</f>
        <v/>
      </c>
      <c r="X59" s="177">
        <f>IF(OR(X$15&lt;$G59,X$15&gt;$G59+$F$5),0,IF(OR(X$15=$G59,X$15=$G59+$F$5),0.5,1)/$F$5)</f>
        <v/>
      </c>
      <c r="Y59" s="177">
        <f>IF(OR(Y$15&lt;$G59,Y$15&gt;$G59+$F$5),0,IF(OR(Y$15=$G59,Y$15=$G59+$F$5),0.5,1)/$F$5)</f>
        <v/>
      </c>
      <c r="Z59" s="177">
        <f>IF(OR(Z$15&lt;$G59,Z$15&gt;$G59+$F$5),0,IF(OR(Z$15=$G59,Z$15=$G59+$F$5),0.5,1)/$F$5)</f>
        <v/>
      </c>
      <c r="AA59" s="177">
        <f>IF(OR(AA$15&lt;$G59,AA$15&gt;$G59+$F$5),0,IF(OR(AA$15=$G59,AA$15=$G59+$F$5),0.5,1)/$F$5)</f>
        <v/>
      </c>
      <c r="AB59" s="177">
        <f>IF(OR(AB$15&lt;$G59,AB$15&gt;$G59+$F$5),0,IF(OR(AB$15=$G59,AB$15=$G59+$F$5),0.5,1)/$F$5)</f>
        <v/>
      </c>
      <c r="AC59" s="177">
        <f>IF(OR(AC$15&lt;$G59,AC$15&gt;$G59+$F$5),0,IF(OR(AC$15=$G59,AC$15=$G59+$F$5),0.5,1)/$F$5)</f>
        <v/>
      </c>
      <c r="AD59" s="177">
        <f>IF(OR(AD$15&lt;$G59,AD$15&gt;$G59+$F$5),0,IF(OR(AD$15=$G59,AD$15=$G59+$F$5),0.5,1)/$F$5)</f>
        <v/>
      </c>
      <c r="AE59" s="177">
        <f>IF(OR(AE$15&lt;$G59,AE$15&gt;$G59+$F$5),0,IF(OR(AE$15=$G59,AE$15=$G59+$F$5),0.5,1)/$F$5)</f>
        <v/>
      </c>
      <c r="AF59" s="177">
        <f>IF(OR(AF$15&lt;$G59,AF$15&gt;$G59+$F$5),0,IF(OR(AF$15=$G59,AF$15=$G59+$F$5),0.5,1)/$F$5)</f>
        <v/>
      </c>
      <c r="AG59" s="177">
        <f>IF(OR(AG$15&lt;$G59,AG$15&gt;$G59+$F$5),0,IF(OR(AG$15=$G59,AG$15=$G59+$F$5),0.5,1)/$F$5)</f>
        <v/>
      </c>
      <c r="AH59" s="177">
        <f>IF(OR(AH$15&lt;$G59,AH$15&gt;$G59+$F$5),0,IF(OR(AH$15=$G59,AH$15=$G59+$F$5),0.5,1)/$F$5)</f>
        <v/>
      </c>
      <c r="AI59" s="177">
        <f>IF(OR(AI$15&lt;$G59,AI$15&gt;$G59+$F$5),0,IF(OR(AI$15=$G59,AI$15=$G59+$F$5),0.5,1)/$F$5)</f>
        <v/>
      </c>
      <c r="AJ59" s="177">
        <f>IF(OR(AJ$15&lt;$G59,AJ$15&gt;$G59+$F$5),0,IF(OR(AJ$15=$G59,AJ$15=$G59+$F$5),0.5,1)/$F$5)</f>
        <v/>
      </c>
      <c r="AK59" s="177">
        <f>IF(OR(AK$15&lt;$G59,AK$15&gt;$G59+$F$5),0,IF(OR(AK$15=$G59,AK$15=$G59+$F$5),0.5,1)/$F$5)</f>
        <v/>
      </c>
      <c r="AL59" s="177">
        <f>IF(OR(AL$15&lt;$G59,AL$15&gt;$G59+$F$5),0,IF(OR(AL$15=$G59,AL$15=$G59+$F$5),0.5,1)/$F$5)</f>
        <v/>
      </c>
      <c r="AM59" s="177">
        <f>IF(OR(AM$15&lt;$G59,AM$15&gt;$G59+$F$5),0,IF(OR(AM$15=$G59,AM$15=$G59+$F$5),0.5,1)/$F$5)</f>
        <v/>
      </c>
      <c r="AN59" s="177">
        <f>IF(OR(AN$15&lt;$G59,AN$15&gt;$G59+$F$5),0,IF(OR(AN$15=$G59,AN$15=$G59+$F$5),0.5,1)/$F$5)</f>
        <v/>
      </c>
      <c r="AO59" s="177">
        <f>IF(OR(AO$15&lt;$G59,AO$15&gt;$G59+$F$5),0,IF(OR(AO$15=$G59,AO$15=$G59+$F$5),0.5,1)/$F$5)</f>
        <v/>
      </c>
      <c r="AP59" s="177">
        <f>IF(OR(AP$15&lt;$G59,AP$15&gt;$G59+$F$5),0,IF(OR(AP$15=$G59,AP$15=$G59+$F$5),0.5,1)/$F$5)</f>
        <v/>
      </c>
      <c r="AQ59" s="177">
        <f>IF(OR(AQ$15&lt;$G59,AQ$15&gt;$G59+$F$5),0,IF(OR(AQ$15=$G59,AQ$15=$G59+$F$5),0.5,1)/$F$5)</f>
        <v/>
      </c>
      <c r="AR59" s="177">
        <f>IF(OR(AR$15&lt;$G59,AR$15&gt;$G59+$F$5),0,IF(OR(AR$15=$G59,AR$15=$G59+$F$5),0.5,1)/$F$5)</f>
        <v/>
      </c>
      <c r="AS59" s="177">
        <f>IF(OR(AS$15&lt;$G59,AS$15&gt;$G59+$F$5),0,IF(OR(AS$15=$G59,AS$15=$G59+$F$5),0.5,1)/$F$5)</f>
        <v/>
      </c>
      <c r="AT59" s="177">
        <f>IF(OR(AT$15&lt;$G59,AT$15&gt;$G59+$F$5),0,IF(OR(AT$15=$G59,AT$15=$G59+$F$5),0.5,1)/$F$5)</f>
        <v/>
      </c>
      <c r="AU59" s="177">
        <f>IF(OR(AU$15&lt;$G59,AU$15&gt;$G59+$F$5),0,IF(OR(AU$15=$G59,AU$15=$G59+$F$5),0.5,1)/$F$5)</f>
        <v/>
      </c>
      <c r="AV59" s="177">
        <f>IF(OR(AV$15&lt;$G59,AV$15&gt;$G59+$F$5),0,IF(OR(AV$15=$G59,AV$15=$G59+$F$5),0.5,1)/$F$5)</f>
        <v/>
      </c>
      <c r="AW59" s="177">
        <f>IF(OR(AW$15&lt;$G59,AW$15&gt;$G59+$F$5),0,IF(OR(AW$15=$G59,AW$15=$G59+$F$5),0.5,1)/$F$5)</f>
        <v/>
      </c>
      <c r="AX59" s="177">
        <f>IF(OR(AX$15&lt;$G59,AX$15&gt;$G59+$F$5),0,IF(OR(AX$15=$G59,AX$15=$G59+$F$5),0.5,1)/$F$5)</f>
        <v/>
      </c>
      <c r="AY59" s="177">
        <f>IF(OR(AY$15&lt;$G59,AY$15&gt;$G59+$F$5),0,IF(OR(AY$15=$G59,AY$15=$G59+$F$5),0.5,1)/$F$5)</f>
        <v/>
      </c>
      <c r="AZ59" s="177">
        <f>IF(OR(AZ$15&lt;$G59,AZ$15&gt;$G59+$F$5),0,IF(OR(AZ$15=$G59,AZ$15=$G59+$F$5),0.5,1)/$F$5)</f>
        <v/>
      </c>
      <c r="BA59" s="177">
        <f>IF(OR(BA$15&lt;$G59,BA$15&gt;$G59+$F$5),0,IF(OR(BA$15=$G59,BA$15=$G59+$F$5),0.5,1)/$F$5)</f>
        <v/>
      </c>
      <c r="BB59" s="177">
        <f>IF(OR(BB$15&lt;$G59,BB$15&gt;$G59+$F$5),0,IF(OR(BB$15=$G59,BB$15=$G59+$F$5),0.5,1)/$F$5)</f>
        <v/>
      </c>
      <c r="BC59" s="177">
        <f>IF(OR(BC$15&lt;$G59,BC$15&gt;$G59+$F$5),0,IF(OR(BC$15=$G59,BC$15=$G59+$F$5),0.5,1)/$F$5)</f>
        <v/>
      </c>
      <c r="BD59" s="177">
        <f>IF(OR(BD$15&lt;$G59,BD$15&gt;$G59+$F$5),0,IF(OR(BD$15=$G59,BD$15=$G59+$F$5),0.5,1)/$F$5)</f>
        <v/>
      </c>
      <c r="BE59" s="177">
        <f>IF(OR(BE$15&lt;$G59,BE$15&gt;$G59+$F$5),0,IF(OR(BE$15=$G59,BE$15=$G59+$F$5),0.5,1)/$F$5)</f>
        <v/>
      </c>
      <c r="BF59" s="211">
        <f>IF(OR($G59&lt;V$15,$G59+$F$5&gt;BE$15),0,ABS(SUM(V59:BE59)-1))</f>
        <v/>
      </c>
    </row>
    <row r="60">
      <c r="A60" s="145" t="n">
        <v>44</v>
      </c>
      <c r="B60" s="204">
        <f>EDATE($B59,1)</f>
        <v/>
      </c>
      <c r="C60" s="205">
        <f>EOMONTH($B60,0)</f>
        <v/>
      </c>
      <c r="D60" s="201">
        <f>$C60-$B60+1</f>
        <v/>
      </c>
      <c r="E60" s="201">
        <f>MONTH($B60)</f>
        <v/>
      </c>
      <c r="F60" s="206">
        <f>($B60+$C60+1)/2</f>
        <v/>
      </c>
      <c r="G60" s="201">
        <f>YEAR($B60)*12+MONTH($B60)-1</f>
        <v/>
      </c>
      <c r="H60" s="207">
        <f>IF(OR(nr_SeasonOn="OFF",$F$6=0,$F$7=0),1,12*INDEX(se_block,$F$6,$E60)/$F$7)</f>
        <v/>
      </c>
      <c r="I60" s="208">
        <f>EXP(SUMPRODUCT((rl_eff&lt;$B60)*(rl_key=nr_SelKey)*rl_ln1p))</f>
        <v/>
      </c>
      <c r="J60" s="208">
        <f>EXP(SUMPRODUCT((rl_eff&lt;=$C60)*(rl_key=nr_SelKey)*rl_ln1p))</f>
        <v/>
      </c>
      <c r="K60" s="201">
        <f>COUNTIFS(rl_key,nr_SelKey,rl_eff,"&gt;="&amp;$B60,rl_eff,"&lt;="&amp;$C60)</f>
        <v/>
      </c>
      <c r="L60" s="201">
        <f>SUMIFS(rl_daysafter,rl_key,nr_SelKey,rl_effmonth,$B60,rl_first,1)</f>
        <v/>
      </c>
      <c r="M60" s="209">
        <f>IF($K60=0,0,MIN(1,$L60/$D60))</f>
        <v/>
      </c>
      <c r="N60" s="208">
        <f>IF($K60=0,$J60,(1-$M60)*$I60+$M60*$J60)</f>
        <v/>
      </c>
      <c r="O60" s="210">
        <f>'Mod Engine'!$E60</f>
        <v/>
      </c>
      <c r="P60" s="208">
        <f>MIN(1,MAX(0,(nr_MEndPm1-$G60+0.5)/$F$5))-MIN(1,MAX(0,(nr_MStartPm1-1-$G60+0.5)/$F$5))</f>
        <v/>
      </c>
      <c r="Q60" s="208">
        <f>MIN(1,MAX(0,(nr_MEndP-$G60+0.5)/$F$5))-MIN(1,MAX(0,(nr_MStartP-1-$G60+0.5)/$F$5))</f>
        <v/>
      </c>
      <c r="R60" s="208">
        <f>MIN(1,MAX(0,(nr_MEndP1-$G60+0.5)/$F$5))-MIN(1,MAX(0,(nr_MStartP1-1-$G60+0.5)/$F$5))</f>
        <v/>
      </c>
      <c r="S60" s="208">
        <f>IF(nr_NetMode,$N60*IF(nr_ModAdjEff="ON",$O60/nr_MInd,1),"")</f>
        <v/>
      </c>
      <c r="T60" s="208">
        <f>IF(NOT(nr_NetMode),"",IF($G60&lt;nr_MStartP,$S60,$T48*(1+IF($G60&lt;nr_MStartP1,nr_NetSelP,nr_NetSelP1))))</f>
        <v/>
      </c>
      <c r="U60" s="208">
        <f>IF(nr_NetMode,$T60,$N60)</f>
        <v/>
      </c>
      <c r="V60" s="177">
        <f>IF(OR(V$15&lt;$G60,V$15&gt;$G60+$F$5),0,IF(OR(V$15=$G60,V$15=$G60+$F$5),0.5,1)/$F$5)</f>
        <v/>
      </c>
      <c r="W60" s="177">
        <f>IF(OR(W$15&lt;$G60,W$15&gt;$G60+$F$5),0,IF(OR(W$15=$G60,W$15=$G60+$F$5),0.5,1)/$F$5)</f>
        <v/>
      </c>
      <c r="X60" s="177">
        <f>IF(OR(X$15&lt;$G60,X$15&gt;$G60+$F$5),0,IF(OR(X$15=$G60,X$15=$G60+$F$5),0.5,1)/$F$5)</f>
        <v/>
      </c>
      <c r="Y60" s="177">
        <f>IF(OR(Y$15&lt;$G60,Y$15&gt;$G60+$F$5),0,IF(OR(Y$15=$G60,Y$15=$G60+$F$5),0.5,1)/$F$5)</f>
        <v/>
      </c>
      <c r="Z60" s="177">
        <f>IF(OR(Z$15&lt;$G60,Z$15&gt;$G60+$F$5),0,IF(OR(Z$15=$G60,Z$15=$G60+$F$5),0.5,1)/$F$5)</f>
        <v/>
      </c>
      <c r="AA60" s="177">
        <f>IF(OR(AA$15&lt;$G60,AA$15&gt;$G60+$F$5),0,IF(OR(AA$15=$G60,AA$15=$G60+$F$5),0.5,1)/$F$5)</f>
        <v/>
      </c>
      <c r="AB60" s="177">
        <f>IF(OR(AB$15&lt;$G60,AB$15&gt;$G60+$F$5),0,IF(OR(AB$15=$G60,AB$15=$G60+$F$5),0.5,1)/$F$5)</f>
        <v/>
      </c>
      <c r="AC60" s="177">
        <f>IF(OR(AC$15&lt;$G60,AC$15&gt;$G60+$F$5),0,IF(OR(AC$15=$G60,AC$15=$G60+$F$5),0.5,1)/$F$5)</f>
        <v/>
      </c>
      <c r="AD60" s="177">
        <f>IF(OR(AD$15&lt;$G60,AD$15&gt;$G60+$F$5),0,IF(OR(AD$15=$G60,AD$15=$G60+$F$5),0.5,1)/$F$5)</f>
        <v/>
      </c>
      <c r="AE60" s="177">
        <f>IF(OR(AE$15&lt;$G60,AE$15&gt;$G60+$F$5),0,IF(OR(AE$15=$G60,AE$15=$G60+$F$5),0.5,1)/$F$5)</f>
        <v/>
      </c>
      <c r="AF60" s="177">
        <f>IF(OR(AF$15&lt;$G60,AF$15&gt;$G60+$F$5),0,IF(OR(AF$15=$G60,AF$15=$G60+$F$5),0.5,1)/$F$5)</f>
        <v/>
      </c>
      <c r="AG60" s="177">
        <f>IF(OR(AG$15&lt;$G60,AG$15&gt;$G60+$F$5),0,IF(OR(AG$15=$G60,AG$15=$G60+$F$5),0.5,1)/$F$5)</f>
        <v/>
      </c>
      <c r="AH60" s="177">
        <f>IF(OR(AH$15&lt;$G60,AH$15&gt;$G60+$F$5),0,IF(OR(AH$15=$G60,AH$15=$G60+$F$5),0.5,1)/$F$5)</f>
        <v/>
      </c>
      <c r="AI60" s="177">
        <f>IF(OR(AI$15&lt;$G60,AI$15&gt;$G60+$F$5),0,IF(OR(AI$15=$G60,AI$15=$G60+$F$5),0.5,1)/$F$5)</f>
        <v/>
      </c>
      <c r="AJ60" s="177">
        <f>IF(OR(AJ$15&lt;$G60,AJ$15&gt;$G60+$F$5),0,IF(OR(AJ$15=$G60,AJ$15=$G60+$F$5),0.5,1)/$F$5)</f>
        <v/>
      </c>
      <c r="AK60" s="177">
        <f>IF(OR(AK$15&lt;$G60,AK$15&gt;$G60+$F$5),0,IF(OR(AK$15=$G60,AK$15=$G60+$F$5),0.5,1)/$F$5)</f>
        <v/>
      </c>
      <c r="AL60" s="177">
        <f>IF(OR(AL$15&lt;$G60,AL$15&gt;$G60+$F$5),0,IF(OR(AL$15=$G60,AL$15=$G60+$F$5),0.5,1)/$F$5)</f>
        <v/>
      </c>
      <c r="AM60" s="177">
        <f>IF(OR(AM$15&lt;$G60,AM$15&gt;$G60+$F$5),0,IF(OR(AM$15=$G60,AM$15=$G60+$F$5),0.5,1)/$F$5)</f>
        <v/>
      </c>
      <c r="AN60" s="177">
        <f>IF(OR(AN$15&lt;$G60,AN$15&gt;$G60+$F$5),0,IF(OR(AN$15=$G60,AN$15=$G60+$F$5),0.5,1)/$F$5)</f>
        <v/>
      </c>
      <c r="AO60" s="177">
        <f>IF(OR(AO$15&lt;$G60,AO$15&gt;$G60+$F$5),0,IF(OR(AO$15=$G60,AO$15=$G60+$F$5),0.5,1)/$F$5)</f>
        <v/>
      </c>
      <c r="AP60" s="177">
        <f>IF(OR(AP$15&lt;$G60,AP$15&gt;$G60+$F$5),0,IF(OR(AP$15=$G60,AP$15=$G60+$F$5),0.5,1)/$F$5)</f>
        <v/>
      </c>
      <c r="AQ60" s="177">
        <f>IF(OR(AQ$15&lt;$G60,AQ$15&gt;$G60+$F$5),0,IF(OR(AQ$15=$G60,AQ$15=$G60+$F$5),0.5,1)/$F$5)</f>
        <v/>
      </c>
      <c r="AR60" s="177">
        <f>IF(OR(AR$15&lt;$G60,AR$15&gt;$G60+$F$5),0,IF(OR(AR$15=$G60,AR$15=$G60+$F$5),0.5,1)/$F$5)</f>
        <v/>
      </c>
      <c r="AS60" s="177">
        <f>IF(OR(AS$15&lt;$G60,AS$15&gt;$G60+$F$5),0,IF(OR(AS$15=$G60,AS$15=$G60+$F$5),0.5,1)/$F$5)</f>
        <v/>
      </c>
      <c r="AT60" s="177">
        <f>IF(OR(AT$15&lt;$G60,AT$15&gt;$G60+$F$5),0,IF(OR(AT$15=$G60,AT$15=$G60+$F$5),0.5,1)/$F$5)</f>
        <v/>
      </c>
      <c r="AU60" s="177">
        <f>IF(OR(AU$15&lt;$G60,AU$15&gt;$G60+$F$5),0,IF(OR(AU$15=$G60,AU$15=$G60+$F$5),0.5,1)/$F$5)</f>
        <v/>
      </c>
      <c r="AV60" s="177">
        <f>IF(OR(AV$15&lt;$G60,AV$15&gt;$G60+$F$5),0,IF(OR(AV$15=$G60,AV$15=$G60+$F$5),0.5,1)/$F$5)</f>
        <v/>
      </c>
      <c r="AW60" s="177">
        <f>IF(OR(AW$15&lt;$G60,AW$15&gt;$G60+$F$5),0,IF(OR(AW$15=$G60,AW$15=$G60+$F$5),0.5,1)/$F$5)</f>
        <v/>
      </c>
      <c r="AX60" s="177">
        <f>IF(OR(AX$15&lt;$G60,AX$15&gt;$G60+$F$5),0,IF(OR(AX$15=$G60,AX$15=$G60+$F$5),0.5,1)/$F$5)</f>
        <v/>
      </c>
      <c r="AY60" s="177">
        <f>IF(OR(AY$15&lt;$G60,AY$15&gt;$G60+$F$5),0,IF(OR(AY$15=$G60,AY$15=$G60+$F$5),0.5,1)/$F$5)</f>
        <v/>
      </c>
      <c r="AZ60" s="177">
        <f>IF(OR(AZ$15&lt;$G60,AZ$15&gt;$G60+$F$5),0,IF(OR(AZ$15=$G60,AZ$15=$G60+$F$5),0.5,1)/$F$5)</f>
        <v/>
      </c>
      <c r="BA60" s="177">
        <f>IF(OR(BA$15&lt;$G60,BA$15&gt;$G60+$F$5),0,IF(OR(BA$15=$G60,BA$15=$G60+$F$5),0.5,1)/$F$5)</f>
        <v/>
      </c>
      <c r="BB60" s="177">
        <f>IF(OR(BB$15&lt;$G60,BB$15&gt;$G60+$F$5),0,IF(OR(BB$15=$G60,BB$15=$G60+$F$5),0.5,1)/$F$5)</f>
        <v/>
      </c>
      <c r="BC60" s="177">
        <f>IF(OR(BC$15&lt;$G60,BC$15&gt;$G60+$F$5),0,IF(OR(BC$15=$G60,BC$15=$G60+$F$5),0.5,1)/$F$5)</f>
        <v/>
      </c>
      <c r="BD60" s="177">
        <f>IF(OR(BD$15&lt;$G60,BD$15&gt;$G60+$F$5),0,IF(OR(BD$15=$G60,BD$15=$G60+$F$5),0.5,1)/$F$5)</f>
        <v/>
      </c>
      <c r="BE60" s="177">
        <f>IF(OR(BE$15&lt;$G60,BE$15&gt;$G60+$F$5),0,IF(OR(BE$15=$G60,BE$15=$G60+$F$5),0.5,1)/$F$5)</f>
        <v/>
      </c>
      <c r="BF60" s="211">
        <f>IF(OR($G60&lt;V$15,$G60+$F$5&gt;BE$15),0,ABS(SUM(V60:BE60)-1))</f>
        <v/>
      </c>
    </row>
    <row r="61">
      <c r="A61" s="145" t="n">
        <v>45</v>
      </c>
      <c r="B61" s="204">
        <f>EDATE($B60,1)</f>
        <v/>
      </c>
      <c r="C61" s="205">
        <f>EOMONTH($B61,0)</f>
        <v/>
      </c>
      <c r="D61" s="201">
        <f>$C61-$B61+1</f>
        <v/>
      </c>
      <c r="E61" s="201">
        <f>MONTH($B61)</f>
        <v/>
      </c>
      <c r="F61" s="206">
        <f>($B61+$C61+1)/2</f>
        <v/>
      </c>
      <c r="G61" s="201">
        <f>YEAR($B61)*12+MONTH($B61)-1</f>
        <v/>
      </c>
      <c r="H61" s="207">
        <f>IF(OR(nr_SeasonOn="OFF",$F$6=0,$F$7=0),1,12*INDEX(se_block,$F$6,$E61)/$F$7)</f>
        <v/>
      </c>
      <c r="I61" s="208">
        <f>EXP(SUMPRODUCT((rl_eff&lt;$B61)*(rl_key=nr_SelKey)*rl_ln1p))</f>
        <v/>
      </c>
      <c r="J61" s="208">
        <f>EXP(SUMPRODUCT((rl_eff&lt;=$C61)*(rl_key=nr_SelKey)*rl_ln1p))</f>
        <v/>
      </c>
      <c r="K61" s="201">
        <f>COUNTIFS(rl_key,nr_SelKey,rl_eff,"&gt;="&amp;$B61,rl_eff,"&lt;="&amp;$C61)</f>
        <v/>
      </c>
      <c r="L61" s="201">
        <f>SUMIFS(rl_daysafter,rl_key,nr_SelKey,rl_effmonth,$B61,rl_first,1)</f>
        <v/>
      </c>
      <c r="M61" s="209">
        <f>IF($K61=0,0,MIN(1,$L61/$D61))</f>
        <v/>
      </c>
      <c r="N61" s="208">
        <f>IF($K61=0,$J61,(1-$M61)*$I61+$M61*$J61)</f>
        <v/>
      </c>
      <c r="O61" s="210">
        <f>'Mod Engine'!$E61</f>
        <v/>
      </c>
      <c r="P61" s="208">
        <f>MIN(1,MAX(0,(nr_MEndPm1-$G61+0.5)/$F$5))-MIN(1,MAX(0,(nr_MStartPm1-1-$G61+0.5)/$F$5))</f>
        <v/>
      </c>
      <c r="Q61" s="208">
        <f>MIN(1,MAX(0,(nr_MEndP-$G61+0.5)/$F$5))-MIN(1,MAX(0,(nr_MStartP-1-$G61+0.5)/$F$5))</f>
        <v/>
      </c>
      <c r="R61" s="208">
        <f>MIN(1,MAX(0,(nr_MEndP1-$G61+0.5)/$F$5))-MIN(1,MAX(0,(nr_MStartP1-1-$G61+0.5)/$F$5))</f>
        <v/>
      </c>
      <c r="S61" s="208">
        <f>IF(nr_NetMode,$N61*IF(nr_ModAdjEff="ON",$O61/nr_MInd,1),"")</f>
        <v/>
      </c>
      <c r="T61" s="208">
        <f>IF(NOT(nr_NetMode),"",IF($G61&lt;nr_MStartP,$S61,$T49*(1+IF($G61&lt;nr_MStartP1,nr_NetSelP,nr_NetSelP1))))</f>
        <v/>
      </c>
      <c r="U61" s="208">
        <f>IF(nr_NetMode,$T61,$N61)</f>
        <v/>
      </c>
      <c r="V61" s="177">
        <f>IF(OR(V$15&lt;$G61,V$15&gt;$G61+$F$5),0,IF(OR(V$15=$G61,V$15=$G61+$F$5),0.5,1)/$F$5)</f>
        <v/>
      </c>
      <c r="W61" s="177">
        <f>IF(OR(W$15&lt;$G61,W$15&gt;$G61+$F$5),0,IF(OR(W$15=$G61,W$15=$G61+$F$5),0.5,1)/$F$5)</f>
        <v/>
      </c>
      <c r="X61" s="177">
        <f>IF(OR(X$15&lt;$G61,X$15&gt;$G61+$F$5),0,IF(OR(X$15=$G61,X$15=$G61+$F$5),0.5,1)/$F$5)</f>
        <v/>
      </c>
      <c r="Y61" s="177">
        <f>IF(OR(Y$15&lt;$G61,Y$15&gt;$G61+$F$5),0,IF(OR(Y$15=$G61,Y$15=$G61+$F$5),0.5,1)/$F$5)</f>
        <v/>
      </c>
      <c r="Z61" s="177">
        <f>IF(OR(Z$15&lt;$G61,Z$15&gt;$G61+$F$5),0,IF(OR(Z$15=$G61,Z$15=$G61+$F$5),0.5,1)/$F$5)</f>
        <v/>
      </c>
      <c r="AA61" s="177">
        <f>IF(OR(AA$15&lt;$G61,AA$15&gt;$G61+$F$5),0,IF(OR(AA$15=$G61,AA$15=$G61+$F$5),0.5,1)/$F$5)</f>
        <v/>
      </c>
      <c r="AB61" s="177">
        <f>IF(OR(AB$15&lt;$G61,AB$15&gt;$G61+$F$5),0,IF(OR(AB$15=$G61,AB$15=$G61+$F$5),0.5,1)/$F$5)</f>
        <v/>
      </c>
      <c r="AC61" s="177">
        <f>IF(OR(AC$15&lt;$G61,AC$15&gt;$G61+$F$5),0,IF(OR(AC$15=$G61,AC$15=$G61+$F$5),0.5,1)/$F$5)</f>
        <v/>
      </c>
      <c r="AD61" s="177">
        <f>IF(OR(AD$15&lt;$G61,AD$15&gt;$G61+$F$5),0,IF(OR(AD$15=$G61,AD$15=$G61+$F$5),0.5,1)/$F$5)</f>
        <v/>
      </c>
      <c r="AE61" s="177">
        <f>IF(OR(AE$15&lt;$G61,AE$15&gt;$G61+$F$5),0,IF(OR(AE$15=$G61,AE$15=$G61+$F$5),0.5,1)/$F$5)</f>
        <v/>
      </c>
      <c r="AF61" s="177">
        <f>IF(OR(AF$15&lt;$G61,AF$15&gt;$G61+$F$5),0,IF(OR(AF$15=$G61,AF$15=$G61+$F$5),0.5,1)/$F$5)</f>
        <v/>
      </c>
      <c r="AG61" s="177">
        <f>IF(OR(AG$15&lt;$G61,AG$15&gt;$G61+$F$5),0,IF(OR(AG$15=$G61,AG$15=$G61+$F$5),0.5,1)/$F$5)</f>
        <v/>
      </c>
      <c r="AH61" s="177">
        <f>IF(OR(AH$15&lt;$G61,AH$15&gt;$G61+$F$5),0,IF(OR(AH$15=$G61,AH$15=$G61+$F$5),0.5,1)/$F$5)</f>
        <v/>
      </c>
      <c r="AI61" s="177">
        <f>IF(OR(AI$15&lt;$G61,AI$15&gt;$G61+$F$5),0,IF(OR(AI$15=$G61,AI$15=$G61+$F$5),0.5,1)/$F$5)</f>
        <v/>
      </c>
      <c r="AJ61" s="177">
        <f>IF(OR(AJ$15&lt;$G61,AJ$15&gt;$G61+$F$5),0,IF(OR(AJ$15=$G61,AJ$15=$G61+$F$5),0.5,1)/$F$5)</f>
        <v/>
      </c>
      <c r="AK61" s="177">
        <f>IF(OR(AK$15&lt;$G61,AK$15&gt;$G61+$F$5),0,IF(OR(AK$15=$G61,AK$15=$G61+$F$5),0.5,1)/$F$5)</f>
        <v/>
      </c>
      <c r="AL61" s="177">
        <f>IF(OR(AL$15&lt;$G61,AL$15&gt;$G61+$F$5),0,IF(OR(AL$15=$G61,AL$15=$G61+$F$5),0.5,1)/$F$5)</f>
        <v/>
      </c>
      <c r="AM61" s="177">
        <f>IF(OR(AM$15&lt;$G61,AM$15&gt;$G61+$F$5),0,IF(OR(AM$15=$G61,AM$15=$G61+$F$5),0.5,1)/$F$5)</f>
        <v/>
      </c>
      <c r="AN61" s="177">
        <f>IF(OR(AN$15&lt;$G61,AN$15&gt;$G61+$F$5),0,IF(OR(AN$15=$G61,AN$15=$G61+$F$5),0.5,1)/$F$5)</f>
        <v/>
      </c>
      <c r="AO61" s="177">
        <f>IF(OR(AO$15&lt;$G61,AO$15&gt;$G61+$F$5),0,IF(OR(AO$15=$G61,AO$15=$G61+$F$5),0.5,1)/$F$5)</f>
        <v/>
      </c>
      <c r="AP61" s="177">
        <f>IF(OR(AP$15&lt;$G61,AP$15&gt;$G61+$F$5),0,IF(OR(AP$15=$G61,AP$15=$G61+$F$5),0.5,1)/$F$5)</f>
        <v/>
      </c>
      <c r="AQ61" s="177">
        <f>IF(OR(AQ$15&lt;$G61,AQ$15&gt;$G61+$F$5),0,IF(OR(AQ$15=$G61,AQ$15=$G61+$F$5),0.5,1)/$F$5)</f>
        <v/>
      </c>
      <c r="AR61" s="177">
        <f>IF(OR(AR$15&lt;$G61,AR$15&gt;$G61+$F$5),0,IF(OR(AR$15=$G61,AR$15=$G61+$F$5),0.5,1)/$F$5)</f>
        <v/>
      </c>
      <c r="AS61" s="177">
        <f>IF(OR(AS$15&lt;$G61,AS$15&gt;$G61+$F$5),0,IF(OR(AS$15=$G61,AS$15=$G61+$F$5),0.5,1)/$F$5)</f>
        <v/>
      </c>
      <c r="AT61" s="177">
        <f>IF(OR(AT$15&lt;$G61,AT$15&gt;$G61+$F$5),0,IF(OR(AT$15=$G61,AT$15=$G61+$F$5),0.5,1)/$F$5)</f>
        <v/>
      </c>
      <c r="AU61" s="177">
        <f>IF(OR(AU$15&lt;$G61,AU$15&gt;$G61+$F$5),0,IF(OR(AU$15=$G61,AU$15=$G61+$F$5),0.5,1)/$F$5)</f>
        <v/>
      </c>
      <c r="AV61" s="177">
        <f>IF(OR(AV$15&lt;$G61,AV$15&gt;$G61+$F$5),0,IF(OR(AV$15=$G61,AV$15=$G61+$F$5),0.5,1)/$F$5)</f>
        <v/>
      </c>
      <c r="AW61" s="177">
        <f>IF(OR(AW$15&lt;$G61,AW$15&gt;$G61+$F$5),0,IF(OR(AW$15=$G61,AW$15=$G61+$F$5),0.5,1)/$F$5)</f>
        <v/>
      </c>
      <c r="AX61" s="177">
        <f>IF(OR(AX$15&lt;$G61,AX$15&gt;$G61+$F$5),0,IF(OR(AX$15=$G61,AX$15=$G61+$F$5),0.5,1)/$F$5)</f>
        <v/>
      </c>
      <c r="AY61" s="177">
        <f>IF(OR(AY$15&lt;$G61,AY$15&gt;$G61+$F$5),0,IF(OR(AY$15=$G61,AY$15=$G61+$F$5),0.5,1)/$F$5)</f>
        <v/>
      </c>
      <c r="AZ61" s="177">
        <f>IF(OR(AZ$15&lt;$G61,AZ$15&gt;$G61+$F$5),0,IF(OR(AZ$15=$G61,AZ$15=$G61+$F$5),0.5,1)/$F$5)</f>
        <v/>
      </c>
      <c r="BA61" s="177">
        <f>IF(OR(BA$15&lt;$G61,BA$15&gt;$G61+$F$5),0,IF(OR(BA$15=$G61,BA$15=$G61+$F$5),0.5,1)/$F$5)</f>
        <v/>
      </c>
      <c r="BB61" s="177">
        <f>IF(OR(BB$15&lt;$G61,BB$15&gt;$G61+$F$5),0,IF(OR(BB$15=$G61,BB$15=$G61+$F$5),0.5,1)/$F$5)</f>
        <v/>
      </c>
      <c r="BC61" s="177">
        <f>IF(OR(BC$15&lt;$G61,BC$15&gt;$G61+$F$5),0,IF(OR(BC$15=$G61,BC$15=$G61+$F$5),0.5,1)/$F$5)</f>
        <v/>
      </c>
      <c r="BD61" s="177">
        <f>IF(OR(BD$15&lt;$G61,BD$15&gt;$G61+$F$5),0,IF(OR(BD$15=$G61,BD$15=$G61+$F$5),0.5,1)/$F$5)</f>
        <v/>
      </c>
      <c r="BE61" s="177">
        <f>IF(OR(BE$15&lt;$G61,BE$15&gt;$G61+$F$5),0,IF(OR(BE$15=$G61,BE$15=$G61+$F$5),0.5,1)/$F$5)</f>
        <v/>
      </c>
      <c r="BF61" s="211">
        <f>IF(OR($G61&lt;V$15,$G61+$F$5&gt;BE$15),0,ABS(SUM(V61:BE61)-1))</f>
        <v/>
      </c>
    </row>
    <row r="62">
      <c r="A62" s="145" t="n">
        <v>46</v>
      </c>
      <c r="B62" s="204">
        <f>EDATE($B61,1)</f>
        <v/>
      </c>
      <c r="C62" s="205">
        <f>EOMONTH($B62,0)</f>
        <v/>
      </c>
      <c r="D62" s="201">
        <f>$C62-$B62+1</f>
        <v/>
      </c>
      <c r="E62" s="201">
        <f>MONTH($B62)</f>
        <v/>
      </c>
      <c r="F62" s="206">
        <f>($B62+$C62+1)/2</f>
        <v/>
      </c>
      <c r="G62" s="201">
        <f>YEAR($B62)*12+MONTH($B62)-1</f>
        <v/>
      </c>
      <c r="H62" s="207">
        <f>IF(OR(nr_SeasonOn="OFF",$F$6=0,$F$7=0),1,12*INDEX(se_block,$F$6,$E62)/$F$7)</f>
        <v/>
      </c>
      <c r="I62" s="208">
        <f>EXP(SUMPRODUCT((rl_eff&lt;$B62)*(rl_key=nr_SelKey)*rl_ln1p))</f>
        <v/>
      </c>
      <c r="J62" s="208">
        <f>EXP(SUMPRODUCT((rl_eff&lt;=$C62)*(rl_key=nr_SelKey)*rl_ln1p))</f>
        <v/>
      </c>
      <c r="K62" s="201">
        <f>COUNTIFS(rl_key,nr_SelKey,rl_eff,"&gt;="&amp;$B62,rl_eff,"&lt;="&amp;$C62)</f>
        <v/>
      </c>
      <c r="L62" s="201">
        <f>SUMIFS(rl_daysafter,rl_key,nr_SelKey,rl_effmonth,$B62,rl_first,1)</f>
        <v/>
      </c>
      <c r="M62" s="209">
        <f>IF($K62=0,0,MIN(1,$L62/$D62))</f>
        <v/>
      </c>
      <c r="N62" s="208">
        <f>IF($K62=0,$J62,(1-$M62)*$I62+$M62*$J62)</f>
        <v/>
      </c>
      <c r="O62" s="210">
        <f>'Mod Engine'!$E62</f>
        <v/>
      </c>
      <c r="P62" s="208">
        <f>MIN(1,MAX(0,(nr_MEndPm1-$G62+0.5)/$F$5))-MIN(1,MAX(0,(nr_MStartPm1-1-$G62+0.5)/$F$5))</f>
        <v/>
      </c>
      <c r="Q62" s="208">
        <f>MIN(1,MAX(0,(nr_MEndP-$G62+0.5)/$F$5))-MIN(1,MAX(0,(nr_MStartP-1-$G62+0.5)/$F$5))</f>
        <v/>
      </c>
      <c r="R62" s="208">
        <f>MIN(1,MAX(0,(nr_MEndP1-$G62+0.5)/$F$5))-MIN(1,MAX(0,(nr_MStartP1-1-$G62+0.5)/$F$5))</f>
        <v/>
      </c>
      <c r="S62" s="208">
        <f>IF(nr_NetMode,$N62*IF(nr_ModAdjEff="ON",$O62/nr_MInd,1),"")</f>
        <v/>
      </c>
      <c r="T62" s="208">
        <f>IF(NOT(nr_NetMode),"",IF($G62&lt;nr_MStartP,$S62,$T50*(1+IF($G62&lt;nr_MStartP1,nr_NetSelP,nr_NetSelP1))))</f>
        <v/>
      </c>
      <c r="U62" s="208">
        <f>IF(nr_NetMode,$T62,$N62)</f>
        <v/>
      </c>
      <c r="V62" s="177">
        <f>IF(OR(V$15&lt;$G62,V$15&gt;$G62+$F$5),0,IF(OR(V$15=$G62,V$15=$G62+$F$5),0.5,1)/$F$5)</f>
        <v/>
      </c>
      <c r="W62" s="177">
        <f>IF(OR(W$15&lt;$G62,W$15&gt;$G62+$F$5),0,IF(OR(W$15=$G62,W$15=$G62+$F$5),0.5,1)/$F$5)</f>
        <v/>
      </c>
      <c r="X62" s="177">
        <f>IF(OR(X$15&lt;$G62,X$15&gt;$G62+$F$5),0,IF(OR(X$15=$G62,X$15=$G62+$F$5),0.5,1)/$F$5)</f>
        <v/>
      </c>
      <c r="Y62" s="177">
        <f>IF(OR(Y$15&lt;$G62,Y$15&gt;$G62+$F$5),0,IF(OR(Y$15=$G62,Y$15=$G62+$F$5),0.5,1)/$F$5)</f>
        <v/>
      </c>
      <c r="Z62" s="177">
        <f>IF(OR(Z$15&lt;$G62,Z$15&gt;$G62+$F$5),0,IF(OR(Z$15=$G62,Z$15=$G62+$F$5),0.5,1)/$F$5)</f>
        <v/>
      </c>
      <c r="AA62" s="177">
        <f>IF(OR(AA$15&lt;$G62,AA$15&gt;$G62+$F$5),0,IF(OR(AA$15=$G62,AA$15=$G62+$F$5),0.5,1)/$F$5)</f>
        <v/>
      </c>
      <c r="AB62" s="177">
        <f>IF(OR(AB$15&lt;$G62,AB$15&gt;$G62+$F$5),0,IF(OR(AB$15=$G62,AB$15=$G62+$F$5),0.5,1)/$F$5)</f>
        <v/>
      </c>
      <c r="AC62" s="177">
        <f>IF(OR(AC$15&lt;$G62,AC$15&gt;$G62+$F$5),0,IF(OR(AC$15=$G62,AC$15=$G62+$F$5),0.5,1)/$F$5)</f>
        <v/>
      </c>
      <c r="AD62" s="177">
        <f>IF(OR(AD$15&lt;$G62,AD$15&gt;$G62+$F$5),0,IF(OR(AD$15=$G62,AD$15=$G62+$F$5),0.5,1)/$F$5)</f>
        <v/>
      </c>
      <c r="AE62" s="177">
        <f>IF(OR(AE$15&lt;$G62,AE$15&gt;$G62+$F$5),0,IF(OR(AE$15=$G62,AE$15=$G62+$F$5),0.5,1)/$F$5)</f>
        <v/>
      </c>
      <c r="AF62" s="177">
        <f>IF(OR(AF$15&lt;$G62,AF$15&gt;$G62+$F$5),0,IF(OR(AF$15=$G62,AF$15=$G62+$F$5),0.5,1)/$F$5)</f>
        <v/>
      </c>
      <c r="AG62" s="177">
        <f>IF(OR(AG$15&lt;$G62,AG$15&gt;$G62+$F$5),0,IF(OR(AG$15=$G62,AG$15=$G62+$F$5),0.5,1)/$F$5)</f>
        <v/>
      </c>
      <c r="AH62" s="177">
        <f>IF(OR(AH$15&lt;$G62,AH$15&gt;$G62+$F$5),0,IF(OR(AH$15=$G62,AH$15=$G62+$F$5),0.5,1)/$F$5)</f>
        <v/>
      </c>
      <c r="AI62" s="177">
        <f>IF(OR(AI$15&lt;$G62,AI$15&gt;$G62+$F$5),0,IF(OR(AI$15=$G62,AI$15=$G62+$F$5),0.5,1)/$F$5)</f>
        <v/>
      </c>
      <c r="AJ62" s="177">
        <f>IF(OR(AJ$15&lt;$G62,AJ$15&gt;$G62+$F$5),0,IF(OR(AJ$15=$G62,AJ$15=$G62+$F$5),0.5,1)/$F$5)</f>
        <v/>
      </c>
      <c r="AK62" s="177">
        <f>IF(OR(AK$15&lt;$G62,AK$15&gt;$G62+$F$5),0,IF(OR(AK$15=$G62,AK$15=$G62+$F$5),0.5,1)/$F$5)</f>
        <v/>
      </c>
      <c r="AL62" s="177">
        <f>IF(OR(AL$15&lt;$G62,AL$15&gt;$G62+$F$5),0,IF(OR(AL$15=$G62,AL$15=$G62+$F$5),0.5,1)/$F$5)</f>
        <v/>
      </c>
      <c r="AM62" s="177">
        <f>IF(OR(AM$15&lt;$G62,AM$15&gt;$G62+$F$5),0,IF(OR(AM$15=$G62,AM$15=$G62+$F$5),0.5,1)/$F$5)</f>
        <v/>
      </c>
      <c r="AN62" s="177">
        <f>IF(OR(AN$15&lt;$G62,AN$15&gt;$G62+$F$5),0,IF(OR(AN$15=$G62,AN$15=$G62+$F$5),0.5,1)/$F$5)</f>
        <v/>
      </c>
      <c r="AO62" s="177">
        <f>IF(OR(AO$15&lt;$G62,AO$15&gt;$G62+$F$5),0,IF(OR(AO$15=$G62,AO$15=$G62+$F$5),0.5,1)/$F$5)</f>
        <v/>
      </c>
      <c r="AP62" s="177">
        <f>IF(OR(AP$15&lt;$G62,AP$15&gt;$G62+$F$5),0,IF(OR(AP$15=$G62,AP$15=$G62+$F$5),0.5,1)/$F$5)</f>
        <v/>
      </c>
      <c r="AQ62" s="177">
        <f>IF(OR(AQ$15&lt;$G62,AQ$15&gt;$G62+$F$5),0,IF(OR(AQ$15=$G62,AQ$15=$G62+$F$5),0.5,1)/$F$5)</f>
        <v/>
      </c>
      <c r="AR62" s="177">
        <f>IF(OR(AR$15&lt;$G62,AR$15&gt;$G62+$F$5),0,IF(OR(AR$15=$G62,AR$15=$G62+$F$5),0.5,1)/$F$5)</f>
        <v/>
      </c>
      <c r="AS62" s="177">
        <f>IF(OR(AS$15&lt;$G62,AS$15&gt;$G62+$F$5),0,IF(OR(AS$15=$G62,AS$15=$G62+$F$5),0.5,1)/$F$5)</f>
        <v/>
      </c>
      <c r="AT62" s="177">
        <f>IF(OR(AT$15&lt;$G62,AT$15&gt;$G62+$F$5),0,IF(OR(AT$15=$G62,AT$15=$G62+$F$5),0.5,1)/$F$5)</f>
        <v/>
      </c>
      <c r="AU62" s="177">
        <f>IF(OR(AU$15&lt;$G62,AU$15&gt;$G62+$F$5),0,IF(OR(AU$15=$G62,AU$15=$G62+$F$5),0.5,1)/$F$5)</f>
        <v/>
      </c>
      <c r="AV62" s="177">
        <f>IF(OR(AV$15&lt;$G62,AV$15&gt;$G62+$F$5),0,IF(OR(AV$15=$G62,AV$15=$G62+$F$5),0.5,1)/$F$5)</f>
        <v/>
      </c>
      <c r="AW62" s="177">
        <f>IF(OR(AW$15&lt;$G62,AW$15&gt;$G62+$F$5),0,IF(OR(AW$15=$G62,AW$15=$G62+$F$5),0.5,1)/$F$5)</f>
        <v/>
      </c>
      <c r="AX62" s="177">
        <f>IF(OR(AX$15&lt;$G62,AX$15&gt;$G62+$F$5),0,IF(OR(AX$15=$G62,AX$15=$G62+$F$5),0.5,1)/$F$5)</f>
        <v/>
      </c>
      <c r="AY62" s="177">
        <f>IF(OR(AY$15&lt;$G62,AY$15&gt;$G62+$F$5),0,IF(OR(AY$15=$G62,AY$15=$G62+$F$5),0.5,1)/$F$5)</f>
        <v/>
      </c>
      <c r="AZ62" s="177">
        <f>IF(OR(AZ$15&lt;$G62,AZ$15&gt;$G62+$F$5),0,IF(OR(AZ$15=$G62,AZ$15=$G62+$F$5),0.5,1)/$F$5)</f>
        <v/>
      </c>
      <c r="BA62" s="177">
        <f>IF(OR(BA$15&lt;$G62,BA$15&gt;$G62+$F$5),0,IF(OR(BA$15=$G62,BA$15=$G62+$F$5),0.5,1)/$F$5)</f>
        <v/>
      </c>
      <c r="BB62" s="177">
        <f>IF(OR(BB$15&lt;$G62,BB$15&gt;$G62+$F$5),0,IF(OR(BB$15=$G62,BB$15=$G62+$F$5),0.5,1)/$F$5)</f>
        <v/>
      </c>
      <c r="BC62" s="177">
        <f>IF(OR(BC$15&lt;$G62,BC$15&gt;$G62+$F$5),0,IF(OR(BC$15=$G62,BC$15=$G62+$F$5),0.5,1)/$F$5)</f>
        <v/>
      </c>
      <c r="BD62" s="177">
        <f>IF(OR(BD$15&lt;$G62,BD$15&gt;$G62+$F$5),0,IF(OR(BD$15=$G62,BD$15=$G62+$F$5),0.5,1)/$F$5)</f>
        <v/>
      </c>
      <c r="BE62" s="177">
        <f>IF(OR(BE$15&lt;$G62,BE$15&gt;$G62+$F$5),0,IF(OR(BE$15=$G62,BE$15=$G62+$F$5),0.5,1)/$F$5)</f>
        <v/>
      </c>
      <c r="BF62" s="211">
        <f>IF(OR($G62&lt;V$15,$G62+$F$5&gt;BE$15),0,ABS(SUM(V62:BE62)-1))</f>
        <v/>
      </c>
    </row>
    <row r="63">
      <c r="A63" s="145" t="n">
        <v>47</v>
      </c>
      <c r="B63" s="204">
        <f>EDATE($B62,1)</f>
        <v/>
      </c>
      <c r="C63" s="205">
        <f>EOMONTH($B63,0)</f>
        <v/>
      </c>
      <c r="D63" s="201">
        <f>$C63-$B63+1</f>
        <v/>
      </c>
      <c r="E63" s="201">
        <f>MONTH($B63)</f>
        <v/>
      </c>
      <c r="F63" s="206">
        <f>($B63+$C63+1)/2</f>
        <v/>
      </c>
      <c r="G63" s="201">
        <f>YEAR($B63)*12+MONTH($B63)-1</f>
        <v/>
      </c>
      <c r="H63" s="207">
        <f>IF(OR(nr_SeasonOn="OFF",$F$6=0,$F$7=0),1,12*INDEX(se_block,$F$6,$E63)/$F$7)</f>
        <v/>
      </c>
      <c r="I63" s="208">
        <f>EXP(SUMPRODUCT((rl_eff&lt;$B63)*(rl_key=nr_SelKey)*rl_ln1p))</f>
        <v/>
      </c>
      <c r="J63" s="208">
        <f>EXP(SUMPRODUCT((rl_eff&lt;=$C63)*(rl_key=nr_SelKey)*rl_ln1p))</f>
        <v/>
      </c>
      <c r="K63" s="201">
        <f>COUNTIFS(rl_key,nr_SelKey,rl_eff,"&gt;="&amp;$B63,rl_eff,"&lt;="&amp;$C63)</f>
        <v/>
      </c>
      <c r="L63" s="201">
        <f>SUMIFS(rl_daysafter,rl_key,nr_SelKey,rl_effmonth,$B63,rl_first,1)</f>
        <v/>
      </c>
      <c r="M63" s="209">
        <f>IF($K63=0,0,MIN(1,$L63/$D63))</f>
        <v/>
      </c>
      <c r="N63" s="208">
        <f>IF($K63=0,$J63,(1-$M63)*$I63+$M63*$J63)</f>
        <v/>
      </c>
      <c r="O63" s="210">
        <f>'Mod Engine'!$E63</f>
        <v/>
      </c>
      <c r="P63" s="208">
        <f>MIN(1,MAX(0,(nr_MEndPm1-$G63+0.5)/$F$5))-MIN(1,MAX(0,(nr_MStartPm1-1-$G63+0.5)/$F$5))</f>
        <v/>
      </c>
      <c r="Q63" s="208">
        <f>MIN(1,MAX(0,(nr_MEndP-$G63+0.5)/$F$5))-MIN(1,MAX(0,(nr_MStartP-1-$G63+0.5)/$F$5))</f>
        <v/>
      </c>
      <c r="R63" s="208">
        <f>MIN(1,MAX(0,(nr_MEndP1-$G63+0.5)/$F$5))-MIN(1,MAX(0,(nr_MStartP1-1-$G63+0.5)/$F$5))</f>
        <v/>
      </c>
      <c r="S63" s="208">
        <f>IF(nr_NetMode,$N63*IF(nr_ModAdjEff="ON",$O63/nr_MInd,1),"")</f>
        <v/>
      </c>
      <c r="T63" s="208">
        <f>IF(NOT(nr_NetMode),"",IF($G63&lt;nr_MStartP,$S63,$T51*(1+IF($G63&lt;nr_MStartP1,nr_NetSelP,nr_NetSelP1))))</f>
        <v/>
      </c>
      <c r="U63" s="208">
        <f>IF(nr_NetMode,$T63,$N63)</f>
        <v/>
      </c>
      <c r="V63" s="177">
        <f>IF(OR(V$15&lt;$G63,V$15&gt;$G63+$F$5),0,IF(OR(V$15=$G63,V$15=$G63+$F$5),0.5,1)/$F$5)</f>
        <v/>
      </c>
      <c r="W63" s="177">
        <f>IF(OR(W$15&lt;$G63,W$15&gt;$G63+$F$5),0,IF(OR(W$15=$G63,W$15=$G63+$F$5),0.5,1)/$F$5)</f>
        <v/>
      </c>
      <c r="X63" s="177">
        <f>IF(OR(X$15&lt;$G63,X$15&gt;$G63+$F$5),0,IF(OR(X$15=$G63,X$15=$G63+$F$5),0.5,1)/$F$5)</f>
        <v/>
      </c>
      <c r="Y63" s="177">
        <f>IF(OR(Y$15&lt;$G63,Y$15&gt;$G63+$F$5),0,IF(OR(Y$15=$G63,Y$15=$G63+$F$5),0.5,1)/$F$5)</f>
        <v/>
      </c>
      <c r="Z63" s="177">
        <f>IF(OR(Z$15&lt;$G63,Z$15&gt;$G63+$F$5),0,IF(OR(Z$15=$G63,Z$15=$G63+$F$5),0.5,1)/$F$5)</f>
        <v/>
      </c>
      <c r="AA63" s="177">
        <f>IF(OR(AA$15&lt;$G63,AA$15&gt;$G63+$F$5),0,IF(OR(AA$15=$G63,AA$15=$G63+$F$5),0.5,1)/$F$5)</f>
        <v/>
      </c>
      <c r="AB63" s="177">
        <f>IF(OR(AB$15&lt;$G63,AB$15&gt;$G63+$F$5),0,IF(OR(AB$15=$G63,AB$15=$G63+$F$5),0.5,1)/$F$5)</f>
        <v/>
      </c>
      <c r="AC63" s="177">
        <f>IF(OR(AC$15&lt;$G63,AC$15&gt;$G63+$F$5),0,IF(OR(AC$15=$G63,AC$15=$G63+$F$5),0.5,1)/$F$5)</f>
        <v/>
      </c>
      <c r="AD63" s="177">
        <f>IF(OR(AD$15&lt;$G63,AD$15&gt;$G63+$F$5),0,IF(OR(AD$15=$G63,AD$15=$G63+$F$5),0.5,1)/$F$5)</f>
        <v/>
      </c>
      <c r="AE63" s="177">
        <f>IF(OR(AE$15&lt;$G63,AE$15&gt;$G63+$F$5),0,IF(OR(AE$15=$G63,AE$15=$G63+$F$5),0.5,1)/$F$5)</f>
        <v/>
      </c>
      <c r="AF63" s="177">
        <f>IF(OR(AF$15&lt;$G63,AF$15&gt;$G63+$F$5),0,IF(OR(AF$15=$G63,AF$15=$G63+$F$5),0.5,1)/$F$5)</f>
        <v/>
      </c>
      <c r="AG63" s="177">
        <f>IF(OR(AG$15&lt;$G63,AG$15&gt;$G63+$F$5),0,IF(OR(AG$15=$G63,AG$15=$G63+$F$5),0.5,1)/$F$5)</f>
        <v/>
      </c>
      <c r="AH63" s="177">
        <f>IF(OR(AH$15&lt;$G63,AH$15&gt;$G63+$F$5),0,IF(OR(AH$15=$G63,AH$15=$G63+$F$5),0.5,1)/$F$5)</f>
        <v/>
      </c>
      <c r="AI63" s="177">
        <f>IF(OR(AI$15&lt;$G63,AI$15&gt;$G63+$F$5),0,IF(OR(AI$15=$G63,AI$15=$G63+$F$5),0.5,1)/$F$5)</f>
        <v/>
      </c>
      <c r="AJ63" s="177">
        <f>IF(OR(AJ$15&lt;$G63,AJ$15&gt;$G63+$F$5),0,IF(OR(AJ$15=$G63,AJ$15=$G63+$F$5),0.5,1)/$F$5)</f>
        <v/>
      </c>
      <c r="AK63" s="177">
        <f>IF(OR(AK$15&lt;$G63,AK$15&gt;$G63+$F$5),0,IF(OR(AK$15=$G63,AK$15=$G63+$F$5),0.5,1)/$F$5)</f>
        <v/>
      </c>
      <c r="AL63" s="177">
        <f>IF(OR(AL$15&lt;$G63,AL$15&gt;$G63+$F$5),0,IF(OR(AL$15=$G63,AL$15=$G63+$F$5),0.5,1)/$F$5)</f>
        <v/>
      </c>
      <c r="AM63" s="177">
        <f>IF(OR(AM$15&lt;$G63,AM$15&gt;$G63+$F$5),0,IF(OR(AM$15=$G63,AM$15=$G63+$F$5),0.5,1)/$F$5)</f>
        <v/>
      </c>
      <c r="AN63" s="177">
        <f>IF(OR(AN$15&lt;$G63,AN$15&gt;$G63+$F$5),0,IF(OR(AN$15=$G63,AN$15=$G63+$F$5),0.5,1)/$F$5)</f>
        <v/>
      </c>
      <c r="AO63" s="177">
        <f>IF(OR(AO$15&lt;$G63,AO$15&gt;$G63+$F$5),0,IF(OR(AO$15=$G63,AO$15=$G63+$F$5),0.5,1)/$F$5)</f>
        <v/>
      </c>
      <c r="AP63" s="177">
        <f>IF(OR(AP$15&lt;$G63,AP$15&gt;$G63+$F$5),0,IF(OR(AP$15=$G63,AP$15=$G63+$F$5),0.5,1)/$F$5)</f>
        <v/>
      </c>
      <c r="AQ63" s="177">
        <f>IF(OR(AQ$15&lt;$G63,AQ$15&gt;$G63+$F$5),0,IF(OR(AQ$15=$G63,AQ$15=$G63+$F$5),0.5,1)/$F$5)</f>
        <v/>
      </c>
      <c r="AR63" s="177">
        <f>IF(OR(AR$15&lt;$G63,AR$15&gt;$G63+$F$5),0,IF(OR(AR$15=$G63,AR$15=$G63+$F$5),0.5,1)/$F$5)</f>
        <v/>
      </c>
      <c r="AS63" s="177">
        <f>IF(OR(AS$15&lt;$G63,AS$15&gt;$G63+$F$5),0,IF(OR(AS$15=$G63,AS$15=$G63+$F$5),0.5,1)/$F$5)</f>
        <v/>
      </c>
      <c r="AT63" s="177">
        <f>IF(OR(AT$15&lt;$G63,AT$15&gt;$G63+$F$5),0,IF(OR(AT$15=$G63,AT$15=$G63+$F$5),0.5,1)/$F$5)</f>
        <v/>
      </c>
      <c r="AU63" s="177">
        <f>IF(OR(AU$15&lt;$G63,AU$15&gt;$G63+$F$5),0,IF(OR(AU$15=$G63,AU$15=$G63+$F$5),0.5,1)/$F$5)</f>
        <v/>
      </c>
      <c r="AV63" s="177">
        <f>IF(OR(AV$15&lt;$G63,AV$15&gt;$G63+$F$5),0,IF(OR(AV$15=$G63,AV$15=$G63+$F$5),0.5,1)/$F$5)</f>
        <v/>
      </c>
      <c r="AW63" s="177">
        <f>IF(OR(AW$15&lt;$G63,AW$15&gt;$G63+$F$5),0,IF(OR(AW$15=$G63,AW$15=$G63+$F$5),0.5,1)/$F$5)</f>
        <v/>
      </c>
      <c r="AX63" s="177">
        <f>IF(OR(AX$15&lt;$G63,AX$15&gt;$G63+$F$5),0,IF(OR(AX$15=$G63,AX$15=$G63+$F$5),0.5,1)/$F$5)</f>
        <v/>
      </c>
      <c r="AY63" s="177">
        <f>IF(OR(AY$15&lt;$G63,AY$15&gt;$G63+$F$5),0,IF(OR(AY$15=$G63,AY$15=$G63+$F$5),0.5,1)/$F$5)</f>
        <v/>
      </c>
      <c r="AZ63" s="177">
        <f>IF(OR(AZ$15&lt;$G63,AZ$15&gt;$G63+$F$5),0,IF(OR(AZ$15=$G63,AZ$15=$G63+$F$5),0.5,1)/$F$5)</f>
        <v/>
      </c>
      <c r="BA63" s="177">
        <f>IF(OR(BA$15&lt;$G63,BA$15&gt;$G63+$F$5),0,IF(OR(BA$15=$G63,BA$15=$G63+$F$5),0.5,1)/$F$5)</f>
        <v/>
      </c>
      <c r="BB63" s="177">
        <f>IF(OR(BB$15&lt;$G63,BB$15&gt;$G63+$F$5),0,IF(OR(BB$15=$G63,BB$15=$G63+$F$5),0.5,1)/$F$5)</f>
        <v/>
      </c>
      <c r="BC63" s="177">
        <f>IF(OR(BC$15&lt;$G63,BC$15&gt;$G63+$F$5),0,IF(OR(BC$15=$G63,BC$15=$G63+$F$5),0.5,1)/$F$5)</f>
        <v/>
      </c>
      <c r="BD63" s="177">
        <f>IF(OR(BD$15&lt;$G63,BD$15&gt;$G63+$F$5),0,IF(OR(BD$15=$G63,BD$15=$G63+$F$5),0.5,1)/$F$5)</f>
        <v/>
      </c>
      <c r="BE63" s="177">
        <f>IF(OR(BE$15&lt;$G63,BE$15&gt;$G63+$F$5),0,IF(OR(BE$15=$G63,BE$15=$G63+$F$5),0.5,1)/$F$5)</f>
        <v/>
      </c>
      <c r="BF63" s="211">
        <f>IF(OR($G63&lt;V$15,$G63+$F$5&gt;BE$15),0,ABS(SUM(V63:BE63)-1))</f>
        <v/>
      </c>
    </row>
    <row r="64">
      <c r="A64" s="145" t="n">
        <v>48</v>
      </c>
      <c r="B64" s="204">
        <f>EDATE($B63,1)</f>
        <v/>
      </c>
      <c r="C64" s="205">
        <f>EOMONTH($B64,0)</f>
        <v/>
      </c>
      <c r="D64" s="201">
        <f>$C64-$B64+1</f>
        <v/>
      </c>
      <c r="E64" s="201">
        <f>MONTH($B64)</f>
        <v/>
      </c>
      <c r="F64" s="206">
        <f>($B64+$C64+1)/2</f>
        <v/>
      </c>
      <c r="G64" s="201">
        <f>YEAR($B64)*12+MONTH($B64)-1</f>
        <v/>
      </c>
      <c r="H64" s="207">
        <f>IF(OR(nr_SeasonOn="OFF",$F$6=0,$F$7=0),1,12*INDEX(se_block,$F$6,$E64)/$F$7)</f>
        <v/>
      </c>
      <c r="I64" s="208">
        <f>EXP(SUMPRODUCT((rl_eff&lt;$B64)*(rl_key=nr_SelKey)*rl_ln1p))</f>
        <v/>
      </c>
      <c r="J64" s="208">
        <f>EXP(SUMPRODUCT((rl_eff&lt;=$C64)*(rl_key=nr_SelKey)*rl_ln1p))</f>
        <v/>
      </c>
      <c r="K64" s="201">
        <f>COUNTIFS(rl_key,nr_SelKey,rl_eff,"&gt;="&amp;$B64,rl_eff,"&lt;="&amp;$C64)</f>
        <v/>
      </c>
      <c r="L64" s="201">
        <f>SUMIFS(rl_daysafter,rl_key,nr_SelKey,rl_effmonth,$B64,rl_first,1)</f>
        <v/>
      </c>
      <c r="M64" s="209">
        <f>IF($K64=0,0,MIN(1,$L64/$D64))</f>
        <v/>
      </c>
      <c r="N64" s="208">
        <f>IF($K64=0,$J64,(1-$M64)*$I64+$M64*$J64)</f>
        <v/>
      </c>
      <c r="O64" s="210">
        <f>'Mod Engine'!$E64</f>
        <v/>
      </c>
      <c r="P64" s="208">
        <f>MIN(1,MAX(0,(nr_MEndPm1-$G64+0.5)/$F$5))-MIN(1,MAX(0,(nr_MStartPm1-1-$G64+0.5)/$F$5))</f>
        <v/>
      </c>
      <c r="Q64" s="208">
        <f>MIN(1,MAX(0,(nr_MEndP-$G64+0.5)/$F$5))-MIN(1,MAX(0,(nr_MStartP-1-$G64+0.5)/$F$5))</f>
        <v/>
      </c>
      <c r="R64" s="208">
        <f>MIN(1,MAX(0,(nr_MEndP1-$G64+0.5)/$F$5))-MIN(1,MAX(0,(nr_MStartP1-1-$G64+0.5)/$F$5))</f>
        <v/>
      </c>
      <c r="S64" s="208">
        <f>IF(nr_NetMode,$N64*IF(nr_ModAdjEff="ON",$O64/nr_MInd,1),"")</f>
        <v/>
      </c>
      <c r="T64" s="208">
        <f>IF(NOT(nr_NetMode),"",IF($G64&lt;nr_MStartP,$S64,$T52*(1+IF($G64&lt;nr_MStartP1,nr_NetSelP,nr_NetSelP1))))</f>
        <v/>
      </c>
      <c r="U64" s="208">
        <f>IF(nr_NetMode,$T64,$N64)</f>
        <v/>
      </c>
      <c r="V64" s="177">
        <f>IF(OR(V$15&lt;$G64,V$15&gt;$G64+$F$5),0,IF(OR(V$15=$G64,V$15=$G64+$F$5),0.5,1)/$F$5)</f>
        <v/>
      </c>
      <c r="W64" s="177">
        <f>IF(OR(W$15&lt;$G64,W$15&gt;$G64+$F$5),0,IF(OR(W$15=$G64,W$15=$G64+$F$5),0.5,1)/$F$5)</f>
        <v/>
      </c>
      <c r="X64" s="177">
        <f>IF(OR(X$15&lt;$G64,X$15&gt;$G64+$F$5),0,IF(OR(X$15=$G64,X$15=$G64+$F$5),0.5,1)/$F$5)</f>
        <v/>
      </c>
      <c r="Y64" s="177">
        <f>IF(OR(Y$15&lt;$G64,Y$15&gt;$G64+$F$5),0,IF(OR(Y$15=$G64,Y$15=$G64+$F$5),0.5,1)/$F$5)</f>
        <v/>
      </c>
      <c r="Z64" s="177">
        <f>IF(OR(Z$15&lt;$G64,Z$15&gt;$G64+$F$5),0,IF(OR(Z$15=$G64,Z$15=$G64+$F$5),0.5,1)/$F$5)</f>
        <v/>
      </c>
      <c r="AA64" s="177">
        <f>IF(OR(AA$15&lt;$G64,AA$15&gt;$G64+$F$5),0,IF(OR(AA$15=$G64,AA$15=$G64+$F$5),0.5,1)/$F$5)</f>
        <v/>
      </c>
      <c r="AB64" s="177">
        <f>IF(OR(AB$15&lt;$G64,AB$15&gt;$G64+$F$5),0,IF(OR(AB$15=$G64,AB$15=$G64+$F$5),0.5,1)/$F$5)</f>
        <v/>
      </c>
      <c r="AC64" s="177">
        <f>IF(OR(AC$15&lt;$G64,AC$15&gt;$G64+$F$5),0,IF(OR(AC$15=$G64,AC$15=$G64+$F$5),0.5,1)/$F$5)</f>
        <v/>
      </c>
      <c r="AD64" s="177">
        <f>IF(OR(AD$15&lt;$G64,AD$15&gt;$G64+$F$5),0,IF(OR(AD$15=$G64,AD$15=$G64+$F$5),0.5,1)/$F$5)</f>
        <v/>
      </c>
      <c r="AE64" s="177">
        <f>IF(OR(AE$15&lt;$G64,AE$15&gt;$G64+$F$5),0,IF(OR(AE$15=$G64,AE$15=$G64+$F$5),0.5,1)/$F$5)</f>
        <v/>
      </c>
      <c r="AF64" s="177">
        <f>IF(OR(AF$15&lt;$G64,AF$15&gt;$G64+$F$5),0,IF(OR(AF$15=$G64,AF$15=$G64+$F$5),0.5,1)/$F$5)</f>
        <v/>
      </c>
      <c r="AG64" s="177">
        <f>IF(OR(AG$15&lt;$G64,AG$15&gt;$G64+$F$5),0,IF(OR(AG$15=$G64,AG$15=$G64+$F$5),0.5,1)/$F$5)</f>
        <v/>
      </c>
      <c r="AH64" s="177">
        <f>IF(OR(AH$15&lt;$G64,AH$15&gt;$G64+$F$5),0,IF(OR(AH$15=$G64,AH$15=$G64+$F$5),0.5,1)/$F$5)</f>
        <v/>
      </c>
      <c r="AI64" s="177">
        <f>IF(OR(AI$15&lt;$G64,AI$15&gt;$G64+$F$5),0,IF(OR(AI$15=$G64,AI$15=$G64+$F$5),0.5,1)/$F$5)</f>
        <v/>
      </c>
      <c r="AJ64" s="177">
        <f>IF(OR(AJ$15&lt;$G64,AJ$15&gt;$G64+$F$5),0,IF(OR(AJ$15=$G64,AJ$15=$G64+$F$5),0.5,1)/$F$5)</f>
        <v/>
      </c>
      <c r="AK64" s="177">
        <f>IF(OR(AK$15&lt;$G64,AK$15&gt;$G64+$F$5),0,IF(OR(AK$15=$G64,AK$15=$G64+$F$5),0.5,1)/$F$5)</f>
        <v/>
      </c>
      <c r="AL64" s="177">
        <f>IF(OR(AL$15&lt;$G64,AL$15&gt;$G64+$F$5),0,IF(OR(AL$15=$G64,AL$15=$G64+$F$5),0.5,1)/$F$5)</f>
        <v/>
      </c>
      <c r="AM64" s="177">
        <f>IF(OR(AM$15&lt;$G64,AM$15&gt;$G64+$F$5),0,IF(OR(AM$15=$G64,AM$15=$G64+$F$5),0.5,1)/$F$5)</f>
        <v/>
      </c>
      <c r="AN64" s="177">
        <f>IF(OR(AN$15&lt;$G64,AN$15&gt;$G64+$F$5),0,IF(OR(AN$15=$G64,AN$15=$G64+$F$5),0.5,1)/$F$5)</f>
        <v/>
      </c>
      <c r="AO64" s="177">
        <f>IF(OR(AO$15&lt;$G64,AO$15&gt;$G64+$F$5),0,IF(OR(AO$15=$G64,AO$15=$G64+$F$5),0.5,1)/$F$5)</f>
        <v/>
      </c>
      <c r="AP64" s="177">
        <f>IF(OR(AP$15&lt;$G64,AP$15&gt;$G64+$F$5),0,IF(OR(AP$15=$G64,AP$15=$G64+$F$5),0.5,1)/$F$5)</f>
        <v/>
      </c>
      <c r="AQ64" s="177">
        <f>IF(OR(AQ$15&lt;$G64,AQ$15&gt;$G64+$F$5),0,IF(OR(AQ$15=$G64,AQ$15=$G64+$F$5),0.5,1)/$F$5)</f>
        <v/>
      </c>
      <c r="AR64" s="177">
        <f>IF(OR(AR$15&lt;$G64,AR$15&gt;$G64+$F$5),0,IF(OR(AR$15=$G64,AR$15=$G64+$F$5),0.5,1)/$F$5)</f>
        <v/>
      </c>
      <c r="AS64" s="177">
        <f>IF(OR(AS$15&lt;$G64,AS$15&gt;$G64+$F$5),0,IF(OR(AS$15=$G64,AS$15=$G64+$F$5),0.5,1)/$F$5)</f>
        <v/>
      </c>
      <c r="AT64" s="177">
        <f>IF(OR(AT$15&lt;$G64,AT$15&gt;$G64+$F$5),0,IF(OR(AT$15=$G64,AT$15=$G64+$F$5),0.5,1)/$F$5)</f>
        <v/>
      </c>
      <c r="AU64" s="177">
        <f>IF(OR(AU$15&lt;$G64,AU$15&gt;$G64+$F$5),0,IF(OR(AU$15=$G64,AU$15=$G64+$F$5),0.5,1)/$F$5)</f>
        <v/>
      </c>
      <c r="AV64" s="177">
        <f>IF(OR(AV$15&lt;$G64,AV$15&gt;$G64+$F$5),0,IF(OR(AV$15=$G64,AV$15=$G64+$F$5),0.5,1)/$F$5)</f>
        <v/>
      </c>
      <c r="AW64" s="177">
        <f>IF(OR(AW$15&lt;$G64,AW$15&gt;$G64+$F$5),0,IF(OR(AW$15=$G64,AW$15=$G64+$F$5),0.5,1)/$F$5)</f>
        <v/>
      </c>
      <c r="AX64" s="177">
        <f>IF(OR(AX$15&lt;$G64,AX$15&gt;$G64+$F$5),0,IF(OR(AX$15=$G64,AX$15=$G64+$F$5),0.5,1)/$F$5)</f>
        <v/>
      </c>
      <c r="AY64" s="177">
        <f>IF(OR(AY$15&lt;$G64,AY$15&gt;$G64+$F$5),0,IF(OR(AY$15=$G64,AY$15=$G64+$F$5),0.5,1)/$F$5)</f>
        <v/>
      </c>
      <c r="AZ64" s="177">
        <f>IF(OR(AZ$15&lt;$G64,AZ$15&gt;$G64+$F$5),0,IF(OR(AZ$15=$G64,AZ$15=$G64+$F$5),0.5,1)/$F$5)</f>
        <v/>
      </c>
      <c r="BA64" s="177">
        <f>IF(OR(BA$15&lt;$G64,BA$15&gt;$G64+$F$5),0,IF(OR(BA$15=$G64,BA$15=$G64+$F$5),0.5,1)/$F$5)</f>
        <v/>
      </c>
      <c r="BB64" s="177">
        <f>IF(OR(BB$15&lt;$G64,BB$15&gt;$G64+$F$5),0,IF(OR(BB$15=$G64,BB$15=$G64+$F$5),0.5,1)/$F$5)</f>
        <v/>
      </c>
      <c r="BC64" s="177">
        <f>IF(OR(BC$15&lt;$G64,BC$15&gt;$G64+$F$5),0,IF(OR(BC$15=$G64,BC$15=$G64+$F$5),0.5,1)/$F$5)</f>
        <v/>
      </c>
      <c r="BD64" s="177">
        <f>IF(OR(BD$15&lt;$G64,BD$15&gt;$G64+$F$5),0,IF(OR(BD$15=$G64,BD$15=$G64+$F$5),0.5,1)/$F$5)</f>
        <v/>
      </c>
      <c r="BE64" s="177">
        <f>IF(OR(BE$15&lt;$G64,BE$15&gt;$G64+$F$5),0,IF(OR(BE$15=$G64,BE$15=$G64+$F$5),0.5,1)/$F$5)</f>
        <v/>
      </c>
      <c r="BF64" s="211">
        <f>IF(OR($G64&lt;V$15,$G64+$F$5&gt;BE$15),0,ABS(SUM(V64:BE64)-1))</f>
        <v/>
      </c>
    </row>
    <row r="66">
      <c r="U66" s="6" t="inlineStr">
        <is>
          <t>Monthly numerator  SUM w-e-W</t>
        </is>
      </c>
      <c r="V66" s="208">
        <f>SUMPRODUCT($H$17:$H$64,V$17:V$64,$U$17:$U$64)</f>
        <v/>
      </c>
      <c r="W66" s="208">
        <f>SUMPRODUCT($H$17:$H$64,W$17:W$64,$U$17:$U$64)</f>
        <v/>
      </c>
      <c r="X66" s="208">
        <f>SUMPRODUCT($H$17:$H$64,X$17:X$64,$U$17:$U$64)</f>
        <v/>
      </c>
      <c r="Y66" s="208">
        <f>SUMPRODUCT($H$17:$H$64,Y$17:Y$64,$U$17:$U$64)</f>
        <v/>
      </c>
      <c r="Z66" s="208">
        <f>SUMPRODUCT($H$17:$H$64,Z$17:Z$64,$U$17:$U$64)</f>
        <v/>
      </c>
      <c r="AA66" s="208">
        <f>SUMPRODUCT($H$17:$H$64,AA$17:AA$64,$U$17:$U$64)</f>
        <v/>
      </c>
      <c r="AB66" s="208">
        <f>SUMPRODUCT($H$17:$H$64,AB$17:AB$64,$U$17:$U$64)</f>
        <v/>
      </c>
      <c r="AC66" s="208">
        <f>SUMPRODUCT($H$17:$H$64,AC$17:AC$64,$U$17:$U$64)</f>
        <v/>
      </c>
      <c r="AD66" s="208">
        <f>SUMPRODUCT($H$17:$H$64,AD$17:AD$64,$U$17:$U$64)</f>
        <v/>
      </c>
      <c r="AE66" s="208">
        <f>SUMPRODUCT($H$17:$H$64,AE$17:AE$64,$U$17:$U$64)</f>
        <v/>
      </c>
      <c r="AF66" s="208">
        <f>SUMPRODUCT($H$17:$H$64,AF$17:AF$64,$U$17:$U$64)</f>
        <v/>
      </c>
      <c r="AG66" s="208">
        <f>SUMPRODUCT($H$17:$H$64,AG$17:AG$64,$U$17:$U$64)</f>
        <v/>
      </c>
      <c r="AH66" s="208">
        <f>SUMPRODUCT($H$17:$H$64,AH$17:AH$64,$U$17:$U$64)</f>
        <v/>
      </c>
      <c r="AI66" s="208">
        <f>SUMPRODUCT($H$17:$H$64,AI$17:AI$64,$U$17:$U$64)</f>
        <v/>
      </c>
      <c r="AJ66" s="208">
        <f>SUMPRODUCT($H$17:$H$64,AJ$17:AJ$64,$U$17:$U$64)</f>
        <v/>
      </c>
      <c r="AK66" s="208">
        <f>SUMPRODUCT($H$17:$H$64,AK$17:AK$64,$U$17:$U$64)</f>
        <v/>
      </c>
      <c r="AL66" s="208">
        <f>SUMPRODUCT($H$17:$H$64,AL$17:AL$64,$U$17:$U$64)</f>
        <v/>
      </c>
      <c r="AM66" s="208">
        <f>SUMPRODUCT($H$17:$H$64,AM$17:AM$64,$U$17:$U$64)</f>
        <v/>
      </c>
      <c r="AN66" s="208">
        <f>SUMPRODUCT($H$17:$H$64,AN$17:AN$64,$U$17:$U$64)</f>
        <v/>
      </c>
      <c r="AO66" s="208">
        <f>SUMPRODUCT($H$17:$H$64,AO$17:AO$64,$U$17:$U$64)</f>
        <v/>
      </c>
      <c r="AP66" s="208">
        <f>SUMPRODUCT($H$17:$H$64,AP$17:AP$64,$U$17:$U$64)</f>
        <v/>
      </c>
      <c r="AQ66" s="208">
        <f>SUMPRODUCT($H$17:$H$64,AQ$17:AQ$64,$U$17:$U$64)</f>
        <v/>
      </c>
      <c r="AR66" s="208">
        <f>SUMPRODUCT($H$17:$H$64,AR$17:AR$64,$U$17:$U$64)</f>
        <v/>
      </c>
      <c r="AS66" s="208">
        <f>SUMPRODUCT($H$17:$H$64,AS$17:AS$64,$U$17:$U$64)</f>
        <v/>
      </c>
      <c r="AT66" s="208">
        <f>SUMPRODUCT($H$17:$H$64,AT$17:AT$64,$U$17:$U$64)</f>
        <v/>
      </c>
      <c r="AU66" s="208">
        <f>SUMPRODUCT($H$17:$H$64,AU$17:AU$64,$U$17:$U$64)</f>
        <v/>
      </c>
      <c r="AV66" s="208">
        <f>SUMPRODUCT($H$17:$H$64,AV$17:AV$64,$U$17:$U$64)</f>
        <v/>
      </c>
      <c r="AW66" s="208">
        <f>SUMPRODUCT($H$17:$H$64,AW$17:AW$64,$U$17:$U$64)</f>
        <v/>
      </c>
      <c r="AX66" s="208">
        <f>SUMPRODUCT($H$17:$H$64,AX$17:AX$64,$U$17:$U$64)</f>
        <v/>
      </c>
      <c r="AY66" s="208">
        <f>SUMPRODUCT($H$17:$H$64,AY$17:AY$64,$U$17:$U$64)</f>
        <v/>
      </c>
      <c r="AZ66" s="208">
        <f>SUMPRODUCT($H$17:$H$64,AZ$17:AZ$64,$U$17:$U$64)</f>
        <v/>
      </c>
      <c r="BA66" s="208">
        <f>SUMPRODUCT($H$17:$H$64,BA$17:BA$64,$U$17:$U$64)</f>
        <v/>
      </c>
      <c r="BB66" s="208">
        <f>SUMPRODUCT($H$17:$H$64,BB$17:BB$64,$U$17:$U$64)</f>
        <v/>
      </c>
      <c r="BC66" s="208">
        <f>SUMPRODUCT($H$17:$H$64,BC$17:BC$64,$U$17:$U$64)</f>
        <v/>
      </c>
      <c r="BD66" s="208">
        <f>SUMPRODUCT($H$17:$H$64,BD$17:BD$64,$U$17:$U$64)</f>
        <v/>
      </c>
      <c r="BE66" s="208">
        <f>SUMPRODUCT($H$17:$H$64,BE$17:BE$64,$U$17:$U$64)</f>
        <v/>
      </c>
      <c r="BG66" s="6" t="inlineStr">
        <is>
          <t>Monthly numerator  SUM w-e-W</t>
        </is>
      </c>
    </row>
    <row r="67">
      <c r="U67" s="6" t="inlineStr">
        <is>
          <t>Monthly denominator  SUM w-e</t>
        </is>
      </c>
      <c r="V67" s="208">
        <f>SUMPRODUCT($H$17:$H$64,V$17:V$64)</f>
        <v/>
      </c>
      <c r="W67" s="208">
        <f>SUMPRODUCT($H$17:$H$64,W$17:W$64)</f>
        <v/>
      </c>
      <c r="X67" s="208">
        <f>SUMPRODUCT($H$17:$H$64,X$17:X$64)</f>
        <v/>
      </c>
      <c r="Y67" s="208">
        <f>SUMPRODUCT($H$17:$H$64,Y$17:Y$64)</f>
        <v/>
      </c>
      <c r="Z67" s="208">
        <f>SUMPRODUCT($H$17:$H$64,Z$17:Z$64)</f>
        <v/>
      </c>
      <c r="AA67" s="208">
        <f>SUMPRODUCT($H$17:$H$64,AA$17:AA$64)</f>
        <v/>
      </c>
      <c r="AB67" s="208">
        <f>SUMPRODUCT($H$17:$H$64,AB$17:AB$64)</f>
        <v/>
      </c>
      <c r="AC67" s="208">
        <f>SUMPRODUCT($H$17:$H$64,AC$17:AC$64)</f>
        <v/>
      </c>
      <c r="AD67" s="208">
        <f>SUMPRODUCT($H$17:$H$64,AD$17:AD$64)</f>
        <v/>
      </c>
      <c r="AE67" s="208">
        <f>SUMPRODUCT($H$17:$H$64,AE$17:AE$64)</f>
        <v/>
      </c>
      <c r="AF67" s="208">
        <f>SUMPRODUCT($H$17:$H$64,AF$17:AF$64)</f>
        <v/>
      </c>
      <c r="AG67" s="208">
        <f>SUMPRODUCT($H$17:$H$64,AG$17:AG$64)</f>
        <v/>
      </c>
      <c r="AH67" s="208">
        <f>SUMPRODUCT($H$17:$H$64,AH$17:AH$64)</f>
        <v/>
      </c>
      <c r="AI67" s="208">
        <f>SUMPRODUCT($H$17:$H$64,AI$17:AI$64)</f>
        <v/>
      </c>
      <c r="AJ67" s="208">
        <f>SUMPRODUCT($H$17:$H$64,AJ$17:AJ$64)</f>
        <v/>
      </c>
      <c r="AK67" s="208">
        <f>SUMPRODUCT($H$17:$H$64,AK$17:AK$64)</f>
        <v/>
      </c>
      <c r="AL67" s="208">
        <f>SUMPRODUCT($H$17:$H$64,AL$17:AL$64)</f>
        <v/>
      </c>
      <c r="AM67" s="208">
        <f>SUMPRODUCT($H$17:$H$64,AM$17:AM$64)</f>
        <v/>
      </c>
      <c r="AN67" s="208">
        <f>SUMPRODUCT($H$17:$H$64,AN$17:AN$64)</f>
        <v/>
      </c>
      <c r="AO67" s="208">
        <f>SUMPRODUCT($H$17:$H$64,AO$17:AO$64)</f>
        <v/>
      </c>
      <c r="AP67" s="208">
        <f>SUMPRODUCT($H$17:$H$64,AP$17:AP$64)</f>
        <v/>
      </c>
      <c r="AQ67" s="208">
        <f>SUMPRODUCT($H$17:$H$64,AQ$17:AQ$64)</f>
        <v/>
      </c>
      <c r="AR67" s="208">
        <f>SUMPRODUCT($H$17:$H$64,AR$17:AR$64)</f>
        <v/>
      </c>
      <c r="AS67" s="208">
        <f>SUMPRODUCT($H$17:$H$64,AS$17:AS$64)</f>
        <v/>
      </c>
      <c r="AT67" s="208">
        <f>SUMPRODUCT($H$17:$H$64,AT$17:AT$64)</f>
        <v/>
      </c>
      <c r="AU67" s="208">
        <f>SUMPRODUCT($H$17:$H$64,AU$17:AU$64)</f>
        <v/>
      </c>
      <c r="AV67" s="208">
        <f>SUMPRODUCT($H$17:$H$64,AV$17:AV$64)</f>
        <v/>
      </c>
      <c r="AW67" s="208">
        <f>SUMPRODUCT($H$17:$H$64,AW$17:AW$64)</f>
        <v/>
      </c>
      <c r="AX67" s="208">
        <f>SUMPRODUCT($H$17:$H$64,AX$17:AX$64)</f>
        <v/>
      </c>
      <c r="AY67" s="208">
        <f>SUMPRODUCT($H$17:$H$64,AY$17:AY$64)</f>
        <v/>
      </c>
      <c r="AZ67" s="208">
        <f>SUMPRODUCT($H$17:$H$64,AZ$17:AZ$64)</f>
        <v/>
      </c>
      <c r="BA67" s="208">
        <f>SUMPRODUCT($H$17:$H$64,BA$17:BA$64)</f>
        <v/>
      </c>
      <c r="BB67" s="208">
        <f>SUMPRODUCT($H$17:$H$64,BB$17:BB$64)</f>
        <v/>
      </c>
      <c r="BC67" s="208">
        <f>SUMPRODUCT($H$17:$H$64,BC$17:BC$64)</f>
        <v/>
      </c>
      <c r="BD67" s="208">
        <f>SUMPRODUCT($H$17:$H$64,BD$17:BD$64)</f>
        <v/>
      </c>
      <c r="BE67" s="208">
        <f>SUMPRODUCT($H$17:$H$64,BE$17:BE$64)</f>
        <v/>
      </c>
      <c r="BG67" s="6" t="inlineStr">
        <is>
          <t>Monthly denominator  SUM w-e</t>
        </is>
      </c>
    </row>
    <row r="68">
      <c r="U68" s="6" t="inlineStr">
        <is>
          <t>Earned index E_m</t>
        </is>
      </c>
      <c r="V68" s="212">
        <f>IF(V67=0,"",V66/V67)</f>
        <v/>
      </c>
      <c r="W68" s="212">
        <f>IF(W67=0,"",W66/W67)</f>
        <v/>
      </c>
      <c r="X68" s="212">
        <f>IF(X67=0,"",X66/X67)</f>
        <v/>
      </c>
      <c r="Y68" s="212">
        <f>IF(Y67=0,"",Y66/Y67)</f>
        <v/>
      </c>
      <c r="Z68" s="212">
        <f>IF(Z67=0,"",Z66/Z67)</f>
        <v/>
      </c>
      <c r="AA68" s="212">
        <f>IF(AA67=0,"",AA66/AA67)</f>
        <v/>
      </c>
      <c r="AB68" s="212">
        <f>IF(AB67=0,"",AB66/AB67)</f>
        <v/>
      </c>
      <c r="AC68" s="212">
        <f>IF(AC67=0,"",AC66/AC67)</f>
        <v/>
      </c>
      <c r="AD68" s="212">
        <f>IF(AD67=0,"",AD66/AD67)</f>
        <v/>
      </c>
      <c r="AE68" s="212">
        <f>IF(AE67=0,"",AE66/AE67)</f>
        <v/>
      </c>
      <c r="AF68" s="212">
        <f>IF(AF67=0,"",AF66/AF67)</f>
        <v/>
      </c>
      <c r="AG68" s="212">
        <f>IF(AG67=0,"",AG66/AG67)</f>
        <v/>
      </c>
      <c r="AH68" s="212">
        <f>IF(AH67=0,"",AH66/AH67)</f>
        <v/>
      </c>
      <c r="AI68" s="212">
        <f>IF(AI67=0,"",AI66/AI67)</f>
        <v/>
      </c>
      <c r="AJ68" s="212">
        <f>IF(AJ67=0,"",AJ66/AJ67)</f>
        <v/>
      </c>
      <c r="AK68" s="212">
        <f>IF(AK67=0,"",AK66/AK67)</f>
        <v/>
      </c>
      <c r="AL68" s="212">
        <f>IF(AL67=0,"",AL66/AL67)</f>
        <v/>
      </c>
      <c r="AM68" s="212">
        <f>IF(AM67=0,"",AM66/AM67)</f>
        <v/>
      </c>
      <c r="AN68" s="212">
        <f>IF(AN67=0,"",AN66/AN67)</f>
        <v/>
      </c>
      <c r="AO68" s="212">
        <f>IF(AO67=0,"",AO66/AO67)</f>
        <v/>
      </c>
      <c r="AP68" s="212">
        <f>IF(AP67=0,"",AP66/AP67)</f>
        <v/>
      </c>
      <c r="AQ68" s="212">
        <f>IF(AQ67=0,"",AQ66/AQ67)</f>
        <v/>
      </c>
      <c r="AR68" s="212">
        <f>IF(AR67=0,"",AR66/AR67)</f>
        <v/>
      </c>
      <c r="AS68" s="212">
        <f>IF(AS67=0,"",AS66/AS67)</f>
        <v/>
      </c>
      <c r="AT68" s="212">
        <f>IF(AT67=0,"",AT66/AT67)</f>
        <v/>
      </c>
      <c r="AU68" s="212">
        <f>IF(AU67=0,"",AU66/AU67)</f>
        <v/>
      </c>
      <c r="AV68" s="212">
        <f>IF(AV67=0,"",AV66/AV67)</f>
        <v/>
      </c>
      <c r="AW68" s="212">
        <f>IF(AW67=0,"",AW66/AW67)</f>
        <v/>
      </c>
      <c r="AX68" s="212">
        <f>IF(AX67=0,"",AX66/AX67)</f>
        <v/>
      </c>
      <c r="AY68" s="212">
        <f>IF(AY67=0,"",AY66/AY67)</f>
        <v/>
      </c>
      <c r="AZ68" s="212">
        <f>IF(AZ67=0,"",AZ66/AZ67)</f>
        <v/>
      </c>
      <c r="BA68" s="212">
        <f>IF(BA67=0,"",BA66/BA67)</f>
        <v/>
      </c>
      <c r="BB68" s="212">
        <f>IF(BB67=0,"",BB66/BB67)</f>
        <v/>
      </c>
      <c r="BC68" s="212">
        <f>IF(BC67=0,"",BC66/BC67)</f>
        <v/>
      </c>
      <c r="BD68" s="212">
        <f>IF(BD67=0,"",BD66/BD67)</f>
        <v/>
      </c>
      <c r="BE68" s="212">
        <f>IF(BE67=0,"",BE66/BE67)</f>
        <v/>
      </c>
      <c r="BG68" s="6" t="inlineStr">
        <is>
          <t>Earned index E_m</t>
        </is>
      </c>
    </row>
    <row r="69">
      <c r="U69" s="6" t="inlineStr">
        <is>
          <t>min W over contributing cohorts</t>
        </is>
      </c>
      <c r="V69" s="173">
        <f>MIN(INDEX($U$17:$U$64,MAX(1,V$15-$G$17-$F$5+1)):INDEX($U$17:$U$64,V$15-$G$17+1))</f>
        <v/>
      </c>
      <c r="W69" s="173">
        <f>MIN(INDEX($U$17:$U$64,MAX(1,W$15-$G$17-$F$5+1)):INDEX($U$17:$U$64,W$15-$G$17+1))</f>
        <v/>
      </c>
      <c r="X69" s="173">
        <f>MIN(INDEX($U$17:$U$64,MAX(1,X$15-$G$17-$F$5+1)):INDEX($U$17:$U$64,X$15-$G$17+1))</f>
        <v/>
      </c>
      <c r="Y69" s="173">
        <f>MIN(INDEX($U$17:$U$64,MAX(1,Y$15-$G$17-$F$5+1)):INDEX($U$17:$U$64,Y$15-$G$17+1))</f>
        <v/>
      </c>
      <c r="Z69" s="173">
        <f>MIN(INDEX($U$17:$U$64,MAX(1,Z$15-$G$17-$F$5+1)):INDEX($U$17:$U$64,Z$15-$G$17+1))</f>
        <v/>
      </c>
      <c r="AA69" s="173">
        <f>MIN(INDEX($U$17:$U$64,MAX(1,AA$15-$G$17-$F$5+1)):INDEX($U$17:$U$64,AA$15-$G$17+1))</f>
        <v/>
      </c>
      <c r="AB69" s="173">
        <f>MIN(INDEX($U$17:$U$64,MAX(1,AB$15-$G$17-$F$5+1)):INDEX($U$17:$U$64,AB$15-$G$17+1))</f>
        <v/>
      </c>
      <c r="AC69" s="173">
        <f>MIN(INDEX($U$17:$U$64,MAX(1,AC$15-$G$17-$F$5+1)):INDEX($U$17:$U$64,AC$15-$G$17+1))</f>
        <v/>
      </c>
      <c r="AD69" s="173">
        <f>MIN(INDEX($U$17:$U$64,MAX(1,AD$15-$G$17-$F$5+1)):INDEX($U$17:$U$64,AD$15-$G$17+1))</f>
        <v/>
      </c>
      <c r="AE69" s="173">
        <f>MIN(INDEX($U$17:$U$64,MAX(1,AE$15-$G$17-$F$5+1)):INDEX($U$17:$U$64,AE$15-$G$17+1))</f>
        <v/>
      </c>
      <c r="AF69" s="173">
        <f>MIN(INDEX($U$17:$U$64,MAX(1,AF$15-$G$17-$F$5+1)):INDEX($U$17:$U$64,AF$15-$G$17+1))</f>
        <v/>
      </c>
      <c r="AG69" s="173">
        <f>MIN(INDEX($U$17:$U$64,MAX(1,AG$15-$G$17-$F$5+1)):INDEX($U$17:$U$64,AG$15-$G$17+1))</f>
        <v/>
      </c>
      <c r="AH69" s="173">
        <f>MIN(INDEX($U$17:$U$64,MAX(1,AH$15-$G$17-$F$5+1)):INDEX($U$17:$U$64,AH$15-$G$17+1))</f>
        <v/>
      </c>
      <c r="AI69" s="173">
        <f>MIN(INDEX($U$17:$U$64,MAX(1,AI$15-$G$17-$F$5+1)):INDEX($U$17:$U$64,AI$15-$G$17+1))</f>
        <v/>
      </c>
      <c r="AJ69" s="173">
        <f>MIN(INDEX($U$17:$U$64,MAX(1,AJ$15-$G$17-$F$5+1)):INDEX($U$17:$U$64,AJ$15-$G$17+1))</f>
        <v/>
      </c>
      <c r="AK69" s="173">
        <f>MIN(INDEX($U$17:$U$64,MAX(1,AK$15-$G$17-$F$5+1)):INDEX($U$17:$U$64,AK$15-$G$17+1))</f>
        <v/>
      </c>
      <c r="AL69" s="173">
        <f>MIN(INDEX($U$17:$U$64,MAX(1,AL$15-$G$17-$F$5+1)):INDEX($U$17:$U$64,AL$15-$G$17+1))</f>
        <v/>
      </c>
      <c r="AM69" s="173">
        <f>MIN(INDEX($U$17:$U$64,MAX(1,AM$15-$G$17-$F$5+1)):INDEX($U$17:$U$64,AM$15-$G$17+1))</f>
        <v/>
      </c>
      <c r="AN69" s="173">
        <f>MIN(INDEX($U$17:$U$64,MAX(1,AN$15-$G$17-$F$5+1)):INDEX($U$17:$U$64,AN$15-$G$17+1))</f>
        <v/>
      </c>
      <c r="AO69" s="173">
        <f>MIN(INDEX($U$17:$U$64,MAX(1,AO$15-$G$17-$F$5+1)):INDEX($U$17:$U$64,AO$15-$G$17+1))</f>
        <v/>
      </c>
      <c r="AP69" s="173">
        <f>MIN(INDEX($U$17:$U$64,MAX(1,AP$15-$G$17-$F$5+1)):INDEX($U$17:$U$64,AP$15-$G$17+1))</f>
        <v/>
      </c>
      <c r="AQ69" s="173">
        <f>MIN(INDEX($U$17:$U$64,MAX(1,AQ$15-$G$17-$F$5+1)):INDEX($U$17:$U$64,AQ$15-$G$17+1))</f>
        <v/>
      </c>
      <c r="AR69" s="173">
        <f>MIN(INDEX($U$17:$U$64,MAX(1,AR$15-$G$17-$F$5+1)):INDEX($U$17:$U$64,AR$15-$G$17+1))</f>
        <v/>
      </c>
      <c r="AS69" s="173">
        <f>MIN(INDEX($U$17:$U$64,MAX(1,AS$15-$G$17-$F$5+1)):INDEX($U$17:$U$64,AS$15-$G$17+1))</f>
        <v/>
      </c>
      <c r="AT69" s="173">
        <f>MIN(INDEX($U$17:$U$64,MAX(1,AT$15-$G$17-$F$5+1)):INDEX($U$17:$U$64,AT$15-$G$17+1))</f>
        <v/>
      </c>
      <c r="AU69" s="173">
        <f>MIN(INDEX($U$17:$U$64,MAX(1,AU$15-$G$17-$F$5+1)):INDEX($U$17:$U$64,AU$15-$G$17+1))</f>
        <v/>
      </c>
      <c r="AV69" s="173">
        <f>MIN(INDEX($U$17:$U$64,MAX(1,AV$15-$G$17-$F$5+1)):INDEX($U$17:$U$64,AV$15-$G$17+1))</f>
        <v/>
      </c>
      <c r="AW69" s="173">
        <f>MIN(INDEX($U$17:$U$64,MAX(1,AW$15-$G$17-$F$5+1)):INDEX($U$17:$U$64,AW$15-$G$17+1))</f>
        <v/>
      </c>
      <c r="AX69" s="173">
        <f>MIN(INDEX($U$17:$U$64,MAX(1,AX$15-$G$17-$F$5+1)):INDEX($U$17:$U$64,AX$15-$G$17+1))</f>
        <v/>
      </c>
      <c r="AY69" s="173">
        <f>MIN(INDEX($U$17:$U$64,MAX(1,AY$15-$G$17-$F$5+1)):INDEX($U$17:$U$64,AY$15-$G$17+1))</f>
        <v/>
      </c>
      <c r="AZ69" s="173">
        <f>MIN(INDEX($U$17:$U$64,MAX(1,AZ$15-$G$17-$F$5+1)):INDEX($U$17:$U$64,AZ$15-$G$17+1))</f>
        <v/>
      </c>
      <c r="BA69" s="173">
        <f>MIN(INDEX($U$17:$U$64,MAX(1,BA$15-$G$17-$F$5+1)):INDEX($U$17:$U$64,BA$15-$G$17+1))</f>
        <v/>
      </c>
      <c r="BB69" s="173">
        <f>MIN(INDEX($U$17:$U$64,MAX(1,BB$15-$G$17-$F$5+1)):INDEX($U$17:$U$64,BB$15-$G$17+1))</f>
        <v/>
      </c>
      <c r="BC69" s="173">
        <f>MIN(INDEX($U$17:$U$64,MAX(1,BC$15-$G$17-$F$5+1)):INDEX($U$17:$U$64,BC$15-$G$17+1))</f>
        <v/>
      </c>
      <c r="BD69" s="173">
        <f>MIN(INDEX($U$17:$U$64,MAX(1,BD$15-$G$17-$F$5+1)):INDEX($U$17:$U$64,BD$15-$G$17+1))</f>
        <v/>
      </c>
      <c r="BE69" s="173">
        <f>MIN(INDEX($U$17:$U$64,MAX(1,BE$15-$G$17-$F$5+1)):INDEX($U$17:$U$64,BE$15-$G$17+1))</f>
        <v/>
      </c>
      <c r="BG69" s="6" t="inlineStr">
        <is>
          <t>min W over contributing cohorts</t>
        </is>
      </c>
    </row>
    <row r="70">
      <c r="U70" s="6" t="inlineStr">
        <is>
          <t>max W over contributing cohorts</t>
        </is>
      </c>
      <c r="V70" s="173">
        <f>MAX(INDEX($U$17:$U$64,MAX(1,V$15-$G$17-$F$5+1)):INDEX($U$17:$U$64,V$15-$G$17+1))</f>
        <v/>
      </c>
      <c r="W70" s="173">
        <f>MAX(INDEX($U$17:$U$64,MAX(1,W$15-$G$17-$F$5+1)):INDEX($U$17:$U$64,W$15-$G$17+1))</f>
        <v/>
      </c>
      <c r="X70" s="173">
        <f>MAX(INDEX($U$17:$U$64,MAX(1,X$15-$G$17-$F$5+1)):INDEX($U$17:$U$64,X$15-$G$17+1))</f>
        <v/>
      </c>
      <c r="Y70" s="173">
        <f>MAX(INDEX($U$17:$U$64,MAX(1,Y$15-$G$17-$F$5+1)):INDEX($U$17:$U$64,Y$15-$G$17+1))</f>
        <v/>
      </c>
      <c r="Z70" s="173">
        <f>MAX(INDEX($U$17:$U$64,MAX(1,Z$15-$G$17-$F$5+1)):INDEX($U$17:$U$64,Z$15-$G$17+1))</f>
        <v/>
      </c>
      <c r="AA70" s="173">
        <f>MAX(INDEX($U$17:$U$64,MAX(1,AA$15-$G$17-$F$5+1)):INDEX($U$17:$U$64,AA$15-$G$17+1))</f>
        <v/>
      </c>
      <c r="AB70" s="173">
        <f>MAX(INDEX($U$17:$U$64,MAX(1,AB$15-$G$17-$F$5+1)):INDEX($U$17:$U$64,AB$15-$G$17+1))</f>
        <v/>
      </c>
      <c r="AC70" s="173">
        <f>MAX(INDEX($U$17:$U$64,MAX(1,AC$15-$G$17-$F$5+1)):INDEX($U$17:$U$64,AC$15-$G$17+1))</f>
        <v/>
      </c>
      <c r="AD70" s="173">
        <f>MAX(INDEX($U$17:$U$64,MAX(1,AD$15-$G$17-$F$5+1)):INDEX($U$17:$U$64,AD$15-$G$17+1))</f>
        <v/>
      </c>
      <c r="AE70" s="173">
        <f>MAX(INDEX($U$17:$U$64,MAX(1,AE$15-$G$17-$F$5+1)):INDEX($U$17:$U$64,AE$15-$G$17+1))</f>
        <v/>
      </c>
      <c r="AF70" s="173">
        <f>MAX(INDEX($U$17:$U$64,MAX(1,AF$15-$G$17-$F$5+1)):INDEX($U$17:$U$64,AF$15-$G$17+1))</f>
        <v/>
      </c>
      <c r="AG70" s="173">
        <f>MAX(INDEX($U$17:$U$64,MAX(1,AG$15-$G$17-$F$5+1)):INDEX($U$17:$U$64,AG$15-$G$17+1))</f>
        <v/>
      </c>
      <c r="AH70" s="173">
        <f>MAX(INDEX($U$17:$U$64,MAX(1,AH$15-$G$17-$F$5+1)):INDEX($U$17:$U$64,AH$15-$G$17+1))</f>
        <v/>
      </c>
      <c r="AI70" s="173">
        <f>MAX(INDEX($U$17:$U$64,MAX(1,AI$15-$G$17-$F$5+1)):INDEX($U$17:$U$64,AI$15-$G$17+1))</f>
        <v/>
      </c>
      <c r="AJ70" s="173">
        <f>MAX(INDEX($U$17:$U$64,MAX(1,AJ$15-$G$17-$F$5+1)):INDEX($U$17:$U$64,AJ$15-$G$17+1))</f>
        <v/>
      </c>
      <c r="AK70" s="173">
        <f>MAX(INDEX($U$17:$U$64,MAX(1,AK$15-$G$17-$F$5+1)):INDEX($U$17:$U$64,AK$15-$G$17+1))</f>
        <v/>
      </c>
      <c r="AL70" s="173">
        <f>MAX(INDEX($U$17:$U$64,MAX(1,AL$15-$G$17-$F$5+1)):INDEX($U$17:$U$64,AL$15-$G$17+1))</f>
        <v/>
      </c>
      <c r="AM70" s="173">
        <f>MAX(INDEX($U$17:$U$64,MAX(1,AM$15-$G$17-$F$5+1)):INDEX($U$17:$U$64,AM$15-$G$17+1))</f>
        <v/>
      </c>
      <c r="AN70" s="173">
        <f>MAX(INDEX($U$17:$U$64,MAX(1,AN$15-$G$17-$F$5+1)):INDEX($U$17:$U$64,AN$15-$G$17+1))</f>
        <v/>
      </c>
      <c r="AO70" s="173">
        <f>MAX(INDEX($U$17:$U$64,MAX(1,AO$15-$G$17-$F$5+1)):INDEX($U$17:$U$64,AO$15-$G$17+1))</f>
        <v/>
      </c>
      <c r="AP70" s="173">
        <f>MAX(INDEX($U$17:$U$64,MAX(1,AP$15-$G$17-$F$5+1)):INDEX($U$17:$U$64,AP$15-$G$17+1))</f>
        <v/>
      </c>
      <c r="AQ70" s="173">
        <f>MAX(INDEX($U$17:$U$64,MAX(1,AQ$15-$G$17-$F$5+1)):INDEX($U$17:$U$64,AQ$15-$G$17+1))</f>
        <v/>
      </c>
      <c r="AR70" s="173">
        <f>MAX(INDEX($U$17:$U$64,MAX(1,AR$15-$G$17-$F$5+1)):INDEX($U$17:$U$64,AR$15-$G$17+1))</f>
        <v/>
      </c>
      <c r="AS70" s="173">
        <f>MAX(INDEX($U$17:$U$64,MAX(1,AS$15-$G$17-$F$5+1)):INDEX($U$17:$U$64,AS$15-$G$17+1))</f>
        <v/>
      </c>
      <c r="AT70" s="173">
        <f>MAX(INDEX($U$17:$U$64,MAX(1,AT$15-$G$17-$F$5+1)):INDEX($U$17:$U$64,AT$15-$G$17+1))</f>
        <v/>
      </c>
      <c r="AU70" s="173">
        <f>MAX(INDEX($U$17:$U$64,MAX(1,AU$15-$G$17-$F$5+1)):INDEX($U$17:$U$64,AU$15-$G$17+1))</f>
        <v/>
      </c>
      <c r="AV70" s="173">
        <f>MAX(INDEX($U$17:$U$64,MAX(1,AV$15-$G$17-$F$5+1)):INDEX($U$17:$U$64,AV$15-$G$17+1))</f>
        <v/>
      </c>
      <c r="AW70" s="173">
        <f>MAX(INDEX($U$17:$U$64,MAX(1,AW$15-$G$17-$F$5+1)):INDEX($U$17:$U$64,AW$15-$G$17+1))</f>
        <v/>
      </c>
      <c r="AX70" s="173">
        <f>MAX(INDEX($U$17:$U$64,MAX(1,AX$15-$G$17-$F$5+1)):INDEX($U$17:$U$64,AX$15-$G$17+1))</f>
        <v/>
      </c>
      <c r="AY70" s="173">
        <f>MAX(INDEX($U$17:$U$64,MAX(1,AY$15-$G$17-$F$5+1)):INDEX($U$17:$U$64,AY$15-$G$17+1))</f>
        <v/>
      </c>
      <c r="AZ70" s="173">
        <f>MAX(INDEX($U$17:$U$64,MAX(1,AZ$15-$G$17-$F$5+1)):INDEX($U$17:$U$64,AZ$15-$G$17+1))</f>
        <v/>
      </c>
      <c r="BA70" s="173">
        <f>MAX(INDEX($U$17:$U$64,MAX(1,BA$15-$G$17-$F$5+1)):INDEX($U$17:$U$64,BA$15-$G$17+1))</f>
        <v/>
      </c>
      <c r="BB70" s="173">
        <f>MAX(INDEX($U$17:$U$64,MAX(1,BB$15-$G$17-$F$5+1)):INDEX($U$17:$U$64,BB$15-$G$17+1))</f>
        <v/>
      </c>
      <c r="BC70" s="173">
        <f>MAX(INDEX($U$17:$U$64,MAX(1,BC$15-$G$17-$F$5+1)):INDEX($U$17:$U$64,BC$15-$G$17+1))</f>
        <v/>
      </c>
      <c r="BD70" s="173">
        <f>MAX(INDEX($U$17:$U$64,MAX(1,BD$15-$G$17-$F$5+1)):INDEX($U$17:$U$64,BD$15-$G$17+1))</f>
        <v/>
      </c>
      <c r="BE70" s="173">
        <f>MAX(INDEX($U$17:$U$64,MAX(1,BE$15-$G$17-$F$5+1)):INDEX($U$17:$U$64,BE$15-$G$17+1))</f>
        <v/>
      </c>
      <c r="BG70" s="6" t="inlineStr">
        <is>
          <t>max W over contributing cohorts</t>
        </is>
      </c>
    </row>
    <row r="71">
      <c r="U71" s="6" t="inlineStr">
        <is>
          <t>bound violation (Checks)</t>
        </is>
      </c>
      <c r="V71" s="211">
        <f>IF(V68="",0,MAX(0,V69-V68,V68-V70))</f>
        <v/>
      </c>
      <c r="W71" s="211">
        <f>IF(W68="",0,MAX(0,W69-W68,W68-W70))</f>
        <v/>
      </c>
      <c r="X71" s="211">
        <f>IF(X68="",0,MAX(0,X69-X68,X68-X70))</f>
        <v/>
      </c>
      <c r="Y71" s="211">
        <f>IF(Y68="",0,MAX(0,Y69-Y68,Y68-Y70))</f>
        <v/>
      </c>
      <c r="Z71" s="211">
        <f>IF(Z68="",0,MAX(0,Z69-Z68,Z68-Z70))</f>
        <v/>
      </c>
      <c r="AA71" s="211">
        <f>IF(AA68="",0,MAX(0,AA69-AA68,AA68-AA70))</f>
        <v/>
      </c>
      <c r="AB71" s="211">
        <f>IF(AB68="",0,MAX(0,AB69-AB68,AB68-AB70))</f>
        <v/>
      </c>
      <c r="AC71" s="211">
        <f>IF(AC68="",0,MAX(0,AC69-AC68,AC68-AC70))</f>
        <v/>
      </c>
      <c r="AD71" s="211">
        <f>IF(AD68="",0,MAX(0,AD69-AD68,AD68-AD70))</f>
        <v/>
      </c>
      <c r="AE71" s="211">
        <f>IF(AE68="",0,MAX(0,AE69-AE68,AE68-AE70))</f>
        <v/>
      </c>
      <c r="AF71" s="211">
        <f>IF(AF68="",0,MAX(0,AF69-AF68,AF68-AF70))</f>
        <v/>
      </c>
      <c r="AG71" s="211">
        <f>IF(AG68="",0,MAX(0,AG69-AG68,AG68-AG70))</f>
        <v/>
      </c>
      <c r="AH71" s="211">
        <f>IF(AH68="",0,MAX(0,AH69-AH68,AH68-AH70))</f>
        <v/>
      </c>
      <c r="AI71" s="211">
        <f>IF(AI68="",0,MAX(0,AI69-AI68,AI68-AI70))</f>
        <v/>
      </c>
      <c r="AJ71" s="211">
        <f>IF(AJ68="",0,MAX(0,AJ69-AJ68,AJ68-AJ70))</f>
        <v/>
      </c>
      <c r="AK71" s="211">
        <f>IF(AK68="",0,MAX(0,AK69-AK68,AK68-AK70))</f>
        <v/>
      </c>
      <c r="AL71" s="211">
        <f>IF(AL68="",0,MAX(0,AL69-AL68,AL68-AL70))</f>
        <v/>
      </c>
      <c r="AM71" s="211">
        <f>IF(AM68="",0,MAX(0,AM69-AM68,AM68-AM70))</f>
        <v/>
      </c>
      <c r="AN71" s="211">
        <f>IF(AN68="",0,MAX(0,AN69-AN68,AN68-AN70))</f>
        <v/>
      </c>
      <c r="AO71" s="211">
        <f>IF(AO68="",0,MAX(0,AO69-AO68,AO68-AO70))</f>
        <v/>
      </c>
      <c r="AP71" s="211">
        <f>IF(AP68="",0,MAX(0,AP69-AP68,AP68-AP70))</f>
        <v/>
      </c>
      <c r="AQ71" s="211">
        <f>IF(AQ68="",0,MAX(0,AQ69-AQ68,AQ68-AQ70))</f>
        <v/>
      </c>
      <c r="AR71" s="211">
        <f>IF(AR68="",0,MAX(0,AR69-AR68,AR68-AR70))</f>
        <v/>
      </c>
      <c r="AS71" s="211">
        <f>IF(AS68="",0,MAX(0,AS69-AS68,AS68-AS70))</f>
        <v/>
      </c>
      <c r="AT71" s="211">
        <f>IF(AT68="",0,MAX(0,AT69-AT68,AT68-AT70))</f>
        <v/>
      </c>
      <c r="AU71" s="211">
        <f>IF(AU68="",0,MAX(0,AU69-AU68,AU68-AU70))</f>
        <v/>
      </c>
      <c r="AV71" s="211">
        <f>IF(AV68="",0,MAX(0,AV69-AV68,AV68-AV70))</f>
        <v/>
      </c>
      <c r="AW71" s="211">
        <f>IF(AW68="",0,MAX(0,AW69-AW68,AW68-AW70))</f>
        <v/>
      </c>
      <c r="AX71" s="211">
        <f>IF(AX68="",0,MAX(0,AX69-AX68,AX68-AX70))</f>
        <v/>
      </c>
      <c r="AY71" s="211">
        <f>IF(AY68="",0,MAX(0,AY69-AY68,AY68-AY70))</f>
        <v/>
      </c>
      <c r="AZ71" s="211">
        <f>IF(AZ68="",0,MAX(0,AZ69-AZ68,AZ68-AZ70))</f>
        <v/>
      </c>
      <c r="BA71" s="211">
        <f>IF(BA68="",0,MAX(0,BA69-BA68,BA68-BA70))</f>
        <v/>
      </c>
      <c r="BB71" s="211">
        <f>IF(BB68="",0,MAX(0,BB69-BB68,BB68-BB70))</f>
        <v/>
      </c>
      <c r="BC71" s="211">
        <f>IF(BC68="",0,MAX(0,BC69-BC68,BC68-BC70))</f>
        <v/>
      </c>
      <c r="BD71" s="211">
        <f>IF(BD68="",0,MAX(0,BD69-BD68,BD68-BD70))</f>
        <v/>
      </c>
      <c r="BE71" s="211">
        <f>IF(BE68="",0,MAX(0,BE69-BE68,BE68-BE70))</f>
        <v/>
      </c>
      <c r="BG71" s="6" t="inlineStr">
        <is>
          <t>bound violation (Checks)</t>
        </is>
      </c>
    </row>
    <row r="72">
      <c r="U72" s="6" t="inlineStr">
        <is>
          <t>Earned mod by month (M_w from Mod Engine)</t>
        </is>
      </c>
      <c r="V72" s="177">
        <f>IF(V67=0,"",SUMPRODUCT(V$17:V$64,$H$17:$H$64,'Mod Engine'!$E$17:$E$64)/V67)</f>
        <v/>
      </c>
      <c r="W72" s="177">
        <f>IF(W67=0,"",SUMPRODUCT(W$17:W$64,$H$17:$H$64,'Mod Engine'!$E$17:$E$64)/W67)</f>
        <v/>
      </c>
      <c r="X72" s="177">
        <f>IF(X67=0,"",SUMPRODUCT(X$17:X$64,$H$17:$H$64,'Mod Engine'!$E$17:$E$64)/X67)</f>
        <v/>
      </c>
      <c r="Y72" s="177">
        <f>IF(Y67=0,"",SUMPRODUCT(Y$17:Y$64,$H$17:$H$64,'Mod Engine'!$E$17:$E$64)/Y67)</f>
        <v/>
      </c>
      <c r="Z72" s="177">
        <f>IF(Z67=0,"",SUMPRODUCT(Z$17:Z$64,$H$17:$H$64,'Mod Engine'!$E$17:$E$64)/Z67)</f>
        <v/>
      </c>
      <c r="AA72" s="177">
        <f>IF(AA67=0,"",SUMPRODUCT(AA$17:AA$64,$H$17:$H$64,'Mod Engine'!$E$17:$E$64)/AA67)</f>
        <v/>
      </c>
      <c r="AB72" s="177">
        <f>IF(AB67=0,"",SUMPRODUCT(AB$17:AB$64,$H$17:$H$64,'Mod Engine'!$E$17:$E$64)/AB67)</f>
        <v/>
      </c>
      <c r="AC72" s="177">
        <f>IF(AC67=0,"",SUMPRODUCT(AC$17:AC$64,$H$17:$H$64,'Mod Engine'!$E$17:$E$64)/AC67)</f>
        <v/>
      </c>
      <c r="AD72" s="177">
        <f>IF(AD67=0,"",SUMPRODUCT(AD$17:AD$64,$H$17:$H$64,'Mod Engine'!$E$17:$E$64)/AD67)</f>
        <v/>
      </c>
      <c r="AE72" s="177">
        <f>IF(AE67=0,"",SUMPRODUCT(AE$17:AE$64,$H$17:$H$64,'Mod Engine'!$E$17:$E$64)/AE67)</f>
        <v/>
      </c>
      <c r="AF72" s="177">
        <f>IF(AF67=0,"",SUMPRODUCT(AF$17:AF$64,$H$17:$H$64,'Mod Engine'!$E$17:$E$64)/AF67)</f>
        <v/>
      </c>
      <c r="AG72" s="177">
        <f>IF(AG67=0,"",SUMPRODUCT(AG$17:AG$64,$H$17:$H$64,'Mod Engine'!$E$17:$E$64)/AG67)</f>
        <v/>
      </c>
      <c r="AH72" s="177">
        <f>IF(AH67=0,"",SUMPRODUCT(AH$17:AH$64,$H$17:$H$64,'Mod Engine'!$E$17:$E$64)/AH67)</f>
        <v/>
      </c>
      <c r="AI72" s="177">
        <f>IF(AI67=0,"",SUMPRODUCT(AI$17:AI$64,$H$17:$H$64,'Mod Engine'!$E$17:$E$64)/AI67)</f>
        <v/>
      </c>
      <c r="AJ72" s="177">
        <f>IF(AJ67=0,"",SUMPRODUCT(AJ$17:AJ$64,$H$17:$H$64,'Mod Engine'!$E$17:$E$64)/AJ67)</f>
        <v/>
      </c>
      <c r="AK72" s="177">
        <f>IF(AK67=0,"",SUMPRODUCT(AK$17:AK$64,$H$17:$H$64,'Mod Engine'!$E$17:$E$64)/AK67)</f>
        <v/>
      </c>
      <c r="AL72" s="177">
        <f>IF(AL67=0,"",SUMPRODUCT(AL$17:AL$64,$H$17:$H$64,'Mod Engine'!$E$17:$E$64)/AL67)</f>
        <v/>
      </c>
      <c r="AM72" s="177">
        <f>IF(AM67=0,"",SUMPRODUCT(AM$17:AM$64,$H$17:$H$64,'Mod Engine'!$E$17:$E$64)/AM67)</f>
        <v/>
      </c>
      <c r="AN72" s="177">
        <f>IF(AN67=0,"",SUMPRODUCT(AN$17:AN$64,$H$17:$H$64,'Mod Engine'!$E$17:$E$64)/AN67)</f>
        <v/>
      </c>
      <c r="AO72" s="177">
        <f>IF(AO67=0,"",SUMPRODUCT(AO$17:AO$64,$H$17:$H$64,'Mod Engine'!$E$17:$E$64)/AO67)</f>
        <v/>
      </c>
      <c r="AP72" s="177">
        <f>IF(AP67=0,"",SUMPRODUCT(AP$17:AP$64,$H$17:$H$64,'Mod Engine'!$E$17:$E$64)/AP67)</f>
        <v/>
      </c>
      <c r="AQ72" s="177">
        <f>IF(AQ67=0,"",SUMPRODUCT(AQ$17:AQ$64,$H$17:$H$64,'Mod Engine'!$E$17:$E$64)/AQ67)</f>
        <v/>
      </c>
      <c r="AR72" s="177">
        <f>IF(AR67=0,"",SUMPRODUCT(AR$17:AR$64,$H$17:$H$64,'Mod Engine'!$E$17:$E$64)/AR67)</f>
        <v/>
      </c>
      <c r="AS72" s="177">
        <f>IF(AS67=0,"",SUMPRODUCT(AS$17:AS$64,$H$17:$H$64,'Mod Engine'!$E$17:$E$64)/AS67)</f>
        <v/>
      </c>
      <c r="AT72" s="177">
        <f>IF(AT67=0,"",SUMPRODUCT(AT$17:AT$64,$H$17:$H$64,'Mod Engine'!$E$17:$E$64)/AT67)</f>
        <v/>
      </c>
      <c r="AU72" s="177">
        <f>IF(AU67=0,"",SUMPRODUCT(AU$17:AU$64,$H$17:$H$64,'Mod Engine'!$E$17:$E$64)/AU67)</f>
        <v/>
      </c>
      <c r="AV72" s="177">
        <f>IF(AV67=0,"",SUMPRODUCT(AV$17:AV$64,$H$17:$H$64,'Mod Engine'!$E$17:$E$64)/AV67)</f>
        <v/>
      </c>
      <c r="AW72" s="177">
        <f>IF(AW67=0,"",SUMPRODUCT(AW$17:AW$64,$H$17:$H$64,'Mod Engine'!$E$17:$E$64)/AW67)</f>
        <v/>
      </c>
      <c r="AX72" s="177">
        <f>IF(AX67=0,"",SUMPRODUCT(AX$17:AX$64,$H$17:$H$64,'Mod Engine'!$E$17:$E$64)/AX67)</f>
        <v/>
      </c>
      <c r="AY72" s="177">
        <f>IF(AY67=0,"",SUMPRODUCT(AY$17:AY$64,$H$17:$H$64,'Mod Engine'!$E$17:$E$64)/AY67)</f>
        <v/>
      </c>
      <c r="AZ72" s="177">
        <f>IF(AZ67=0,"",SUMPRODUCT(AZ$17:AZ$64,$H$17:$H$64,'Mod Engine'!$E$17:$E$64)/AZ67)</f>
        <v/>
      </c>
      <c r="BA72" s="177">
        <f>IF(BA67=0,"",SUMPRODUCT(BA$17:BA$64,$H$17:$H$64,'Mod Engine'!$E$17:$E$64)/BA67)</f>
        <v/>
      </c>
      <c r="BB72" s="177">
        <f>IF(BB67=0,"",SUMPRODUCT(BB$17:BB$64,$H$17:$H$64,'Mod Engine'!$E$17:$E$64)/BB67)</f>
        <v/>
      </c>
      <c r="BC72" s="177">
        <f>IF(BC67=0,"",SUMPRODUCT(BC$17:BC$64,$H$17:$H$64,'Mod Engine'!$E$17:$E$64)/BC67)</f>
        <v/>
      </c>
      <c r="BD72" s="177">
        <f>IF(BD67=0,"",SUMPRODUCT(BD$17:BD$64,$H$17:$H$64,'Mod Engine'!$E$17:$E$64)/BD67)</f>
        <v/>
      </c>
      <c r="BE72" s="177">
        <f>IF(BE67=0,"",SUMPRODUCT(BE$17:BE$64,$H$17:$H$64,'Mod Engine'!$E$17:$E$64)/BE67)</f>
        <v/>
      </c>
      <c r="BG72" s="6" t="inlineStr">
        <is>
          <t>Earned mod by month (M_w from Mod Engine)</t>
        </is>
      </c>
    </row>
    <row r="73">
      <c r="U73" s="6" t="inlineStr">
        <is>
          <t>Mod numerator SUM w-e-M (quarterly price)</t>
        </is>
      </c>
      <c r="V73" s="173">
        <f>SUMPRODUCT(V$17:V$64,$H$17:$H$64,'Mod Engine'!$E$17:$E$64)</f>
        <v/>
      </c>
      <c r="W73" s="173">
        <f>SUMPRODUCT(W$17:W$64,$H$17:$H$64,'Mod Engine'!$E$17:$E$64)</f>
        <v/>
      </c>
      <c r="X73" s="173">
        <f>SUMPRODUCT(X$17:X$64,$H$17:$H$64,'Mod Engine'!$E$17:$E$64)</f>
        <v/>
      </c>
      <c r="Y73" s="173">
        <f>SUMPRODUCT(Y$17:Y$64,$H$17:$H$64,'Mod Engine'!$E$17:$E$64)</f>
        <v/>
      </c>
      <c r="Z73" s="173">
        <f>SUMPRODUCT(Z$17:Z$64,$H$17:$H$64,'Mod Engine'!$E$17:$E$64)</f>
        <v/>
      </c>
      <c r="AA73" s="173">
        <f>SUMPRODUCT(AA$17:AA$64,$H$17:$H$64,'Mod Engine'!$E$17:$E$64)</f>
        <v/>
      </c>
      <c r="AB73" s="173">
        <f>SUMPRODUCT(AB$17:AB$64,$H$17:$H$64,'Mod Engine'!$E$17:$E$64)</f>
        <v/>
      </c>
      <c r="AC73" s="173">
        <f>SUMPRODUCT(AC$17:AC$64,$H$17:$H$64,'Mod Engine'!$E$17:$E$64)</f>
        <v/>
      </c>
      <c r="AD73" s="173">
        <f>SUMPRODUCT(AD$17:AD$64,$H$17:$H$64,'Mod Engine'!$E$17:$E$64)</f>
        <v/>
      </c>
      <c r="AE73" s="173">
        <f>SUMPRODUCT(AE$17:AE$64,$H$17:$H$64,'Mod Engine'!$E$17:$E$64)</f>
        <v/>
      </c>
      <c r="AF73" s="173">
        <f>SUMPRODUCT(AF$17:AF$64,$H$17:$H$64,'Mod Engine'!$E$17:$E$64)</f>
        <v/>
      </c>
      <c r="AG73" s="173">
        <f>SUMPRODUCT(AG$17:AG$64,$H$17:$H$64,'Mod Engine'!$E$17:$E$64)</f>
        <v/>
      </c>
      <c r="AH73" s="173">
        <f>SUMPRODUCT(AH$17:AH$64,$H$17:$H$64,'Mod Engine'!$E$17:$E$64)</f>
        <v/>
      </c>
      <c r="AI73" s="173">
        <f>SUMPRODUCT(AI$17:AI$64,$H$17:$H$64,'Mod Engine'!$E$17:$E$64)</f>
        <v/>
      </c>
      <c r="AJ73" s="173">
        <f>SUMPRODUCT(AJ$17:AJ$64,$H$17:$H$64,'Mod Engine'!$E$17:$E$64)</f>
        <v/>
      </c>
      <c r="AK73" s="173">
        <f>SUMPRODUCT(AK$17:AK$64,$H$17:$H$64,'Mod Engine'!$E$17:$E$64)</f>
        <v/>
      </c>
      <c r="AL73" s="173">
        <f>SUMPRODUCT(AL$17:AL$64,$H$17:$H$64,'Mod Engine'!$E$17:$E$64)</f>
        <v/>
      </c>
      <c r="AM73" s="173">
        <f>SUMPRODUCT(AM$17:AM$64,$H$17:$H$64,'Mod Engine'!$E$17:$E$64)</f>
        <v/>
      </c>
      <c r="AN73" s="173">
        <f>SUMPRODUCT(AN$17:AN$64,$H$17:$H$64,'Mod Engine'!$E$17:$E$64)</f>
        <v/>
      </c>
      <c r="AO73" s="173">
        <f>SUMPRODUCT(AO$17:AO$64,$H$17:$H$64,'Mod Engine'!$E$17:$E$64)</f>
        <v/>
      </c>
      <c r="AP73" s="173">
        <f>SUMPRODUCT(AP$17:AP$64,$H$17:$H$64,'Mod Engine'!$E$17:$E$64)</f>
        <v/>
      </c>
      <c r="AQ73" s="173">
        <f>SUMPRODUCT(AQ$17:AQ$64,$H$17:$H$64,'Mod Engine'!$E$17:$E$64)</f>
        <v/>
      </c>
      <c r="AR73" s="173">
        <f>SUMPRODUCT(AR$17:AR$64,$H$17:$H$64,'Mod Engine'!$E$17:$E$64)</f>
        <v/>
      </c>
      <c r="AS73" s="173">
        <f>SUMPRODUCT(AS$17:AS$64,$H$17:$H$64,'Mod Engine'!$E$17:$E$64)</f>
        <v/>
      </c>
      <c r="AT73" s="173">
        <f>SUMPRODUCT(AT$17:AT$64,$H$17:$H$64,'Mod Engine'!$E$17:$E$64)</f>
        <v/>
      </c>
      <c r="AU73" s="173">
        <f>SUMPRODUCT(AU$17:AU$64,$H$17:$H$64,'Mod Engine'!$E$17:$E$64)</f>
        <v/>
      </c>
      <c r="AV73" s="173">
        <f>SUMPRODUCT(AV$17:AV$64,$H$17:$H$64,'Mod Engine'!$E$17:$E$64)</f>
        <v/>
      </c>
      <c r="AW73" s="173">
        <f>SUMPRODUCT(AW$17:AW$64,$H$17:$H$64,'Mod Engine'!$E$17:$E$64)</f>
        <v/>
      </c>
      <c r="AX73" s="173">
        <f>SUMPRODUCT(AX$17:AX$64,$H$17:$H$64,'Mod Engine'!$E$17:$E$64)</f>
        <v/>
      </c>
      <c r="AY73" s="173">
        <f>SUMPRODUCT(AY$17:AY$64,$H$17:$H$64,'Mod Engine'!$E$17:$E$64)</f>
        <v/>
      </c>
      <c r="AZ73" s="173">
        <f>SUMPRODUCT(AZ$17:AZ$64,$H$17:$H$64,'Mod Engine'!$E$17:$E$64)</f>
        <v/>
      </c>
      <c r="BA73" s="173">
        <f>SUMPRODUCT(BA$17:BA$64,$H$17:$H$64,'Mod Engine'!$E$17:$E$64)</f>
        <v/>
      </c>
      <c r="BB73" s="173">
        <f>SUMPRODUCT(BB$17:BB$64,$H$17:$H$64,'Mod Engine'!$E$17:$E$64)</f>
        <v/>
      </c>
      <c r="BC73" s="173">
        <f>SUMPRODUCT(BC$17:BC$64,$H$17:$H$64,'Mod Engine'!$E$17:$E$64)</f>
        <v/>
      </c>
      <c r="BD73" s="173">
        <f>SUMPRODUCT(BD$17:BD$64,$H$17:$H$64,'Mod Engine'!$E$17:$E$64)</f>
        <v/>
      </c>
      <c r="BE73" s="173">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142">
        <f>nr_SelKey</f>
        <v/>
      </c>
      <c r="D3" s="141">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213">
        <f>nr_MInd</f>
        <v/>
      </c>
      <c r="E5" s="55" t="inlineStr">
        <is>
          <t>Anchor</t>
        </is>
      </c>
      <c r="F5" s="55" t="inlineStr">
        <is>
          <t>x (boundary date)</t>
        </is>
      </c>
      <c r="G5" s="55" t="inlineStr">
        <is>
          <t>M value</t>
        </is>
      </c>
      <c r="H5" s="55" t="inlineStr">
        <is>
          <t>Slope / day</t>
        </is>
      </c>
      <c r="I5" s="55" t="inlineStr">
        <is>
          <t>pts / month</t>
        </is>
      </c>
      <c r="J5" s="20">
        <f>"Earned mod CY "&amp;(nr_PlanYear-1)</f>
        <v/>
      </c>
      <c r="L5" s="214">
        <f>SUMPRODUCT($D$17:$D$64,$F$17:$F$64,$E$17:$E$64)/SUMPRODUCT($D$17:$D$64,$F$17:$F$64)</f>
        <v/>
      </c>
    </row>
    <row r="6">
      <c r="A6" s="20" t="inlineStr">
        <is>
          <t>Current avg written mod (M_0)</t>
        </is>
      </c>
      <c r="C6" s="213">
        <f>nr_M0</f>
        <v/>
      </c>
      <c r="E6" s="20" t="inlineStr">
        <is>
          <t>A0: backward (as-of - 12 mo)</t>
        </is>
      </c>
      <c r="F6" s="215">
        <f>EDATE(nr_M0Asof,-12)+1</f>
        <v/>
      </c>
      <c r="G6" s="214">
        <f>IF(N(nr_MPrior)=0,$G$7-($G$8-$G$7)/($F$8-$F$7)*($F$7-$F$6),nr_MPrior)</f>
        <v/>
      </c>
      <c r="H6" s="216">
        <f>($G$7-$G$6)/($F$7-$F$6)</f>
        <v/>
      </c>
      <c r="I6" s="217">
        <f>$H$6*30.4375*100</f>
        <v/>
      </c>
      <c r="J6" s="20">
        <f>"Earned mod CY "&amp;nr_PlanYear</f>
        <v/>
      </c>
      <c r="L6" s="218">
        <f>SUMPRODUCT($D$17:$D$64,$G$17:$G$64,$E$17:$E$64)/SUMPRODUCT($D$17:$D$64,$G$17:$G$64)</f>
        <v/>
      </c>
    </row>
    <row r="7">
      <c r="A7" s="20" t="inlineStr">
        <is>
          <t>Current mod as-of date</t>
        </is>
      </c>
      <c r="C7" s="219">
        <f>nr_M0Asof</f>
        <v/>
      </c>
      <c r="E7" s="20" t="inlineStr">
        <is>
          <t>A1: M_0 as-of</t>
        </is>
      </c>
      <c r="F7" s="215">
        <f>nr_M0Asof+1</f>
        <v/>
      </c>
      <c r="G7" s="214">
        <f>nr_M0</f>
        <v/>
      </c>
      <c r="H7" s="216">
        <f>($G$8-$G$7)/($F$8-$F$7)</f>
        <v/>
      </c>
      <c r="I7" s="217">
        <f>$H$7*30.4375*100</f>
        <v/>
      </c>
      <c r="J7" s="20">
        <f>"Earned mod CY "&amp;(nr_PlanYear+1)</f>
        <v/>
      </c>
      <c r="L7" s="214">
        <f>SUMPRODUCT($D$17:$D$64,$H$17:$H$64,$E$17:$E$64)/SUMPRODUCT($D$17:$D$64,$H$17:$H$64)</f>
        <v/>
      </c>
    </row>
    <row r="8">
      <c r="A8" s="20" t="inlineStr">
        <is>
          <t>Projected mod, end of plan yr (M_1)</t>
        </is>
      </c>
      <c r="C8" s="213">
        <f>nr_M1</f>
        <v/>
      </c>
      <c r="E8" s="20" t="inlineStr">
        <is>
          <t>A2: M_1 at plan-yr end</t>
        </is>
      </c>
      <c r="F8" s="215">
        <f>DATE(nr_PlanYear,12,31)+1</f>
        <v/>
      </c>
      <c r="G8" s="214">
        <f>nr_M1</f>
        <v/>
      </c>
      <c r="H8" s="216">
        <f>($G$9-$G$8)/($F$9-$F$8)</f>
        <v/>
      </c>
      <c r="I8" s="217">
        <f>$H$8*30.4375*100</f>
        <v/>
      </c>
      <c r="J8" s="20" t="inlineStr">
        <is>
          <t>Mod drift factor  A_mod(2027) = M_ind / earned mod</t>
        </is>
      </c>
      <c r="L8" s="198">
        <f>IF(nr_NetMode,1,IF(AND(nr_ModAdjMaster="ON",nr_ModAdjRow="ON"),nr_MInd/nr_MEarned_P,1))</f>
        <v/>
      </c>
    </row>
    <row r="9">
      <c r="A9" s="20" t="inlineStr">
        <is>
          <t>Mod ~1 yr before as-of (M_prior, opt)</t>
        </is>
      </c>
      <c r="C9" s="213">
        <f>nr_MPrior</f>
        <v/>
      </c>
      <c r="E9" s="20" t="inlineStr">
        <is>
          <t>A3: M_2 at plan-yr+1 end</t>
        </is>
      </c>
      <c r="F9" s="215">
        <f>DATE(nr_PlanYear+1,12,31)+1</f>
        <v/>
      </c>
      <c r="G9" s="214">
        <f>IF(N(nr_M2)=0,nr_M1,nr_M2)</f>
        <v/>
      </c>
      <c r="J9" s="20" t="inlineStr">
        <is>
          <t>Mod drift factor  A_mod(2028)</t>
        </is>
      </c>
      <c r="L9" s="183">
        <f>IF(nr_NetMode,1,IF(AND(nr_ModAdjMaster="ON",nr_ModAdjRow="ON"),nr_MInd/nr_MEarned_P1,1))</f>
        <v/>
      </c>
    </row>
    <row r="10">
      <c r="A10" s="20" t="inlineStr">
        <is>
          <t>Projected mod, end plan yr+1 (M_2, opt)</t>
        </is>
      </c>
      <c r="C10" s="213">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214">
        <f>IF($K$11&lt;$F$7,$G$6+$H$6*($K$11-$F$6),IF($K$11&lt;$F$8,$G$7+$H$7*($K$11-$F$7),$G$8+$H$8*($K$11-$F$8)))</f>
        <v/>
      </c>
    </row>
    <row r="12">
      <c r="J12" s="20" t="inlineStr">
        <is>
          <t>Identity applicable?</t>
        </is>
      </c>
      <c r="L12" s="200">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220">
        <f>'Rate Engine'!$A17</f>
        <v/>
      </c>
      <c r="B17" s="221">
        <f>'Rate Engine'!$B17</f>
        <v/>
      </c>
      <c r="C17" s="222">
        <f>'Rate Engine'!$F17</f>
        <v/>
      </c>
      <c r="D17" s="223">
        <f>'Rate Engine'!$H17</f>
        <v/>
      </c>
      <c r="E17" s="209">
        <f>IF($C17&lt;$F$7,$G$6+$H$6*($C17-$F$6),IF($C17&lt;$F$8,$G$7+$H$7*($C17-$F$7),$G$8+$H$8*($C17-$F$8)))</f>
        <v/>
      </c>
      <c r="F17" s="224">
        <f>'Rate Engine'!$P17</f>
        <v/>
      </c>
      <c r="G17" s="224">
        <f>'Rate Engine'!$Q17</f>
        <v/>
      </c>
      <c r="H17" s="224">
        <f>'Rate Engine'!$R17</f>
        <v/>
      </c>
    </row>
    <row r="18" outlineLevel="1">
      <c r="A18" s="220">
        <f>'Rate Engine'!$A18</f>
        <v/>
      </c>
      <c r="B18" s="221">
        <f>'Rate Engine'!$B18</f>
        <v/>
      </c>
      <c r="C18" s="222">
        <f>'Rate Engine'!$F18</f>
        <v/>
      </c>
      <c r="D18" s="223">
        <f>'Rate Engine'!$H18</f>
        <v/>
      </c>
      <c r="E18" s="209">
        <f>IF($C18&lt;$F$7,$G$6+$H$6*($C18-$F$6),IF($C18&lt;$F$8,$G$7+$H$7*($C18-$F$7),$G$8+$H$8*($C18-$F$8)))</f>
        <v/>
      </c>
      <c r="F18" s="224">
        <f>'Rate Engine'!$P18</f>
        <v/>
      </c>
      <c r="G18" s="224">
        <f>'Rate Engine'!$Q18</f>
        <v/>
      </c>
      <c r="H18" s="224">
        <f>'Rate Engine'!$R18</f>
        <v/>
      </c>
    </row>
    <row r="19" outlineLevel="1">
      <c r="A19" s="220">
        <f>'Rate Engine'!$A19</f>
        <v/>
      </c>
      <c r="B19" s="221">
        <f>'Rate Engine'!$B19</f>
        <v/>
      </c>
      <c r="C19" s="222">
        <f>'Rate Engine'!$F19</f>
        <v/>
      </c>
      <c r="D19" s="223">
        <f>'Rate Engine'!$H19</f>
        <v/>
      </c>
      <c r="E19" s="209">
        <f>IF($C19&lt;$F$7,$G$6+$H$6*($C19-$F$6),IF($C19&lt;$F$8,$G$7+$H$7*($C19-$F$7),$G$8+$H$8*($C19-$F$8)))</f>
        <v/>
      </c>
      <c r="F19" s="224">
        <f>'Rate Engine'!$P19</f>
        <v/>
      </c>
      <c r="G19" s="224">
        <f>'Rate Engine'!$Q19</f>
        <v/>
      </c>
      <c r="H19" s="224">
        <f>'Rate Engine'!$R19</f>
        <v/>
      </c>
    </row>
    <row r="20" outlineLevel="1">
      <c r="A20" s="220">
        <f>'Rate Engine'!$A20</f>
        <v/>
      </c>
      <c r="B20" s="221">
        <f>'Rate Engine'!$B20</f>
        <v/>
      </c>
      <c r="C20" s="222">
        <f>'Rate Engine'!$F20</f>
        <v/>
      </c>
      <c r="D20" s="223">
        <f>'Rate Engine'!$H20</f>
        <v/>
      </c>
      <c r="E20" s="209">
        <f>IF($C20&lt;$F$7,$G$6+$H$6*($C20-$F$6),IF($C20&lt;$F$8,$G$7+$H$7*($C20-$F$7),$G$8+$H$8*($C20-$F$8)))</f>
        <v/>
      </c>
      <c r="F20" s="224">
        <f>'Rate Engine'!$P20</f>
        <v/>
      </c>
      <c r="G20" s="224">
        <f>'Rate Engine'!$Q20</f>
        <v/>
      </c>
      <c r="H20" s="224">
        <f>'Rate Engine'!$R20</f>
        <v/>
      </c>
    </row>
    <row r="21" outlineLevel="1">
      <c r="A21" s="220">
        <f>'Rate Engine'!$A21</f>
        <v/>
      </c>
      <c r="B21" s="221">
        <f>'Rate Engine'!$B21</f>
        <v/>
      </c>
      <c r="C21" s="222">
        <f>'Rate Engine'!$F21</f>
        <v/>
      </c>
      <c r="D21" s="223">
        <f>'Rate Engine'!$H21</f>
        <v/>
      </c>
      <c r="E21" s="209">
        <f>IF($C21&lt;$F$7,$G$6+$H$6*($C21-$F$6),IF($C21&lt;$F$8,$G$7+$H$7*($C21-$F$7),$G$8+$H$8*($C21-$F$8)))</f>
        <v/>
      </c>
      <c r="F21" s="224">
        <f>'Rate Engine'!$P21</f>
        <v/>
      </c>
      <c r="G21" s="224">
        <f>'Rate Engine'!$Q21</f>
        <v/>
      </c>
      <c r="H21" s="224">
        <f>'Rate Engine'!$R21</f>
        <v/>
      </c>
    </row>
    <row r="22" outlineLevel="1">
      <c r="A22" s="220">
        <f>'Rate Engine'!$A22</f>
        <v/>
      </c>
      <c r="B22" s="221">
        <f>'Rate Engine'!$B22</f>
        <v/>
      </c>
      <c r="C22" s="222">
        <f>'Rate Engine'!$F22</f>
        <v/>
      </c>
      <c r="D22" s="223">
        <f>'Rate Engine'!$H22</f>
        <v/>
      </c>
      <c r="E22" s="209">
        <f>IF($C22&lt;$F$7,$G$6+$H$6*($C22-$F$6),IF($C22&lt;$F$8,$G$7+$H$7*($C22-$F$7),$G$8+$H$8*($C22-$F$8)))</f>
        <v/>
      </c>
      <c r="F22" s="224">
        <f>'Rate Engine'!$P22</f>
        <v/>
      </c>
      <c r="G22" s="224">
        <f>'Rate Engine'!$Q22</f>
        <v/>
      </c>
      <c r="H22" s="224">
        <f>'Rate Engine'!$R22</f>
        <v/>
      </c>
    </row>
    <row r="23" outlineLevel="1">
      <c r="A23" s="220">
        <f>'Rate Engine'!$A23</f>
        <v/>
      </c>
      <c r="B23" s="221">
        <f>'Rate Engine'!$B23</f>
        <v/>
      </c>
      <c r="C23" s="222">
        <f>'Rate Engine'!$F23</f>
        <v/>
      </c>
      <c r="D23" s="223">
        <f>'Rate Engine'!$H23</f>
        <v/>
      </c>
      <c r="E23" s="209">
        <f>IF($C23&lt;$F$7,$G$6+$H$6*($C23-$F$6),IF($C23&lt;$F$8,$G$7+$H$7*($C23-$F$7),$G$8+$H$8*($C23-$F$8)))</f>
        <v/>
      </c>
      <c r="F23" s="224">
        <f>'Rate Engine'!$P23</f>
        <v/>
      </c>
      <c r="G23" s="224">
        <f>'Rate Engine'!$Q23</f>
        <v/>
      </c>
      <c r="H23" s="224">
        <f>'Rate Engine'!$R23</f>
        <v/>
      </c>
    </row>
    <row r="24" outlineLevel="1">
      <c r="A24" s="220">
        <f>'Rate Engine'!$A24</f>
        <v/>
      </c>
      <c r="B24" s="221">
        <f>'Rate Engine'!$B24</f>
        <v/>
      </c>
      <c r="C24" s="222">
        <f>'Rate Engine'!$F24</f>
        <v/>
      </c>
      <c r="D24" s="223">
        <f>'Rate Engine'!$H24</f>
        <v/>
      </c>
      <c r="E24" s="209">
        <f>IF($C24&lt;$F$7,$G$6+$H$6*($C24-$F$6),IF($C24&lt;$F$8,$G$7+$H$7*($C24-$F$7),$G$8+$H$8*($C24-$F$8)))</f>
        <v/>
      </c>
      <c r="F24" s="224">
        <f>'Rate Engine'!$P24</f>
        <v/>
      </c>
      <c r="G24" s="224">
        <f>'Rate Engine'!$Q24</f>
        <v/>
      </c>
      <c r="H24" s="224">
        <f>'Rate Engine'!$R24</f>
        <v/>
      </c>
    </row>
    <row r="25" outlineLevel="1">
      <c r="A25" s="220">
        <f>'Rate Engine'!$A25</f>
        <v/>
      </c>
      <c r="B25" s="221">
        <f>'Rate Engine'!$B25</f>
        <v/>
      </c>
      <c r="C25" s="222">
        <f>'Rate Engine'!$F25</f>
        <v/>
      </c>
      <c r="D25" s="223">
        <f>'Rate Engine'!$H25</f>
        <v/>
      </c>
      <c r="E25" s="209">
        <f>IF($C25&lt;$F$7,$G$6+$H$6*($C25-$F$6),IF($C25&lt;$F$8,$G$7+$H$7*($C25-$F$7),$G$8+$H$8*($C25-$F$8)))</f>
        <v/>
      </c>
      <c r="F25" s="224">
        <f>'Rate Engine'!$P25</f>
        <v/>
      </c>
      <c r="G25" s="224">
        <f>'Rate Engine'!$Q25</f>
        <v/>
      </c>
      <c r="H25" s="224">
        <f>'Rate Engine'!$R25</f>
        <v/>
      </c>
    </row>
    <row r="26" outlineLevel="1">
      <c r="A26" s="220">
        <f>'Rate Engine'!$A26</f>
        <v/>
      </c>
      <c r="B26" s="221">
        <f>'Rate Engine'!$B26</f>
        <v/>
      </c>
      <c r="C26" s="222">
        <f>'Rate Engine'!$F26</f>
        <v/>
      </c>
      <c r="D26" s="223">
        <f>'Rate Engine'!$H26</f>
        <v/>
      </c>
      <c r="E26" s="209">
        <f>IF($C26&lt;$F$7,$G$6+$H$6*($C26-$F$6),IF($C26&lt;$F$8,$G$7+$H$7*($C26-$F$7),$G$8+$H$8*($C26-$F$8)))</f>
        <v/>
      </c>
      <c r="F26" s="224">
        <f>'Rate Engine'!$P26</f>
        <v/>
      </c>
      <c r="G26" s="224">
        <f>'Rate Engine'!$Q26</f>
        <v/>
      </c>
      <c r="H26" s="224">
        <f>'Rate Engine'!$R26</f>
        <v/>
      </c>
    </row>
    <row r="27" outlineLevel="1">
      <c r="A27" s="220">
        <f>'Rate Engine'!$A27</f>
        <v/>
      </c>
      <c r="B27" s="221">
        <f>'Rate Engine'!$B27</f>
        <v/>
      </c>
      <c r="C27" s="222">
        <f>'Rate Engine'!$F27</f>
        <v/>
      </c>
      <c r="D27" s="223">
        <f>'Rate Engine'!$H27</f>
        <v/>
      </c>
      <c r="E27" s="209">
        <f>IF($C27&lt;$F$7,$G$6+$H$6*($C27-$F$6),IF($C27&lt;$F$8,$G$7+$H$7*($C27-$F$7),$G$8+$H$8*($C27-$F$8)))</f>
        <v/>
      </c>
      <c r="F27" s="224">
        <f>'Rate Engine'!$P27</f>
        <v/>
      </c>
      <c r="G27" s="224">
        <f>'Rate Engine'!$Q27</f>
        <v/>
      </c>
      <c r="H27" s="224">
        <f>'Rate Engine'!$R27</f>
        <v/>
      </c>
    </row>
    <row r="28" outlineLevel="1">
      <c r="A28" s="220">
        <f>'Rate Engine'!$A28</f>
        <v/>
      </c>
      <c r="B28" s="221">
        <f>'Rate Engine'!$B28</f>
        <v/>
      </c>
      <c r="C28" s="222">
        <f>'Rate Engine'!$F28</f>
        <v/>
      </c>
      <c r="D28" s="223">
        <f>'Rate Engine'!$H28</f>
        <v/>
      </c>
      <c r="E28" s="209">
        <f>IF($C28&lt;$F$7,$G$6+$H$6*($C28-$F$6),IF($C28&lt;$F$8,$G$7+$H$7*($C28-$F$7),$G$8+$H$8*($C28-$F$8)))</f>
        <v/>
      </c>
      <c r="F28" s="224">
        <f>'Rate Engine'!$P28</f>
        <v/>
      </c>
      <c r="G28" s="224">
        <f>'Rate Engine'!$Q28</f>
        <v/>
      </c>
      <c r="H28" s="224">
        <f>'Rate Engine'!$R28</f>
        <v/>
      </c>
    </row>
    <row r="29" outlineLevel="1">
      <c r="A29" s="220">
        <f>'Rate Engine'!$A29</f>
        <v/>
      </c>
      <c r="B29" s="221">
        <f>'Rate Engine'!$B29</f>
        <v/>
      </c>
      <c r="C29" s="222">
        <f>'Rate Engine'!$F29</f>
        <v/>
      </c>
      <c r="D29" s="223">
        <f>'Rate Engine'!$H29</f>
        <v/>
      </c>
      <c r="E29" s="209">
        <f>IF($C29&lt;$F$7,$G$6+$H$6*($C29-$F$6),IF($C29&lt;$F$8,$G$7+$H$7*($C29-$F$7),$G$8+$H$8*($C29-$F$8)))</f>
        <v/>
      </c>
      <c r="F29" s="224">
        <f>'Rate Engine'!$P29</f>
        <v/>
      </c>
      <c r="G29" s="224">
        <f>'Rate Engine'!$Q29</f>
        <v/>
      </c>
      <c r="H29" s="224">
        <f>'Rate Engine'!$R29</f>
        <v/>
      </c>
    </row>
    <row r="30" outlineLevel="1">
      <c r="A30" s="220">
        <f>'Rate Engine'!$A30</f>
        <v/>
      </c>
      <c r="B30" s="221">
        <f>'Rate Engine'!$B30</f>
        <v/>
      </c>
      <c r="C30" s="222">
        <f>'Rate Engine'!$F30</f>
        <v/>
      </c>
      <c r="D30" s="223">
        <f>'Rate Engine'!$H30</f>
        <v/>
      </c>
      <c r="E30" s="209">
        <f>IF($C30&lt;$F$7,$G$6+$H$6*($C30-$F$6),IF($C30&lt;$F$8,$G$7+$H$7*($C30-$F$7),$G$8+$H$8*($C30-$F$8)))</f>
        <v/>
      </c>
      <c r="F30" s="224">
        <f>'Rate Engine'!$P30</f>
        <v/>
      </c>
      <c r="G30" s="224">
        <f>'Rate Engine'!$Q30</f>
        <v/>
      </c>
      <c r="H30" s="224">
        <f>'Rate Engine'!$R30</f>
        <v/>
      </c>
    </row>
    <row r="31" outlineLevel="1">
      <c r="A31" s="220">
        <f>'Rate Engine'!$A31</f>
        <v/>
      </c>
      <c r="B31" s="221">
        <f>'Rate Engine'!$B31</f>
        <v/>
      </c>
      <c r="C31" s="222">
        <f>'Rate Engine'!$F31</f>
        <v/>
      </c>
      <c r="D31" s="223">
        <f>'Rate Engine'!$H31</f>
        <v/>
      </c>
      <c r="E31" s="209">
        <f>IF($C31&lt;$F$7,$G$6+$H$6*($C31-$F$6),IF($C31&lt;$F$8,$G$7+$H$7*($C31-$F$7),$G$8+$H$8*($C31-$F$8)))</f>
        <v/>
      </c>
      <c r="F31" s="224">
        <f>'Rate Engine'!$P31</f>
        <v/>
      </c>
      <c r="G31" s="224">
        <f>'Rate Engine'!$Q31</f>
        <v/>
      </c>
      <c r="H31" s="224">
        <f>'Rate Engine'!$R31</f>
        <v/>
      </c>
    </row>
    <row r="32" outlineLevel="1">
      <c r="A32" s="220">
        <f>'Rate Engine'!$A32</f>
        <v/>
      </c>
      <c r="B32" s="221">
        <f>'Rate Engine'!$B32</f>
        <v/>
      </c>
      <c r="C32" s="222">
        <f>'Rate Engine'!$F32</f>
        <v/>
      </c>
      <c r="D32" s="223">
        <f>'Rate Engine'!$H32</f>
        <v/>
      </c>
      <c r="E32" s="209">
        <f>IF($C32&lt;$F$7,$G$6+$H$6*($C32-$F$6),IF($C32&lt;$F$8,$G$7+$H$7*($C32-$F$7),$G$8+$H$8*($C32-$F$8)))</f>
        <v/>
      </c>
      <c r="F32" s="224">
        <f>'Rate Engine'!$P32</f>
        <v/>
      </c>
      <c r="G32" s="224">
        <f>'Rate Engine'!$Q32</f>
        <v/>
      </c>
      <c r="H32" s="224">
        <f>'Rate Engine'!$R32</f>
        <v/>
      </c>
    </row>
    <row r="33" outlineLevel="1">
      <c r="A33" s="220">
        <f>'Rate Engine'!$A33</f>
        <v/>
      </c>
      <c r="B33" s="221">
        <f>'Rate Engine'!$B33</f>
        <v/>
      </c>
      <c r="C33" s="222">
        <f>'Rate Engine'!$F33</f>
        <v/>
      </c>
      <c r="D33" s="223">
        <f>'Rate Engine'!$H33</f>
        <v/>
      </c>
      <c r="E33" s="209">
        <f>IF($C33&lt;$F$7,$G$6+$H$6*($C33-$F$6),IF($C33&lt;$F$8,$G$7+$H$7*($C33-$F$7),$G$8+$H$8*($C33-$F$8)))</f>
        <v/>
      </c>
      <c r="F33" s="224">
        <f>'Rate Engine'!$P33</f>
        <v/>
      </c>
      <c r="G33" s="224">
        <f>'Rate Engine'!$Q33</f>
        <v/>
      </c>
      <c r="H33" s="224">
        <f>'Rate Engine'!$R33</f>
        <v/>
      </c>
    </row>
    <row r="34" outlineLevel="1">
      <c r="A34" s="220">
        <f>'Rate Engine'!$A34</f>
        <v/>
      </c>
      <c r="B34" s="221">
        <f>'Rate Engine'!$B34</f>
        <v/>
      </c>
      <c r="C34" s="222">
        <f>'Rate Engine'!$F34</f>
        <v/>
      </c>
      <c r="D34" s="223">
        <f>'Rate Engine'!$H34</f>
        <v/>
      </c>
      <c r="E34" s="209">
        <f>IF($C34&lt;$F$7,$G$6+$H$6*($C34-$F$6),IF($C34&lt;$F$8,$G$7+$H$7*($C34-$F$7),$G$8+$H$8*($C34-$F$8)))</f>
        <v/>
      </c>
      <c r="F34" s="224">
        <f>'Rate Engine'!$P34</f>
        <v/>
      </c>
      <c r="G34" s="224">
        <f>'Rate Engine'!$Q34</f>
        <v/>
      </c>
      <c r="H34" s="224">
        <f>'Rate Engine'!$R34</f>
        <v/>
      </c>
    </row>
    <row r="35" outlineLevel="1">
      <c r="A35" s="220">
        <f>'Rate Engine'!$A35</f>
        <v/>
      </c>
      <c r="B35" s="221">
        <f>'Rate Engine'!$B35</f>
        <v/>
      </c>
      <c r="C35" s="222">
        <f>'Rate Engine'!$F35</f>
        <v/>
      </c>
      <c r="D35" s="223">
        <f>'Rate Engine'!$H35</f>
        <v/>
      </c>
      <c r="E35" s="209">
        <f>IF($C35&lt;$F$7,$G$6+$H$6*($C35-$F$6),IF($C35&lt;$F$8,$G$7+$H$7*($C35-$F$7),$G$8+$H$8*($C35-$F$8)))</f>
        <v/>
      </c>
      <c r="F35" s="224">
        <f>'Rate Engine'!$P35</f>
        <v/>
      </c>
      <c r="G35" s="224">
        <f>'Rate Engine'!$Q35</f>
        <v/>
      </c>
      <c r="H35" s="224">
        <f>'Rate Engine'!$R35</f>
        <v/>
      </c>
    </row>
    <row r="36" outlineLevel="1">
      <c r="A36" s="220">
        <f>'Rate Engine'!$A36</f>
        <v/>
      </c>
      <c r="B36" s="221">
        <f>'Rate Engine'!$B36</f>
        <v/>
      </c>
      <c r="C36" s="222">
        <f>'Rate Engine'!$F36</f>
        <v/>
      </c>
      <c r="D36" s="223">
        <f>'Rate Engine'!$H36</f>
        <v/>
      </c>
      <c r="E36" s="209">
        <f>IF($C36&lt;$F$7,$G$6+$H$6*($C36-$F$6),IF($C36&lt;$F$8,$G$7+$H$7*($C36-$F$7),$G$8+$H$8*($C36-$F$8)))</f>
        <v/>
      </c>
      <c r="F36" s="224">
        <f>'Rate Engine'!$P36</f>
        <v/>
      </c>
      <c r="G36" s="224">
        <f>'Rate Engine'!$Q36</f>
        <v/>
      </c>
      <c r="H36" s="224">
        <f>'Rate Engine'!$R36</f>
        <v/>
      </c>
    </row>
    <row r="37" outlineLevel="1">
      <c r="A37" s="220">
        <f>'Rate Engine'!$A37</f>
        <v/>
      </c>
      <c r="B37" s="221">
        <f>'Rate Engine'!$B37</f>
        <v/>
      </c>
      <c r="C37" s="222">
        <f>'Rate Engine'!$F37</f>
        <v/>
      </c>
      <c r="D37" s="223">
        <f>'Rate Engine'!$H37</f>
        <v/>
      </c>
      <c r="E37" s="209">
        <f>IF($C37&lt;$F$7,$G$6+$H$6*($C37-$F$6),IF($C37&lt;$F$8,$G$7+$H$7*($C37-$F$7),$G$8+$H$8*($C37-$F$8)))</f>
        <v/>
      </c>
      <c r="F37" s="224">
        <f>'Rate Engine'!$P37</f>
        <v/>
      </c>
      <c r="G37" s="224">
        <f>'Rate Engine'!$Q37</f>
        <v/>
      </c>
      <c r="H37" s="224">
        <f>'Rate Engine'!$R37</f>
        <v/>
      </c>
    </row>
    <row r="38" outlineLevel="1">
      <c r="A38" s="220">
        <f>'Rate Engine'!$A38</f>
        <v/>
      </c>
      <c r="B38" s="221">
        <f>'Rate Engine'!$B38</f>
        <v/>
      </c>
      <c r="C38" s="222">
        <f>'Rate Engine'!$F38</f>
        <v/>
      </c>
      <c r="D38" s="223">
        <f>'Rate Engine'!$H38</f>
        <v/>
      </c>
      <c r="E38" s="209">
        <f>IF($C38&lt;$F$7,$G$6+$H$6*($C38-$F$6),IF($C38&lt;$F$8,$G$7+$H$7*($C38-$F$7),$G$8+$H$8*($C38-$F$8)))</f>
        <v/>
      </c>
      <c r="F38" s="224">
        <f>'Rate Engine'!$P38</f>
        <v/>
      </c>
      <c r="G38" s="224">
        <f>'Rate Engine'!$Q38</f>
        <v/>
      </c>
      <c r="H38" s="224">
        <f>'Rate Engine'!$R38</f>
        <v/>
      </c>
    </row>
    <row r="39" outlineLevel="1">
      <c r="A39" s="220">
        <f>'Rate Engine'!$A39</f>
        <v/>
      </c>
      <c r="B39" s="221">
        <f>'Rate Engine'!$B39</f>
        <v/>
      </c>
      <c r="C39" s="222">
        <f>'Rate Engine'!$F39</f>
        <v/>
      </c>
      <c r="D39" s="223">
        <f>'Rate Engine'!$H39</f>
        <v/>
      </c>
      <c r="E39" s="209">
        <f>IF($C39&lt;$F$7,$G$6+$H$6*($C39-$F$6),IF($C39&lt;$F$8,$G$7+$H$7*($C39-$F$7),$G$8+$H$8*($C39-$F$8)))</f>
        <v/>
      </c>
      <c r="F39" s="224">
        <f>'Rate Engine'!$P39</f>
        <v/>
      </c>
      <c r="G39" s="224">
        <f>'Rate Engine'!$Q39</f>
        <v/>
      </c>
      <c r="H39" s="224">
        <f>'Rate Engine'!$R39</f>
        <v/>
      </c>
    </row>
    <row r="40" outlineLevel="1">
      <c r="A40" s="220">
        <f>'Rate Engine'!$A40</f>
        <v/>
      </c>
      <c r="B40" s="221">
        <f>'Rate Engine'!$B40</f>
        <v/>
      </c>
      <c r="C40" s="222">
        <f>'Rate Engine'!$F40</f>
        <v/>
      </c>
      <c r="D40" s="223">
        <f>'Rate Engine'!$H40</f>
        <v/>
      </c>
      <c r="E40" s="209">
        <f>IF($C40&lt;$F$7,$G$6+$H$6*($C40-$F$6),IF($C40&lt;$F$8,$G$7+$H$7*($C40-$F$7),$G$8+$H$8*($C40-$F$8)))</f>
        <v/>
      </c>
      <c r="F40" s="224">
        <f>'Rate Engine'!$P40</f>
        <v/>
      </c>
      <c r="G40" s="224">
        <f>'Rate Engine'!$Q40</f>
        <v/>
      </c>
      <c r="H40" s="224">
        <f>'Rate Engine'!$R40</f>
        <v/>
      </c>
    </row>
    <row r="41" outlineLevel="1">
      <c r="A41" s="220">
        <f>'Rate Engine'!$A41</f>
        <v/>
      </c>
      <c r="B41" s="221">
        <f>'Rate Engine'!$B41</f>
        <v/>
      </c>
      <c r="C41" s="222">
        <f>'Rate Engine'!$F41</f>
        <v/>
      </c>
      <c r="D41" s="223">
        <f>'Rate Engine'!$H41</f>
        <v/>
      </c>
      <c r="E41" s="209">
        <f>IF($C41&lt;$F$7,$G$6+$H$6*($C41-$F$6),IF($C41&lt;$F$8,$G$7+$H$7*($C41-$F$7),$G$8+$H$8*($C41-$F$8)))</f>
        <v/>
      </c>
      <c r="F41" s="224">
        <f>'Rate Engine'!$P41</f>
        <v/>
      </c>
      <c r="G41" s="224">
        <f>'Rate Engine'!$Q41</f>
        <v/>
      </c>
      <c r="H41" s="224">
        <f>'Rate Engine'!$R41</f>
        <v/>
      </c>
    </row>
    <row r="42" outlineLevel="1">
      <c r="A42" s="220">
        <f>'Rate Engine'!$A42</f>
        <v/>
      </c>
      <c r="B42" s="221">
        <f>'Rate Engine'!$B42</f>
        <v/>
      </c>
      <c r="C42" s="222">
        <f>'Rate Engine'!$F42</f>
        <v/>
      </c>
      <c r="D42" s="223">
        <f>'Rate Engine'!$H42</f>
        <v/>
      </c>
      <c r="E42" s="209">
        <f>IF($C42&lt;$F$7,$G$6+$H$6*($C42-$F$6),IF($C42&lt;$F$8,$G$7+$H$7*($C42-$F$7),$G$8+$H$8*($C42-$F$8)))</f>
        <v/>
      </c>
      <c r="F42" s="224">
        <f>'Rate Engine'!$P42</f>
        <v/>
      </c>
      <c r="G42" s="224">
        <f>'Rate Engine'!$Q42</f>
        <v/>
      </c>
      <c r="H42" s="224">
        <f>'Rate Engine'!$R42</f>
        <v/>
      </c>
    </row>
    <row r="43" outlineLevel="1">
      <c r="A43" s="220">
        <f>'Rate Engine'!$A43</f>
        <v/>
      </c>
      <c r="B43" s="221">
        <f>'Rate Engine'!$B43</f>
        <v/>
      </c>
      <c r="C43" s="222">
        <f>'Rate Engine'!$F43</f>
        <v/>
      </c>
      <c r="D43" s="223">
        <f>'Rate Engine'!$H43</f>
        <v/>
      </c>
      <c r="E43" s="209">
        <f>IF($C43&lt;$F$7,$G$6+$H$6*($C43-$F$6),IF($C43&lt;$F$8,$G$7+$H$7*($C43-$F$7),$G$8+$H$8*($C43-$F$8)))</f>
        <v/>
      </c>
      <c r="F43" s="224">
        <f>'Rate Engine'!$P43</f>
        <v/>
      </c>
      <c r="G43" s="224">
        <f>'Rate Engine'!$Q43</f>
        <v/>
      </c>
      <c r="H43" s="224">
        <f>'Rate Engine'!$R43</f>
        <v/>
      </c>
    </row>
    <row r="44" outlineLevel="1">
      <c r="A44" s="220">
        <f>'Rate Engine'!$A44</f>
        <v/>
      </c>
      <c r="B44" s="221">
        <f>'Rate Engine'!$B44</f>
        <v/>
      </c>
      <c r="C44" s="222">
        <f>'Rate Engine'!$F44</f>
        <v/>
      </c>
      <c r="D44" s="223">
        <f>'Rate Engine'!$H44</f>
        <v/>
      </c>
      <c r="E44" s="209">
        <f>IF($C44&lt;$F$7,$G$6+$H$6*($C44-$F$6),IF($C44&lt;$F$8,$G$7+$H$7*($C44-$F$7),$G$8+$H$8*($C44-$F$8)))</f>
        <v/>
      </c>
      <c r="F44" s="224">
        <f>'Rate Engine'!$P44</f>
        <v/>
      </c>
      <c r="G44" s="224">
        <f>'Rate Engine'!$Q44</f>
        <v/>
      </c>
      <c r="H44" s="224">
        <f>'Rate Engine'!$R44</f>
        <v/>
      </c>
    </row>
    <row r="45" outlineLevel="1">
      <c r="A45" s="220">
        <f>'Rate Engine'!$A45</f>
        <v/>
      </c>
      <c r="B45" s="221">
        <f>'Rate Engine'!$B45</f>
        <v/>
      </c>
      <c r="C45" s="222">
        <f>'Rate Engine'!$F45</f>
        <v/>
      </c>
      <c r="D45" s="223">
        <f>'Rate Engine'!$H45</f>
        <v/>
      </c>
      <c r="E45" s="209">
        <f>IF($C45&lt;$F$7,$G$6+$H$6*($C45-$F$6),IF($C45&lt;$F$8,$G$7+$H$7*($C45-$F$7),$G$8+$H$8*($C45-$F$8)))</f>
        <v/>
      </c>
      <c r="F45" s="224">
        <f>'Rate Engine'!$P45</f>
        <v/>
      </c>
      <c r="G45" s="224">
        <f>'Rate Engine'!$Q45</f>
        <v/>
      </c>
      <c r="H45" s="224">
        <f>'Rate Engine'!$R45</f>
        <v/>
      </c>
    </row>
    <row r="46" outlineLevel="1">
      <c r="A46" s="220">
        <f>'Rate Engine'!$A46</f>
        <v/>
      </c>
      <c r="B46" s="221">
        <f>'Rate Engine'!$B46</f>
        <v/>
      </c>
      <c r="C46" s="222">
        <f>'Rate Engine'!$F46</f>
        <v/>
      </c>
      <c r="D46" s="223">
        <f>'Rate Engine'!$H46</f>
        <v/>
      </c>
      <c r="E46" s="209">
        <f>IF($C46&lt;$F$7,$G$6+$H$6*($C46-$F$6),IF($C46&lt;$F$8,$G$7+$H$7*($C46-$F$7),$G$8+$H$8*($C46-$F$8)))</f>
        <v/>
      </c>
      <c r="F46" s="224">
        <f>'Rate Engine'!$P46</f>
        <v/>
      </c>
      <c r="G46" s="224">
        <f>'Rate Engine'!$Q46</f>
        <v/>
      </c>
      <c r="H46" s="224">
        <f>'Rate Engine'!$R46</f>
        <v/>
      </c>
    </row>
    <row r="47" outlineLevel="1">
      <c r="A47" s="220">
        <f>'Rate Engine'!$A47</f>
        <v/>
      </c>
      <c r="B47" s="221">
        <f>'Rate Engine'!$B47</f>
        <v/>
      </c>
      <c r="C47" s="222">
        <f>'Rate Engine'!$F47</f>
        <v/>
      </c>
      <c r="D47" s="223">
        <f>'Rate Engine'!$H47</f>
        <v/>
      </c>
      <c r="E47" s="209">
        <f>IF($C47&lt;$F$7,$G$6+$H$6*($C47-$F$6),IF($C47&lt;$F$8,$G$7+$H$7*($C47-$F$7),$G$8+$H$8*($C47-$F$8)))</f>
        <v/>
      </c>
      <c r="F47" s="224">
        <f>'Rate Engine'!$P47</f>
        <v/>
      </c>
      <c r="G47" s="224">
        <f>'Rate Engine'!$Q47</f>
        <v/>
      </c>
      <c r="H47" s="224">
        <f>'Rate Engine'!$R47</f>
        <v/>
      </c>
    </row>
    <row r="48" outlineLevel="1">
      <c r="A48" s="220">
        <f>'Rate Engine'!$A48</f>
        <v/>
      </c>
      <c r="B48" s="221">
        <f>'Rate Engine'!$B48</f>
        <v/>
      </c>
      <c r="C48" s="222">
        <f>'Rate Engine'!$F48</f>
        <v/>
      </c>
      <c r="D48" s="223">
        <f>'Rate Engine'!$H48</f>
        <v/>
      </c>
      <c r="E48" s="209">
        <f>IF($C48&lt;$F$7,$G$6+$H$6*($C48-$F$6),IF($C48&lt;$F$8,$G$7+$H$7*($C48-$F$7),$G$8+$H$8*($C48-$F$8)))</f>
        <v/>
      </c>
      <c r="F48" s="224">
        <f>'Rate Engine'!$P48</f>
        <v/>
      </c>
      <c r="G48" s="224">
        <f>'Rate Engine'!$Q48</f>
        <v/>
      </c>
      <c r="H48" s="224">
        <f>'Rate Engine'!$R48</f>
        <v/>
      </c>
    </row>
    <row r="49" outlineLevel="1">
      <c r="A49" s="220">
        <f>'Rate Engine'!$A49</f>
        <v/>
      </c>
      <c r="B49" s="221">
        <f>'Rate Engine'!$B49</f>
        <v/>
      </c>
      <c r="C49" s="222">
        <f>'Rate Engine'!$F49</f>
        <v/>
      </c>
      <c r="D49" s="223">
        <f>'Rate Engine'!$H49</f>
        <v/>
      </c>
      <c r="E49" s="209">
        <f>IF($C49&lt;$F$7,$G$6+$H$6*($C49-$F$6),IF($C49&lt;$F$8,$G$7+$H$7*($C49-$F$7),$G$8+$H$8*($C49-$F$8)))</f>
        <v/>
      </c>
      <c r="F49" s="224">
        <f>'Rate Engine'!$P49</f>
        <v/>
      </c>
      <c r="G49" s="224">
        <f>'Rate Engine'!$Q49</f>
        <v/>
      </c>
      <c r="H49" s="224">
        <f>'Rate Engine'!$R49</f>
        <v/>
      </c>
    </row>
    <row r="50" outlineLevel="1">
      <c r="A50" s="220">
        <f>'Rate Engine'!$A50</f>
        <v/>
      </c>
      <c r="B50" s="221">
        <f>'Rate Engine'!$B50</f>
        <v/>
      </c>
      <c r="C50" s="222">
        <f>'Rate Engine'!$F50</f>
        <v/>
      </c>
      <c r="D50" s="223">
        <f>'Rate Engine'!$H50</f>
        <v/>
      </c>
      <c r="E50" s="209">
        <f>IF($C50&lt;$F$7,$G$6+$H$6*($C50-$F$6),IF($C50&lt;$F$8,$G$7+$H$7*($C50-$F$7),$G$8+$H$8*($C50-$F$8)))</f>
        <v/>
      </c>
      <c r="F50" s="224">
        <f>'Rate Engine'!$P50</f>
        <v/>
      </c>
      <c r="G50" s="224">
        <f>'Rate Engine'!$Q50</f>
        <v/>
      </c>
      <c r="H50" s="224">
        <f>'Rate Engine'!$R50</f>
        <v/>
      </c>
    </row>
    <row r="51" outlineLevel="1">
      <c r="A51" s="220">
        <f>'Rate Engine'!$A51</f>
        <v/>
      </c>
      <c r="B51" s="221">
        <f>'Rate Engine'!$B51</f>
        <v/>
      </c>
      <c r="C51" s="222">
        <f>'Rate Engine'!$F51</f>
        <v/>
      </c>
      <c r="D51" s="223">
        <f>'Rate Engine'!$H51</f>
        <v/>
      </c>
      <c r="E51" s="209">
        <f>IF($C51&lt;$F$7,$G$6+$H$6*($C51-$F$6),IF($C51&lt;$F$8,$G$7+$H$7*($C51-$F$7),$G$8+$H$8*($C51-$F$8)))</f>
        <v/>
      </c>
      <c r="F51" s="224">
        <f>'Rate Engine'!$P51</f>
        <v/>
      </c>
      <c r="G51" s="224">
        <f>'Rate Engine'!$Q51</f>
        <v/>
      </c>
      <c r="H51" s="224">
        <f>'Rate Engine'!$R51</f>
        <v/>
      </c>
    </row>
    <row r="52" outlineLevel="1">
      <c r="A52" s="220">
        <f>'Rate Engine'!$A52</f>
        <v/>
      </c>
      <c r="B52" s="221">
        <f>'Rate Engine'!$B52</f>
        <v/>
      </c>
      <c r="C52" s="222">
        <f>'Rate Engine'!$F52</f>
        <v/>
      </c>
      <c r="D52" s="223">
        <f>'Rate Engine'!$H52</f>
        <v/>
      </c>
      <c r="E52" s="209">
        <f>IF($C52&lt;$F$7,$G$6+$H$6*($C52-$F$6),IF($C52&lt;$F$8,$G$7+$H$7*($C52-$F$7),$G$8+$H$8*($C52-$F$8)))</f>
        <v/>
      </c>
      <c r="F52" s="224">
        <f>'Rate Engine'!$P52</f>
        <v/>
      </c>
      <c r="G52" s="224">
        <f>'Rate Engine'!$Q52</f>
        <v/>
      </c>
      <c r="H52" s="224">
        <f>'Rate Engine'!$R52</f>
        <v/>
      </c>
    </row>
    <row r="53" outlineLevel="1">
      <c r="A53" s="220">
        <f>'Rate Engine'!$A53</f>
        <v/>
      </c>
      <c r="B53" s="221">
        <f>'Rate Engine'!$B53</f>
        <v/>
      </c>
      <c r="C53" s="222">
        <f>'Rate Engine'!$F53</f>
        <v/>
      </c>
      <c r="D53" s="223">
        <f>'Rate Engine'!$H53</f>
        <v/>
      </c>
      <c r="E53" s="209">
        <f>IF($C53&lt;$F$7,$G$6+$H$6*($C53-$F$6),IF($C53&lt;$F$8,$G$7+$H$7*($C53-$F$7),$G$8+$H$8*($C53-$F$8)))</f>
        <v/>
      </c>
      <c r="F53" s="224">
        <f>'Rate Engine'!$P53</f>
        <v/>
      </c>
      <c r="G53" s="224">
        <f>'Rate Engine'!$Q53</f>
        <v/>
      </c>
      <c r="H53" s="224">
        <f>'Rate Engine'!$R53</f>
        <v/>
      </c>
    </row>
    <row r="54" outlineLevel="1">
      <c r="A54" s="220">
        <f>'Rate Engine'!$A54</f>
        <v/>
      </c>
      <c r="B54" s="221">
        <f>'Rate Engine'!$B54</f>
        <v/>
      </c>
      <c r="C54" s="222">
        <f>'Rate Engine'!$F54</f>
        <v/>
      </c>
      <c r="D54" s="223">
        <f>'Rate Engine'!$H54</f>
        <v/>
      </c>
      <c r="E54" s="209">
        <f>IF($C54&lt;$F$7,$G$6+$H$6*($C54-$F$6),IF($C54&lt;$F$8,$G$7+$H$7*($C54-$F$7),$G$8+$H$8*($C54-$F$8)))</f>
        <v/>
      </c>
      <c r="F54" s="224">
        <f>'Rate Engine'!$P54</f>
        <v/>
      </c>
      <c r="G54" s="224">
        <f>'Rate Engine'!$Q54</f>
        <v/>
      </c>
      <c r="H54" s="224">
        <f>'Rate Engine'!$R54</f>
        <v/>
      </c>
    </row>
    <row r="55" outlineLevel="1">
      <c r="A55" s="220">
        <f>'Rate Engine'!$A55</f>
        <v/>
      </c>
      <c r="B55" s="221">
        <f>'Rate Engine'!$B55</f>
        <v/>
      </c>
      <c r="C55" s="222">
        <f>'Rate Engine'!$F55</f>
        <v/>
      </c>
      <c r="D55" s="223">
        <f>'Rate Engine'!$H55</f>
        <v/>
      </c>
      <c r="E55" s="209">
        <f>IF($C55&lt;$F$7,$G$6+$H$6*($C55-$F$6),IF($C55&lt;$F$8,$G$7+$H$7*($C55-$F$7),$G$8+$H$8*($C55-$F$8)))</f>
        <v/>
      </c>
      <c r="F55" s="224">
        <f>'Rate Engine'!$P55</f>
        <v/>
      </c>
      <c r="G55" s="224">
        <f>'Rate Engine'!$Q55</f>
        <v/>
      </c>
      <c r="H55" s="224">
        <f>'Rate Engine'!$R55</f>
        <v/>
      </c>
    </row>
    <row r="56" outlineLevel="1">
      <c r="A56" s="220">
        <f>'Rate Engine'!$A56</f>
        <v/>
      </c>
      <c r="B56" s="221">
        <f>'Rate Engine'!$B56</f>
        <v/>
      </c>
      <c r="C56" s="222">
        <f>'Rate Engine'!$F56</f>
        <v/>
      </c>
      <c r="D56" s="223">
        <f>'Rate Engine'!$H56</f>
        <v/>
      </c>
      <c r="E56" s="209">
        <f>IF($C56&lt;$F$7,$G$6+$H$6*($C56-$F$6),IF($C56&lt;$F$8,$G$7+$H$7*($C56-$F$7),$G$8+$H$8*($C56-$F$8)))</f>
        <v/>
      </c>
      <c r="F56" s="224">
        <f>'Rate Engine'!$P56</f>
        <v/>
      </c>
      <c r="G56" s="224">
        <f>'Rate Engine'!$Q56</f>
        <v/>
      </c>
      <c r="H56" s="224">
        <f>'Rate Engine'!$R56</f>
        <v/>
      </c>
    </row>
    <row r="57" outlineLevel="1">
      <c r="A57" s="220">
        <f>'Rate Engine'!$A57</f>
        <v/>
      </c>
      <c r="B57" s="221">
        <f>'Rate Engine'!$B57</f>
        <v/>
      </c>
      <c r="C57" s="222">
        <f>'Rate Engine'!$F57</f>
        <v/>
      </c>
      <c r="D57" s="223">
        <f>'Rate Engine'!$H57</f>
        <v/>
      </c>
      <c r="E57" s="209">
        <f>IF($C57&lt;$F$7,$G$6+$H$6*($C57-$F$6),IF($C57&lt;$F$8,$G$7+$H$7*($C57-$F$7),$G$8+$H$8*($C57-$F$8)))</f>
        <v/>
      </c>
      <c r="F57" s="224">
        <f>'Rate Engine'!$P57</f>
        <v/>
      </c>
      <c r="G57" s="224">
        <f>'Rate Engine'!$Q57</f>
        <v/>
      </c>
      <c r="H57" s="224">
        <f>'Rate Engine'!$R57</f>
        <v/>
      </c>
    </row>
    <row r="58" outlineLevel="1">
      <c r="A58" s="220">
        <f>'Rate Engine'!$A58</f>
        <v/>
      </c>
      <c r="B58" s="221">
        <f>'Rate Engine'!$B58</f>
        <v/>
      </c>
      <c r="C58" s="222">
        <f>'Rate Engine'!$F58</f>
        <v/>
      </c>
      <c r="D58" s="223">
        <f>'Rate Engine'!$H58</f>
        <v/>
      </c>
      <c r="E58" s="209">
        <f>IF($C58&lt;$F$7,$G$6+$H$6*($C58-$F$6),IF($C58&lt;$F$8,$G$7+$H$7*($C58-$F$7),$G$8+$H$8*($C58-$F$8)))</f>
        <v/>
      </c>
      <c r="F58" s="224">
        <f>'Rate Engine'!$P58</f>
        <v/>
      </c>
      <c r="G58" s="224">
        <f>'Rate Engine'!$Q58</f>
        <v/>
      </c>
      <c r="H58" s="224">
        <f>'Rate Engine'!$R58</f>
        <v/>
      </c>
    </row>
    <row r="59" outlineLevel="1">
      <c r="A59" s="220">
        <f>'Rate Engine'!$A59</f>
        <v/>
      </c>
      <c r="B59" s="221">
        <f>'Rate Engine'!$B59</f>
        <v/>
      </c>
      <c r="C59" s="222">
        <f>'Rate Engine'!$F59</f>
        <v/>
      </c>
      <c r="D59" s="223">
        <f>'Rate Engine'!$H59</f>
        <v/>
      </c>
      <c r="E59" s="209">
        <f>IF($C59&lt;$F$7,$G$6+$H$6*($C59-$F$6),IF($C59&lt;$F$8,$G$7+$H$7*($C59-$F$7),$G$8+$H$8*($C59-$F$8)))</f>
        <v/>
      </c>
      <c r="F59" s="224">
        <f>'Rate Engine'!$P59</f>
        <v/>
      </c>
      <c r="G59" s="224">
        <f>'Rate Engine'!$Q59</f>
        <v/>
      </c>
      <c r="H59" s="224">
        <f>'Rate Engine'!$R59</f>
        <v/>
      </c>
    </row>
    <row r="60" outlineLevel="1">
      <c r="A60" s="220">
        <f>'Rate Engine'!$A60</f>
        <v/>
      </c>
      <c r="B60" s="221">
        <f>'Rate Engine'!$B60</f>
        <v/>
      </c>
      <c r="C60" s="222">
        <f>'Rate Engine'!$F60</f>
        <v/>
      </c>
      <c r="D60" s="223">
        <f>'Rate Engine'!$H60</f>
        <v/>
      </c>
      <c r="E60" s="209">
        <f>IF($C60&lt;$F$7,$G$6+$H$6*($C60-$F$6),IF($C60&lt;$F$8,$G$7+$H$7*($C60-$F$7),$G$8+$H$8*($C60-$F$8)))</f>
        <v/>
      </c>
      <c r="F60" s="224">
        <f>'Rate Engine'!$P60</f>
        <v/>
      </c>
      <c r="G60" s="224">
        <f>'Rate Engine'!$Q60</f>
        <v/>
      </c>
      <c r="H60" s="224">
        <f>'Rate Engine'!$R60</f>
        <v/>
      </c>
    </row>
    <row r="61" outlineLevel="1">
      <c r="A61" s="220">
        <f>'Rate Engine'!$A61</f>
        <v/>
      </c>
      <c r="B61" s="221">
        <f>'Rate Engine'!$B61</f>
        <v/>
      </c>
      <c r="C61" s="222">
        <f>'Rate Engine'!$F61</f>
        <v/>
      </c>
      <c r="D61" s="223">
        <f>'Rate Engine'!$H61</f>
        <v/>
      </c>
      <c r="E61" s="209">
        <f>IF($C61&lt;$F$7,$G$6+$H$6*($C61-$F$6),IF($C61&lt;$F$8,$G$7+$H$7*($C61-$F$7),$G$8+$H$8*($C61-$F$8)))</f>
        <v/>
      </c>
      <c r="F61" s="224">
        <f>'Rate Engine'!$P61</f>
        <v/>
      </c>
      <c r="G61" s="224">
        <f>'Rate Engine'!$Q61</f>
        <v/>
      </c>
      <c r="H61" s="224">
        <f>'Rate Engine'!$R61</f>
        <v/>
      </c>
    </row>
    <row r="62" outlineLevel="1">
      <c r="A62" s="220">
        <f>'Rate Engine'!$A62</f>
        <v/>
      </c>
      <c r="B62" s="221">
        <f>'Rate Engine'!$B62</f>
        <v/>
      </c>
      <c r="C62" s="222">
        <f>'Rate Engine'!$F62</f>
        <v/>
      </c>
      <c r="D62" s="223">
        <f>'Rate Engine'!$H62</f>
        <v/>
      </c>
      <c r="E62" s="209">
        <f>IF($C62&lt;$F$7,$G$6+$H$6*($C62-$F$6),IF($C62&lt;$F$8,$G$7+$H$7*($C62-$F$7),$G$8+$H$8*($C62-$F$8)))</f>
        <v/>
      </c>
      <c r="F62" s="224">
        <f>'Rate Engine'!$P62</f>
        <v/>
      </c>
      <c r="G62" s="224">
        <f>'Rate Engine'!$Q62</f>
        <v/>
      </c>
      <c r="H62" s="224">
        <f>'Rate Engine'!$R62</f>
        <v/>
      </c>
    </row>
    <row r="63" outlineLevel="1">
      <c r="A63" s="220">
        <f>'Rate Engine'!$A63</f>
        <v/>
      </c>
      <c r="B63" s="221">
        <f>'Rate Engine'!$B63</f>
        <v/>
      </c>
      <c r="C63" s="222">
        <f>'Rate Engine'!$F63</f>
        <v/>
      </c>
      <c r="D63" s="223">
        <f>'Rate Engine'!$H63</f>
        <v/>
      </c>
      <c r="E63" s="209">
        <f>IF($C63&lt;$F$7,$G$6+$H$6*($C63-$F$6),IF($C63&lt;$F$8,$G$7+$H$7*($C63-$F$7),$G$8+$H$8*($C63-$F$8)))</f>
        <v/>
      </c>
      <c r="F63" s="224">
        <f>'Rate Engine'!$P63</f>
        <v/>
      </c>
      <c r="G63" s="224">
        <f>'Rate Engine'!$Q63</f>
        <v/>
      </c>
      <c r="H63" s="224">
        <f>'Rate Engine'!$R63</f>
        <v/>
      </c>
    </row>
    <row r="64" outlineLevel="1">
      <c r="A64" s="220">
        <f>'Rate Engine'!$A64</f>
        <v/>
      </c>
      <c r="B64" s="221">
        <f>'Rate Engine'!$B64</f>
        <v/>
      </c>
      <c r="C64" s="222">
        <f>'Rate Engine'!$F64</f>
        <v/>
      </c>
      <c r="D64" s="223">
        <f>'Rate Engine'!$H64</f>
        <v/>
      </c>
      <c r="E64" s="209">
        <f>IF($C64&lt;$F$7,$G$6+$H$6*($C64-$F$6),IF($C64&lt;$F$8,$G$7+$H$7*($C64-$F$7),$G$8+$H$8*($C64-$F$8)))</f>
        <v/>
      </c>
      <c r="F64" s="224">
        <f>'Rate Engine'!$P64</f>
        <v/>
      </c>
      <c r="G64" s="224">
        <f>'Rate Engine'!$Q64</f>
        <v/>
      </c>
      <c r="H64" s="224">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90">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25">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25">
        <f>IF(COUNTIFS($B$6:$B$51,"Identity",$G$6:$G$51,"FAIL")&gt;0,"FAIL",IF(COUNTIFS($B$6:$B$51,"Identity",$G$6:$G$51,"WARN")&gt;0,"WARN",IF(COUNTIFS($B$6:$B$51,"Identity",$G$6:$G$51,"N/A")=COUNTIF($B$6:$B$51,"Identity"),"N/A","OK")))</f>
        <v/>
      </c>
    </row>
    <row r="6">
      <c r="A6" s="145" t="n">
        <v>1</v>
      </c>
      <c r="B6" s="6" t="inlineStr">
        <is>
          <t>Structure</t>
        </is>
      </c>
      <c r="C6" s="20" t="inlineStr">
        <is>
          <t>Earning-profile row sums = 1 for every in-window cohort</t>
        </is>
      </c>
      <c r="D6" s="226">
        <f>0</f>
        <v/>
      </c>
      <c r="E6" s="226">
        <f>MAX(re_rowsum_chk)</f>
        <v/>
      </c>
      <c r="F6" s="227" t="n">
        <v>1e-09</v>
      </c>
      <c r="G6" s="225">
        <f>IF(ABS($E6-$D6)&lt;=$F6,"PASS","FAIL")</f>
        <v/>
      </c>
      <c r="H6" s="19">
        <f>HYPERLINK("#'Rate Engine'!A1","Rate Engine")</f>
        <v/>
      </c>
      <c r="I6" s="6" t="inlineStr">
        <is>
          <t>Oracle tie</t>
        </is>
      </c>
      <c r="J6" s="6">
        <f>COUNTIFS($B$6:$B$51,"Oracle tie",$G$6:$G$51,"PASS")&amp;" / "&amp;COUNTIF($B$6:$B$51,"Oracle tie")&amp;" pass"</f>
        <v/>
      </c>
      <c r="K6" s="225">
        <f>IF(COUNTIFS($B$6:$B$51,"Oracle tie",$G$6:$G$51,"FAIL")&gt;0,"FAIL",IF(COUNTIFS($B$6:$B$51,"Oracle tie",$G$6:$G$51,"WARN")&gt;0,"WARN",IF(COUNTIFS($B$6:$B$51,"Oracle tie",$G$6:$G$51,"N/A")=COUNTIF($B$6:$B$51,"Oracle tie"),"N/A","OK")))</f>
        <v/>
      </c>
    </row>
    <row r="7">
      <c r="A7" s="145" t="n">
        <v>2</v>
      </c>
      <c r="B7" s="6" t="inlineStr">
        <is>
          <t>Structure</t>
        </is>
      </c>
      <c r="C7" s="20" t="inlineStr">
        <is>
          <t>Monthly earned index within [min W, max W] of contributing cohorts</t>
        </is>
      </c>
      <c r="D7" s="226">
        <f>0</f>
        <v/>
      </c>
      <c r="E7" s="226">
        <f>MAX(re_viol_row)</f>
        <v/>
      </c>
      <c r="F7" s="227" t="n">
        <v>1e-09</v>
      </c>
      <c r="G7" s="225">
        <f>IF(ABS($E7-$D7)&lt;=$F7,"PASS","FAIL")</f>
        <v/>
      </c>
      <c r="H7" s="19">
        <f>HYPERLINK("#'Rate Engine'!A1","Rate Engine")</f>
        <v/>
      </c>
      <c r="I7" s="6" t="inlineStr">
        <is>
          <t>Input sanity</t>
        </is>
      </c>
      <c r="J7" s="6">
        <f>COUNTIFS($B$6:$B$51,"Input sanity",$G$6:$G$51,"PASS")&amp;" / "&amp;COUNTIF($B$6:$B$51,"Input sanity")&amp;" pass"</f>
        <v/>
      </c>
      <c r="K7" s="225">
        <f>IF(COUNTIFS($B$6:$B$51,"Input sanity",$G$6:$G$51,"FAIL")&gt;0,"FAIL",IF(COUNTIFS($B$6:$B$51,"Input sanity",$G$6:$G$51,"WARN")&gt;0,"WARN",IF(COUNTIFS($B$6:$B$51,"Input sanity",$G$6:$G$51,"N/A")=COUNTIF($B$6:$B$51,"Input sanity"),"N/A","OK")))</f>
        <v/>
      </c>
    </row>
    <row r="8">
      <c r="A8" s="145" t="n">
        <v>3</v>
      </c>
      <c r="B8" s="6" t="inlineStr">
        <is>
          <t>Structure</t>
        </is>
      </c>
      <c r="C8" s="20" t="inlineStr">
        <is>
          <t>E_CY(P): monthly-matrix aggregation = closed-form ec aggregation</t>
        </is>
      </c>
      <c r="D8" s="226">
        <f>nr_ECY_P</f>
        <v/>
      </c>
      <c r="E8" s="226">
        <f>re_ecy_matrix</f>
        <v/>
      </c>
      <c r="F8" s="227" t="n">
        <v>1e-09</v>
      </c>
      <c r="G8" s="225">
        <f>IF(ABS($E8-$D8)&lt;=$F8,"PASS","FAIL")</f>
        <v/>
      </c>
      <c r="H8" s="19">
        <f>HYPERLINK("#'Rate Engine'!A1","Rate Engine")</f>
        <v/>
      </c>
      <c r="I8" s="6" t="inlineStr">
        <is>
          <t>Advisory</t>
        </is>
      </c>
      <c r="J8" s="6">
        <f>COUNTIFS($B$6:$B$51,"Advisory",$G$6:$G$51,"PASS")&amp;" / "&amp;COUNTIF($B$6:$B$51,"Advisory")&amp;" pass"</f>
        <v/>
      </c>
      <c r="K8" s="225">
        <f>IF(COUNTIFS($B$6:$B$51,"Advisory",$G$6:$G$51,"FAIL")&gt;0,"FAIL",IF(COUNTIFS($B$6:$B$51,"Advisory",$G$6:$G$51,"WARN")&gt;0,"WARN",IF(COUNTIFS($B$6:$B$51,"Advisory",$G$6:$G$51,"N/A")=COUNTIF($B$6:$B$51,"Advisory"),"N/A","OK")))</f>
        <v/>
      </c>
    </row>
    <row r="9">
      <c r="A9" s="145" t="n">
        <v>4</v>
      </c>
      <c r="B9" s="6" t="inlineStr">
        <is>
          <t>Structure</t>
        </is>
      </c>
      <c r="C9" s="20" t="inlineStr">
        <is>
          <t>E_CY(P): visible Rate Engine = hidden _calc block (selected combo)</t>
        </is>
      </c>
      <c r="D9" s="226">
        <f>0</f>
        <v/>
      </c>
      <c r="E9" s="226">
        <f>IF(br_selrow=0,0,ABS(INDEX(calc_ecy_p,br_selrow)-nr_ECY_P))</f>
        <v/>
      </c>
      <c r="F9" s="227" t="n">
        <v>1e-09</v>
      </c>
      <c r="G9" s="225">
        <f>IF(ABS($E9-$D9)&lt;=$F9,"PASS","FAIL")</f>
        <v/>
      </c>
      <c r="H9" s="19">
        <f>HYPERLINK("#'Rate Engine'!A1","Rate Engine")</f>
        <v/>
      </c>
    </row>
    <row r="10">
      <c r="A10" s="145" t="n">
        <v>5</v>
      </c>
      <c r="B10" s="6" t="inlineStr">
        <is>
          <t>Structure</t>
        </is>
      </c>
      <c r="C10" s="20" t="inlineStr">
        <is>
          <t>CRL_ind: visible Rate Engine = hidden _calc block (selected combo)</t>
        </is>
      </c>
      <c r="D10" s="226">
        <f>0</f>
        <v/>
      </c>
      <c r="E10" s="226">
        <f>IF(br_selrow=0,0,ABS(INDEX(calc_crl,br_selrow)-nr_CRLind))</f>
        <v/>
      </c>
      <c r="F10" s="227" t="n">
        <v>1e-09</v>
      </c>
      <c r="G10" s="225">
        <f>IF(ABS($E10-$D10)&lt;=$F10,"PASS","FAIL")</f>
        <v/>
      </c>
      <c r="H10" s="19">
        <f>HYPERLINK("#'Rate Engine'!A1","Rate Engine")</f>
        <v/>
      </c>
    </row>
    <row r="11">
      <c r="A11" s="145" t="n">
        <v>6</v>
      </c>
      <c r="B11" s="6" t="inlineStr">
        <is>
          <t>Structure</t>
        </is>
      </c>
      <c r="C11" s="20" t="inlineStr">
        <is>
          <t>Bridge chain: LR_cur x A_rate x A_mod x A_other = CY plan LR</t>
        </is>
      </c>
      <c r="D11" s="226">
        <f>0</f>
        <v/>
      </c>
      <c r="E11" s="226">
        <f>ABS(nr_LRcur*nr_Arate_P*nr_Amod_P*nr_AOther-nr_CYLR_P)</f>
        <v/>
      </c>
      <c r="F11" s="227" t="n">
        <v>1e-09</v>
      </c>
      <c r="G11" s="225">
        <f>IF(ABS($E11-$D11)&lt;=$F11,"PASS","FAIL")</f>
        <v/>
      </c>
      <c r="H11" s="19">
        <f>HYPERLINK("#'Rate Engine'!A1","Rate Engine")</f>
        <v/>
      </c>
    </row>
    <row r="12">
      <c r="A12" s="145" t="n">
        <v>7</v>
      </c>
      <c r="B12" s="6" t="inlineStr">
        <is>
          <t>Structure</t>
        </is>
      </c>
      <c r="C12" s="20" t="inlineStr">
        <is>
          <t>Bridge chain (P+1): with (1+trend) factor = CY LR(P+1)</t>
        </is>
      </c>
      <c r="D12" s="226">
        <f>0</f>
        <v/>
      </c>
      <c r="E12" s="226">
        <f>ABS(nr_LRcur*(1+nr_Trend)*nr_Arate_P1*nr_Amod_P1*nr_AOther-nr_CYLR_P1)</f>
        <v/>
      </c>
      <c r="F12" s="227" t="n">
        <v>1e-09</v>
      </c>
      <c r="G12" s="225">
        <f>IF(ABS($E12-$D12)&lt;=$F12,"PASS","FAIL")</f>
        <v/>
      </c>
      <c r="H12" s="19">
        <f>HYPERLINK("#'Rate Engine'!A1","Rate Engine")</f>
        <v/>
      </c>
    </row>
    <row r="13">
      <c r="A13" s="145" t="n">
        <v>8</v>
      </c>
      <c r="B13" s="6" t="inlineStr">
        <is>
          <t>Structure</t>
        </is>
      </c>
      <c r="C13" s="20" t="inlineStr">
        <is>
          <t>Portfolio row = Bridge result (selected combo)</t>
        </is>
      </c>
      <c r="D13" s="226">
        <f>0</f>
        <v/>
      </c>
      <c r="E13" s="226">
        <f>IF(br_selrow=0,0,ABS(INDEX(calc_cylr_p,br_selrow)-nr_CYLR_P))</f>
        <v/>
      </c>
      <c r="F13" s="227" t="n">
        <v>1e-09</v>
      </c>
      <c r="G13" s="225">
        <f>IF(ABS($E13-$D13)&lt;=$F13,"PASS","FAIL")</f>
        <v/>
      </c>
      <c r="H13" s="19">
        <f>HYPERLINK("#Inputs!A1","Inputs")</f>
        <v/>
      </c>
    </row>
    <row r="14">
      <c r="A14" s="145" t="n">
        <v>9</v>
      </c>
      <c r="B14" s="6" t="inlineStr">
        <is>
          <t>Structure</t>
        </is>
      </c>
      <c r="C14" s="20" t="inlineStr">
        <is>
          <t>Scenario engine reproduces Base when all levers blank</t>
        </is>
      </c>
      <c r="D14" s="226">
        <f>0</f>
        <v/>
      </c>
      <c r="E14" s="226">
        <f>IF(COUNT(sc_dpts,sc_shift,sc_ach,sc_dm1,sc_dnet)&gt;0,0,ABS(INDEX(sc_res_cylr,2)-nr_CYLR_P))</f>
        <v/>
      </c>
      <c r="F14" s="227" t="n">
        <v>1e-09</v>
      </c>
      <c r="G14" s="225">
        <f>IF(ABS($E14-$D14)&lt;=$F14,"PASS","FAIL")</f>
        <v/>
      </c>
      <c r="H14" s="19">
        <f>HYPERLINK("#'Rate Engine'!A1","Rate Engine")</f>
        <v/>
      </c>
    </row>
    <row r="15">
      <c r="A15" s="145" t="n">
        <v>10</v>
      </c>
      <c r="B15" s="6" t="inlineStr">
        <is>
          <t>Identity</t>
        </is>
      </c>
      <c r="C15" s="20" t="inlineStr">
        <is>
          <t>Linear-mod identity: CY P earned mod = written mod at 1/1/P (§3.3.5)</t>
        </is>
      </c>
      <c r="D15" s="164">
        <f>me_identity</f>
        <v/>
      </c>
      <c r="E15" s="164">
        <f>nr_MEarned_P</f>
        <v/>
      </c>
      <c r="F15" s="228">
        <f>MAX(0.0002,ABS('Mod Engine'!$H$7)*2)</f>
        <v/>
      </c>
      <c r="G15" s="225">
        <f>IF(NOT(me_identity_ok),"N/A",IF(ABS(nr_MEarned_P-me_identity)&lt;=$F15,"PASS","FAIL"))</f>
        <v/>
      </c>
      <c r="H15" s="19">
        <f>HYPERLINK("#'Mod Engine'!A1","Mod Engine")</f>
        <v/>
      </c>
    </row>
    <row r="16">
      <c r="A16" s="145" t="n">
        <v>11</v>
      </c>
      <c r="B16" s="6" t="inlineStr">
        <is>
          <t>Structure</t>
        </is>
      </c>
      <c r="C16" s="20" t="inlineStr">
        <is>
          <t>Attribution factors multiply back to the actual CY LR</t>
        </is>
      </c>
      <c r="D16" s="45">
        <f>N(att_actlr)</f>
        <v/>
      </c>
      <c r="E16" s="226">
        <f>IF(N(att_actlr)=0,0,ABS('Attribution'!$D$25*'Attribution'!$C$26*'Attribution'!$C$27*'Attribution'!$C$28*'Attribution'!$C$29-att_actlr))</f>
        <v/>
      </c>
      <c r="F16" s="145" t="n">
        <v>1e-07</v>
      </c>
      <c r="G16" s="225">
        <f>IF(N(att_actlr)=0,"N/A",IF($E16&lt;=$F16,"PASS","FAIL"))</f>
        <v/>
      </c>
      <c r="H16" s="19">
        <f>HYPERLINK("#Attribution!A1","Attribution")</f>
        <v/>
      </c>
    </row>
    <row r="17">
      <c r="A17" s="145" t="n">
        <v>12</v>
      </c>
      <c r="B17" s="6" t="inlineStr">
        <is>
          <t>Oracle tie</t>
        </is>
      </c>
      <c r="C17" s="20" t="inlineStr">
        <is>
          <t>CRL_ind ties oracle</t>
        </is>
      </c>
      <c r="D17" s="226">
        <f>orc_crl</f>
        <v/>
      </c>
      <c r="E17" s="226">
        <f>nr_CRLind</f>
        <v/>
      </c>
      <c r="F17" s="227" t="n">
        <v>1e-06</v>
      </c>
      <c r="G17" s="225">
        <f>IF(NOT(orc_fp),"N/A",IF(ABS($E17-$D17)&lt;=$F17,"PASS","FAIL"))</f>
        <v/>
      </c>
      <c r="H17" s="19">
        <f>HYPERLINK("#'Walkthrough'!A1","Walkthrough")</f>
        <v/>
      </c>
    </row>
    <row r="18">
      <c r="A18" s="145" t="n">
        <v>13</v>
      </c>
      <c r="B18" s="6" t="inlineStr">
        <is>
          <t>Oracle tie</t>
        </is>
      </c>
      <c r="C18" s="20" t="inlineStr">
        <is>
          <t>E_CY(P-1) ties oracle</t>
        </is>
      </c>
      <c r="D18" s="226">
        <f>orc_ecy_pm1</f>
        <v/>
      </c>
      <c r="E18" s="226">
        <f>nr_ECY_Pm1</f>
        <v/>
      </c>
      <c r="F18" s="227" t="n">
        <v>1e-06</v>
      </c>
      <c r="G18" s="225">
        <f>IF(NOT(orc_fp),"N/A",IF(ABS($E18-$D18)&lt;=$F18,"PASS","FAIL"))</f>
        <v/>
      </c>
      <c r="H18" s="19">
        <f>HYPERLINK("#'Walkthrough'!A1","Walkthrough")</f>
        <v/>
      </c>
    </row>
    <row r="19">
      <c r="A19" s="145" t="n">
        <v>14</v>
      </c>
      <c r="B19" s="6" t="inlineStr">
        <is>
          <t>Oracle tie</t>
        </is>
      </c>
      <c r="C19" s="20" t="inlineStr">
        <is>
          <t>E_CY(P) ties oracle</t>
        </is>
      </c>
      <c r="D19" s="226">
        <f>orc_ecy_p</f>
        <v/>
      </c>
      <c r="E19" s="226">
        <f>nr_ECY_P</f>
        <v/>
      </c>
      <c r="F19" s="227" t="n">
        <v>1e-06</v>
      </c>
      <c r="G19" s="225">
        <f>IF(NOT(orc_fp),"N/A",IF(ABS($E19-$D19)&lt;=$F19,"PASS","FAIL"))</f>
        <v/>
      </c>
      <c r="H19" s="19">
        <f>HYPERLINK("#'Walkthrough'!A1","Walkthrough")</f>
        <v/>
      </c>
    </row>
    <row r="20">
      <c r="A20" s="145" t="n">
        <v>15</v>
      </c>
      <c r="B20" s="6" t="inlineStr">
        <is>
          <t>Oracle tie</t>
        </is>
      </c>
      <c r="C20" s="20" t="inlineStr">
        <is>
          <t>E_CY(P+1) ties oracle</t>
        </is>
      </c>
      <c r="D20" s="226">
        <f>orc_ecy_p1</f>
        <v/>
      </c>
      <c r="E20" s="226">
        <f>nr_ECY_P1</f>
        <v/>
      </c>
      <c r="F20" s="227" t="n">
        <v>1e-06</v>
      </c>
      <c r="G20" s="225">
        <f>IF(NOT(orc_fp),"N/A",IF(ABS($E20-$D20)&lt;=$F20,"PASS","FAIL"))</f>
        <v/>
      </c>
      <c r="H20" s="19">
        <f>HYPERLINK("#'Walkthrough'!A1","Walkthrough")</f>
        <v/>
      </c>
    </row>
    <row r="21">
      <c r="A21" s="145" t="n">
        <v>16</v>
      </c>
      <c r="B21" s="6" t="inlineStr">
        <is>
          <t>Oracle tie</t>
        </is>
      </c>
      <c r="C21" s="20" t="inlineStr">
        <is>
          <t>CY P earned mod ties oracle</t>
        </is>
      </c>
      <c r="D21" s="226">
        <f>orc_mbar_p</f>
        <v/>
      </c>
      <c r="E21" s="226">
        <f>nr_MEarned_P</f>
        <v/>
      </c>
      <c r="F21" s="227" t="n">
        <v>1e-06</v>
      </c>
      <c r="G21" s="225">
        <f>IF(NOT(orc_fp),"N/A",IF(ABS($E21-$D21)&lt;=$F21,"PASS","FAIL"))</f>
        <v/>
      </c>
      <c r="H21" s="19">
        <f>HYPERLINK("#'Walkthrough'!A1","Walkthrough")</f>
        <v/>
      </c>
    </row>
    <row r="22">
      <c r="A22" s="145" t="n">
        <v>17</v>
      </c>
      <c r="B22" s="6" t="inlineStr">
        <is>
          <t>Oracle tie</t>
        </is>
      </c>
      <c r="C22" s="20" t="inlineStr">
        <is>
          <t>A_rate(P) ties oracle</t>
        </is>
      </c>
      <c r="D22" s="226">
        <f>orc_arate_p</f>
        <v/>
      </c>
      <c r="E22" s="226">
        <f>nr_Arate_P</f>
        <v/>
      </c>
      <c r="F22" s="227" t="n">
        <v>1e-06</v>
      </c>
      <c r="G22" s="225">
        <f>IF(NOT(orc_fp),"N/A",IF(ABS($E22-$D22)&lt;=$F22,"PASS","FAIL"))</f>
        <v/>
      </c>
      <c r="H22" s="19">
        <f>HYPERLINK("#'Walkthrough'!A1","Walkthrough")</f>
        <v/>
      </c>
    </row>
    <row r="23">
      <c r="A23" s="145" t="n">
        <v>18</v>
      </c>
      <c r="B23" s="6" t="inlineStr">
        <is>
          <t>Oracle tie</t>
        </is>
      </c>
      <c r="C23" s="20" t="inlineStr">
        <is>
          <t>A_rate(P+1) ties oracle</t>
        </is>
      </c>
      <c r="D23" s="226">
        <f>orc_arate_p1</f>
        <v/>
      </c>
      <c r="E23" s="226">
        <f>nr_Arate_P1</f>
        <v/>
      </c>
      <c r="F23" s="227" t="n">
        <v>1e-06</v>
      </c>
      <c r="G23" s="225">
        <f>IF(NOT(orc_fp),"N/A",IF(ABS($E23-$D23)&lt;=$F23,"PASS","FAIL"))</f>
        <v/>
      </c>
      <c r="H23" s="19">
        <f>HYPERLINK("#'Walkthrough'!A1","Walkthrough")</f>
        <v/>
      </c>
    </row>
    <row r="24">
      <c r="A24" s="145" t="n">
        <v>19</v>
      </c>
      <c r="B24" s="6" t="inlineStr">
        <is>
          <t>Oracle tie</t>
        </is>
      </c>
      <c r="C24" s="20" t="inlineStr">
        <is>
          <t>A_mod(P) ties oracle</t>
        </is>
      </c>
      <c r="D24" s="226">
        <f>orc_amod_p</f>
        <v/>
      </c>
      <c r="E24" s="226">
        <f>nr_Amod_P</f>
        <v/>
      </c>
      <c r="F24" s="227" t="n">
        <v>1e-06</v>
      </c>
      <c r="G24" s="225">
        <f>IF(NOT(orc_fp),"N/A",IF(ABS($E24-$D24)&lt;=$F24,"PASS","FAIL"))</f>
        <v/>
      </c>
      <c r="H24" s="19">
        <f>HYPERLINK("#'Walkthrough'!A1","Walkthrough")</f>
        <v/>
      </c>
    </row>
    <row r="25">
      <c r="A25" s="145" t="n">
        <v>20</v>
      </c>
      <c r="B25" s="6" t="inlineStr">
        <is>
          <t>Oracle tie</t>
        </is>
      </c>
      <c r="C25" s="20" t="inlineStr">
        <is>
          <t>CY 2027 plan LR ties oracle (monthly convention)</t>
        </is>
      </c>
      <c r="D25" s="226">
        <f>orc_cylr_p</f>
        <v/>
      </c>
      <c r="E25" s="226">
        <f>nr_CYLR_P</f>
        <v/>
      </c>
      <c r="F25" s="227" t="n">
        <v>1e-06</v>
      </c>
      <c r="G25" s="225">
        <f>IF(NOT(orc_fp),"N/A",IF(ABS($E25-$D25)&lt;=$F25,"PASS","FAIL"))</f>
        <v/>
      </c>
      <c r="H25" s="19">
        <f>HYPERLINK("#'Walkthrough'!A1","Walkthrough")</f>
        <v/>
      </c>
    </row>
    <row r="26">
      <c r="A26" s="145" t="n">
        <v>21</v>
      </c>
      <c r="B26" s="6" t="inlineStr">
        <is>
          <t>Oracle tie</t>
        </is>
      </c>
      <c r="C26" s="20" t="inlineStr">
        <is>
          <t>CY 2028 LR ties oracle</t>
        </is>
      </c>
      <c r="D26" s="226">
        <f>orc_cylr_p1</f>
        <v/>
      </c>
      <c r="E26" s="226">
        <f>nr_CYLR_P1</f>
        <v/>
      </c>
      <c r="F26" s="227" t="n">
        <v>1e-06</v>
      </c>
      <c r="G26" s="225">
        <f>IF(NOT(orc_fp),"N/A",IF(ABS($E26-$D26)&lt;=$F26,"PASS","FAIL"))</f>
        <v/>
      </c>
      <c r="H26" s="19">
        <f>HYPERLINK("#'Walkthrough'!A1","Walkthrough")</f>
        <v/>
      </c>
    </row>
    <row r="27">
      <c r="A27" s="145" t="n">
        <v>22</v>
      </c>
      <c r="B27" s="6" t="inlineStr">
        <is>
          <t>Oracle tie</t>
        </is>
      </c>
      <c r="C27" s="20" t="inlineStr">
        <is>
          <t>CY 2027 plan LR within 0.10 pts of continuous closed form</t>
        </is>
      </c>
      <c r="D27" s="226">
        <f>orc_cylr_p_cont</f>
        <v/>
      </c>
      <c r="E27" s="226">
        <f>nr_CYLR_P</f>
        <v/>
      </c>
      <c r="F27" s="227" t="n">
        <v>0.001</v>
      </c>
      <c r="G27" s="225">
        <f>IF(NOT(orc_fp),"N/A",IF(ABS($E27-$D27)&lt;=$F27,"PASS","FAIL"))</f>
        <v/>
      </c>
      <c r="H27" s="19">
        <f>HYPERLINK("#'Walkthrough'!A1","Walkthrough")</f>
        <v/>
      </c>
    </row>
    <row r="28">
      <c r="A28" s="145" t="n">
        <v>23</v>
      </c>
      <c r="B28" s="6" t="inlineStr">
        <is>
          <t>Oracle tie</t>
        </is>
      </c>
      <c r="C28" s="20" t="inlineStr">
        <is>
          <t>Solver Mode A returns the seeded planned change (acceptance §11.7)</t>
        </is>
      </c>
      <c r="D28" s="229">
        <f>orc_solver_r</f>
        <v/>
      </c>
      <c r="E28" s="229">
        <f>IF(ISNUMBER(nr_SolverR),nr_SolverR,-999)</f>
        <v/>
      </c>
      <c r="F28" s="145" t="n">
        <v>1e-06</v>
      </c>
      <c r="G28" s="225">
        <f>IF(OR(NOT(orc_fp),UPPER('Solver'!$C$4)&lt;&gt;"Y",ABS('Solver'!$C$7-orc_cylr_p)&gt;0.000001,'Solver'!$C$8&lt;&gt;DATE(nr_PlanYear,4,1)),"N/A",IF(ABS($E28-$D28)&lt;=$F28,"PASS","FAIL"))</f>
        <v/>
      </c>
      <c r="H28" s="19">
        <f>HYPERLINK("#'Walkthrough'!A1","Walkthrough")</f>
        <v/>
      </c>
    </row>
    <row r="29">
      <c r="A29" s="145" t="n">
        <v>24</v>
      </c>
      <c r="B29" s="6" t="inlineStr">
        <is>
          <t>Oracle tie</t>
        </is>
      </c>
      <c r="C29" s="20" t="inlineStr">
        <is>
          <t>Solver Mode B April row equals the base CY plan LR</t>
        </is>
      </c>
      <c r="D29" s="45">
        <f>orc_cylr_p</f>
        <v/>
      </c>
      <c r="E29" s="45">
        <f>'Solver'!$G$32</f>
        <v/>
      </c>
      <c r="F29" s="145" t="n">
        <v>1e-06</v>
      </c>
      <c r="G29" s="225">
        <f>IF(OR(NOT(orc_fp),UPPER('Solver'!$C$4)&lt;&gt;"Y",'Solver'!$C$26&lt;&gt;0.05),"N/A",IF(ABS($E29-$D29)&lt;=$F29,"PASS","FAIL"))</f>
        <v/>
      </c>
      <c r="H29" s="19">
        <f>HYPERLINK("#'Walkthrough'!A1","Walkthrough")</f>
        <v/>
      </c>
    </row>
    <row r="30">
      <c r="A30" s="145" t="n">
        <v>25</v>
      </c>
      <c r="B30" s="6" t="inlineStr">
        <is>
          <t>Input sanity</t>
        </is>
      </c>
      <c r="C30" s="20" t="inlineStr">
        <is>
          <t>Achievement % within [0%, 150%]</t>
        </is>
      </c>
      <c r="D30" s="226">
        <f>0</f>
        <v/>
      </c>
      <c r="E30" s="226">
        <f>COUNTIF(rl_ach,"&gt;1.5")+COUNTIF(rl_ach,"&lt;0")</f>
        <v/>
      </c>
      <c r="F30" s="227" t="n">
        <v>0</v>
      </c>
      <c r="G30" s="225">
        <f>IF(ABS($E30-$D30)&lt;=$F30,"PASS","FAIL")</f>
        <v/>
      </c>
      <c r="H30" s="19">
        <f>HYPERLINK("#'Rate Log'!A1","Rate Log")</f>
        <v/>
      </c>
    </row>
    <row r="31">
      <c r="A31" s="145" t="n">
        <v>26</v>
      </c>
      <c r="B31" s="6" t="inlineStr">
        <is>
          <t>Input sanity</t>
        </is>
      </c>
      <c r="C31" s="20" t="inlineStr">
        <is>
          <t>Schedule mods (M_ind, M_0, M_1) within [0.5, 1.5]</t>
        </is>
      </c>
      <c r="D31" s="226">
        <f>0</f>
        <v/>
      </c>
      <c r="E31" s="226">
        <f>COUNTIF(lr_mind,"&gt;1.5")+COUNTIF(lr_mind,"&lt;0.5")+COUNTIF(lr_m0,"&gt;1.5")+COUNTIF(lr_m0,"&lt;0.5")+COUNTIF(lr_m1,"&gt;1.5")+COUNTIF(lr_m1,"&lt;0.5")</f>
        <v/>
      </c>
      <c r="F31" s="227" t="n">
        <v>0</v>
      </c>
      <c r="G31" s="225">
        <f>IF(ABS($E31-$D31)&lt;=$F31,"PASS","FAIL")</f>
        <v/>
      </c>
      <c r="H31" s="19">
        <f>HYPERLINK("#Inputs!A1","Inputs")</f>
        <v/>
      </c>
    </row>
    <row r="32">
      <c r="A32" s="145" t="n">
        <v>27</v>
      </c>
      <c r="B32" s="6" t="inlineStr">
        <is>
          <t>Input sanity</t>
        </is>
      </c>
      <c r="C32" s="20" t="inlineStr">
        <is>
          <t>Optional mods (M_prior, M_2) within [0.5, 1.5]</t>
        </is>
      </c>
      <c r="D32" s="226">
        <f>0</f>
        <v/>
      </c>
      <c r="E32" s="226">
        <f>COUNTIF(lr_mprior,"&gt;1.5")+COUNTIF(lr_mprior,"&lt;0.5")+COUNTIF(lr_m2,"&gt;1.5")+COUNTIF(lr_m2,"&lt;0.5")</f>
        <v/>
      </c>
      <c r="F32" s="227" t="n">
        <v>0</v>
      </c>
      <c r="G32" s="225">
        <f>IF(ABS($E32-$D32)&lt;=$F32,"PASS","FAIL")</f>
        <v/>
      </c>
      <c r="H32" s="19">
        <f>HYPERLINK("#Inputs!A1","Inputs")</f>
        <v/>
      </c>
    </row>
    <row r="33">
      <c r="A33" s="145" t="n">
        <v>28</v>
      </c>
      <c r="B33" s="6" t="inlineStr">
        <is>
          <t>Input sanity</t>
        </is>
      </c>
      <c r="C33" s="20" t="inlineStr">
        <is>
          <t>Every effective change keeps 1 + r &gt; 0</t>
        </is>
      </c>
      <c r="D33" s="226">
        <f>0</f>
        <v/>
      </c>
      <c r="E33" s="226">
        <f>COUNTIF(rl_reff,"&lt;=-1")</f>
        <v/>
      </c>
      <c r="F33" s="227" t="n">
        <v>0</v>
      </c>
      <c r="G33" s="225">
        <f>IF(ABS($E33-$D33)&lt;=$F33,"PASS","FAIL")</f>
        <v/>
      </c>
      <c r="H33" s="19">
        <f>HYPERLINK("#'Rate Log'!A1","Rate Log")</f>
        <v/>
      </c>
    </row>
    <row r="34">
      <c r="A34" s="145" t="n">
        <v>29</v>
      </c>
      <c r="B34" s="6" t="inlineStr">
        <is>
          <t>Input sanity</t>
        </is>
      </c>
      <c r="C34" s="20" t="inlineStr">
        <is>
          <t>M_0 as-of dates precede 12/31 of the plan year</t>
        </is>
      </c>
      <c r="D34" s="226">
        <f>0</f>
        <v/>
      </c>
      <c r="E34" s="226">
        <f>SUMPRODUCT((lr_key&lt;&gt;"")*(N(lr_m0asof)&gt;=DATE(nr_PlanYear,12,31))*1)</f>
        <v/>
      </c>
      <c r="F34" s="227" t="n">
        <v>0</v>
      </c>
      <c r="G34" s="225">
        <f>IF(ABS($E34-$D34)&lt;=$F34,"PASS","FAIL")</f>
        <v/>
      </c>
      <c r="H34" s="19">
        <f>HYPERLINK("#Inputs!A1","Inputs")</f>
        <v/>
      </c>
    </row>
    <row r="35">
      <c r="A35" s="145" t="n">
        <v>30</v>
      </c>
      <c r="B35" s="6" t="inlineStr">
        <is>
          <t>Input sanity</t>
        </is>
      </c>
      <c r="C35" s="20" t="inlineStr">
        <is>
          <t>Rate-log status is taken/planned on every populated row</t>
        </is>
      </c>
      <c r="D35" s="226">
        <f>0</f>
        <v/>
      </c>
      <c r="E35" s="226">
        <f>SUMPRODUCT((rl_key&lt;&gt;"")*(rl_status&lt;&gt;"taken")*(rl_status&lt;&gt;"planned")*1)</f>
        <v/>
      </c>
      <c r="F35" s="227" t="n">
        <v>0</v>
      </c>
      <c r="G35" s="225">
        <f>IF(ABS($E35-$D35)&lt;=$F35,"PASS","FAIL")</f>
        <v/>
      </c>
      <c r="H35" s="19">
        <f>HYPERLINK("#'Rate Log'!A1","Rate Log")</f>
        <v/>
      </c>
    </row>
    <row r="36">
      <c r="A36" s="145" t="n">
        <v>31</v>
      </c>
      <c r="B36" s="6" t="inlineStr">
        <is>
          <t>Input sanity</t>
        </is>
      </c>
      <c r="C36" s="20" t="inlineStr">
        <is>
          <t>LR basis is current/proposed (blank treated as current)</t>
        </is>
      </c>
      <c r="D36" s="226">
        <f>0</f>
        <v/>
      </c>
      <c r="E36" s="226">
        <f>SUMPRODUCT((lr_basis&lt;&gt;"current")*(lr_basis&lt;&gt;"proposed")*(lr_basis&lt;&gt;"")*1)</f>
        <v/>
      </c>
      <c r="F36" s="227" t="n">
        <v>0</v>
      </c>
      <c r="G36" s="225">
        <f>IF(ABS($E36-$D36)&lt;=$F36,"PASS","FAIL")</f>
        <v/>
      </c>
      <c r="H36" s="19">
        <f>HYPERLINK("#Inputs!A1","Inputs")</f>
        <v/>
      </c>
    </row>
    <row r="37">
      <c r="A37" s="145" t="n">
        <v>32</v>
      </c>
      <c r="B37" s="6" t="inlineStr">
        <is>
          <t>Input sanity</t>
        </is>
      </c>
      <c r="C37" s="20" t="inlineStr">
        <is>
          <t>Plan EP is non-negative</t>
        </is>
      </c>
      <c r="D37" s="226">
        <f>0</f>
        <v/>
      </c>
      <c r="E37" s="226">
        <f>COUNTIF(lr_ep,"&lt;0")</f>
        <v/>
      </c>
      <c r="F37" s="227" t="n">
        <v>0</v>
      </c>
      <c r="G37" s="225">
        <f>IF(ABS($E37-$D37)&lt;=$F37,"PASS","FAIL")</f>
        <v/>
      </c>
      <c r="H37" s="19">
        <f>HYPERLINK("#Inputs!A1","Inputs")</f>
        <v/>
      </c>
    </row>
    <row r="38">
      <c r="A38" s="145" t="n">
        <v>33</v>
      </c>
      <c r="B38" s="6" t="inlineStr">
        <is>
          <t>Input sanity</t>
        </is>
      </c>
      <c r="C38" s="20" t="inlineStr">
        <is>
          <t>Net rate selections within [-50%, +100%]</t>
        </is>
      </c>
      <c r="D38" s="226">
        <f>0</f>
        <v/>
      </c>
      <c r="E38" s="226">
        <f>COUNTIF(lr_netp,"&gt;1")+COUNTIF(lr_netp,"&lt;-0.5")+COUNTIF(lr_netp1,"&gt;1")+COUNTIF(lr_netp1,"&lt;-0.5")</f>
        <v/>
      </c>
      <c r="F38" s="227" t="n">
        <v>0</v>
      </c>
      <c r="G38" s="225">
        <f>IF(ABS($E38-$D38)&lt;=$F38,"PASS","FAIL")</f>
        <v/>
      </c>
      <c r="H38" s="19">
        <f>HYPERLINK("#Inputs!A1","Inputs")</f>
        <v/>
      </c>
    </row>
    <row r="39">
      <c r="A39" s="145" t="n">
        <v>34</v>
      </c>
      <c r="B39" s="6" t="inlineStr">
        <is>
          <t>Advisory</t>
        </is>
      </c>
      <c r="C39" s="20" t="inlineStr">
        <is>
          <t>Considered flags appear only on taken rows (§3.2.7)</t>
        </is>
      </c>
      <c r="D39" s="226">
        <f>0</f>
        <v/>
      </c>
      <c r="E39" s="226">
        <f>SUMPRODUCT((rl_status="planned")*(rl_cons="Y")*1)</f>
        <v/>
      </c>
      <c r="F39" s="227" t="n">
        <v>0</v>
      </c>
      <c r="G39" s="225">
        <f>IF(ABS($E39-$D39)&lt;=$F39,"PASS","WARN")</f>
        <v/>
      </c>
      <c r="H39" s="19">
        <f>HYPERLINK("#'Rate Log'!A1","Rate Log")</f>
        <v/>
      </c>
    </row>
    <row r="40">
      <c r="A40" s="145" t="n">
        <v>35</v>
      </c>
      <c r="B40" s="6" t="inlineStr">
        <is>
          <t>Advisory</t>
        </is>
      </c>
      <c r="C40" s="20" t="inlineStr">
        <is>
          <t>No two changes share a BU|LOB cohort month (exact-blend support, D4)</t>
        </is>
      </c>
      <c r="D40" s="226">
        <f>0</f>
        <v/>
      </c>
      <c r="E40" s="226">
        <f>SUM(rl_dup)</f>
        <v/>
      </c>
      <c r="F40" s="227" t="n">
        <v>0</v>
      </c>
      <c r="G40" s="225">
        <f>IF(ABS($E40-$D40)&lt;=$F40,"PASS","WARN")</f>
        <v/>
      </c>
      <c r="H40" s="19">
        <f>HYPERLINK("#'Rate Log'!A1","Rate Log")</f>
        <v/>
      </c>
    </row>
    <row r="41">
      <c r="A41" s="145" t="n">
        <v>36</v>
      </c>
      <c r="B41" s="6" t="inlineStr">
        <is>
          <t>Advisory</t>
        </is>
      </c>
      <c r="C41" s="20" t="inlineStr">
        <is>
          <t>Rate-change dates within the Jan (P-2) .. Dec (P+1) engine window</t>
        </is>
      </c>
      <c r="D41" s="226">
        <f>0</f>
        <v/>
      </c>
      <c r="E41" s="226">
        <f>COUNTIF(rl_eff,"&lt;"&amp;DATE(nr_PlanYear-2,1,1))+COUNTIF(rl_eff,"&gt;"&amp;DATE(nr_PlanYear+1,12,31))</f>
        <v/>
      </c>
      <c r="F41" s="227" t="n">
        <v>0</v>
      </c>
      <c r="G41" s="225">
        <f>IF(ABS($E41-$D41)&lt;=$F41,"PASS","WARN")</f>
        <v/>
      </c>
      <c r="H41" s="19">
        <f>HYPERLINK("#'Rate Log'!A1","Rate Log")</f>
        <v/>
      </c>
    </row>
    <row r="42">
      <c r="A42" s="145" t="n">
        <v>37</v>
      </c>
      <c r="B42" s="6" t="inlineStr">
        <is>
          <t>Advisory</t>
        </is>
      </c>
      <c r="C42" s="20" t="inlineStr">
        <is>
          <t>A_other &lt;&gt; 1 carries a label</t>
        </is>
      </c>
      <c r="D42" s="226">
        <f>0</f>
        <v/>
      </c>
      <c r="E42" s="226">
        <f>SUMPRODUCT((lr_key&lt;&gt;"")*(lr_aother&lt;&gt;"")*(lr_aother&lt;&gt;1)*(lr_aotherlbl="")*1)</f>
        <v/>
      </c>
      <c r="F42" s="227" t="n">
        <v>0</v>
      </c>
      <c r="G42" s="225">
        <f>IF(ABS($E42-$D42)&lt;=$F42,"PASS","WARN")</f>
        <v/>
      </c>
      <c r="H42" s="19">
        <f>HYPERLINK("#Inputs!A1","Inputs")</f>
        <v/>
      </c>
    </row>
    <row r="43">
      <c r="A43" s="145" t="n">
        <v>38</v>
      </c>
      <c r="B43" s="6" t="inlineStr">
        <is>
          <t>Advisory</t>
        </is>
      </c>
      <c r="C43" s="20" t="inlineStr">
        <is>
          <t>Populated seasonality rows have a positive weight sum</t>
        </is>
      </c>
      <c r="D43" s="226">
        <f>0</f>
        <v/>
      </c>
      <c r="E43" s="226">
        <f>SUMPRODUCT((se_state&lt;&gt;"")*(N(se_sum)=0)*1)</f>
        <v/>
      </c>
      <c r="F43" s="227" t="n">
        <v>0</v>
      </c>
      <c r="G43" s="225">
        <f>IF(ABS($E43-$D43)&lt;=$F43,"PASS","WARN")</f>
        <v/>
      </c>
      <c r="H43" s="19">
        <f>HYPERLINK("#Inputs!A1","Inputs")</f>
        <v/>
      </c>
    </row>
    <row r="44">
      <c r="A44" s="145" t="n">
        <v>39</v>
      </c>
      <c r="B44" s="6" t="inlineStr">
        <is>
          <t>Advisory</t>
        </is>
      </c>
      <c r="C44" s="20" t="inlineStr">
        <is>
          <t>Considered? column is Y/N (blank counts as N)</t>
        </is>
      </c>
      <c r="D44" s="226">
        <f>0</f>
        <v/>
      </c>
      <c r="E44" s="226">
        <f>SUMPRODUCT((rl_key&lt;&gt;"")*(rl_cons&lt;&gt;"Y")*(rl_cons&lt;&gt;"N")*(rl_cons&lt;&gt;"")*1)</f>
        <v/>
      </c>
      <c r="F44" s="227" t="n">
        <v>0</v>
      </c>
      <c r="G44" s="225">
        <f>IF(ABS($E44-$D44)&lt;=$F44,"PASS","WARN")</f>
        <v/>
      </c>
      <c r="H44" s="19">
        <f>HYPERLINK("#'Rate Log'!A1","Rate Log")</f>
        <v/>
      </c>
    </row>
    <row r="45">
      <c r="A45" s="145" t="n">
        <v>40</v>
      </c>
      <c r="B45" s="6" t="inlineStr">
        <is>
          <t>Advisory</t>
        </is>
      </c>
      <c r="C45" s="20" t="inlineStr">
        <is>
          <t>No duplicate BU x state combos in tbl_LR (roster integrity)</t>
        </is>
      </c>
      <c r="D45" s="226">
        <f>0</f>
        <v/>
      </c>
      <c r="E45" s="226">
        <f>SUMPRODUCT((lr_key&lt;&gt;"")*(COUNTIF(lr_key,lr_key)&gt;1)*1)</f>
        <v/>
      </c>
      <c r="F45" s="227" t="n">
        <v>0</v>
      </c>
      <c r="G45" s="225">
        <f>IF(ABS($E45-$D45)&lt;=$F45,"PASS","WARN")</f>
        <v/>
      </c>
      <c r="H45" s="19">
        <f>HYPERLINK("#Inputs!A1","Inputs")</f>
        <v/>
      </c>
    </row>
    <row r="46">
      <c r="A46" s="145" t="n">
        <v>41</v>
      </c>
      <c r="B46" s="6" t="inlineStr">
        <is>
          <t>Advisory</t>
        </is>
      </c>
      <c r="C46" s="20" t="inlineStr">
        <is>
          <t>Net selections pair with an active mod adjustment (else rate-only)</t>
        </is>
      </c>
      <c r="D46" s="226">
        <f>0</f>
        <v/>
      </c>
      <c r="E46" s="226">
        <f>SUMPRODUCT((lr_key&lt;&gt;"")*(1-ISBLANK(lr_netp))*(lr_modadj="OFF")*1)</f>
        <v/>
      </c>
      <c r="F46" s="227" t="n">
        <v>0</v>
      </c>
      <c r="G46" s="225">
        <f>IF(ABS($E46-$D46)&lt;=$F46,"PASS","WARN")</f>
        <v/>
      </c>
      <c r="H46" s="19">
        <f>HYPERLINK("#Inputs!A1","Inputs")</f>
        <v/>
      </c>
    </row>
    <row r="47">
      <c r="A47" s="145" t="n">
        <v>42</v>
      </c>
      <c r="B47" s="6" t="inlineStr">
        <is>
          <t>Advisory</t>
        </is>
      </c>
      <c r="C47" s="20" t="inlineStr">
        <is>
          <t>No planned rows on/after 1/1/P are superseded by a net selection</t>
        </is>
      </c>
      <c r="D47" s="226">
        <f>0</f>
        <v/>
      </c>
      <c r="E47" s="226">
        <f>IF(NOT(nr_NetMode),0,COUNTIFS(rl_key,nr_SelKey,rl_status,"planned",rl_eff,"&gt;="&amp;DATE(nr_PlanYear,1,1)))</f>
        <v/>
      </c>
      <c r="F47" s="227" t="n">
        <v>0</v>
      </c>
      <c r="G47" s="225">
        <f>IF(ABS($E47-$D47)&lt;=$F47,"PASS","WARN")</f>
        <v/>
      </c>
      <c r="H47" s="19">
        <f>HYPERLINK("#'Rate Log'!A1","Rate Log")</f>
        <v/>
      </c>
    </row>
    <row r="48">
      <c r="A48" s="145" t="n">
        <v>43</v>
      </c>
      <c r="B48" s="6" t="inlineStr">
        <is>
          <t>Advisory</t>
        </is>
      </c>
      <c r="C48" s="20" t="inlineStr">
        <is>
          <t>Selected BU|State exists in tbl_LR</t>
        </is>
      </c>
      <c r="D48" s="226">
        <f>0</f>
        <v/>
      </c>
      <c r="E48" s="226">
        <f>IF(nr_SelOK,0,1)</f>
        <v/>
      </c>
      <c r="F48" s="227" t="n">
        <v>0</v>
      </c>
      <c r="G48" s="225">
        <f>IF(ABS($E48-$D48)&lt;=$F48,"PASS","WARN")</f>
        <v/>
      </c>
      <c r="H48" s="19">
        <f>HYPERLINK("#Inputs!A1","Inputs")</f>
        <v/>
      </c>
    </row>
    <row r="49">
      <c r="A49" s="145" t="n">
        <v>44</v>
      </c>
      <c r="B49" s="6" t="inlineStr">
        <is>
          <t>Structure</t>
        </is>
      </c>
      <c r="C49" s="20" t="inlineStr">
        <is>
          <t>Walkthrough assembly equals the Bridge result</t>
        </is>
      </c>
      <c r="D49" s="226">
        <f>0</f>
        <v/>
      </c>
      <c r="E49" s="226">
        <f>ABS(nr_WalkLR-nr_CYLR_P)</f>
        <v/>
      </c>
      <c r="F49" s="227" t="n">
        <v>1e-09</v>
      </c>
      <c r="G49" s="225">
        <f>IF(ABS($E49-$D49)&lt;=$F49,"PASS","FAIL")</f>
        <v/>
      </c>
      <c r="H49" s="19">
        <f>HYPERLINK("#'Walkthrough'!A1","Walkthrough")</f>
        <v/>
      </c>
    </row>
    <row r="50">
      <c r="A50" s="145" t="n">
        <v>45</v>
      </c>
      <c r="B50" s="6" t="inlineStr">
        <is>
          <t>Advisory</t>
        </is>
      </c>
      <c r="C50" s="20" t="inlineStr">
        <is>
          <t>Taken rows still carrying an achievement % (it is ignored — restate Filed % as achieved)</t>
        </is>
      </c>
      <c r="D50" s="226">
        <f>0</f>
        <v/>
      </c>
      <c r="E50" s="226">
        <f>SUMPRODUCT((rl_status="taken")*(rl_ach&lt;&gt;"")*(rl_ach&lt;&gt;1)*1)</f>
        <v/>
      </c>
      <c r="F50" s="227" t="n">
        <v>0</v>
      </c>
      <c r="G50" s="225">
        <f>IF(ABS($E50-$D50)&lt;=$F50,"PASS","WARN")</f>
        <v/>
      </c>
      <c r="H50" s="19">
        <f>HYPERLINK("#'Rate Log'!A1","Rate Log")</f>
        <v/>
      </c>
    </row>
    <row r="51">
      <c r="A51" s="145" t="n">
        <v>46</v>
      </c>
      <c r="B51" s="6" t="inlineStr">
        <is>
          <t>Structure</t>
        </is>
      </c>
      <c r="C51" s="20" t="inlineStr">
        <is>
          <t>Every distinct state fits on the State Summary display</t>
        </is>
      </c>
      <c r="D51" s="226">
        <f>0</f>
        <v/>
      </c>
      <c r="E51" s="226">
        <f>MAX(0,lst_state_cnt-24)</f>
        <v/>
      </c>
      <c r="F51" s="227" t="n">
        <v>0</v>
      </c>
      <c r="G51" s="225">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8.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141">
        <f>HYPERLINK("#Methodology!B19","1. Purpose and framework")</f>
        <v/>
      </c>
    </row>
    <row r="6">
      <c r="B6" s="141">
        <f>HYPERLINK("#Methodology!B23","2. Timeline alignment — why no additional loss trend")</f>
        <v/>
      </c>
    </row>
    <row r="7">
      <c r="B7" s="141">
        <f>HYPERLINK("#Methodology!B26","3. Conventions")</f>
        <v/>
      </c>
    </row>
    <row r="8">
      <c r="B8" s="141">
        <f>HYPERLINK("#Methodology!B33","4. Rate engine")</f>
        <v/>
      </c>
    </row>
    <row r="9">
      <c r="B9" s="141">
        <f>HYPERLINK("#Methodology!B38","5. Schedule mod engine")</f>
        <v/>
      </c>
    </row>
    <row r="10">
      <c r="B10" s="141">
        <f>HYPERLINK("#Methodology!B43","6. The bridge")</f>
        <v/>
      </c>
    </row>
    <row r="11">
      <c r="B11" s="141">
        <f>HYPERLINK("#Methodology!B47","6b. Net rate selection (optional, per BU x state)")</f>
        <v/>
      </c>
    </row>
    <row r="12">
      <c r="B12" s="141">
        <f>HYPERLINK("#Methodology!B51","7. Solver (E1)")</f>
        <v/>
      </c>
    </row>
    <row r="13">
      <c r="B13" s="141">
        <f>HYPERLINK("#Methodology!B54","8. Attribution (E2)")</f>
        <v/>
      </c>
    </row>
    <row r="14">
      <c r="B14" s="141">
        <f>HYPERLINK("#Methodology!B57","9. Assumptions and limitations")</f>
        <v/>
      </c>
    </row>
    <row r="15">
      <c r="B15" s="141">
        <f>HYPERLINK("#Methodology!B67","9b. Rate Engine column dictionary")</f>
        <v/>
      </c>
    </row>
    <row r="16">
      <c r="B16" s="141">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(General Liability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30" t="inlineStr">
        <is>
          <t>A</t>
        </is>
      </c>
      <c r="C69" s="231" t="inlineStr">
        <is>
          <t>#</t>
        </is>
      </c>
      <c r="D69" s="7" t="inlineStr">
        <is>
          <t>Cohort number, 1..48.</t>
        </is>
      </c>
    </row>
    <row r="70" ht="19" customHeight="1">
      <c r="B70" s="230" t="inlineStr">
        <is>
          <t>B-D</t>
        </is>
      </c>
      <c r="C70" s="231" t="inlineStr">
        <is>
          <t>Written month / Month end / Days</t>
        </is>
      </c>
      <c r="D70" s="7" t="inlineStr">
        <is>
          <t>The month this cohort of policies is written, plus calendar helpers for the mid-month split.</t>
        </is>
      </c>
    </row>
    <row r="71" ht="19" customHeight="1">
      <c r="B71" s="230" t="inlineStr">
        <is>
          <t>E</t>
        </is>
      </c>
      <c r="C71" s="231" t="inlineStr">
        <is>
          <t>Mo#</t>
        </is>
      </c>
      <c r="D71" s="7" t="inlineStr">
        <is>
          <t>Calendar month number — drives the seasonality weight lookup.</t>
        </is>
      </c>
    </row>
    <row r="72" ht="32" customHeight="1">
      <c r="B72" s="230" t="inlineStr">
        <is>
          <t>F</t>
        </is>
      </c>
      <c r="C72" s="231" t="inlineStr">
        <is>
          <t>Mid-month</t>
        </is>
      </c>
      <c r="D72" s="7" t="inlineStr">
        <is>
          <t>The serial date at the middle of the writing month; the cohort writes there and its mod is sampled there.</t>
        </is>
      </c>
    </row>
    <row r="73" ht="19" customHeight="1">
      <c r="B73" s="230" t="inlineStr">
        <is>
          <t>G</t>
        </is>
      </c>
      <c r="C73" s="231" t="inlineStr">
        <is>
          <t>Abs mo#</t>
        </is>
      </c>
      <c r="D73" s="7" t="inlineStr">
        <is>
          <t>Absolute month index (year x 12 + month - 1); the earning matrix is keyed on it.</t>
        </is>
      </c>
    </row>
    <row r="74" ht="32" customHeight="1">
      <c r="B74" s="230" t="inlineStr">
        <is>
          <t>H</t>
        </is>
      </c>
      <c r="C74" s="231" t="inlineStr">
        <is>
          <t>Weight w</t>
        </is>
      </c>
      <c r="D74" s="7" t="inlineStr">
        <is>
          <t>Written-exposure weight: 1.00 under uniform writings, or the state's normalized seasonality weight.</t>
        </is>
      </c>
    </row>
    <row r="75" ht="19" customHeight="1">
      <c r="B75" s="230" t="inlineStr">
        <is>
          <t>I</t>
        </is>
      </c>
      <c r="C75" s="231" t="inlineStr">
        <is>
          <t>Index before mo (W_pre)</t>
        </is>
      </c>
      <c r="D75" s="7" t="inlineStr">
        <is>
          <t>Cumulative rate index from changes effective strictly before the month.</t>
        </is>
      </c>
    </row>
    <row r="76" ht="19" customHeight="1">
      <c r="B76" s="230" t="inlineStr">
        <is>
          <t>J</t>
        </is>
      </c>
      <c r="C76" s="231" t="inlineStr">
        <is>
          <t>Index at mo end (W_post)</t>
        </is>
      </c>
      <c r="D76" s="7" t="inlineStr">
        <is>
          <t>Cumulative rate index including changes through month end.</t>
        </is>
      </c>
    </row>
    <row r="77" ht="19" customHeight="1">
      <c r="B77" s="230" t="inlineStr">
        <is>
          <t>K</t>
        </is>
      </c>
      <c r="C77" s="231" t="inlineStr">
        <is>
          <t># chgs in mo</t>
        </is>
      </c>
      <c r="D77" s="7" t="inlineStr">
        <is>
          <t>Count of this combo's rate changes effective inside the month.</t>
        </is>
      </c>
    </row>
    <row r="78" ht="19" customHeight="1">
      <c r="B78" s="230" t="inlineStr">
        <is>
          <t>L</t>
        </is>
      </c>
      <c r="C78" s="231" t="inlineStr">
        <is>
          <t>Days after 1st chg</t>
        </is>
      </c>
      <c r="D78" s="7" t="inlineStr">
        <is>
          <t>Days in the month on/after the first in-month change date.</t>
        </is>
      </c>
    </row>
    <row r="79" ht="19" customHeight="1">
      <c r="B79" s="230" t="inlineStr">
        <is>
          <t>M</t>
        </is>
      </c>
      <c r="C79" s="231" t="inlineStr">
        <is>
          <t>Split p</t>
        </is>
      </c>
      <c r="D79" s="7" t="inlineStr">
        <is>
          <t>Day-weighted share of the month's writings at the post-change level: p = L / days in month.</t>
        </is>
      </c>
    </row>
    <row r="80" ht="19" customHeight="1">
      <c r="B80" s="230" t="inlineStr">
        <is>
          <t>N</t>
        </is>
      </c>
      <c r="C80" s="231" t="inlineStr">
        <is>
          <t>Written rate index (W)</t>
        </is>
      </c>
      <c r="D80" s="7" t="inlineStr">
        <is>
          <t>The cohort's blended written index: (1 - p) x W_pre + p x W_post.</t>
        </is>
      </c>
    </row>
    <row r="81" ht="19" customHeight="1">
      <c r="B81" s="230" t="inlineStr">
        <is>
          <t>O</t>
        </is>
      </c>
      <c r="C81" s="231" t="inlineStr">
        <is>
          <t>Written mod (M_w)</t>
        </is>
      </c>
      <c r="D81" s="7" t="inlineStr">
        <is>
          <t>The written-mod path sampled at the cohort's mid-month (computed on the Mod Engine).</t>
        </is>
      </c>
    </row>
    <row r="82" ht="32" customHeight="1">
      <c r="B82" s="230" t="inlineStr">
        <is>
          <t>P-R</t>
        </is>
      </c>
      <c r="C82" s="231" t="inlineStr">
        <is>
          <t>Earned in P-1 / P / P+1 (ec)</t>
        </is>
      </c>
      <c r="D82" s="7" t="inlineStr">
        <is>
          <t>The share of the cohort's premium each calendar year earns: ec = C(end) - C(start - 1) with C(o) = MIN(1, MAX(0, (o + 0.5) / T)).</t>
        </is>
      </c>
    </row>
    <row r="83" ht="32" customHeight="1">
      <c r="B83" s="230" t="inlineStr">
        <is>
          <t>S</t>
        </is>
      </c>
      <c r="C83" s="231" t="inlineStr">
        <is>
          <t>Hist net price (q)</t>
        </is>
      </c>
      <c r="D83" s="7" t="inlineStr">
        <is>
          <t>W x M_w / M_ind — the cohort's combined net price as modeled (used under a net rate selection).</t>
        </is>
      </c>
    </row>
    <row r="84" ht="19" customHeight="1">
      <c r="B84" s="230" t="inlineStr">
        <is>
          <t>T</t>
        </is>
      </c>
      <c r="C84" s="231" t="inlineStr">
        <is>
          <t>Net path (Q)</t>
        </is>
      </c>
      <c r="D84" s="7" t="inlineStr">
        <is>
          <t>Equals q before 1/1/P; from 1/1/P each cohort renews at Q(k - 12) x (1 + net selection).</t>
        </is>
      </c>
    </row>
    <row r="85" ht="32" customHeight="1">
      <c r="B85" s="230" t="inlineStr">
        <is>
          <t>U</t>
        </is>
      </c>
      <c r="C85" s="231" t="inlineStr">
        <is>
          <t>Index in force</t>
        </is>
      </c>
      <c r="D85" s="7" t="inlineStr">
        <is>
          <t>What the aggregates actually read: the net path Q under a net selection, the written index W otherwise.</t>
        </is>
      </c>
    </row>
    <row r="86" ht="32" customHeight="1">
      <c r="B86" s="230" t="inlineStr">
        <is>
          <t>rows 66-73</t>
        </is>
      </c>
      <c r="C86" s="231"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32" t="inlineStr">
        <is>
          <t>att_actdate</t>
        </is>
      </c>
      <c r="C91" s="6" t="inlineStr">
        <is>
          <t>Attribution!$F$14:$F$21</t>
        </is>
      </c>
      <c r="D91" s="6" t="inlineStr">
        <is>
          <t>Attribution: actual effective date per planned row (blank = plan)</t>
        </is>
      </c>
    </row>
    <row r="92">
      <c r="B92" s="232" t="inlineStr">
        <is>
          <t>att_actlr</t>
        </is>
      </c>
      <c r="C92" s="6" t="inlineStr">
        <is>
          <t>Attribution!$C$10</t>
        </is>
      </c>
      <c r="D92" s="6" t="inlineStr">
        <is>
          <t>Attribution: actual CY LR outcome</t>
        </is>
      </c>
    </row>
    <row r="93">
      <c r="B93" s="232" t="inlineStr">
        <is>
          <t>att_actpct</t>
        </is>
      </c>
      <c r="C93" s="6" t="inlineStr">
        <is>
          <t>Attribution!$E$14:$E$21</t>
        </is>
      </c>
      <c r="D93" s="6" t="inlineStr">
        <is>
          <t>Attribution: actual achieved total change per planned row (blank = plan)</t>
        </is>
      </c>
    </row>
    <row r="94">
      <c r="B94" s="232" t="inlineStr">
        <is>
          <t>att_asof</t>
        </is>
      </c>
      <c r="C94" s="6" t="inlineStr">
        <is>
          <t>Attribution!$C$7</t>
        </is>
      </c>
      <c r="D94" s="6" t="inlineStr">
        <is>
          <t>Attribution: actual as-of date (blank = plan)</t>
        </is>
      </c>
    </row>
    <row r="95">
      <c r="B95" s="232" t="inlineStr">
        <is>
          <t>att_m0</t>
        </is>
      </c>
      <c r="C95" s="6" t="inlineStr">
        <is>
          <t>Attribution!$C$6</t>
        </is>
      </c>
      <c r="D95" s="6" t="inlineStr">
        <is>
          <t>Attribution: actual current written mod (blank = plan)</t>
        </is>
      </c>
    </row>
    <row r="96">
      <c r="B96" s="232" t="inlineStr">
        <is>
          <t>att_m1</t>
        </is>
      </c>
      <c r="C96" s="6" t="inlineStr">
        <is>
          <t>Attribution!$C$8</t>
        </is>
      </c>
      <c r="D96" s="6" t="inlineStr">
        <is>
          <t>Attribution: actual written mod at 12/31/P</t>
        </is>
      </c>
    </row>
    <row r="97">
      <c r="B97" s="232" t="inlineStr">
        <is>
          <t>att_m2</t>
        </is>
      </c>
      <c r="C97" s="6" t="inlineStr">
        <is>
          <t>Attribution!$C$9</t>
        </is>
      </c>
      <c r="D97" s="6" t="inlineStr">
        <is>
          <t>Attribution: actual written mod at 12/31/(P+1)</t>
        </is>
      </c>
    </row>
    <row r="98">
      <c r="B98" s="232" t="inlineStr">
        <is>
          <t>att_reconciles</t>
        </is>
      </c>
      <c r="C98" s="6" t="inlineStr">
        <is>
          <t>Attribution!$B$32</t>
        </is>
      </c>
      <c r="D98" s="6" t="inlineStr">
        <is>
          <t>Attribution reconciliation status</t>
        </is>
      </c>
    </row>
    <row r="99">
      <c r="B99" s="232" t="inlineStr">
        <is>
          <t>br_selrow</t>
        </is>
      </c>
      <c r="C99" s="6" t="inlineStr">
        <is>
          <t>Bridge!$F$36</t>
        </is>
      </c>
      <c r="D99" s="6" t="inlineStr">
        <is>
          <t>tbl_LR row of the selected combo (0 = absent)</t>
        </is>
      </c>
    </row>
    <row r="100">
      <c r="B100" s="232" t="inlineStr">
        <is>
          <t>calc_amod_p</t>
        </is>
      </c>
      <c r="C100" s="6" t="inlineStr">
        <is>
          <t>_calc!$K$4:$K$72</t>
        </is>
      </c>
      <c r="D100" s="6" t="inlineStr">
        <is>
          <t>A_mod(P) by combo</t>
        </is>
      </c>
    </row>
    <row r="101">
      <c r="B101" s="232" t="inlineStr">
        <is>
          <t>calc_amod_p1</t>
        </is>
      </c>
      <c r="C101" s="6" t="inlineStr">
        <is>
          <t>_calc!$L$4:$L$72</t>
        </is>
      </c>
      <c r="D101" s="6" t="inlineStr">
        <is>
          <t>A_mod(P+1) by combo</t>
        </is>
      </c>
    </row>
    <row r="102">
      <c r="B102" s="232" t="inlineStr">
        <is>
          <t>calc_aother</t>
        </is>
      </c>
      <c r="C102" s="6" t="inlineStr">
        <is>
          <t>_calc!$R$4:$R$72</t>
        </is>
      </c>
      <c r="D102" s="6" t="inlineStr">
        <is>
          <t>A_other by combo (1 when blank)</t>
        </is>
      </c>
    </row>
    <row r="103">
      <c r="B103" s="232" t="inlineStr">
        <is>
          <t>calc_arate_p</t>
        </is>
      </c>
      <c r="C103" s="6" t="inlineStr">
        <is>
          <t>_calc!$I$4:$I$72</t>
        </is>
      </c>
      <c r="D103" s="6" t="inlineStr">
        <is>
          <t>A_rate(P) by combo</t>
        </is>
      </c>
    </row>
    <row r="104">
      <c r="B104" s="232" t="inlineStr">
        <is>
          <t>calc_arate_p1</t>
        </is>
      </c>
      <c r="C104" s="6" t="inlineStr">
        <is>
          <t>_calc!$J$4:$J$72</t>
        </is>
      </c>
      <c r="D104" s="6" t="inlineStr">
        <is>
          <t>A_rate(P+1) by combo</t>
        </is>
      </c>
    </row>
    <row r="105">
      <c r="B105" s="232" t="inlineStr">
        <is>
          <t>calc_bu</t>
        </is>
      </c>
      <c r="C105" s="6" t="inlineStr">
        <is>
          <t>_calc!$U$4:$U$72</t>
        </is>
      </c>
      <c r="D105" s="6" t="inlineStr">
        <is>
          <t>BU echo, aligned with tbl_LR rows</t>
        </is>
      </c>
    </row>
    <row r="106">
      <c r="B106" s="232" t="inlineStr">
        <is>
          <t>calc_carry</t>
        </is>
      </c>
      <c r="C106" s="6" t="inlineStr">
        <is>
          <t>_calc!$Q$4:$Q$72</t>
        </is>
      </c>
      <c r="D106" s="6" t="inlineStr">
        <is>
          <t>Carryover into P+1 by combo</t>
        </is>
      </c>
    </row>
    <row r="107">
      <c r="B107" s="232" t="inlineStr">
        <is>
          <t>calc_crl</t>
        </is>
      </c>
      <c r="C107" s="6" t="inlineStr">
        <is>
          <t>_calc!$C$4:$C$72</t>
        </is>
      </c>
      <c r="D107" s="6" t="inlineStr">
        <is>
          <t>CRL_ind by combo</t>
        </is>
      </c>
    </row>
    <row r="108">
      <c r="B108" s="232" t="inlineStr">
        <is>
          <t>calc_cylr_p</t>
        </is>
      </c>
      <c r="C108" s="6" t="inlineStr">
        <is>
          <t>_calc!$N$4:$N$72</t>
        </is>
      </c>
      <c r="D108" s="6" t="inlineStr">
        <is>
          <t>CY plan LR(P) by combo</t>
        </is>
      </c>
    </row>
    <row r="109">
      <c r="B109" s="232" t="inlineStr">
        <is>
          <t>calc_cylr_p1</t>
        </is>
      </c>
      <c r="C109" s="6" t="inlineStr">
        <is>
          <t>_calc!$O$4:$O$72</t>
        </is>
      </c>
      <c r="D109" s="6" t="inlineStr">
        <is>
          <t>CY LR(P+1) indicative by combo</t>
        </is>
      </c>
    </row>
    <row r="110">
      <c r="B110" s="232" t="inlineStr">
        <is>
          <t>calc_echg</t>
        </is>
      </c>
      <c r="C110" s="6" t="inlineStr">
        <is>
          <t>_calc!$P$4:$P$72</t>
        </is>
      </c>
      <c r="D110" s="6" t="inlineStr">
        <is>
          <t>CY earned rate chg vs indication by combo</t>
        </is>
      </c>
    </row>
    <row r="111">
      <c r="B111" s="232" t="inlineStr">
        <is>
          <t>calc_ecy_p</t>
        </is>
      </c>
      <c r="C111" s="6" t="inlineStr">
        <is>
          <t>_calc!$E$4:$E$72</t>
        </is>
      </c>
      <c r="D111" s="6" t="inlineStr">
        <is>
          <t>E_CY(P) by combo</t>
        </is>
      </c>
    </row>
    <row r="112">
      <c r="B112" s="232" t="inlineStr">
        <is>
          <t>calc_ecy_p1</t>
        </is>
      </c>
      <c r="C112" s="6" t="inlineStr">
        <is>
          <t>_calc!$F$4:$F$72</t>
        </is>
      </c>
      <c r="D112" s="6" t="inlineStr">
        <is>
          <t>E_CY(P+1) by combo</t>
        </is>
      </c>
    </row>
    <row r="113">
      <c r="B113" s="232" t="inlineStr">
        <is>
          <t>calc_ecy_pm1</t>
        </is>
      </c>
      <c r="C113" s="6" t="inlineStr">
        <is>
          <t>_calc!$D$4:$D$72</t>
        </is>
      </c>
      <c r="D113" s="6" t="inlineStr">
        <is>
          <t>E_CY(P-1) by combo</t>
        </is>
      </c>
    </row>
    <row r="114">
      <c r="B114" s="232" t="inlineStr">
        <is>
          <t>calc_ep</t>
        </is>
      </c>
      <c r="C114" s="6" t="inlineStr">
        <is>
          <t>_calc!$V$4:$V$72</t>
        </is>
      </c>
      <c r="D114" s="6" t="inlineStr">
        <is>
          <t>Adjusted plan EP by combo (0 when blank)</t>
        </is>
      </c>
    </row>
    <row r="115">
      <c r="B115" s="232" t="inlineStr">
        <is>
          <t>calc_key</t>
        </is>
      </c>
      <c r="C115" s="6" t="inlineStr">
        <is>
          <t>_calc!$A$4:$A$72</t>
        </is>
      </c>
      <c r="D115" s="6" t="inlineStr">
        <is>
          <t>Combo keys, aligned 1:1 with tbl_LR rows</t>
        </is>
      </c>
    </row>
    <row r="116">
      <c r="B116" s="232" t="inlineStr">
        <is>
          <t>calc_lrcur</t>
        </is>
      </c>
      <c r="C116" s="6" t="inlineStr">
        <is>
          <t>_calc!$M$4:$M$72</t>
        </is>
      </c>
      <c r="D116" s="6" t="inlineStr">
        <is>
          <t>LR at current rate level by combo</t>
        </is>
      </c>
    </row>
    <row r="117">
      <c r="B117" s="232" t="inlineStr">
        <is>
          <t>calc_mbar_p</t>
        </is>
      </c>
      <c r="C117" s="6" t="inlineStr">
        <is>
          <t>_calc!$G$4:$G$72</t>
        </is>
      </c>
      <c r="D117" s="6" t="inlineStr">
        <is>
          <t>CY P earned mod by combo</t>
        </is>
      </c>
    </row>
    <row r="118">
      <c r="B118" s="232" t="inlineStr">
        <is>
          <t>calc_mbar_p1</t>
        </is>
      </c>
      <c r="C118" s="6" t="inlineStr">
        <is>
          <t>_calc!$H$4:$H$72</t>
        </is>
      </c>
      <c r="D118" s="6" t="inlineStr">
        <is>
          <t>CY P+1 earned mod by combo</t>
        </is>
      </c>
    </row>
    <row r="119">
      <c r="B119" s="232" t="inlineStr">
        <is>
          <t>calc_netmode</t>
        </is>
      </c>
      <c r="C119" s="6" t="inlineStr">
        <is>
          <t>_calc!$AK$4:$AK$72</t>
        </is>
      </c>
      <c r="D119" s="6" t="inlineStr">
        <is>
          <t>1 when the combo carries a net rate selection (D39)</t>
        </is>
      </c>
    </row>
    <row r="120">
      <c r="B120" s="232" t="inlineStr">
        <is>
          <t>calc_netx</t>
        </is>
      </c>
      <c r="C120" s="6" t="inlineStr">
        <is>
          <t>_calc!$AL$4:$AL$72</t>
        </is>
      </c>
      <c r="D120" s="6" t="inlineStr">
        <is>
          <t>Net selection x(P) by combo (0 when off)</t>
        </is>
      </c>
    </row>
    <row r="121">
      <c r="B121" s="232" t="inlineStr">
        <is>
          <t>calc_state</t>
        </is>
      </c>
      <c r="C121" s="6" t="inlineStr">
        <is>
          <t>_calc!$T$4:$T$72</t>
        </is>
      </c>
      <c r="D121" s="6" t="inlineStr">
        <is>
          <t>State echo, aligned with tbl_LR rows</t>
        </is>
      </c>
    </row>
    <row r="122">
      <c r="B122" s="232" t="inlineStr">
        <is>
          <t>calc_term</t>
        </is>
      </c>
      <c r="C122" s="6" t="inlineStr">
        <is>
          <t>_calc!$B$4:$B$72</t>
        </is>
      </c>
      <c r="D122" s="6" t="inlineStr">
        <is>
          <t>Policy term by combo</t>
        </is>
      </c>
    </row>
    <row r="123">
      <c r="B123" s="232" t="inlineStr">
        <is>
          <t>calc_trend</t>
        </is>
      </c>
      <c r="C123" s="6" t="inlineStr">
        <is>
          <t>_calc!$S$4:$S$72</t>
        </is>
      </c>
      <c r="D123" s="6" t="inlineStr">
        <is>
          <t>Effective P+1 net trend by combo (blank inherits the default)</t>
        </is>
      </c>
    </row>
    <row r="124">
      <c r="B124" s="232" t="inlineStr">
        <is>
          <t>calc_w_amod</t>
        </is>
      </c>
      <c r="C124" s="6" t="inlineStr">
        <is>
          <t>_calc!$AD$4:$AD$72</t>
        </is>
      </c>
      <c r="D124" s="6" t="inlineStr">
        <is>
          <t>A_mod(P) x EP</t>
        </is>
      </c>
    </row>
    <row r="125">
      <c r="B125" s="232" t="inlineStr">
        <is>
          <t>calc_w_amod1</t>
        </is>
      </c>
      <c r="C125" s="6" t="inlineStr">
        <is>
          <t>_calc!$AI$4:$AI$72</t>
        </is>
      </c>
      <c r="D125" s="6" t="inlineStr">
        <is>
          <t>A_mod(P+1) x EP</t>
        </is>
      </c>
    </row>
    <row r="126">
      <c r="B126" s="232" t="inlineStr">
        <is>
          <t>calc_w_arate</t>
        </is>
      </c>
      <c r="C126" s="6" t="inlineStr">
        <is>
          <t>_calc!$AB$4:$AB$72</t>
        </is>
      </c>
      <c r="D126" s="6" t="inlineStr">
        <is>
          <t>A_rate(P) x EP</t>
        </is>
      </c>
    </row>
    <row r="127">
      <c r="B127" s="232" t="inlineStr">
        <is>
          <t>calc_w_arate1</t>
        </is>
      </c>
      <c r="C127" s="6" t="inlineStr">
        <is>
          <t>_calc!$AH$4:$AH$72</t>
        </is>
      </c>
      <c r="D127" s="6" t="inlineStr">
        <is>
          <t>A_rate(P+1) x EP</t>
        </is>
      </c>
    </row>
    <row r="128">
      <c r="B128" s="232" t="inlineStr">
        <is>
          <t>calc_w_crl</t>
        </is>
      </c>
      <c r="C128" s="6" t="inlineStr">
        <is>
          <t>_calc!$Z$4:$Z$72</t>
        </is>
      </c>
      <c r="D128" s="6" t="inlineStr">
        <is>
          <t>CRL_ind x EP</t>
        </is>
      </c>
    </row>
    <row r="129">
      <c r="B129" s="232" t="inlineStr">
        <is>
          <t>calc_w_cylr</t>
        </is>
      </c>
      <c r="C129" s="6" t="inlineStr">
        <is>
          <t>_calc!$AF$4:$AF$72</t>
        </is>
      </c>
      <c r="D129" s="6" t="inlineStr">
        <is>
          <t>CY plan LR(P) x EP</t>
        </is>
      </c>
    </row>
    <row r="130">
      <c r="B130" s="232" t="inlineStr">
        <is>
          <t>calc_w_cylr1</t>
        </is>
      </c>
      <c r="C130" s="6" t="inlineStr">
        <is>
          <t>_calc!$AJ$4:$AJ$72</t>
        </is>
      </c>
      <c r="D130" s="6" t="inlineStr">
        <is>
          <t>CY LR(P+1) x EP</t>
        </is>
      </c>
    </row>
    <row r="131">
      <c r="B131" s="232" t="inlineStr">
        <is>
          <t>calc_w_ecy</t>
        </is>
      </c>
      <c r="C131" s="6" t="inlineStr">
        <is>
          <t>_calc!$AA$4:$AA$72</t>
        </is>
      </c>
      <c r="D131" s="6" t="inlineStr">
        <is>
          <t>E_CY(P) x EP</t>
        </is>
      </c>
    </row>
    <row r="132">
      <c r="B132" s="232" t="inlineStr">
        <is>
          <t>calc_w_lrcur</t>
        </is>
      </c>
      <c r="C132" s="6" t="inlineStr">
        <is>
          <t>_calc!$AE$4:$AE$72</t>
        </is>
      </c>
      <c r="D132" s="6" t="inlineStr">
        <is>
          <t>LR_current x EP</t>
        </is>
      </c>
    </row>
    <row r="133">
      <c r="B133" s="232" t="inlineStr">
        <is>
          <t>calc_w_m0</t>
        </is>
      </c>
      <c r="C133" s="6" t="inlineStr">
        <is>
          <t>_calc!$X$4:$X$72</t>
        </is>
      </c>
      <c r="D133" s="6" t="inlineStr">
        <is>
          <t>M_0 x EP</t>
        </is>
      </c>
    </row>
    <row r="134">
      <c r="B134" s="232" t="inlineStr">
        <is>
          <t>calc_w_m1</t>
        </is>
      </c>
      <c r="C134" s="6" t="inlineStr">
        <is>
          <t>_calc!$Y$4:$Y$72</t>
        </is>
      </c>
      <c r="D134" s="6" t="inlineStr">
        <is>
          <t>M_1 x EP</t>
        </is>
      </c>
    </row>
    <row r="135">
      <c r="B135" s="232" t="inlineStr">
        <is>
          <t>calc_w_mbar</t>
        </is>
      </c>
      <c r="C135" s="6" t="inlineStr">
        <is>
          <t>_calc!$AC$4:$AC$72</t>
        </is>
      </c>
      <c r="D135" s="6" t="inlineStr">
        <is>
          <t>Earned mod(P) x EP</t>
        </is>
      </c>
    </row>
    <row r="136">
      <c r="B136" s="232" t="inlineStr">
        <is>
          <t>calc_w_mind</t>
        </is>
      </c>
      <c r="C136" s="6" t="inlineStr">
        <is>
          <t>_calc!$W$4:$W$72</t>
        </is>
      </c>
      <c r="D136" s="6" t="inlineStr">
        <is>
          <t>M_ind x EP (State Summary weighting)</t>
        </is>
      </c>
    </row>
    <row r="137">
      <c r="B137" s="232" t="inlineStr">
        <is>
          <t>calc_w_trend</t>
        </is>
      </c>
      <c r="C137" s="6" t="inlineStr">
        <is>
          <t>_calc!$AG$4:$AG$72</t>
        </is>
      </c>
      <c r="D137" s="6" t="inlineStr">
        <is>
          <t>Net trend x EP</t>
        </is>
      </c>
    </row>
    <row r="138">
      <c r="B138" s="232" t="inlineStr">
        <is>
          <t>ck_overall</t>
        </is>
      </c>
      <c r="C138" s="6" t="inlineStr">
        <is>
          <t>Checks!$C$3</t>
        </is>
      </c>
      <c r="D138" s="6" t="inlineStr">
        <is>
          <t>Overall PASS/FAIL status (shown on Control)</t>
        </is>
      </c>
    </row>
    <row r="139">
      <c r="B139" s="232" t="inlineStr">
        <is>
          <t>lr_aother</t>
        </is>
      </c>
      <c r="C139" s="6" t="inlineStr">
        <is>
          <t>Inputs!$N$12:$N$80</t>
        </is>
      </c>
      <c r="D139" s="6" t="inlineStr">
        <is>
          <t>A_other manual adjustment factor</t>
        </is>
      </c>
    </row>
    <row r="140">
      <c r="B140" s="232" t="inlineStr">
        <is>
          <t>lr_aotherlbl</t>
        </is>
      </c>
      <c r="C140" s="6" t="inlineStr">
        <is>
          <t>Inputs!$O$12:$O$80</t>
        </is>
      </c>
      <c r="D140" s="6" t="inlineStr">
        <is>
          <t>Label required when A_other &lt;&gt; 1</t>
        </is>
      </c>
    </row>
    <row r="141">
      <c r="B141" s="232" t="inlineStr">
        <is>
          <t>lr_basis</t>
        </is>
      </c>
      <c r="C141" s="6" t="inlineStr">
        <is>
          <t>Inputs!$D$12:$D$80</t>
        </is>
      </c>
      <c r="D141" s="6" t="inlineStr">
        <is>
          <t>LR basis: current | proposed</t>
        </is>
      </c>
    </row>
    <row r="142">
      <c r="B142" s="232" t="inlineStr">
        <is>
          <t>lr_bu</t>
        </is>
      </c>
      <c r="C142" s="6" t="inlineStr">
        <is>
          <t>Inputs!$A$12:$A$80</t>
        </is>
      </c>
      <c r="D142" s="6" t="inlineStr">
        <is>
          <t>tbl_LR business unit</t>
        </is>
      </c>
    </row>
    <row r="143">
      <c r="B143" s="232" t="inlineStr">
        <is>
          <t>lr_ep</t>
        </is>
      </c>
      <c r="C143" s="6" t="inlineStr">
        <is>
          <t>Inputs!$L$12:$L$80</t>
        </is>
      </c>
      <c r="D143" s="6" t="inlineStr">
        <is>
          <t>ADJUSTED plan earned premium (000s) — the weight behind Portfolio totals and State Summary aggregates</t>
        </is>
      </c>
    </row>
    <row r="144">
      <c r="B144" s="232" t="inlineStr">
        <is>
          <t>lr_key</t>
        </is>
      </c>
      <c r="C144" s="6" t="inlineStr">
        <is>
          <t>Inputs!$T$12:$T$80</t>
        </is>
      </c>
      <c r="D144" s="6" t="inlineStr">
        <is>
          <t>Helper: concatenated BU|State key (right of the paste block, D40)</t>
        </is>
      </c>
    </row>
    <row r="145">
      <c r="B145" s="232" t="inlineStr">
        <is>
          <t>lr_lrproj</t>
        </is>
      </c>
      <c r="C145" s="6" t="inlineStr">
        <is>
          <t>Inputs!$C$12:$C$80</t>
        </is>
      </c>
      <c r="D145" s="6" t="inlineStr">
        <is>
          <t>Projected loss ratio from the indication</t>
        </is>
      </c>
    </row>
    <row r="146">
      <c r="B146" s="232" t="inlineStr">
        <is>
          <t>lr_m0</t>
        </is>
      </c>
      <c r="C146" s="6" t="inlineStr">
        <is>
          <t>Inputs!$G$12:$G$80</t>
        </is>
      </c>
      <c r="D146" s="6" t="inlineStr">
        <is>
          <t>M_0: current avg written mod</t>
        </is>
      </c>
    </row>
    <row r="147">
      <c r="B147" s="232" t="inlineStr">
        <is>
          <t>lr_m0asof</t>
        </is>
      </c>
      <c r="C147" s="6" t="inlineStr">
        <is>
          <t>Inputs!$H$12:$H$80</t>
        </is>
      </c>
      <c r="D147" s="6" t="inlineStr">
        <is>
          <t>M_0 as-of date (close of day)</t>
        </is>
      </c>
    </row>
    <row r="148">
      <c r="B148" s="232" t="inlineStr">
        <is>
          <t>lr_m1</t>
        </is>
      </c>
      <c r="C148" s="6" t="inlineStr">
        <is>
          <t>Inputs!$I$12:$I$80</t>
        </is>
      </c>
      <c r="D148" s="6" t="inlineStr">
        <is>
          <t>M_1: projected avg written mod at 12/31/P</t>
        </is>
      </c>
    </row>
    <row r="149">
      <c r="B149" s="232" t="inlineStr">
        <is>
          <t>lr_m2</t>
        </is>
      </c>
      <c r="C149" s="6" t="inlineStr">
        <is>
          <t>Inputs!$K$12:$K$80</t>
        </is>
      </c>
      <c r="D149" s="6" t="inlineStr">
        <is>
          <t>M_2: projected avg written mod at 12/31/(P+1); blank = M_1</t>
        </is>
      </c>
    </row>
    <row r="150">
      <c r="B150" s="232" t="inlineStr">
        <is>
          <t>lr_mind</t>
        </is>
      </c>
      <c r="C150" s="6" t="inlineStr">
        <is>
          <t>Inputs!$F$12:$F$80</t>
        </is>
      </c>
      <c r="D150" s="6" t="inlineStr">
        <is>
          <t>M_ind: avg schedule mod assumed in the indication</t>
        </is>
      </c>
    </row>
    <row r="151">
      <c r="B151" s="232" t="inlineStr">
        <is>
          <t>lr_modadj</t>
        </is>
      </c>
      <c r="C151" s="6" t="inlineStr">
        <is>
          <t>Inputs!$P$12:$P$80</t>
        </is>
      </c>
      <c r="D151" s="6" t="inlineStr">
        <is>
          <t>Per-combo mod adjustment toggle (ON/OFF)</t>
        </is>
      </c>
    </row>
    <row r="152">
      <c r="B152" s="232" t="inlineStr">
        <is>
          <t>lr_mprior</t>
        </is>
      </c>
      <c r="C152" s="6" t="inlineStr">
        <is>
          <t>Inputs!$J$12:$J$80</t>
        </is>
      </c>
      <c r="D152" s="6" t="inlineStr">
        <is>
          <t>M_prior: avg mod ~12 months before M_0 (optional)</t>
        </is>
      </c>
    </row>
    <row r="153">
      <c r="B153" s="232" t="inlineStr">
        <is>
          <t>lr_netp</t>
        </is>
      </c>
      <c r="C153" s="6" t="inlineStr">
        <is>
          <t>Inputs!$Q$12:$Q$80</t>
        </is>
      </c>
      <c r="D153" s="6" t="inlineStr">
        <is>
          <t>OPTIONAL net rate selection for P: YoY combined rate x mod target from 1/1/P (blank = explicit program, D39)</t>
        </is>
      </c>
    </row>
    <row r="154">
      <c r="B154" s="232" t="inlineStr">
        <is>
          <t>lr_netp1</t>
        </is>
      </c>
      <c r="C154" s="6" t="inlineStr">
        <is>
          <t>Inputs!$R$12:$R$80</t>
        </is>
      </c>
      <c r="D154" s="6" t="inlineStr">
        <is>
          <t>OPTIONAL net selection for P+1 (blank = carry the P selection)</t>
        </is>
      </c>
    </row>
    <row r="155">
      <c r="B155" s="232" t="inlineStr">
        <is>
          <t>lr_s</t>
        </is>
      </c>
      <c r="C155" s="6" t="inlineStr">
        <is>
          <t>Inputs!$E$12:$E$80</t>
        </is>
      </c>
      <c r="D155" s="6" t="inlineStr">
        <is>
          <t>Selected/indicated change s (used when basis = proposed)</t>
        </is>
      </c>
    </row>
    <row r="156">
      <c r="B156" s="232" t="inlineStr">
        <is>
          <t>lr_state</t>
        </is>
      </c>
      <c r="C156" s="6" t="inlineStr">
        <is>
          <t>Inputs!$B$12:$B$80</t>
        </is>
      </c>
      <c r="D156" s="6" t="inlineStr">
        <is>
          <t>tbl_LR state</t>
        </is>
      </c>
    </row>
    <row r="157">
      <c r="B157" s="232" t="inlineStr">
        <is>
          <t>lr_trend</t>
        </is>
      </c>
      <c r="C157" s="6" t="inlineStr">
        <is>
          <t>Inputs!$M$12:$M$80</t>
        </is>
      </c>
      <c r="D157" s="6" t="inlineStr">
        <is>
          <t>Annual net loss-over-premium trend for the P+1 view</t>
        </is>
      </c>
    </row>
    <row r="158">
      <c r="B158" s="232" t="inlineStr">
        <is>
          <t>lst_basis</t>
        </is>
      </c>
      <c r="C158" s="6" t="inlineStr">
        <is>
          <t>_lists!$E$3:$E$4</t>
        </is>
      </c>
      <c r="D158" s="6" t="inlineStr">
        <is>
          <t>LR basis</t>
        </is>
      </c>
    </row>
    <row r="159">
      <c r="B159" s="232" t="inlineStr">
        <is>
          <t>lst_basisdisp</t>
        </is>
      </c>
      <c r="C159" s="6" t="inlineStr">
        <is>
          <t>_lists!$H$3:$H$4</t>
        </is>
      </c>
      <c r="D159" s="6" t="inlineStr">
        <is>
          <t>Projected-LR KPI display</t>
        </is>
      </c>
    </row>
    <row r="160">
      <c r="B160" s="232" t="inlineStr">
        <is>
          <t>lst_bu</t>
        </is>
      </c>
      <c r="C160" s="6" t="inlineStr">
        <is>
          <t>_lists!$A$3:INDEX(_lists!$A$3:$A$71,MAX(1,_lists!$N$1))</t>
        </is>
      </c>
      <c r="D160" s="6" t="inlineStr">
        <is>
          <t>LIVE unique business units from tbl_LR (self-sizing, D42)</t>
        </is>
      </c>
    </row>
    <row r="161">
      <c r="B161" s="232" t="inlineStr">
        <is>
          <t>lst_bu_all</t>
        </is>
      </c>
      <c r="C161" s="6" t="inlineStr">
        <is>
          <t>_lists!$I$3:INDEX(_lists!$I$3:$I$72,MAX(1,_lists!$N$1+1))</t>
        </is>
      </c>
      <c r="D161" s="6" t="inlineStr">
        <is>
          <t>State Summary BU filter: 'All' + live business units (D42)</t>
        </is>
      </c>
    </row>
    <row r="162">
      <c r="B162" s="232" t="inlineStr">
        <is>
          <t>lst_onoff</t>
        </is>
      </c>
      <c r="C162" s="6" t="inlineStr">
        <is>
          <t>_lists!$F$3:$F$4</t>
        </is>
      </c>
      <c r="D162" s="6" t="inlineStr">
        <is>
          <t>Toggles</t>
        </is>
      </c>
    </row>
    <row r="163">
      <c r="B163" s="232" t="inlineStr">
        <is>
          <t>lst_scenario</t>
        </is>
      </c>
      <c r="C163" s="6" t="inlineStr">
        <is>
          <t>_lists!$G$3:$G$7</t>
        </is>
      </c>
      <c r="D163" s="6" t="inlineStr">
        <is>
          <t>Scenario selector</t>
        </is>
      </c>
    </row>
    <row r="164">
      <c r="B164" s="232" t="inlineStr">
        <is>
          <t>lst_state</t>
        </is>
      </c>
      <c r="C164" s="6" t="inlineStr">
        <is>
          <t>_lists!$B$3:INDEX(_lists!$B$3:$B$71,MAX(1,_lists!$P$1))</t>
        </is>
      </c>
      <c r="D164" s="6" t="inlineStr">
        <is>
          <t>LIVE unique states from tbl_LR (self-sizing, D42)</t>
        </is>
      </c>
    </row>
    <row r="165">
      <c r="B165" s="232" t="inlineStr">
        <is>
          <t>lst_state_cnt</t>
        </is>
      </c>
      <c r="C165" s="6" t="inlineStr">
        <is>
          <t>_lists!$P$1</t>
        </is>
      </c>
      <c r="D165" s="6" t="inlineStr">
        <is>
          <t>Count of distinct states currently in tbl_LR</t>
        </is>
      </c>
    </row>
    <row r="166">
      <c r="B166" s="232" t="inlineStr">
        <is>
          <t>lst_status</t>
        </is>
      </c>
      <c r="C166" s="6" t="inlineStr">
        <is>
          <t>_lists!$C$3:$C$4</t>
        </is>
      </c>
      <c r="D166" s="6" t="inlineStr">
        <is>
          <t>Rate change status</t>
        </is>
      </c>
    </row>
    <row r="167">
      <c r="B167" s="232" t="inlineStr">
        <is>
          <t>lst_yn</t>
        </is>
      </c>
      <c r="C167" s="6" t="inlineStr">
        <is>
          <t>_lists!$D$3:$D$4</t>
        </is>
      </c>
      <c r="D167" s="6" t="inlineStr">
        <is>
          <t>Yes/No flags</t>
        </is>
      </c>
    </row>
    <row r="168">
      <c r="B168" s="232" t="inlineStr">
        <is>
          <t>me_identity</t>
        </is>
      </c>
      <c r="C168" s="6" t="inlineStr">
        <is>
          <t>'Mod Engine'!$L$11</t>
        </is>
      </c>
      <c r="D168" s="6" t="inlineStr">
        <is>
          <t>Written mod at 1/1/P — equals CY P earned mod under the §3.3.5 identity</t>
        </is>
      </c>
    </row>
    <row r="169">
      <c r="B169" s="232" t="inlineStr">
        <is>
          <t>me_identity_ok</t>
        </is>
      </c>
      <c r="C169" s="6" t="inlineStr">
        <is>
          <t>'Mod Engine'!$L$12</t>
        </is>
      </c>
      <c r="D169" s="6" t="inlineStr">
        <is>
          <t>TRUE when the linear-mod identity preconditions hold (no M_prior kink, annual term, uniform writings)</t>
        </is>
      </c>
    </row>
    <row r="170">
      <c r="B170" s="232" t="inlineStr">
        <is>
          <t>me_mw_col</t>
        </is>
      </c>
      <c r="C170" s="6" t="inlineStr">
        <is>
          <t>'Mod Engine'!$E$17:$E$64</t>
        </is>
      </c>
      <c r="D170" s="6" t="inlineStr">
        <is>
          <t>Written mod M_w(k) by cohort</t>
        </is>
      </c>
    </row>
    <row r="171">
      <c r="B171" s="232" t="inlineStr">
        <is>
          <t>nr_AOther</t>
        </is>
      </c>
      <c r="C171" s="6" t="inlineStr">
        <is>
          <t>Bridge!$C$51</t>
        </is>
      </c>
      <c r="D171" s="6" t="inlineStr">
        <is>
          <t>Manual adjustment factor (label required when &lt;&gt; 1)</t>
        </is>
      </c>
    </row>
    <row r="172">
      <c r="B172" s="232" t="inlineStr">
        <is>
          <t>nr_AOtherLbl</t>
        </is>
      </c>
      <c r="C172" s="6" t="inlineStr">
        <is>
          <t>Bridge!$C$52</t>
        </is>
      </c>
      <c r="D172" s="6" t="inlineStr">
        <is>
          <t>Reason for A_other</t>
        </is>
      </c>
    </row>
    <row r="173">
      <c r="B173" s="232" t="inlineStr">
        <is>
          <t>nr_Amod_P</t>
        </is>
      </c>
      <c r="C173" s="6" t="inlineStr">
        <is>
          <t>'Mod Engine'!$L$8</t>
        </is>
      </c>
      <c r="D173" s="6" t="inlineStr">
        <is>
          <t>Mod adjustment factor for the plan year (1 under a net selection, D39)</t>
        </is>
      </c>
    </row>
    <row r="174">
      <c r="B174" s="232" t="inlineStr">
        <is>
          <t>nr_Amod_P1</t>
        </is>
      </c>
      <c r="C174" s="6" t="inlineStr">
        <is>
          <t>'Mod Engine'!$L$9</t>
        </is>
      </c>
      <c r="D174" s="6" t="inlineStr">
        <is>
          <t>Mod adjustment factor for plan year + 1 (1 under a net selection)</t>
        </is>
      </c>
    </row>
    <row r="175">
      <c r="B175" s="232" t="inlineStr">
        <is>
          <t>nr_Arate_P</t>
        </is>
      </c>
      <c r="C175" s="6" t="inlineStr">
        <is>
          <t>'Rate Engine'!$C$9</t>
        </is>
      </c>
      <c r="D175" s="6" t="inlineStr">
        <is>
          <t>Rate adjustment factor for the plan year</t>
        </is>
      </c>
    </row>
    <row r="176">
      <c r="B176" s="232" t="inlineStr">
        <is>
          <t>nr_Arate_P1</t>
        </is>
      </c>
      <c r="C176" s="6" t="inlineStr">
        <is>
          <t>'Rate Engine'!$C$10</t>
        </is>
      </c>
      <c r="D176" s="6" t="inlineStr">
        <is>
          <t>Rate adjustment factor for plan year + 1</t>
        </is>
      </c>
    </row>
    <row r="177">
      <c r="B177" s="232" t="inlineStr">
        <is>
          <t>nr_Basis</t>
        </is>
      </c>
      <c r="C177" s="6" t="inlineStr">
        <is>
          <t>Bridge!$C$41</t>
        </is>
      </c>
      <c r="D177" s="6" t="inlineStr">
        <is>
          <t>Basis of the input LR: current | proposed</t>
        </is>
      </c>
    </row>
    <row r="178">
      <c r="B178" s="232" t="inlineStr">
        <is>
          <t>nr_BasisDisp</t>
        </is>
      </c>
      <c r="C178" s="6" t="inlineStr">
        <is>
          <t>Control!$C$14</t>
        </is>
      </c>
      <c r="D178" s="6" t="inlineStr">
        <is>
          <t>Projected-LR KPI display basis</t>
        </is>
      </c>
    </row>
    <row r="179">
      <c r="B179" s="232" t="inlineStr">
        <is>
          <t>nr_CRLind</t>
        </is>
      </c>
      <c r="C179" s="6" t="inlineStr">
        <is>
          <t>'Rate Engine'!$C$5</t>
        </is>
      </c>
      <c r="D179" s="6" t="inlineStr">
        <is>
          <t>Cumulative rate level in the indication: product over considered rows</t>
        </is>
      </c>
    </row>
    <row r="180">
      <c r="B180" s="232" t="inlineStr">
        <is>
          <t>nr_CYLR_P</t>
        </is>
      </c>
      <c r="C180" s="6" t="inlineStr">
        <is>
          <t>Bridge!$D$15</t>
        </is>
      </c>
      <c r="D180" s="6" t="inlineStr">
        <is>
          <t>CY plan loss ratio for the plan year</t>
        </is>
      </c>
    </row>
    <row r="181">
      <c r="B181" s="232" t="inlineStr">
        <is>
          <t>nr_CYLR_P1</t>
        </is>
      </c>
      <c r="C181" s="6" t="inlineStr">
        <is>
          <t>Bridge!$G$15</t>
        </is>
      </c>
      <c r="D181" s="6" t="inlineStr">
        <is>
          <t>Indicative CY LR for plan year + 1 (assumes no new indication)</t>
        </is>
      </c>
    </row>
    <row r="182">
      <c r="B182" s="232" t="inlineStr">
        <is>
          <t>nr_ECY_P</t>
        </is>
      </c>
      <c r="C182" s="6" t="inlineStr">
        <is>
          <t>'Rate Engine'!$C$7</t>
        </is>
      </c>
      <c r="D182" s="6" t="inlineStr">
        <is>
          <t>Calendar-year earned rate index, plan year</t>
        </is>
      </c>
    </row>
    <row r="183">
      <c r="B183" s="232" t="inlineStr">
        <is>
          <t>nr_ECY_P1</t>
        </is>
      </c>
      <c r="C183" s="6" t="inlineStr">
        <is>
          <t>'Rate Engine'!$C$8</t>
        </is>
      </c>
      <c r="D183" s="6" t="inlineStr">
        <is>
          <t>Calendar-year earned rate index, plan year + 1</t>
        </is>
      </c>
    </row>
    <row r="184">
      <c r="B184" s="232" t="inlineStr">
        <is>
          <t>nr_ECY_Pm1</t>
        </is>
      </c>
      <c r="C184" s="6" t="inlineStr">
        <is>
          <t>'Rate Engine'!$C$6</t>
        </is>
      </c>
      <c r="D184" s="6" t="inlineStr">
        <is>
          <t>Calendar-year earned rate index, plan year minus 1</t>
        </is>
      </c>
    </row>
    <row r="185">
      <c r="B185" s="232" t="inlineStr">
        <is>
          <t>nr_EChgVsInd</t>
        </is>
      </c>
      <c r="C185" s="6" t="inlineStr">
        <is>
          <t>'Rate Engine'!$C$11</t>
        </is>
      </c>
      <c r="D185" s="6" t="inlineStr">
        <is>
          <t>E_CY(P)/CRL_ind - 1</t>
        </is>
      </c>
    </row>
    <row r="186">
      <c r="B186" s="232" t="inlineStr">
        <is>
          <t>nr_LRcur</t>
        </is>
      </c>
      <c r="C186" s="6" t="inlineStr">
        <is>
          <t>Bridge!$C$43</t>
        </is>
      </c>
      <c r="D186" s="6" t="inlineStr">
        <is>
          <t>Basis-normalized projected LR (§3.4.1)</t>
        </is>
      </c>
    </row>
    <row r="187">
      <c r="B187" s="232" t="inlineStr">
        <is>
          <t>nr_LRproj</t>
        </is>
      </c>
      <c r="C187" s="6" t="inlineStr">
        <is>
          <t>Bridge!$C$40</t>
        </is>
      </c>
      <c r="D187" s="6" t="inlineStr">
        <is>
          <t>Projected loss ratio from the indication, as entered</t>
        </is>
      </c>
    </row>
    <row r="188">
      <c r="B188" s="232" t="inlineStr">
        <is>
          <t>nr_M0</t>
        </is>
      </c>
      <c r="C188" s="6" t="inlineStr">
        <is>
          <t>Bridge!$C$45</t>
        </is>
      </c>
      <c r="D188" s="6" t="inlineStr">
        <is>
          <t>Current average written mod</t>
        </is>
      </c>
    </row>
    <row r="189">
      <c r="B189" s="232" t="inlineStr">
        <is>
          <t>nr_M0Asof</t>
        </is>
      </c>
      <c r="C189" s="6" t="inlineStr">
        <is>
          <t>Bridge!$C$46</t>
        </is>
      </c>
      <c r="D189" s="6" t="inlineStr">
        <is>
          <t>As-of date of M_0 (anchored close-of-day, D2)</t>
        </is>
      </c>
    </row>
    <row r="190">
      <c r="B190" s="232" t="inlineStr">
        <is>
          <t>nr_M1</t>
        </is>
      </c>
      <c r="C190" s="6" t="inlineStr">
        <is>
          <t>Bridge!$C$47</t>
        </is>
      </c>
      <c r="D190" s="6" t="inlineStr">
        <is>
          <t>Projected average written mod at 12/31/P</t>
        </is>
      </c>
    </row>
    <row r="191">
      <c r="B191" s="232" t="inlineStr">
        <is>
          <t>nr_M2</t>
        </is>
      </c>
      <c r="C191" s="6" t="inlineStr">
        <is>
          <t>Bridge!$C$49</t>
        </is>
      </c>
      <c r="D191" s="6" t="inlineStr">
        <is>
          <t>Projected written mod at 12/31/(P+1); 0/blank = M_1</t>
        </is>
      </c>
    </row>
    <row r="192">
      <c r="B192" s="232" t="inlineStr">
        <is>
          <t>nr_MEarned_P</t>
        </is>
      </c>
      <c r="C192" s="6" t="inlineStr">
        <is>
          <t>'Mod Engine'!$L$6</t>
        </is>
      </c>
      <c r="D192" s="6" t="inlineStr">
        <is>
          <t>Exposure-weighted CY P earned schedule mod</t>
        </is>
      </c>
    </row>
    <row r="193">
      <c r="B193" s="232" t="inlineStr">
        <is>
          <t>nr_MEarned_P1</t>
        </is>
      </c>
      <c r="C193" s="6" t="inlineStr">
        <is>
          <t>'Mod Engine'!$L$7</t>
        </is>
      </c>
      <c r="D193" s="6" t="inlineStr">
        <is>
          <t>Exposure-weighted CY P+1 earned schedule mod</t>
        </is>
      </c>
    </row>
    <row r="194">
      <c r="B194" s="232" t="inlineStr">
        <is>
          <t>nr_MEarned_Pm1</t>
        </is>
      </c>
      <c r="C194" s="6" t="inlineStr">
        <is>
          <t>'Mod Engine'!$L$5</t>
        </is>
      </c>
      <c r="D194" s="6" t="inlineStr">
        <is>
          <t>Exposure-weighted CY P-1 earned schedule mod</t>
        </is>
      </c>
    </row>
    <row r="195">
      <c r="B195" s="232" t="inlineStr">
        <is>
          <t>nr_MEndP</t>
        </is>
      </c>
      <c r="C195" s="6" t="inlineStr">
        <is>
          <t>'Rate Engine'!$G$10</t>
        </is>
      </c>
      <c r="D195" s="6" t="inlineStr">
        <is>
          <t>Abs month index of Dec P</t>
        </is>
      </c>
    </row>
    <row r="196">
      <c r="B196" s="232" t="inlineStr">
        <is>
          <t>nr_MEndP1</t>
        </is>
      </c>
      <c r="C196" s="6" t="inlineStr">
        <is>
          <t>'Rate Engine'!$G$11</t>
        </is>
      </c>
      <c r="D196" s="6" t="inlineStr">
        <is>
          <t>Abs month index of Dec (P+1)</t>
        </is>
      </c>
    </row>
    <row r="197">
      <c r="B197" s="232" t="inlineStr">
        <is>
          <t>nr_MEndPm1</t>
        </is>
      </c>
      <c r="C197" s="6" t="inlineStr">
        <is>
          <t>'Rate Engine'!$G$9</t>
        </is>
      </c>
      <c r="D197" s="6" t="inlineStr">
        <is>
          <t>Abs month index of Dec (P-1)</t>
        </is>
      </c>
    </row>
    <row r="198">
      <c r="B198" s="232" t="inlineStr">
        <is>
          <t>nr_MInd</t>
        </is>
      </c>
      <c r="C198" s="6" t="inlineStr">
        <is>
          <t>Bridge!$C$44</t>
        </is>
      </c>
      <c r="D198" s="6" t="inlineStr">
        <is>
          <t>Average schedule mod assumed in the indication</t>
        </is>
      </c>
    </row>
    <row r="199">
      <c r="B199" s="232" t="inlineStr">
        <is>
          <t>nr_MPrior</t>
        </is>
      </c>
      <c r="C199" s="6" t="inlineStr">
        <is>
          <t>Bridge!$C$48</t>
        </is>
      </c>
      <c r="D199" s="6" t="inlineStr">
        <is>
          <t>Average mod ~12 months before M_0; 0/blank = extrapolate backward</t>
        </is>
      </c>
    </row>
    <row r="200">
      <c r="B200" s="232" t="inlineStr">
        <is>
          <t>nr_MStartP</t>
        </is>
      </c>
      <c r="C200" s="6" t="inlineStr">
        <is>
          <t>'Rate Engine'!$F$10</t>
        </is>
      </c>
      <c r="D200" s="6" t="inlineStr">
        <is>
          <t>Absolute month index of Jan P</t>
        </is>
      </c>
    </row>
    <row r="201">
      <c r="B201" s="232" t="inlineStr">
        <is>
          <t>nr_MStartP1</t>
        </is>
      </c>
      <c r="C201" s="6" t="inlineStr">
        <is>
          <t>'Rate Engine'!$F$11</t>
        </is>
      </c>
      <c r="D201" s="6" t="inlineStr">
        <is>
          <t>Absolute month index of Jan (P+1)</t>
        </is>
      </c>
    </row>
    <row r="202">
      <c r="B202" s="232" t="inlineStr">
        <is>
          <t>nr_MStartPm1</t>
        </is>
      </c>
      <c r="C202" s="6" t="inlineStr">
        <is>
          <t>'Rate Engine'!$F$9</t>
        </is>
      </c>
      <c r="D202" s="6" t="inlineStr">
        <is>
          <t>Absolute month index of Jan (P-1); year*12+month-1 convention</t>
        </is>
      </c>
    </row>
    <row r="203">
      <c r="B203" s="232" t="inlineStr">
        <is>
          <t>nr_ModAdjEff</t>
        </is>
      </c>
      <c r="C203" s="6" t="inlineStr">
        <is>
          <t>Bridge!$C$54</t>
        </is>
      </c>
      <c r="D203" s="6" t="inlineStr">
        <is>
          <t>TRUE state of the mod adjustment (master AND combo row)</t>
        </is>
      </c>
    </row>
    <row r="204">
      <c r="B204" s="232" t="inlineStr">
        <is>
          <t>nr_ModAdjMaster</t>
        </is>
      </c>
      <c r="C204" s="6" t="inlineStr">
        <is>
          <t>Control!$C$13</t>
        </is>
      </c>
      <c r="D204" s="6" t="inlineStr">
        <is>
          <t>Master mod-adjustment toggle (ON/OFF)</t>
        </is>
      </c>
    </row>
    <row r="205">
      <c r="B205" s="232" t="inlineStr">
        <is>
          <t>nr_ModAdjRow</t>
        </is>
      </c>
      <c r="C205" s="6" t="inlineStr">
        <is>
          <t>Bridge!$C$53</t>
        </is>
      </c>
      <c r="D205" s="6" t="inlineStr">
        <is>
          <t>Per-combo mod adjustment toggle from tbl_LR</t>
        </is>
      </c>
    </row>
    <row r="206">
      <c r="B206" s="232" t="inlineStr">
        <is>
          <t>nr_NetMode</t>
        </is>
      </c>
      <c r="C206" s="6" t="inlineStr">
        <is>
          <t>Bridge!$C$55</t>
        </is>
      </c>
      <c r="D206" s="6" t="inlineStr">
        <is>
          <t>TRUE when this combo carries a net rate selection (D39)</t>
        </is>
      </c>
    </row>
    <row r="207">
      <c r="B207" s="232" t="inlineStr">
        <is>
          <t>nr_NetSelP</t>
        </is>
      </c>
      <c r="C207" s="6" t="inlineStr">
        <is>
          <t>Bridge!$C$56</t>
        </is>
      </c>
      <c r="D207" s="6" t="inlineStr">
        <is>
          <t>YoY combined net price target for cohorts written from 1/1/P</t>
        </is>
      </c>
    </row>
    <row r="208">
      <c r="B208" s="232" t="inlineStr">
        <is>
          <t>nr_NetSelP1</t>
        </is>
      </c>
      <c r="C208" s="6" t="inlineStr">
        <is>
          <t>Bridge!$C$57</t>
        </is>
      </c>
      <c r="D208" s="6" t="inlineStr">
        <is>
          <t>Net selection for P+1 cohorts (defaults to the P selection)</t>
        </is>
      </c>
    </row>
    <row r="209">
      <c r="B209" s="232" t="inlineStr">
        <is>
          <t>nr_PlanYear</t>
        </is>
      </c>
      <c r="C209" s="6" t="inlineStr">
        <is>
          <t>Control!$C$6</t>
        </is>
      </c>
      <c r="D209" s="6" t="inlineStr">
        <is>
          <t>Plan year P</t>
        </is>
      </c>
    </row>
    <row r="210">
      <c r="B210" s="232" t="inlineStr">
        <is>
          <t>nr_SeasonOn</t>
        </is>
      </c>
      <c r="C210" s="6" t="inlineStr">
        <is>
          <t>Control!$C$12</t>
        </is>
      </c>
      <c r="D210" s="6" t="inlineStr">
        <is>
          <t>Global seasonality toggle (ON/OFF)</t>
        </is>
      </c>
    </row>
    <row r="211">
      <c r="B211" s="232" t="inlineStr">
        <is>
          <t>nr_SelBU</t>
        </is>
      </c>
      <c r="C211" s="6" t="inlineStr">
        <is>
          <t>Control!$C$7</t>
        </is>
      </c>
      <c r="D211" s="6" t="inlineStr">
        <is>
          <t>Selected business unit</t>
        </is>
      </c>
    </row>
    <row r="212">
      <c r="B212" s="232" t="inlineStr">
        <is>
          <t>nr_SelKey</t>
        </is>
      </c>
      <c r="C212" s="6" t="inlineStr">
        <is>
          <t>Control!$F$6</t>
        </is>
      </c>
      <c r="D212" s="6" t="inlineStr">
        <is>
          <t>Selected BU|State key</t>
        </is>
      </c>
    </row>
    <row r="213">
      <c r="B213" s="232" t="inlineStr">
        <is>
          <t>nr_SelOK</t>
        </is>
      </c>
      <c r="C213" s="6" t="inlineStr">
        <is>
          <t>Control!$G$7</t>
        </is>
      </c>
      <c r="D213" s="6" t="inlineStr">
        <is>
          <t>TRUE when the selected combo exists in tbl_LR</t>
        </is>
      </c>
    </row>
    <row r="214">
      <c r="B214" s="232" t="inlineStr">
        <is>
          <t>nr_SelS</t>
        </is>
      </c>
      <c r="C214" s="6" t="inlineStr">
        <is>
          <t>Bridge!$C$42</t>
        </is>
      </c>
      <c r="D214" s="6" t="inlineStr">
        <is>
          <t>Selected/indicated change used for basis normalization</t>
        </is>
      </c>
    </row>
    <row r="215">
      <c r="B215" s="232" t="inlineStr">
        <is>
          <t>nr_SelScenario</t>
        </is>
      </c>
      <c r="C215" s="6" t="inlineStr">
        <is>
          <t>Control!$C$9</t>
        </is>
      </c>
      <c r="D215" s="6" t="inlineStr">
        <is>
          <t>Scenario surfaced in the Control KPI row</t>
        </is>
      </c>
    </row>
    <row r="216">
      <c r="B216" s="232" t="inlineStr">
        <is>
          <t>nr_SelState</t>
        </is>
      </c>
      <c r="C216" s="6" t="inlineStr">
        <is>
          <t>Control!$C$8</t>
        </is>
      </c>
      <c r="D216" s="6" t="inlineStr">
        <is>
          <t>Selected state</t>
        </is>
      </c>
    </row>
    <row r="217">
      <c r="B217" s="232" t="inlineStr">
        <is>
          <t>nr_SolvMaxRate</t>
        </is>
      </c>
      <c r="C217" s="6" t="inlineStr">
        <is>
          <t>Solver!$C$21</t>
        </is>
      </c>
      <c r="D217" s="6" t="inlineStr">
        <is>
          <t>Solver reasonability bound (config)</t>
        </is>
      </c>
    </row>
    <row r="218">
      <c r="B218" s="232" t="inlineStr">
        <is>
          <t>nr_SolvMinShare</t>
        </is>
      </c>
      <c r="C218" s="6" t="inlineStr">
        <is>
          <t>Solver!$C$22</t>
        </is>
      </c>
      <c r="D218" s="6" t="inlineStr">
        <is>
          <t>Solver post-share warning threshold (config)</t>
        </is>
      </c>
    </row>
    <row r="219">
      <c r="B219" s="232" t="inlineStr">
        <is>
          <t>nr_SolverR</t>
        </is>
      </c>
      <c r="C219" s="6" t="inlineStr">
        <is>
          <t>Solver!$C$17</t>
        </is>
      </c>
      <c r="D219" s="6" t="inlineStr">
        <is>
          <t>Mode A required rate change</t>
        </is>
      </c>
    </row>
    <row r="220">
      <c r="B220" s="232" t="inlineStr">
        <is>
          <t>nr_SumBU</t>
        </is>
      </c>
      <c r="C220" s="6" t="inlineStr">
        <is>
          <t>'State Summary'!$B$4</t>
        </is>
      </c>
      <c r="D220" s="6" t="inlineStr">
        <is>
          <t>State Summary business-unit filter (All = EP-weighted across BUs)</t>
        </is>
      </c>
    </row>
    <row r="221">
      <c r="B221" s="232" t="inlineStr">
        <is>
          <t>nr_TermMonths</t>
        </is>
      </c>
      <c r="C221" s="6" t="inlineStr">
        <is>
          <t>Inputs!$B$8</t>
        </is>
      </c>
      <c r="D221" s="6" t="inlineStr">
        <is>
          <t>Workbook policy term in months (this workbook covers one LOB)</t>
        </is>
      </c>
    </row>
    <row r="222">
      <c r="B222" s="232" t="inlineStr">
        <is>
          <t>nr_Trend</t>
        </is>
      </c>
      <c r="C222" s="6" t="inlineStr">
        <is>
          <t>Bridge!$C$50</t>
        </is>
      </c>
      <c r="D222" s="6" t="inlineStr">
        <is>
          <t>Effective P+1 net trend: tbl_LR value, or the Control default when blank</t>
        </is>
      </c>
    </row>
    <row r="223">
      <c r="B223" s="232" t="inlineStr">
        <is>
          <t>nr_TrendDefault</t>
        </is>
      </c>
      <c r="C223" s="6" t="inlineStr">
        <is>
          <t>Control!$C$15</t>
        </is>
      </c>
      <c r="D223" s="6" t="inlineStr">
        <is>
          <t>Default net trend for the P+1 view (per-combo blank cells inherit it)</t>
        </is>
      </c>
    </row>
    <row r="224">
      <c r="B224" s="232" t="inlineStr">
        <is>
          <t>nr_WalkLR</t>
        </is>
      </c>
      <c r="C224" s="6" t="inlineStr">
        <is>
          <t>Walkthrough!$D$70</t>
        </is>
      </c>
      <c r="D224" s="6" t="inlineStr">
        <is>
          <t>Walkthrough assembled CY plan LR (must tie nr_CYLR_P; Checks-enforced)</t>
        </is>
      </c>
    </row>
    <row r="225">
      <c r="B225" s="232" t="inlineStr">
        <is>
          <t>nr_YoY_P</t>
        </is>
      </c>
      <c r="C225" s="6" t="inlineStr">
        <is>
          <t>'Rate Engine'!$C$12</t>
        </is>
      </c>
      <c r="D225" s="6" t="inlineStr">
        <is>
          <t>Year-over-year earned rate change into P</t>
        </is>
      </c>
    </row>
    <row r="226">
      <c r="B226" s="232" t="inlineStr">
        <is>
          <t>nr_YoY_P1</t>
        </is>
      </c>
      <c r="C226" s="6" t="inlineStr">
        <is>
          <t>'Rate Engine'!$C$13</t>
        </is>
      </c>
      <c r="D226" s="6" t="inlineStr">
        <is>
          <t>Year-over-year earned rate change into P+1</t>
        </is>
      </c>
    </row>
    <row r="227">
      <c r="B227" s="232" t="inlineStr">
        <is>
          <t>orc_amod_p</t>
        </is>
      </c>
      <c r="C227" s="6" t="inlineStr">
        <is>
          <t>_oracle!$B$11</t>
        </is>
      </c>
      <c r="D227" s="6" t="inlineStr">
        <is>
          <t>Oracle A_mod(P) (baked at build time)</t>
        </is>
      </c>
    </row>
    <row r="228">
      <c r="B228" s="232" t="inlineStr">
        <is>
          <t>orc_arate_p</t>
        </is>
      </c>
      <c r="C228" s="6" t="inlineStr">
        <is>
          <t>_oracle!$B$9</t>
        </is>
      </c>
      <c r="D228" s="6" t="inlineStr">
        <is>
          <t>Oracle A_rate(P) (baked at build time)</t>
        </is>
      </c>
    </row>
    <row r="229">
      <c r="B229" s="232" t="inlineStr">
        <is>
          <t>orc_arate_p1</t>
        </is>
      </c>
      <c r="C229" s="6" t="inlineStr">
        <is>
          <t>_oracle!$B$10</t>
        </is>
      </c>
      <c r="D229" s="6" t="inlineStr">
        <is>
          <t>Oracle A_rate(P+1) (baked at build time)</t>
        </is>
      </c>
    </row>
    <row r="230">
      <c r="B230" s="232" t="inlineStr">
        <is>
          <t>orc_crl</t>
        </is>
      </c>
      <c r="C230" s="6" t="inlineStr">
        <is>
          <t>_oracle!$B$4</t>
        </is>
      </c>
      <c r="D230" s="6" t="inlineStr">
        <is>
          <t>Oracle CRL_ind (baked at build time)</t>
        </is>
      </c>
    </row>
    <row r="231">
      <c r="B231" s="232" t="inlineStr">
        <is>
          <t>orc_cylr_p</t>
        </is>
      </c>
      <c r="C231" s="6" t="inlineStr">
        <is>
          <t>_oracle!$B$12</t>
        </is>
      </c>
      <c r="D231" s="6" t="inlineStr">
        <is>
          <t>Oracle CY plan LR(P), monthly convention (baked at build time)</t>
        </is>
      </c>
    </row>
    <row r="232">
      <c r="B232" s="232" t="inlineStr">
        <is>
          <t>orc_cylr_p1</t>
        </is>
      </c>
      <c r="C232" s="6" t="inlineStr">
        <is>
          <t>_oracle!$B$13</t>
        </is>
      </c>
      <c r="D232" s="6" t="inlineStr">
        <is>
          <t>Oracle CY LR(P+1), monthly convention (baked at build time)</t>
        </is>
      </c>
    </row>
    <row r="233">
      <c r="B233" s="232" t="inlineStr">
        <is>
          <t>orc_cylr_p_cont</t>
        </is>
      </c>
      <c r="C233" s="6" t="inlineStr">
        <is>
          <t>_oracle!$B$15</t>
        </is>
      </c>
      <c r="D233" s="6" t="inlineStr">
        <is>
          <t>Oracle CY plan LR(P), continuous closed form (baked at build time)</t>
        </is>
      </c>
    </row>
    <row r="234">
      <c r="B234" s="232" t="inlineStr">
        <is>
          <t>orc_echg</t>
        </is>
      </c>
      <c r="C234" s="6" t="inlineStr">
        <is>
          <t>_oracle!$B$14</t>
        </is>
      </c>
      <c r="D234" s="6" t="inlineStr">
        <is>
          <t>Oracle earned chg vs indication (baked at build time)</t>
        </is>
      </c>
    </row>
    <row r="235">
      <c r="B235" s="232" t="inlineStr">
        <is>
          <t>orc_ecy_p</t>
        </is>
      </c>
      <c r="C235" s="6" t="inlineStr">
        <is>
          <t>_oracle!$B$6</t>
        </is>
      </c>
      <c r="D235" s="6" t="inlineStr">
        <is>
          <t>Oracle E_CY(P), monthly convention (baked at build time)</t>
        </is>
      </c>
    </row>
    <row r="236">
      <c r="B236" s="232" t="inlineStr">
        <is>
          <t>orc_ecy_p1</t>
        </is>
      </c>
      <c r="C236" s="6" t="inlineStr">
        <is>
          <t>_oracle!$B$7</t>
        </is>
      </c>
      <c r="D236" s="6" t="inlineStr">
        <is>
          <t>Oracle E_CY(P+1), monthly convention (baked at build time)</t>
        </is>
      </c>
    </row>
    <row r="237">
      <c r="B237" s="232" t="inlineStr">
        <is>
          <t>orc_ecy_p_cont</t>
        </is>
      </c>
      <c r="C237" s="6" t="inlineStr">
        <is>
          <t>_oracle!$B$16</t>
        </is>
      </c>
      <c r="D237" s="6" t="inlineStr">
        <is>
          <t>Oracle E_CY(P), continuous closed form (baked at build time)</t>
        </is>
      </c>
    </row>
    <row r="238">
      <c r="B238" s="232" t="inlineStr">
        <is>
          <t>orc_ecy_pm1</t>
        </is>
      </c>
      <c r="C238" s="6" t="inlineStr">
        <is>
          <t>_oracle!$B$5</t>
        </is>
      </c>
      <c r="D238" s="6" t="inlineStr">
        <is>
          <t>Oracle E_CY(P-1), monthly convention (baked at build time)</t>
        </is>
      </c>
    </row>
    <row r="239">
      <c r="B239" s="232" t="inlineStr">
        <is>
          <t>orc_fp</t>
        </is>
      </c>
      <c r="C239" s="6" t="inlineStr">
        <is>
          <t>_oracle!$B$46</t>
        </is>
      </c>
      <c r="D239" s="6" t="inlineStr">
        <is>
          <t>TRUE while the seeded worked-example inputs are unchanged (scopes oracle ties)</t>
        </is>
      </c>
    </row>
    <row r="240">
      <c r="B240" s="232" t="inlineStr">
        <is>
          <t>orc_mbar_p</t>
        </is>
      </c>
      <c r="C240" s="6" t="inlineStr">
        <is>
          <t>_oracle!$B$8</t>
        </is>
      </c>
      <c r="D240" s="6" t="inlineStr">
        <is>
          <t>Oracle CY P earned mod, monthly convention (baked at build time)</t>
        </is>
      </c>
    </row>
    <row r="241">
      <c r="B241" s="232" t="inlineStr">
        <is>
          <t>orc_solver_r</t>
        </is>
      </c>
      <c r="C241" s="6" t="inlineStr">
        <is>
          <t>_oracle!$B$17</t>
        </is>
      </c>
      <c r="D241" s="6" t="inlineStr">
        <is>
          <t>Oracle solver required change (worked example) (baked at build time)</t>
        </is>
      </c>
    </row>
    <row r="242">
      <c r="B242" s="232" t="inlineStr">
        <is>
          <t>re_den_row</t>
        </is>
      </c>
      <c r="C242" s="6" t="inlineStr">
        <is>
          <t>'Rate Engine'!$V$67:$BE$67</t>
        </is>
      </c>
      <c r="D242" s="6" t="inlineStr">
        <is>
          <t>Monthly earned-exposure denominators</t>
        </is>
      </c>
    </row>
    <row r="243">
      <c r="B243" s="232" t="inlineStr">
        <is>
          <t>re_ecy_matrix</t>
        </is>
      </c>
      <c r="C243" s="6" t="inlineStr">
        <is>
          <t>'Rate Engine'!$F$12</t>
        </is>
      </c>
      <c r="D243" s="6" t="inlineStr">
        <is>
          <t>Cross-check: E_CY(P) summed from the monthly matrix columns</t>
        </is>
      </c>
    </row>
    <row r="244">
      <c r="B244" s="232" t="inlineStr">
        <is>
          <t>re_em_row</t>
        </is>
      </c>
      <c r="C244" s="6" t="inlineStr">
        <is>
          <t>'Rate Engine'!$V$68:$BE$68</t>
        </is>
      </c>
      <c r="D244" s="6" t="inlineStr">
        <is>
          <t>Monthly earned rate index E_m, Jan (P-1) .. Dec (P+1)</t>
        </is>
      </c>
    </row>
    <row r="245">
      <c r="B245" s="232" t="inlineStr">
        <is>
          <t>re_rowsum_chk</t>
        </is>
      </c>
      <c r="C245" s="6" t="inlineStr">
        <is>
          <t>'Rate Engine'!$BF$17:$BF$64</t>
        </is>
      </c>
      <c r="D245" s="6" t="inlineStr">
        <is>
          <t>Per-cohort earning-profile row sums minus 1 (in-window cohorts; should be 0)</t>
        </is>
      </c>
    </row>
    <row r="246">
      <c r="B246" s="232" t="inlineStr">
        <is>
          <t>re_season_active</t>
        </is>
      </c>
      <c r="C246" s="6" t="inlineStr">
        <is>
          <t>'Rate Engine'!$F$8</t>
        </is>
      </c>
      <c r="D246" s="6" t="inlineStr">
        <is>
          <t>TRUE when non-uniform written weights are in force</t>
        </is>
      </c>
    </row>
    <row r="247">
      <c r="B247" s="232" t="inlineStr">
        <is>
          <t>re_srow</t>
        </is>
      </c>
      <c r="C247" s="6" t="inlineStr">
        <is>
          <t>'Rate Engine'!$F$6</t>
        </is>
      </c>
      <c r="D247" s="6" t="inlineStr">
        <is>
          <t>tbl_Seasonality row for the selected state, 0 if absent</t>
        </is>
      </c>
    </row>
    <row r="248">
      <c r="B248" s="232" t="inlineStr">
        <is>
          <t>re_ssum</t>
        </is>
      </c>
      <c r="C248" s="6" t="inlineStr">
        <is>
          <t>'Rate Engine'!$F$7</t>
        </is>
      </c>
      <c r="D248" s="6" t="inlineStr">
        <is>
          <t>Sum of the selected state's 12 seasonality weights</t>
        </is>
      </c>
    </row>
    <row r="249">
      <c r="B249" s="232" t="inlineStr">
        <is>
          <t>re_viol_row</t>
        </is>
      </c>
      <c r="C249" s="6" t="inlineStr">
        <is>
          <t>'Rate Engine'!$V$71:$BE$71</t>
        </is>
      </c>
      <c r="D249" s="6" t="inlineStr">
        <is>
          <t>Per-month earned-index bound violations (should be all 0)</t>
        </is>
      </c>
    </row>
    <row r="250">
      <c r="B250" s="232" t="inlineStr">
        <is>
          <t>rl_ach</t>
        </is>
      </c>
      <c r="C250" s="6" t="inlineStr">
        <is>
          <t>'Rate Log'!$G$7:$G$246</t>
        </is>
      </c>
      <c r="D250" s="6" t="inlineStr">
        <is>
          <t>Achievement % (planned rows; blank = 100%)</t>
        </is>
      </c>
    </row>
    <row r="251">
      <c r="B251" s="232" t="inlineStr">
        <is>
          <t>rl_bu</t>
        </is>
      </c>
      <c r="C251" s="6" t="inlineStr">
        <is>
          <t>'Rate Log'!$A$7:$A$246</t>
        </is>
      </c>
      <c r="D251" s="6" t="inlineStr">
        <is>
          <t>tbl_RateLog business unit</t>
        </is>
      </c>
    </row>
    <row r="252">
      <c r="B252" s="232" t="inlineStr">
        <is>
          <t>rl_cons</t>
        </is>
      </c>
      <c r="C252" s="6" t="inlineStr">
        <is>
          <t>'Rate Log'!$F$7:$F$246</t>
        </is>
      </c>
      <c r="D252" s="6" t="inlineStr">
        <is>
          <t>Considered in the indication? (Y/N)</t>
        </is>
      </c>
    </row>
    <row r="253">
      <c r="B253" s="232" t="inlineStr">
        <is>
          <t>rl_daysafter</t>
        </is>
      </c>
      <c r="C253" s="6" t="inlineStr">
        <is>
          <t>'Rate Log'!$N$7:$N$246</t>
        </is>
      </c>
      <c r="D253" s="6" t="inlineStr">
        <is>
          <t>Helper: days in effective month on/after the change</t>
        </is>
      </c>
    </row>
    <row r="254">
      <c r="B254" s="232" t="inlineStr">
        <is>
          <t>rl_dup</t>
        </is>
      </c>
      <c r="C254" s="6" t="inlineStr">
        <is>
          <t>'Rate Log'!$R$7:$R$246</t>
        </is>
      </c>
      <c r="D254" s="6" t="inlineStr">
        <is>
          <t>Helper: 1 when &gt;1 change shares a BU|State cohort month</t>
        </is>
      </c>
    </row>
    <row r="255">
      <c r="B255" s="232" t="inlineStr">
        <is>
          <t>rl_eff</t>
        </is>
      </c>
      <c r="C255" s="6" t="inlineStr">
        <is>
          <t>'Rate Log'!$C$7:$C$246</t>
        </is>
      </c>
      <c r="D255" s="6" t="inlineStr">
        <is>
          <t>Rate change effective date (start of day)</t>
        </is>
      </c>
    </row>
    <row r="256">
      <c r="B256" s="232" t="inlineStr">
        <is>
          <t>rl_effmonth</t>
        </is>
      </c>
      <c r="C256" s="6" t="inlineStr">
        <is>
          <t>'Rate Log'!$M$7:$M$246</t>
        </is>
      </c>
      <c r="D256" s="6" t="inlineStr">
        <is>
          <t>Helper: first day of the effective month</t>
        </is>
      </c>
    </row>
    <row r="257">
      <c r="B257" s="232" t="inlineStr">
        <is>
          <t>rl_filed</t>
        </is>
      </c>
      <c r="C257" s="6" t="inlineStr">
        <is>
          <t>'Rate Log'!$D$7:$D$246</t>
        </is>
      </c>
      <c r="D257" s="6" t="inlineStr">
        <is>
          <t>Filed rate change (decimal fraction)</t>
        </is>
      </c>
    </row>
    <row r="258">
      <c r="B258" s="232" t="inlineStr">
        <is>
          <t>rl_first</t>
        </is>
      </c>
      <c r="C258" s="6" t="inlineStr">
        <is>
          <t>'Rate Log'!$Q$7:$Q$246</t>
        </is>
      </c>
      <c r="D258" s="6" t="inlineStr">
        <is>
          <t>Helper: 1 for the first change in its BU|State cohort month</t>
        </is>
      </c>
    </row>
    <row r="259">
      <c r="B259" s="232" t="inlineStr">
        <is>
          <t>rl_key</t>
        </is>
      </c>
      <c r="C259" s="6" t="inlineStr">
        <is>
          <t>'Rate Log'!$J$7:$J$246</t>
        </is>
      </c>
      <c r="D259" s="6" t="inlineStr">
        <is>
          <t>Helper: BU|State key (right of the paste block, D40)</t>
        </is>
      </c>
    </row>
    <row r="260">
      <c r="B260" s="232" t="inlineStr">
        <is>
          <t>rl_ln1p</t>
        </is>
      </c>
      <c r="C260" s="6" t="inlineStr">
        <is>
          <t>'Rate Log'!$L$7:$L$246</t>
        </is>
      </c>
      <c r="D260" s="6" t="inlineStr">
        <is>
          <t>Helper: ln(1 + effective change); 0 for blank rows</t>
        </is>
      </c>
    </row>
    <row r="261">
      <c r="B261" s="232" t="inlineStr">
        <is>
          <t>rl_prank</t>
        </is>
      </c>
      <c r="C261" s="6" t="inlineStr">
        <is>
          <t>'Rate Log'!$T$7:$T$246</t>
        </is>
      </c>
      <c r="D261" s="6" t="inlineStr">
        <is>
          <t>Helper: chronological rank among the key's PLANNED rows</t>
        </is>
      </c>
    </row>
    <row r="262">
      <c r="B262" s="232" t="inlineStr">
        <is>
          <t>rl_reff</t>
        </is>
      </c>
      <c r="C262" s="6" t="inlineStr">
        <is>
          <t>'Rate Log'!$K$7:$K$246</t>
        </is>
      </c>
      <c r="D262" s="6" t="inlineStr">
        <is>
          <t>Helper: effective change = filed x achievement (planned only)</t>
        </is>
      </c>
    </row>
    <row r="263">
      <c r="B263" s="232" t="inlineStr">
        <is>
          <t>rl_seq</t>
        </is>
      </c>
      <c r="C263" s="6" t="inlineStr">
        <is>
          <t>'Rate Log'!$S$7:$S$246</t>
        </is>
      </c>
      <c r="D263" s="6" t="inlineStr">
        <is>
          <t>Helper: chronological rank of the change within its BU|State key</t>
        </is>
      </c>
    </row>
    <row r="264">
      <c r="B264" s="232" t="inlineStr">
        <is>
          <t>rl_state</t>
        </is>
      </c>
      <c r="C264" s="6" t="inlineStr">
        <is>
          <t>'Rate Log'!$B$7:$B$246</t>
        </is>
      </c>
      <c r="D264" s="6" t="inlineStr">
        <is>
          <t>tbl_RateLog state</t>
        </is>
      </c>
    </row>
    <row r="265">
      <c r="B265" s="232" t="inlineStr">
        <is>
          <t>rl_status</t>
        </is>
      </c>
      <c r="C265" s="6" t="inlineStr">
        <is>
          <t>'Rate Log'!$E$7:$E$246</t>
        </is>
      </c>
      <c r="D265" s="6" t="inlineStr">
        <is>
          <t>taken | planned</t>
        </is>
      </c>
    </row>
    <row r="266">
      <c r="B266" s="232" t="inlineStr">
        <is>
          <t>sc_ach</t>
        </is>
      </c>
      <c r="C266" s="6" t="inlineStr">
        <is>
          <t>Scenarios!$C$8:$F$8</t>
        </is>
      </c>
      <c r="D266" s="6" t="inlineStr">
        <is>
          <t>Scenario lever: replaces achievement % on planned rows</t>
        </is>
      </c>
    </row>
    <row r="267">
      <c r="B267" s="232" t="inlineStr">
        <is>
          <t>sc_dm1</t>
        </is>
      </c>
      <c r="C267" s="6" t="inlineStr">
        <is>
          <t>Scenarios!$C$9:$F$9</t>
        </is>
      </c>
      <c r="D267" s="6" t="inlineStr">
        <is>
          <t>Scenario lever: added to M_1 and M_2 anchors</t>
        </is>
      </c>
    </row>
    <row r="268">
      <c r="B268" s="232" t="inlineStr">
        <is>
          <t>sc_dnet</t>
        </is>
      </c>
      <c r="C268" s="6" t="inlineStr">
        <is>
          <t>Scenarios!$C$10:$F$10</t>
        </is>
      </c>
      <c r="D268" s="6" t="inlineStr">
        <is>
          <t>Scenario lever: added to the net selection x for P and P+1 (D39)</t>
        </is>
      </c>
    </row>
    <row r="269">
      <c r="B269" s="232" t="inlineStr">
        <is>
          <t>sc_dpts</t>
        </is>
      </c>
      <c r="C269" s="6" t="inlineStr">
        <is>
          <t>Scenarios!$C$6:$F$6</t>
        </is>
      </c>
      <c r="D269" s="6" t="inlineStr">
        <is>
          <t>Scenario lever: added to every planned row's filed %</t>
        </is>
      </c>
    </row>
    <row r="270">
      <c r="B270" s="232" t="inlineStr">
        <is>
          <t>sc_res_cylr</t>
        </is>
      </c>
      <c r="C270" s="6" t="inlineStr">
        <is>
          <t>Scenarios!$C$14:$G$14</t>
        </is>
      </c>
      <c r="D270" s="6" t="inlineStr">
        <is>
          <t>CY plan LR by scenario</t>
        </is>
      </c>
    </row>
    <row r="271">
      <c r="B271" s="232" t="inlineStr">
        <is>
          <t>sc_res_names</t>
        </is>
      </c>
      <c r="C271" s="6" t="inlineStr">
        <is>
          <t>Scenarios!$C$13:$G$13</t>
        </is>
      </c>
      <c r="D271" s="6" t="inlineStr">
        <is>
          <t>Scenario result column headers</t>
        </is>
      </c>
    </row>
    <row r="272">
      <c r="B272" s="232" t="inlineStr">
        <is>
          <t>sc_shift</t>
        </is>
      </c>
      <c r="C272" s="6" t="inlineStr">
        <is>
          <t>Scenarios!$C$7:$F$7</t>
        </is>
      </c>
      <c r="D272" s="6" t="inlineStr">
        <is>
          <t>Scenario lever: EDATE month shift applied to planned rows</t>
        </is>
      </c>
    </row>
    <row r="273">
      <c r="B273" s="232" t="inlineStr">
        <is>
          <t>se_block</t>
        </is>
      </c>
      <c r="C273" s="6" t="inlineStr">
        <is>
          <t>Inputs!$B$85:$M$108</t>
        </is>
      </c>
      <c r="D273" s="6" t="inlineStr">
        <is>
          <t>Seasonality 12-month weight block</t>
        </is>
      </c>
    </row>
    <row r="274">
      <c r="B274" s="232" t="inlineStr">
        <is>
          <t>se_state</t>
        </is>
      </c>
      <c r="C274" s="6" t="inlineStr">
        <is>
          <t>Inputs!$A$85:$A$108</t>
        </is>
      </c>
      <c r="D274" s="6" t="inlineStr">
        <is>
          <t>Seasonality state column</t>
        </is>
      </c>
    </row>
    <row r="275">
      <c r="B275" s="232" t="inlineStr">
        <is>
          <t>se_sum</t>
        </is>
      </c>
      <c r="C275" s="6" t="inlineStr">
        <is>
          <t>Inputs!$N$85:$N$108</t>
        </is>
      </c>
      <c r="D275" s="6" t="inlineStr">
        <is>
          <t>Helper: seasonality row sums</t>
        </is>
      </c>
    </row>
    <row r="276">
      <c r="B276" s="232" t="inlineStr">
        <is>
          <t>slv_absmi</t>
        </is>
      </c>
      <c r="C276" s="6" t="inlineStr">
        <is>
          <t>_calc!$G$4675:$G$4722</t>
        </is>
      </c>
      <c r="D276" s="6" t="inlineStr">
        <is>
          <t>Solver block: absolute cohort month indices</t>
        </is>
      </c>
    </row>
    <row r="277">
      <c r="B277" s="232" t="inlineStr">
        <is>
          <t>slv_amod</t>
        </is>
      </c>
      <c r="C277" s="6" t="inlineStr">
        <is>
          <t>Solver!$G$22</t>
        </is>
      </c>
      <c r="D277" s="6" t="inlineStr">
        <is>
          <t>Mod drift factor of the solve combo</t>
        </is>
      </c>
    </row>
    <row r="278">
      <c r="B278" s="232" t="inlineStr">
        <is>
          <t>slv_aother</t>
        </is>
      </c>
      <c r="C278" s="6" t="inlineStr">
        <is>
          <t>Solver!$G$23</t>
        </is>
      </c>
      <c r="D278" s="6" t="inlineStr">
        <is>
          <t>Other adjustment factor of the solve combo</t>
        </is>
      </c>
    </row>
    <row r="279">
      <c r="B279" s="232" t="inlineStr">
        <is>
          <t>slv_crl</t>
        </is>
      </c>
      <c r="C279" s="6" t="inlineStr">
        <is>
          <t>Solver!$G$20</t>
        </is>
      </c>
      <c r="D279" s="6" t="inlineStr">
        <is>
          <t>Indication rate level of the solve combo</t>
        </is>
      </c>
    </row>
    <row r="280">
      <c r="B280" s="232" t="inlineStr">
        <is>
          <t>slv_cum</t>
        </is>
      </c>
      <c r="C280" s="6" t="inlineStr">
        <is>
          <t>_calc!$T$4675:$T$4722</t>
        </is>
      </c>
      <c r="D280" s="6" t="inlineStr">
        <is>
          <t>Solver block: cumulative w-ec-W0</t>
        </is>
      </c>
    </row>
    <row r="281">
      <c r="B281" s="232" t="inlineStr">
        <is>
          <t>slv_den</t>
        </is>
      </c>
      <c r="C281" s="6" t="inlineStr">
        <is>
          <t>_calc!$B$4723</t>
        </is>
      </c>
      <c r="D281" s="6" t="inlineStr">
        <is>
          <t>Solver denominator D = SUM w-ec over CY P</t>
        </is>
      </c>
    </row>
    <row r="282">
      <c r="B282" s="232" t="inlineStr">
        <is>
          <t>slv_dfirst</t>
        </is>
      </c>
      <c r="C282" s="6" t="inlineStr">
        <is>
          <t>_calc!$L$4675:$L$4722</t>
        </is>
      </c>
      <c r="D282" s="6" t="inlineStr">
        <is>
          <t>Solver block: first-taken-change days on/after</t>
        </is>
      </c>
    </row>
    <row r="283">
      <c r="B283" s="232" t="inlineStr">
        <is>
          <t>slv_ecp</t>
        </is>
      </c>
      <c r="C283" s="6" t="inlineStr">
        <is>
          <t>_calc!$Q$4675:$Q$4722</t>
        </is>
      </c>
      <c r="D283" s="6" t="inlineStr">
        <is>
          <t>Solver block: CY P earning fractions</t>
        </is>
      </c>
    </row>
    <row r="284">
      <c r="B284" s="232" t="inlineStr">
        <is>
          <t>slv_key</t>
        </is>
      </c>
      <c r="C284" s="6" t="inlineStr">
        <is>
          <t>Solver!$G$4</t>
        </is>
      </c>
      <c r="D284" s="6" t="inlineStr">
        <is>
          <t>Combo the Solver solves for (Control selection, or the local override)</t>
        </is>
      </c>
    </row>
    <row r="285">
      <c r="B285" s="232" t="inlineStr">
        <is>
          <t>slv_lrcur</t>
        </is>
      </c>
      <c r="C285" s="6" t="inlineStr">
        <is>
          <t>Solver!$G$21</t>
        </is>
      </c>
      <c r="D285" s="6" t="inlineStr">
        <is>
          <t>Basis-normalized projected LR of the solve combo</t>
        </is>
      </c>
    </row>
    <row r="286">
      <c r="B286" s="232" t="inlineStr">
        <is>
          <t>slv_row</t>
        </is>
      </c>
      <c r="C286" s="6" t="inlineStr">
        <is>
          <t>Solver!$G$19</t>
        </is>
      </c>
      <c r="D286" s="6" t="inlineStr">
        <is>
          <t>Row of the solve combo in the _calc results table (0 = absent)</t>
        </is>
      </c>
    </row>
    <row r="287">
      <c r="B287" s="232" t="inlineStr">
        <is>
          <t>slv_state</t>
        </is>
      </c>
      <c r="C287" s="6" t="inlineStr">
        <is>
          <t>Solver!$G$5</t>
        </is>
      </c>
      <c r="D287" s="6" t="inlineStr">
        <is>
          <t>State of the combo the Solver solves for</t>
        </is>
      </c>
    </row>
    <row r="288">
      <c r="B288" s="232" t="inlineStr">
        <is>
          <t>slv_total</t>
        </is>
      </c>
      <c r="C288" s="6" t="inlineStr">
        <is>
          <t>_calc!$C$4723</t>
        </is>
      </c>
      <c r="D288" s="6" t="inlineStr">
        <is>
          <t>Solver total SUM w-ec-W0 over CY P</t>
        </is>
      </c>
    </row>
    <row r="289">
      <c r="B289" s="232" t="inlineStr">
        <is>
          <t>slv_w</t>
        </is>
      </c>
      <c r="C289" s="6" t="inlineStr">
        <is>
          <t>_calc!$H$4675:$H$4722</t>
        </is>
      </c>
      <c r="D289" s="6" t="inlineStr">
        <is>
          <t>Solver block: written weights</t>
        </is>
      </c>
    </row>
    <row r="290">
      <c r="B290" s="232" t="inlineStr">
        <is>
          <t>slv_weom</t>
        </is>
      </c>
      <c r="C290" s="6" t="inlineStr">
        <is>
          <t>_calc!$J$4675:$J$4722</t>
        </is>
      </c>
      <c r="D290" s="6" t="inlineStr">
        <is>
          <t>Solver block: end-of-month index W0_eom</t>
        </is>
      </c>
    </row>
    <row r="291">
      <c r="B291" s="232" t="inlineStr">
        <is>
          <t>slv_weom_c</t>
        </is>
      </c>
      <c r="C291" s="6" t="inlineStr">
        <is>
          <t>_calc!$U$4675:$U$4722</t>
        </is>
      </c>
      <c r="D291" s="6" t="inlineStr">
        <is>
          <t>Solver block: w-ec-W0_eom by cohort</t>
        </is>
      </c>
    </row>
    <row r="292">
      <c r="B292" s="232" t="inlineStr">
        <is>
          <t>slv_widx</t>
        </is>
      </c>
      <c r="C292" s="6" t="inlineStr">
        <is>
          <t>_calc!$N$4675:$N$4722</t>
        </is>
      </c>
      <c r="D292" s="6" t="inlineStr">
        <is>
          <t>Solver block: taken-only written index W0 (blended)</t>
        </is>
      </c>
    </row>
    <row r="293">
      <c r="B293" s="232"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33" t="inlineStr">
        <is>
          <t>_calc (hidden): per-combo engine blocks generated by src/build_workbook.py. Same formula pattern as the visible Rate Engine; do not edit.</t>
        </is>
      </c>
    </row>
    <row r="3">
      <c r="A3" s="233" t="inlineStr">
        <is>
          <t>key</t>
        </is>
      </c>
      <c r="B3" s="233" t="inlineStr">
        <is>
          <t>T</t>
        </is>
      </c>
      <c r="C3" s="233" t="inlineStr">
        <is>
          <t>CRL</t>
        </is>
      </c>
      <c r="D3" s="233" t="inlineStr">
        <is>
          <t>E_CY(P-1)</t>
        </is>
      </c>
      <c r="E3" s="233" t="inlineStr">
        <is>
          <t>E_CY(P)</t>
        </is>
      </c>
      <c r="F3" s="233" t="inlineStr">
        <is>
          <t>E_CY(P+1)</t>
        </is>
      </c>
      <c r="G3" s="233" t="inlineStr">
        <is>
          <t>Mbar(P)</t>
        </is>
      </c>
      <c r="H3" s="233" t="inlineStr">
        <is>
          <t>Mbar(P+1)</t>
        </is>
      </c>
      <c r="I3" s="233" t="inlineStr">
        <is>
          <t>A_rate(P)</t>
        </is>
      </c>
      <c r="J3" s="233" t="inlineStr">
        <is>
          <t>A_rate(P+1)</t>
        </is>
      </c>
      <c r="K3" s="233" t="inlineStr">
        <is>
          <t>A_mod(P)</t>
        </is>
      </c>
      <c r="L3" s="233" t="inlineStr">
        <is>
          <t>A_mod(P+1)</t>
        </is>
      </c>
      <c r="M3" s="233" t="inlineStr">
        <is>
          <t>LR_current</t>
        </is>
      </c>
      <c r="N3" s="233" t="inlineStr">
        <is>
          <t>CY LR(P)</t>
        </is>
      </c>
      <c r="O3" s="233" t="inlineStr">
        <is>
          <t>CY LR(P+1)</t>
        </is>
      </c>
      <c r="P3" s="233" t="inlineStr">
        <is>
          <t>EChg vs ind</t>
        </is>
      </c>
      <c r="Q3" s="233" t="inlineStr">
        <is>
          <t>Carryover</t>
        </is>
      </c>
      <c r="R3" s="233" t="inlineStr">
        <is>
          <t>A_other</t>
        </is>
      </c>
      <c r="S3" s="233" t="inlineStr">
        <is>
          <t>trend</t>
        </is>
      </c>
    </row>
    <row r="4">
      <c r="A4" s="6">
        <f>$A$76</f>
        <v/>
      </c>
      <c r="B4" s="74">
        <f>$C$76</f>
        <v/>
      </c>
      <c r="C4" s="72">
        <f>$B$127</f>
        <v/>
      </c>
      <c r="D4" s="72">
        <f>$C$127</f>
        <v/>
      </c>
      <c r="E4" s="72">
        <f>$D$127</f>
        <v/>
      </c>
      <c r="F4" s="72">
        <f>$E$127</f>
        <v/>
      </c>
      <c r="G4" s="184">
        <f>$F$127</f>
        <v/>
      </c>
      <c r="H4" s="184">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34">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184">
        <f>$F$181</f>
        <v/>
      </c>
      <c r="H5" s="184">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34">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184">
        <f>$F$235</f>
        <v/>
      </c>
      <c r="H6" s="184">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34">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184">
        <f>$F$289</f>
        <v/>
      </c>
      <c r="H7" s="184">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34">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184">
        <f>$F$343</f>
        <v/>
      </c>
      <c r="H8" s="184">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34">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184">
        <f>$F$397</f>
        <v/>
      </c>
      <c r="H9" s="184">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34">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184">
        <f>$F$451</f>
        <v/>
      </c>
      <c r="H10" s="184">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34">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184">
        <f>$F$505</f>
        <v/>
      </c>
      <c r="H11" s="184">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34">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184">
        <f>$F$559</f>
        <v/>
      </c>
      <c r="H12" s="184">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34">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184">
        <f>$F$613</f>
        <v/>
      </c>
      <c r="H13" s="184">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34">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184">
        <f>$F$667</f>
        <v/>
      </c>
      <c r="H14" s="184">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34">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184">
        <f>$F$721</f>
        <v/>
      </c>
      <c r="H15" s="184">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34">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184">
        <f>$F$775</f>
        <v/>
      </c>
      <c r="H16" s="184">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34">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184">
        <f>$F$829</f>
        <v/>
      </c>
      <c r="H17" s="184">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34">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184">
        <f>$F$883</f>
        <v/>
      </c>
      <c r="H18" s="184">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34">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184">
        <f>$F$937</f>
        <v/>
      </c>
      <c r="H19" s="184">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34">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184">
        <f>$F$991</f>
        <v/>
      </c>
      <c r="H20" s="184">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34">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184">
        <f>$F$1045</f>
        <v/>
      </c>
      <c r="H21" s="184">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34">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184">
        <f>$F$1099</f>
        <v/>
      </c>
      <c r="H22" s="184">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34">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184">
        <f>$F$1153</f>
        <v/>
      </c>
      <c r="H23" s="184">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34">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184">
        <f>$F$1207</f>
        <v/>
      </c>
      <c r="H24" s="184">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34">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184">
        <f>$F$1261</f>
        <v/>
      </c>
      <c r="H25" s="184">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34">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184">
        <f>$F$1315</f>
        <v/>
      </c>
      <c r="H26" s="184">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34">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184">
        <f>$F$1369</f>
        <v/>
      </c>
      <c r="H27" s="184">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34">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184">
        <f>$F$1423</f>
        <v/>
      </c>
      <c r="H28" s="184">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34">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184">
        <f>$F$1477</f>
        <v/>
      </c>
      <c r="H29" s="184">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34">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184">
        <f>$F$1531</f>
        <v/>
      </c>
      <c r="H30" s="184">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34">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184">
        <f>$F$1585</f>
        <v/>
      </c>
      <c r="H31" s="184">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34">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184">
        <f>$F$1639</f>
        <v/>
      </c>
      <c r="H32" s="184">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34">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184">
        <f>$F$1693</f>
        <v/>
      </c>
      <c r="H33" s="184">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34">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184">
        <f>$F$1747</f>
        <v/>
      </c>
      <c r="H34" s="184">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34">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184">
        <f>$F$1801</f>
        <v/>
      </c>
      <c r="H35" s="184">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34">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184">
        <f>$F$1855</f>
        <v/>
      </c>
      <c r="H36" s="184">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34">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184">
        <f>$F$1909</f>
        <v/>
      </c>
      <c r="H37" s="184">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34">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184">
        <f>$F$1963</f>
        <v/>
      </c>
      <c r="H38" s="184">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34">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184">
        <f>$F$2017</f>
        <v/>
      </c>
      <c r="H39" s="184">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34">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184">
        <f>$F$2071</f>
        <v/>
      </c>
      <c r="H40" s="184">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34">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184">
        <f>$F$2125</f>
        <v/>
      </c>
      <c r="H41" s="184">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34">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184">
        <f>$F$2179</f>
        <v/>
      </c>
      <c r="H42" s="184">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34">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184">
        <f>$F$2233</f>
        <v/>
      </c>
      <c r="H43" s="184">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34">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184">
        <f>$F$2287</f>
        <v/>
      </c>
      <c r="H44" s="184">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34">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184">
        <f>$F$2341</f>
        <v/>
      </c>
      <c r="H45" s="184">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34">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184">
        <f>$F$2395</f>
        <v/>
      </c>
      <c r="H46" s="184">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34">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184">
        <f>$F$2449</f>
        <v/>
      </c>
      <c r="H47" s="184">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34">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184">
        <f>$F$2503</f>
        <v/>
      </c>
      <c r="H48" s="184">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34">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184">
        <f>$F$2557</f>
        <v/>
      </c>
      <c r="H49" s="184">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34">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184">
        <f>$F$2611</f>
        <v/>
      </c>
      <c r="H50" s="184">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34">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184">
        <f>$F$2665</f>
        <v/>
      </c>
      <c r="H51" s="184">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34">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184">
        <f>$F$2719</f>
        <v/>
      </c>
      <c r="H52" s="184">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34">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184">
        <f>$F$2773</f>
        <v/>
      </c>
      <c r="H53" s="184">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34">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184">
        <f>$F$2827</f>
        <v/>
      </c>
      <c r="H54" s="184">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34">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184">
        <f>$F$2881</f>
        <v/>
      </c>
      <c r="H55" s="184">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34">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184">
        <f>$F$2935</f>
        <v/>
      </c>
      <c r="H56" s="184">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34">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184">
        <f>$F$2989</f>
        <v/>
      </c>
      <c r="H57" s="184">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34">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184">
        <f>$F$3043</f>
        <v/>
      </c>
      <c r="H58" s="184">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34">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184">
        <f>$F$3097</f>
        <v/>
      </c>
      <c r="H59" s="184">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34">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184">
        <f>$F$3151</f>
        <v/>
      </c>
      <c r="H60" s="184">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34">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184">
        <f>$F$3205</f>
        <v/>
      </c>
      <c r="H61" s="184">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34">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184">
        <f>$F$3259</f>
        <v/>
      </c>
      <c r="H62" s="184">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34">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184">
        <f>$F$3313</f>
        <v/>
      </c>
      <c r="H63" s="184">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34">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184">
        <f>$F$3367</f>
        <v/>
      </c>
      <c r="H64" s="184">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34">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184">
        <f>$F$3421</f>
        <v/>
      </c>
      <c r="H65" s="184">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34">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184">
        <f>$F$3475</f>
        <v/>
      </c>
      <c r="H66" s="184">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34">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184">
        <f>$F$3529</f>
        <v/>
      </c>
      <c r="H67" s="184">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34">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184">
        <f>$F$3583</f>
        <v/>
      </c>
      <c r="H68" s="184">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34">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184">
        <f>$F$3637</f>
        <v/>
      </c>
      <c r="H69" s="184">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34">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184">
        <f>$F$3691</f>
        <v/>
      </c>
      <c r="H70" s="184">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34">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184">
        <f>$F$3745</f>
        <v/>
      </c>
      <c r="H71" s="184">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34">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184">
        <f>$F$3799</f>
        <v/>
      </c>
      <c r="H72" s="184">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34">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184">
        <f>IF(N(INDEX(lr_mind,1))=0,1,INDEX(lr_mind,1))</f>
        <v/>
      </c>
      <c r="G76" s="184">
        <f>IF(N(INDEX(lr_m0,1))=0,1,INDEX(lr_m0,1))</f>
        <v/>
      </c>
      <c r="H76" s="73">
        <f>IF(N(INDEX(lr_m0asof,1))=0,DATE(nr_PlanYear-1,10,1),INDEX(lr_m0asof,1))</f>
        <v/>
      </c>
      <c r="I76" s="184">
        <f>IF(N(INDEX(lr_m1,1))=0,1,INDEX(lr_m1,1))</f>
        <v/>
      </c>
      <c r="J76" s="184">
        <f>INDEX(lr_mprior,1)</f>
        <v/>
      </c>
      <c r="K76" s="184">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145" t="n">
        <v>1</v>
      </c>
      <c r="B79" s="204">
        <f>DATE(nr_PlanYear-2,1,1)</f>
        <v/>
      </c>
      <c r="C79" s="205">
        <f>EOMONTH($B79,0)</f>
        <v/>
      </c>
      <c r="D79" s="201">
        <f>$C79-$B79+1</f>
        <v/>
      </c>
      <c r="E79" s="201">
        <f>MONTH($B79)</f>
        <v/>
      </c>
      <c r="F79" s="235">
        <f>($B79+$C79+1)/2</f>
        <v/>
      </c>
      <c r="G79" s="201">
        <f>YEAR($B79)*12+MONTH($B79)-1</f>
        <v/>
      </c>
      <c r="H79" s="207">
        <f>IF(OR(nr_SeasonOn="OFF",$D$76=0,$E$76=0),1,12*INDEX(se_block,$D$76,$E79)/$E$76)</f>
        <v/>
      </c>
      <c r="I79" s="208">
        <f>EXP(SUMPRODUCT((rl_eff&lt;$B79)*(rl_key=$A$76)*rl_ln1p))</f>
        <v/>
      </c>
      <c r="J79" s="208">
        <f>EXP(SUMPRODUCT((rl_eff&lt;=$C79)*(rl_key=$A$76)*rl_ln1p))</f>
        <v/>
      </c>
      <c r="K79" s="201">
        <f>COUNTIFS(rl_key,$A$76,rl_eff,"&gt;="&amp;$B79,rl_eff,"&lt;="&amp;$C79)</f>
        <v/>
      </c>
      <c r="L79" s="201">
        <f>SUMIFS(rl_daysafter,rl_key,$A$76,rl_effmonth,$B79,rl_first,1)</f>
        <v/>
      </c>
      <c r="M79" s="209">
        <f>IF($K79=0,0,MIN(1,$L79/$D79))</f>
        <v/>
      </c>
      <c r="N79" s="208">
        <f>IF($K79=0,$J79,(1-$M79)*$I79+$M79*$J79)</f>
        <v/>
      </c>
      <c r="O79" s="209">
        <f>IF($F79&lt;$B$77,$E$77+$I$77*($F79-$A$77),IF($F79&lt;$C$77,$F$77+$J$77*($F79-$B$77),$G$77+$K$77*($F79-$C$77)))</f>
        <v/>
      </c>
      <c r="P79" s="208">
        <f>MIN(1,MAX(0,(nr_MEndPm1-$G79+0.5)/$C$76))-MIN(1,MAX(0,(nr_MStartPm1-1-$G79+0.5)/$C$76))</f>
        <v/>
      </c>
      <c r="Q79" s="208">
        <f>MIN(1,MAX(0,(nr_MEndP-$G79+0.5)/$C$76))-MIN(1,MAX(0,(nr_MStartP-1-$G79+0.5)/$C$76))</f>
        <v/>
      </c>
      <c r="R79" s="208">
        <f>MIN(1,MAX(0,(nr_MEndP1-$G79+0.5)/$C$76))-MIN(1,MAX(0,(nr_MStartP1-1-$G79+0.5)/$C$76))</f>
        <v/>
      </c>
      <c r="S79" s="208">
        <f>IF($L$76,$N79*IF($O$76=1,$O79/$F$76,1),"")</f>
        <v/>
      </c>
      <c r="T79" s="208">
        <f>IF(NOT($L$76),"",IF($G79&lt;nr_MStartP,$S79,$T67*(1+IF($G79&lt;nr_MStartP1,$M$76,$N$76))))</f>
        <v/>
      </c>
      <c r="U79" s="208">
        <f>IF($L$76,$T79,$N79)</f>
        <v/>
      </c>
    </row>
    <row r="80">
      <c r="A80" s="145" t="n">
        <v>2</v>
      </c>
      <c r="B80" s="204">
        <f>EDATE($B79,1)</f>
        <v/>
      </c>
      <c r="C80" s="205">
        <f>EOMONTH($B80,0)</f>
        <v/>
      </c>
      <c r="D80" s="201">
        <f>$C80-$B80+1</f>
        <v/>
      </c>
      <c r="E80" s="201">
        <f>MONTH($B80)</f>
        <v/>
      </c>
      <c r="F80" s="235">
        <f>($B80+$C80+1)/2</f>
        <v/>
      </c>
      <c r="G80" s="201">
        <f>YEAR($B80)*12+MONTH($B80)-1</f>
        <v/>
      </c>
      <c r="H80" s="207">
        <f>IF(OR(nr_SeasonOn="OFF",$D$76=0,$E$76=0),1,12*INDEX(se_block,$D$76,$E80)/$E$76)</f>
        <v/>
      </c>
      <c r="I80" s="208">
        <f>EXP(SUMPRODUCT((rl_eff&lt;$B80)*(rl_key=$A$76)*rl_ln1p))</f>
        <v/>
      </c>
      <c r="J80" s="208">
        <f>EXP(SUMPRODUCT((rl_eff&lt;=$C80)*(rl_key=$A$76)*rl_ln1p))</f>
        <v/>
      </c>
      <c r="K80" s="201">
        <f>COUNTIFS(rl_key,$A$76,rl_eff,"&gt;="&amp;$B80,rl_eff,"&lt;="&amp;$C80)</f>
        <v/>
      </c>
      <c r="L80" s="201">
        <f>SUMIFS(rl_daysafter,rl_key,$A$76,rl_effmonth,$B80,rl_first,1)</f>
        <v/>
      </c>
      <c r="M80" s="209">
        <f>IF($K80=0,0,MIN(1,$L80/$D80))</f>
        <v/>
      </c>
      <c r="N80" s="208">
        <f>IF($K80=0,$J80,(1-$M80)*$I80+$M80*$J80)</f>
        <v/>
      </c>
      <c r="O80" s="209">
        <f>IF($F80&lt;$B$77,$E$77+$I$77*($F80-$A$77),IF($F80&lt;$C$77,$F$77+$J$77*($F80-$B$77),$G$77+$K$77*($F80-$C$77)))</f>
        <v/>
      </c>
      <c r="P80" s="208">
        <f>MIN(1,MAX(0,(nr_MEndPm1-$G80+0.5)/$C$76))-MIN(1,MAX(0,(nr_MStartPm1-1-$G80+0.5)/$C$76))</f>
        <v/>
      </c>
      <c r="Q80" s="208">
        <f>MIN(1,MAX(0,(nr_MEndP-$G80+0.5)/$C$76))-MIN(1,MAX(0,(nr_MStartP-1-$G80+0.5)/$C$76))</f>
        <v/>
      </c>
      <c r="R80" s="208">
        <f>MIN(1,MAX(0,(nr_MEndP1-$G80+0.5)/$C$76))-MIN(1,MAX(0,(nr_MStartP1-1-$G80+0.5)/$C$76))</f>
        <v/>
      </c>
      <c r="S80" s="208">
        <f>IF($L$76,$N80*IF($O$76=1,$O80/$F$76,1),"")</f>
        <v/>
      </c>
      <c r="T80" s="208">
        <f>IF(NOT($L$76),"",IF($G80&lt;nr_MStartP,$S80,$T68*(1+IF($G80&lt;nr_MStartP1,$M$76,$N$76))))</f>
        <v/>
      </c>
      <c r="U80" s="208">
        <f>IF($L$76,$T80,$N80)</f>
        <v/>
      </c>
    </row>
    <row r="81">
      <c r="A81" s="145" t="n">
        <v>3</v>
      </c>
      <c r="B81" s="204">
        <f>EDATE($B80,1)</f>
        <v/>
      </c>
      <c r="C81" s="205">
        <f>EOMONTH($B81,0)</f>
        <v/>
      </c>
      <c r="D81" s="201">
        <f>$C81-$B81+1</f>
        <v/>
      </c>
      <c r="E81" s="201">
        <f>MONTH($B81)</f>
        <v/>
      </c>
      <c r="F81" s="235">
        <f>($B81+$C81+1)/2</f>
        <v/>
      </c>
      <c r="G81" s="201">
        <f>YEAR($B81)*12+MONTH($B81)-1</f>
        <v/>
      </c>
      <c r="H81" s="207">
        <f>IF(OR(nr_SeasonOn="OFF",$D$76=0,$E$76=0),1,12*INDEX(se_block,$D$76,$E81)/$E$76)</f>
        <v/>
      </c>
      <c r="I81" s="208">
        <f>EXP(SUMPRODUCT((rl_eff&lt;$B81)*(rl_key=$A$76)*rl_ln1p))</f>
        <v/>
      </c>
      <c r="J81" s="208">
        <f>EXP(SUMPRODUCT((rl_eff&lt;=$C81)*(rl_key=$A$76)*rl_ln1p))</f>
        <v/>
      </c>
      <c r="K81" s="201">
        <f>COUNTIFS(rl_key,$A$76,rl_eff,"&gt;="&amp;$B81,rl_eff,"&lt;="&amp;$C81)</f>
        <v/>
      </c>
      <c r="L81" s="201">
        <f>SUMIFS(rl_daysafter,rl_key,$A$76,rl_effmonth,$B81,rl_first,1)</f>
        <v/>
      </c>
      <c r="M81" s="209">
        <f>IF($K81=0,0,MIN(1,$L81/$D81))</f>
        <v/>
      </c>
      <c r="N81" s="208">
        <f>IF($K81=0,$J81,(1-$M81)*$I81+$M81*$J81)</f>
        <v/>
      </c>
      <c r="O81" s="209">
        <f>IF($F81&lt;$B$77,$E$77+$I$77*($F81-$A$77),IF($F81&lt;$C$77,$F$77+$J$77*($F81-$B$77),$G$77+$K$77*($F81-$C$77)))</f>
        <v/>
      </c>
      <c r="P81" s="208">
        <f>MIN(1,MAX(0,(nr_MEndPm1-$G81+0.5)/$C$76))-MIN(1,MAX(0,(nr_MStartPm1-1-$G81+0.5)/$C$76))</f>
        <v/>
      </c>
      <c r="Q81" s="208">
        <f>MIN(1,MAX(0,(nr_MEndP-$G81+0.5)/$C$76))-MIN(1,MAX(0,(nr_MStartP-1-$G81+0.5)/$C$76))</f>
        <v/>
      </c>
      <c r="R81" s="208">
        <f>MIN(1,MAX(0,(nr_MEndP1-$G81+0.5)/$C$76))-MIN(1,MAX(0,(nr_MStartP1-1-$G81+0.5)/$C$76))</f>
        <v/>
      </c>
      <c r="S81" s="208">
        <f>IF($L$76,$N81*IF($O$76=1,$O81/$F$76,1),"")</f>
        <v/>
      </c>
      <c r="T81" s="208">
        <f>IF(NOT($L$76),"",IF($G81&lt;nr_MStartP,$S81,$T69*(1+IF($G81&lt;nr_MStartP1,$M$76,$N$76))))</f>
        <v/>
      </c>
      <c r="U81" s="208">
        <f>IF($L$76,$T81,$N81)</f>
        <v/>
      </c>
    </row>
    <row r="82">
      <c r="A82" s="145" t="n">
        <v>4</v>
      </c>
      <c r="B82" s="204">
        <f>EDATE($B81,1)</f>
        <v/>
      </c>
      <c r="C82" s="205">
        <f>EOMONTH($B82,0)</f>
        <v/>
      </c>
      <c r="D82" s="201">
        <f>$C82-$B82+1</f>
        <v/>
      </c>
      <c r="E82" s="201">
        <f>MONTH($B82)</f>
        <v/>
      </c>
      <c r="F82" s="235">
        <f>($B82+$C82+1)/2</f>
        <v/>
      </c>
      <c r="G82" s="201">
        <f>YEAR($B82)*12+MONTH($B82)-1</f>
        <v/>
      </c>
      <c r="H82" s="207">
        <f>IF(OR(nr_SeasonOn="OFF",$D$76=0,$E$76=0),1,12*INDEX(se_block,$D$76,$E82)/$E$76)</f>
        <v/>
      </c>
      <c r="I82" s="208">
        <f>EXP(SUMPRODUCT((rl_eff&lt;$B82)*(rl_key=$A$76)*rl_ln1p))</f>
        <v/>
      </c>
      <c r="J82" s="208">
        <f>EXP(SUMPRODUCT((rl_eff&lt;=$C82)*(rl_key=$A$76)*rl_ln1p))</f>
        <v/>
      </c>
      <c r="K82" s="201">
        <f>COUNTIFS(rl_key,$A$76,rl_eff,"&gt;="&amp;$B82,rl_eff,"&lt;="&amp;$C82)</f>
        <v/>
      </c>
      <c r="L82" s="201">
        <f>SUMIFS(rl_daysafter,rl_key,$A$76,rl_effmonth,$B82,rl_first,1)</f>
        <v/>
      </c>
      <c r="M82" s="209">
        <f>IF($K82=0,0,MIN(1,$L82/$D82))</f>
        <v/>
      </c>
      <c r="N82" s="208">
        <f>IF($K82=0,$J82,(1-$M82)*$I82+$M82*$J82)</f>
        <v/>
      </c>
      <c r="O82" s="209">
        <f>IF($F82&lt;$B$77,$E$77+$I$77*($F82-$A$77),IF($F82&lt;$C$77,$F$77+$J$77*($F82-$B$77),$G$77+$K$77*($F82-$C$77)))</f>
        <v/>
      </c>
      <c r="P82" s="208">
        <f>MIN(1,MAX(0,(nr_MEndPm1-$G82+0.5)/$C$76))-MIN(1,MAX(0,(nr_MStartPm1-1-$G82+0.5)/$C$76))</f>
        <v/>
      </c>
      <c r="Q82" s="208">
        <f>MIN(1,MAX(0,(nr_MEndP-$G82+0.5)/$C$76))-MIN(1,MAX(0,(nr_MStartP-1-$G82+0.5)/$C$76))</f>
        <v/>
      </c>
      <c r="R82" s="208">
        <f>MIN(1,MAX(0,(nr_MEndP1-$G82+0.5)/$C$76))-MIN(1,MAX(0,(nr_MStartP1-1-$G82+0.5)/$C$76))</f>
        <v/>
      </c>
      <c r="S82" s="208">
        <f>IF($L$76,$N82*IF($O$76=1,$O82/$F$76,1),"")</f>
        <v/>
      </c>
      <c r="T82" s="208">
        <f>IF(NOT($L$76),"",IF($G82&lt;nr_MStartP,$S82,$T70*(1+IF($G82&lt;nr_MStartP1,$M$76,$N$76))))</f>
        <v/>
      </c>
      <c r="U82" s="208">
        <f>IF($L$76,$T82,$N82)</f>
        <v/>
      </c>
    </row>
    <row r="83">
      <c r="A83" s="145" t="n">
        <v>5</v>
      </c>
      <c r="B83" s="204">
        <f>EDATE($B82,1)</f>
        <v/>
      </c>
      <c r="C83" s="205">
        <f>EOMONTH($B83,0)</f>
        <v/>
      </c>
      <c r="D83" s="201">
        <f>$C83-$B83+1</f>
        <v/>
      </c>
      <c r="E83" s="201">
        <f>MONTH($B83)</f>
        <v/>
      </c>
      <c r="F83" s="235">
        <f>($B83+$C83+1)/2</f>
        <v/>
      </c>
      <c r="G83" s="201">
        <f>YEAR($B83)*12+MONTH($B83)-1</f>
        <v/>
      </c>
      <c r="H83" s="207">
        <f>IF(OR(nr_SeasonOn="OFF",$D$76=0,$E$76=0),1,12*INDEX(se_block,$D$76,$E83)/$E$76)</f>
        <v/>
      </c>
      <c r="I83" s="208">
        <f>EXP(SUMPRODUCT((rl_eff&lt;$B83)*(rl_key=$A$76)*rl_ln1p))</f>
        <v/>
      </c>
      <c r="J83" s="208">
        <f>EXP(SUMPRODUCT((rl_eff&lt;=$C83)*(rl_key=$A$76)*rl_ln1p))</f>
        <v/>
      </c>
      <c r="K83" s="201">
        <f>COUNTIFS(rl_key,$A$76,rl_eff,"&gt;="&amp;$B83,rl_eff,"&lt;="&amp;$C83)</f>
        <v/>
      </c>
      <c r="L83" s="201">
        <f>SUMIFS(rl_daysafter,rl_key,$A$76,rl_effmonth,$B83,rl_first,1)</f>
        <v/>
      </c>
      <c r="M83" s="209">
        <f>IF($K83=0,0,MIN(1,$L83/$D83))</f>
        <v/>
      </c>
      <c r="N83" s="208">
        <f>IF($K83=0,$J83,(1-$M83)*$I83+$M83*$J83)</f>
        <v/>
      </c>
      <c r="O83" s="209">
        <f>IF($F83&lt;$B$77,$E$77+$I$77*($F83-$A$77),IF($F83&lt;$C$77,$F$77+$J$77*($F83-$B$77),$G$77+$K$77*($F83-$C$77)))</f>
        <v/>
      </c>
      <c r="P83" s="208">
        <f>MIN(1,MAX(0,(nr_MEndPm1-$G83+0.5)/$C$76))-MIN(1,MAX(0,(nr_MStartPm1-1-$G83+0.5)/$C$76))</f>
        <v/>
      </c>
      <c r="Q83" s="208">
        <f>MIN(1,MAX(0,(nr_MEndP-$G83+0.5)/$C$76))-MIN(1,MAX(0,(nr_MStartP-1-$G83+0.5)/$C$76))</f>
        <v/>
      </c>
      <c r="R83" s="208">
        <f>MIN(1,MAX(0,(nr_MEndP1-$G83+0.5)/$C$76))-MIN(1,MAX(0,(nr_MStartP1-1-$G83+0.5)/$C$76))</f>
        <v/>
      </c>
      <c r="S83" s="208">
        <f>IF($L$76,$N83*IF($O$76=1,$O83/$F$76,1),"")</f>
        <v/>
      </c>
      <c r="T83" s="208">
        <f>IF(NOT($L$76),"",IF($G83&lt;nr_MStartP,$S83,$T71*(1+IF($G83&lt;nr_MStartP1,$M$76,$N$76))))</f>
        <v/>
      </c>
      <c r="U83" s="208">
        <f>IF($L$76,$T83,$N83)</f>
        <v/>
      </c>
    </row>
    <row r="84">
      <c r="A84" s="145" t="n">
        <v>6</v>
      </c>
      <c r="B84" s="204">
        <f>EDATE($B83,1)</f>
        <v/>
      </c>
      <c r="C84" s="205">
        <f>EOMONTH($B84,0)</f>
        <v/>
      </c>
      <c r="D84" s="201">
        <f>$C84-$B84+1</f>
        <v/>
      </c>
      <c r="E84" s="201">
        <f>MONTH($B84)</f>
        <v/>
      </c>
      <c r="F84" s="235">
        <f>($B84+$C84+1)/2</f>
        <v/>
      </c>
      <c r="G84" s="201">
        <f>YEAR($B84)*12+MONTH($B84)-1</f>
        <v/>
      </c>
      <c r="H84" s="207">
        <f>IF(OR(nr_SeasonOn="OFF",$D$76=0,$E$76=0),1,12*INDEX(se_block,$D$76,$E84)/$E$76)</f>
        <v/>
      </c>
      <c r="I84" s="208">
        <f>EXP(SUMPRODUCT((rl_eff&lt;$B84)*(rl_key=$A$76)*rl_ln1p))</f>
        <v/>
      </c>
      <c r="J84" s="208">
        <f>EXP(SUMPRODUCT((rl_eff&lt;=$C84)*(rl_key=$A$76)*rl_ln1p))</f>
        <v/>
      </c>
      <c r="K84" s="201">
        <f>COUNTIFS(rl_key,$A$76,rl_eff,"&gt;="&amp;$B84,rl_eff,"&lt;="&amp;$C84)</f>
        <v/>
      </c>
      <c r="L84" s="201">
        <f>SUMIFS(rl_daysafter,rl_key,$A$76,rl_effmonth,$B84,rl_first,1)</f>
        <v/>
      </c>
      <c r="M84" s="209">
        <f>IF($K84=0,0,MIN(1,$L84/$D84))</f>
        <v/>
      </c>
      <c r="N84" s="208">
        <f>IF($K84=0,$J84,(1-$M84)*$I84+$M84*$J84)</f>
        <v/>
      </c>
      <c r="O84" s="209">
        <f>IF($F84&lt;$B$77,$E$77+$I$77*($F84-$A$77),IF($F84&lt;$C$77,$F$77+$J$77*($F84-$B$77),$G$77+$K$77*($F84-$C$77)))</f>
        <v/>
      </c>
      <c r="P84" s="208">
        <f>MIN(1,MAX(0,(nr_MEndPm1-$G84+0.5)/$C$76))-MIN(1,MAX(0,(nr_MStartPm1-1-$G84+0.5)/$C$76))</f>
        <v/>
      </c>
      <c r="Q84" s="208">
        <f>MIN(1,MAX(0,(nr_MEndP-$G84+0.5)/$C$76))-MIN(1,MAX(0,(nr_MStartP-1-$G84+0.5)/$C$76))</f>
        <v/>
      </c>
      <c r="R84" s="208">
        <f>MIN(1,MAX(0,(nr_MEndP1-$G84+0.5)/$C$76))-MIN(1,MAX(0,(nr_MStartP1-1-$G84+0.5)/$C$76))</f>
        <v/>
      </c>
      <c r="S84" s="208">
        <f>IF($L$76,$N84*IF($O$76=1,$O84/$F$76,1),"")</f>
        <v/>
      </c>
      <c r="T84" s="208">
        <f>IF(NOT($L$76),"",IF($G84&lt;nr_MStartP,$S84,$T72*(1+IF($G84&lt;nr_MStartP1,$M$76,$N$76))))</f>
        <v/>
      </c>
      <c r="U84" s="208">
        <f>IF($L$76,$T84,$N84)</f>
        <v/>
      </c>
    </row>
    <row r="85">
      <c r="A85" s="145" t="n">
        <v>7</v>
      </c>
      <c r="B85" s="204">
        <f>EDATE($B84,1)</f>
        <v/>
      </c>
      <c r="C85" s="205">
        <f>EOMONTH($B85,0)</f>
        <v/>
      </c>
      <c r="D85" s="201">
        <f>$C85-$B85+1</f>
        <v/>
      </c>
      <c r="E85" s="201">
        <f>MONTH($B85)</f>
        <v/>
      </c>
      <c r="F85" s="235">
        <f>($B85+$C85+1)/2</f>
        <v/>
      </c>
      <c r="G85" s="201">
        <f>YEAR($B85)*12+MONTH($B85)-1</f>
        <v/>
      </c>
      <c r="H85" s="207">
        <f>IF(OR(nr_SeasonOn="OFF",$D$76=0,$E$76=0),1,12*INDEX(se_block,$D$76,$E85)/$E$76)</f>
        <v/>
      </c>
      <c r="I85" s="208">
        <f>EXP(SUMPRODUCT((rl_eff&lt;$B85)*(rl_key=$A$76)*rl_ln1p))</f>
        <v/>
      </c>
      <c r="J85" s="208">
        <f>EXP(SUMPRODUCT((rl_eff&lt;=$C85)*(rl_key=$A$76)*rl_ln1p))</f>
        <v/>
      </c>
      <c r="K85" s="201">
        <f>COUNTIFS(rl_key,$A$76,rl_eff,"&gt;="&amp;$B85,rl_eff,"&lt;="&amp;$C85)</f>
        <v/>
      </c>
      <c r="L85" s="201">
        <f>SUMIFS(rl_daysafter,rl_key,$A$76,rl_effmonth,$B85,rl_first,1)</f>
        <v/>
      </c>
      <c r="M85" s="209">
        <f>IF($K85=0,0,MIN(1,$L85/$D85))</f>
        <v/>
      </c>
      <c r="N85" s="208">
        <f>IF($K85=0,$J85,(1-$M85)*$I85+$M85*$J85)</f>
        <v/>
      </c>
      <c r="O85" s="209">
        <f>IF($F85&lt;$B$77,$E$77+$I$77*($F85-$A$77),IF($F85&lt;$C$77,$F$77+$J$77*($F85-$B$77),$G$77+$K$77*($F85-$C$77)))</f>
        <v/>
      </c>
      <c r="P85" s="208">
        <f>MIN(1,MAX(0,(nr_MEndPm1-$G85+0.5)/$C$76))-MIN(1,MAX(0,(nr_MStartPm1-1-$G85+0.5)/$C$76))</f>
        <v/>
      </c>
      <c r="Q85" s="208">
        <f>MIN(1,MAX(0,(nr_MEndP-$G85+0.5)/$C$76))-MIN(1,MAX(0,(nr_MStartP-1-$G85+0.5)/$C$76))</f>
        <v/>
      </c>
      <c r="R85" s="208">
        <f>MIN(1,MAX(0,(nr_MEndP1-$G85+0.5)/$C$76))-MIN(1,MAX(0,(nr_MStartP1-1-$G85+0.5)/$C$76))</f>
        <v/>
      </c>
      <c r="S85" s="208">
        <f>IF($L$76,$N85*IF($O$76=1,$O85/$F$76,1),"")</f>
        <v/>
      </c>
      <c r="T85" s="208">
        <f>IF(NOT($L$76),"",IF($G85&lt;nr_MStartP,$S85,$T73*(1+IF($G85&lt;nr_MStartP1,$M$76,$N$76))))</f>
        <v/>
      </c>
      <c r="U85" s="208">
        <f>IF($L$76,$T85,$N85)</f>
        <v/>
      </c>
    </row>
    <row r="86">
      <c r="A86" s="145" t="n">
        <v>8</v>
      </c>
      <c r="B86" s="204">
        <f>EDATE($B85,1)</f>
        <v/>
      </c>
      <c r="C86" s="205">
        <f>EOMONTH($B86,0)</f>
        <v/>
      </c>
      <c r="D86" s="201">
        <f>$C86-$B86+1</f>
        <v/>
      </c>
      <c r="E86" s="201">
        <f>MONTH($B86)</f>
        <v/>
      </c>
      <c r="F86" s="235">
        <f>($B86+$C86+1)/2</f>
        <v/>
      </c>
      <c r="G86" s="201">
        <f>YEAR($B86)*12+MONTH($B86)-1</f>
        <v/>
      </c>
      <c r="H86" s="207">
        <f>IF(OR(nr_SeasonOn="OFF",$D$76=0,$E$76=0),1,12*INDEX(se_block,$D$76,$E86)/$E$76)</f>
        <v/>
      </c>
      <c r="I86" s="208">
        <f>EXP(SUMPRODUCT((rl_eff&lt;$B86)*(rl_key=$A$76)*rl_ln1p))</f>
        <v/>
      </c>
      <c r="J86" s="208">
        <f>EXP(SUMPRODUCT((rl_eff&lt;=$C86)*(rl_key=$A$76)*rl_ln1p))</f>
        <v/>
      </c>
      <c r="K86" s="201">
        <f>COUNTIFS(rl_key,$A$76,rl_eff,"&gt;="&amp;$B86,rl_eff,"&lt;="&amp;$C86)</f>
        <v/>
      </c>
      <c r="L86" s="201">
        <f>SUMIFS(rl_daysafter,rl_key,$A$76,rl_effmonth,$B86,rl_first,1)</f>
        <v/>
      </c>
      <c r="M86" s="209">
        <f>IF($K86=0,0,MIN(1,$L86/$D86))</f>
        <v/>
      </c>
      <c r="N86" s="208">
        <f>IF($K86=0,$J86,(1-$M86)*$I86+$M86*$J86)</f>
        <v/>
      </c>
      <c r="O86" s="209">
        <f>IF($F86&lt;$B$77,$E$77+$I$77*($F86-$A$77),IF($F86&lt;$C$77,$F$77+$J$77*($F86-$B$77),$G$77+$K$77*($F86-$C$77)))</f>
        <v/>
      </c>
      <c r="P86" s="208">
        <f>MIN(1,MAX(0,(nr_MEndPm1-$G86+0.5)/$C$76))-MIN(1,MAX(0,(nr_MStartPm1-1-$G86+0.5)/$C$76))</f>
        <v/>
      </c>
      <c r="Q86" s="208">
        <f>MIN(1,MAX(0,(nr_MEndP-$G86+0.5)/$C$76))-MIN(1,MAX(0,(nr_MStartP-1-$G86+0.5)/$C$76))</f>
        <v/>
      </c>
      <c r="R86" s="208">
        <f>MIN(1,MAX(0,(nr_MEndP1-$G86+0.5)/$C$76))-MIN(1,MAX(0,(nr_MStartP1-1-$G86+0.5)/$C$76))</f>
        <v/>
      </c>
      <c r="S86" s="208">
        <f>IF($L$76,$N86*IF($O$76=1,$O86/$F$76,1),"")</f>
        <v/>
      </c>
      <c r="T86" s="208">
        <f>IF(NOT($L$76),"",IF($G86&lt;nr_MStartP,$S86,$T74*(1+IF($G86&lt;nr_MStartP1,$M$76,$N$76))))</f>
        <v/>
      </c>
      <c r="U86" s="208">
        <f>IF($L$76,$T86,$N86)</f>
        <v/>
      </c>
    </row>
    <row r="87">
      <c r="A87" s="145" t="n">
        <v>9</v>
      </c>
      <c r="B87" s="204">
        <f>EDATE($B86,1)</f>
        <v/>
      </c>
      <c r="C87" s="205">
        <f>EOMONTH($B87,0)</f>
        <v/>
      </c>
      <c r="D87" s="201">
        <f>$C87-$B87+1</f>
        <v/>
      </c>
      <c r="E87" s="201">
        <f>MONTH($B87)</f>
        <v/>
      </c>
      <c r="F87" s="235">
        <f>($B87+$C87+1)/2</f>
        <v/>
      </c>
      <c r="G87" s="201">
        <f>YEAR($B87)*12+MONTH($B87)-1</f>
        <v/>
      </c>
      <c r="H87" s="207">
        <f>IF(OR(nr_SeasonOn="OFF",$D$76=0,$E$76=0),1,12*INDEX(se_block,$D$76,$E87)/$E$76)</f>
        <v/>
      </c>
      <c r="I87" s="208">
        <f>EXP(SUMPRODUCT((rl_eff&lt;$B87)*(rl_key=$A$76)*rl_ln1p))</f>
        <v/>
      </c>
      <c r="J87" s="208">
        <f>EXP(SUMPRODUCT((rl_eff&lt;=$C87)*(rl_key=$A$76)*rl_ln1p))</f>
        <v/>
      </c>
      <c r="K87" s="201">
        <f>COUNTIFS(rl_key,$A$76,rl_eff,"&gt;="&amp;$B87,rl_eff,"&lt;="&amp;$C87)</f>
        <v/>
      </c>
      <c r="L87" s="201">
        <f>SUMIFS(rl_daysafter,rl_key,$A$76,rl_effmonth,$B87,rl_first,1)</f>
        <v/>
      </c>
      <c r="M87" s="209">
        <f>IF($K87=0,0,MIN(1,$L87/$D87))</f>
        <v/>
      </c>
      <c r="N87" s="208">
        <f>IF($K87=0,$J87,(1-$M87)*$I87+$M87*$J87)</f>
        <v/>
      </c>
      <c r="O87" s="209">
        <f>IF($F87&lt;$B$77,$E$77+$I$77*($F87-$A$77),IF($F87&lt;$C$77,$F$77+$J$77*($F87-$B$77),$G$77+$K$77*($F87-$C$77)))</f>
        <v/>
      </c>
      <c r="P87" s="208">
        <f>MIN(1,MAX(0,(nr_MEndPm1-$G87+0.5)/$C$76))-MIN(1,MAX(0,(nr_MStartPm1-1-$G87+0.5)/$C$76))</f>
        <v/>
      </c>
      <c r="Q87" s="208">
        <f>MIN(1,MAX(0,(nr_MEndP-$G87+0.5)/$C$76))-MIN(1,MAX(0,(nr_MStartP-1-$G87+0.5)/$C$76))</f>
        <v/>
      </c>
      <c r="R87" s="208">
        <f>MIN(1,MAX(0,(nr_MEndP1-$G87+0.5)/$C$76))-MIN(1,MAX(0,(nr_MStartP1-1-$G87+0.5)/$C$76))</f>
        <v/>
      </c>
      <c r="S87" s="208">
        <f>IF($L$76,$N87*IF($O$76=1,$O87/$F$76,1),"")</f>
        <v/>
      </c>
      <c r="T87" s="208">
        <f>IF(NOT($L$76),"",IF($G87&lt;nr_MStartP,$S87,$T75*(1+IF($G87&lt;nr_MStartP1,$M$76,$N$76))))</f>
        <v/>
      </c>
      <c r="U87" s="208">
        <f>IF($L$76,$T87,$N87)</f>
        <v/>
      </c>
    </row>
    <row r="88">
      <c r="A88" s="145" t="n">
        <v>10</v>
      </c>
      <c r="B88" s="204">
        <f>EDATE($B87,1)</f>
        <v/>
      </c>
      <c r="C88" s="205">
        <f>EOMONTH($B88,0)</f>
        <v/>
      </c>
      <c r="D88" s="201">
        <f>$C88-$B88+1</f>
        <v/>
      </c>
      <c r="E88" s="201">
        <f>MONTH($B88)</f>
        <v/>
      </c>
      <c r="F88" s="235">
        <f>($B88+$C88+1)/2</f>
        <v/>
      </c>
      <c r="G88" s="201">
        <f>YEAR($B88)*12+MONTH($B88)-1</f>
        <v/>
      </c>
      <c r="H88" s="207">
        <f>IF(OR(nr_SeasonOn="OFF",$D$76=0,$E$76=0),1,12*INDEX(se_block,$D$76,$E88)/$E$76)</f>
        <v/>
      </c>
      <c r="I88" s="208">
        <f>EXP(SUMPRODUCT((rl_eff&lt;$B88)*(rl_key=$A$76)*rl_ln1p))</f>
        <v/>
      </c>
      <c r="J88" s="208">
        <f>EXP(SUMPRODUCT((rl_eff&lt;=$C88)*(rl_key=$A$76)*rl_ln1p))</f>
        <v/>
      </c>
      <c r="K88" s="201">
        <f>COUNTIFS(rl_key,$A$76,rl_eff,"&gt;="&amp;$B88,rl_eff,"&lt;="&amp;$C88)</f>
        <v/>
      </c>
      <c r="L88" s="201">
        <f>SUMIFS(rl_daysafter,rl_key,$A$76,rl_effmonth,$B88,rl_first,1)</f>
        <v/>
      </c>
      <c r="M88" s="209">
        <f>IF($K88=0,0,MIN(1,$L88/$D88))</f>
        <v/>
      </c>
      <c r="N88" s="208">
        <f>IF($K88=0,$J88,(1-$M88)*$I88+$M88*$J88)</f>
        <v/>
      </c>
      <c r="O88" s="209">
        <f>IF($F88&lt;$B$77,$E$77+$I$77*($F88-$A$77),IF($F88&lt;$C$77,$F$77+$J$77*($F88-$B$77),$G$77+$K$77*($F88-$C$77)))</f>
        <v/>
      </c>
      <c r="P88" s="208">
        <f>MIN(1,MAX(0,(nr_MEndPm1-$G88+0.5)/$C$76))-MIN(1,MAX(0,(nr_MStartPm1-1-$G88+0.5)/$C$76))</f>
        <v/>
      </c>
      <c r="Q88" s="208">
        <f>MIN(1,MAX(0,(nr_MEndP-$G88+0.5)/$C$76))-MIN(1,MAX(0,(nr_MStartP-1-$G88+0.5)/$C$76))</f>
        <v/>
      </c>
      <c r="R88" s="208">
        <f>MIN(1,MAX(0,(nr_MEndP1-$G88+0.5)/$C$76))-MIN(1,MAX(0,(nr_MStartP1-1-$G88+0.5)/$C$76))</f>
        <v/>
      </c>
      <c r="S88" s="208">
        <f>IF($L$76,$N88*IF($O$76=1,$O88/$F$76,1),"")</f>
        <v/>
      </c>
      <c r="T88" s="208">
        <f>IF(NOT($L$76),"",IF($G88&lt;nr_MStartP,$S88,$T76*(1+IF($G88&lt;nr_MStartP1,$M$76,$N$76))))</f>
        <v/>
      </c>
      <c r="U88" s="208">
        <f>IF($L$76,$T88,$N88)</f>
        <v/>
      </c>
    </row>
    <row r="89">
      <c r="A89" s="145" t="n">
        <v>11</v>
      </c>
      <c r="B89" s="204">
        <f>EDATE($B88,1)</f>
        <v/>
      </c>
      <c r="C89" s="205">
        <f>EOMONTH($B89,0)</f>
        <v/>
      </c>
      <c r="D89" s="201">
        <f>$C89-$B89+1</f>
        <v/>
      </c>
      <c r="E89" s="201">
        <f>MONTH($B89)</f>
        <v/>
      </c>
      <c r="F89" s="235">
        <f>($B89+$C89+1)/2</f>
        <v/>
      </c>
      <c r="G89" s="201">
        <f>YEAR($B89)*12+MONTH($B89)-1</f>
        <v/>
      </c>
      <c r="H89" s="207">
        <f>IF(OR(nr_SeasonOn="OFF",$D$76=0,$E$76=0),1,12*INDEX(se_block,$D$76,$E89)/$E$76)</f>
        <v/>
      </c>
      <c r="I89" s="208">
        <f>EXP(SUMPRODUCT((rl_eff&lt;$B89)*(rl_key=$A$76)*rl_ln1p))</f>
        <v/>
      </c>
      <c r="J89" s="208">
        <f>EXP(SUMPRODUCT((rl_eff&lt;=$C89)*(rl_key=$A$76)*rl_ln1p))</f>
        <v/>
      </c>
      <c r="K89" s="201">
        <f>COUNTIFS(rl_key,$A$76,rl_eff,"&gt;="&amp;$B89,rl_eff,"&lt;="&amp;$C89)</f>
        <v/>
      </c>
      <c r="L89" s="201">
        <f>SUMIFS(rl_daysafter,rl_key,$A$76,rl_effmonth,$B89,rl_first,1)</f>
        <v/>
      </c>
      <c r="M89" s="209">
        <f>IF($K89=0,0,MIN(1,$L89/$D89))</f>
        <v/>
      </c>
      <c r="N89" s="208">
        <f>IF($K89=0,$J89,(1-$M89)*$I89+$M89*$J89)</f>
        <v/>
      </c>
      <c r="O89" s="209">
        <f>IF($F89&lt;$B$77,$E$77+$I$77*($F89-$A$77),IF($F89&lt;$C$77,$F$77+$J$77*($F89-$B$77),$G$77+$K$77*($F89-$C$77)))</f>
        <v/>
      </c>
      <c r="P89" s="208">
        <f>MIN(1,MAX(0,(nr_MEndPm1-$G89+0.5)/$C$76))-MIN(1,MAX(0,(nr_MStartPm1-1-$G89+0.5)/$C$76))</f>
        <v/>
      </c>
      <c r="Q89" s="208">
        <f>MIN(1,MAX(0,(nr_MEndP-$G89+0.5)/$C$76))-MIN(1,MAX(0,(nr_MStartP-1-$G89+0.5)/$C$76))</f>
        <v/>
      </c>
      <c r="R89" s="208">
        <f>MIN(1,MAX(0,(nr_MEndP1-$G89+0.5)/$C$76))-MIN(1,MAX(0,(nr_MStartP1-1-$G89+0.5)/$C$76))</f>
        <v/>
      </c>
      <c r="S89" s="208">
        <f>IF($L$76,$N89*IF($O$76=1,$O89/$F$76,1),"")</f>
        <v/>
      </c>
      <c r="T89" s="208">
        <f>IF(NOT($L$76),"",IF($G89&lt;nr_MStartP,$S89,$T77*(1+IF($G89&lt;nr_MStartP1,$M$76,$N$76))))</f>
        <v/>
      </c>
      <c r="U89" s="208">
        <f>IF($L$76,$T89,$N89)</f>
        <v/>
      </c>
    </row>
    <row r="90">
      <c r="A90" s="145" t="n">
        <v>12</v>
      </c>
      <c r="B90" s="204">
        <f>EDATE($B89,1)</f>
        <v/>
      </c>
      <c r="C90" s="205">
        <f>EOMONTH($B90,0)</f>
        <v/>
      </c>
      <c r="D90" s="201">
        <f>$C90-$B90+1</f>
        <v/>
      </c>
      <c r="E90" s="201">
        <f>MONTH($B90)</f>
        <v/>
      </c>
      <c r="F90" s="235">
        <f>($B90+$C90+1)/2</f>
        <v/>
      </c>
      <c r="G90" s="201">
        <f>YEAR($B90)*12+MONTH($B90)-1</f>
        <v/>
      </c>
      <c r="H90" s="207">
        <f>IF(OR(nr_SeasonOn="OFF",$D$76=0,$E$76=0),1,12*INDEX(se_block,$D$76,$E90)/$E$76)</f>
        <v/>
      </c>
      <c r="I90" s="208">
        <f>EXP(SUMPRODUCT((rl_eff&lt;$B90)*(rl_key=$A$76)*rl_ln1p))</f>
        <v/>
      </c>
      <c r="J90" s="208">
        <f>EXP(SUMPRODUCT((rl_eff&lt;=$C90)*(rl_key=$A$76)*rl_ln1p))</f>
        <v/>
      </c>
      <c r="K90" s="201">
        <f>COUNTIFS(rl_key,$A$76,rl_eff,"&gt;="&amp;$B90,rl_eff,"&lt;="&amp;$C90)</f>
        <v/>
      </c>
      <c r="L90" s="201">
        <f>SUMIFS(rl_daysafter,rl_key,$A$76,rl_effmonth,$B90,rl_first,1)</f>
        <v/>
      </c>
      <c r="M90" s="209">
        <f>IF($K90=0,0,MIN(1,$L90/$D90))</f>
        <v/>
      </c>
      <c r="N90" s="208">
        <f>IF($K90=0,$J90,(1-$M90)*$I90+$M90*$J90)</f>
        <v/>
      </c>
      <c r="O90" s="209">
        <f>IF($F90&lt;$B$77,$E$77+$I$77*($F90-$A$77),IF($F90&lt;$C$77,$F$77+$J$77*($F90-$B$77),$G$77+$K$77*($F90-$C$77)))</f>
        <v/>
      </c>
      <c r="P90" s="208">
        <f>MIN(1,MAX(0,(nr_MEndPm1-$G90+0.5)/$C$76))-MIN(1,MAX(0,(nr_MStartPm1-1-$G90+0.5)/$C$76))</f>
        <v/>
      </c>
      <c r="Q90" s="208">
        <f>MIN(1,MAX(0,(nr_MEndP-$G90+0.5)/$C$76))-MIN(1,MAX(0,(nr_MStartP-1-$G90+0.5)/$C$76))</f>
        <v/>
      </c>
      <c r="R90" s="208">
        <f>MIN(1,MAX(0,(nr_MEndP1-$G90+0.5)/$C$76))-MIN(1,MAX(0,(nr_MStartP1-1-$G90+0.5)/$C$76))</f>
        <v/>
      </c>
      <c r="S90" s="208">
        <f>IF($L$76,$N90*IF($O$76=1,$O90/$F$76,1),"")</f>
        <v/>
      </c>
      <c r="T90" s="208">
        <f>IF(NOT($L$76),"",IF($G90&lt;nr_MStartP,$S90,$T78*(1+IF($G90&lt;nr_MStartP1,$M$76,$N$76))))</f>
        <v/>
      </c>
      <c r="U90" s="208">
        <f>IF($L$76,$T90,$N90)</f>
        <v/>
      </c>
    </row>
    <row r="91">
      <c r="A91" s="145" t="n">
        <v>13</v>
      </c>
      <c r="B91" s="204">
        <f>EDATE($B90,1)</f>
        <v/>
      </c>
      <c r="C91" s="205">
        <f>EOMONTH($B91,0)</f>
        <v/>
      </c>
      <c r="D91" s="201">
        <f>$C91-$B91+1</f>
        <v/>
      </c>
      <c r="E91" s="201">
        <f>MONTH($B91)</f>
        <v/>
      </c>
      <c r="F91" s="235">
        <f>($B91+$C91+1)/2</f>
        <v/>
      </c>
      <c r="G91" s="201">
        <f>YEAR($B91)*12+MONTH($B91)-1</f>
        <v/>
      </c>
      <c r="H91" s="207">
        <f>IF(OR(nr_SeasonOn="OFF",$D$76=0,$E$76=0),1,12*INDEX(se_block,$D$76,$E91)/$E$76)</f>
        <v/>
      </c>
      <c r="I91" s="208">
        <f>EXP(SUMPRODUCT((rl_eff&lt;$B91)*(rl_key=$A$76)*rl_ln1p))</f>
        <v/>
      </c>
      <c r="J91" s="208">
        <f>EXP(SUMPRODUCT((rl_eff&lt;=$C91)*(rl_key=$A$76)*rl_ln1p))</f>
        <v/>
      </c>
      <c r="K91" s="201">
        <f>COUNTIFS(rl_key,$A$76,rl_eff,"&gt;="&amp;$B91,rl_eff,"&lt;="&amp;$C91)</f>
        <v/>
      </c>
      <c r="L91" s="201">
        <f>SUMIFS(rl_daysafter,rl_key,$A$76,rl_effmonth,$B91,rl_first,1)</f>
        <v/>
      </c>
      <c r="M91" s="209">
        <f>IF($K91=0,0,MIN(1,$L91/$D91))</f>
        <v/>
      </c>
      <c r="N91" s="208">
        <f>IF($K91=0,$J91,(1-$M91)*$I91+$M91*$J91)</f>
        <v/>
      </c>
      <c r="O91" s="209">
        <f>IF($F91&lt;$B$77,$E$77+$I$77*($F91-$A$77),IF($F91&lt;$C$77,$F$77+$J$77*($F91-$B$77),$G$77+$K$77*($F91-$C$77)))</f>
        <v/>
      </c>
      <c r="P91" s="208">
        <f>MIN(1,MAX(0,(nr_MEndPm1-$G91+0.5)/$C$76))-MIN(1,MAX(0,(nr_MStartPm1-1-$G91+0.5)/$C$76))</f>
        <v/>
      </c>
      <c r="Q91" s="208">
        <f>MIN(1,MAX(0,(nr_MEndP-$G91+0.5)/$C$76))-MIN(1,MAX(0,(nr_MStartP-1-$G91+0.5)/$C$76))</f>
        <v/>
      </c>
      <c r="R91" s="208">
        <f>MIN(1,MAX(0,(nr_MEndP1-$G91+0.5)/$C$76))-MIN(1,MAX(0,(nr_MStartP1-1-$G91+0.5)/$C$76))</f>
        <v/>
      </c>
      <c r="S91" s="208">
        <f>IF($L$76,$N91*IF($O$76=1,$O91/$F$76,1),"")</f>
        <v/>
      </c>
      <c r="T91" s="208">
        <f>IF(NOT($L$76),"",IF($G91&lt;nr_MStartP,$S91,$T79*(1+IF($G91&lt;nr_MStartP1,$M$76,$N$76))))</f>
        <v/>
      </c>
      <c r="U91" s="208">
        <f>IF($L$76,$T91,$N91)</f>
        <v/>
      </c>
    </row>
    <row r="92">
      <c r="A92" s="145" t="n">
        <v>14</v>
      </c>
      <c r="B92" s="204">
        <f>EDATE($B91,1)</f>
        <v/>
      </c>
      <c r="C92" s="205">
        <f>EOMONTH($B92,0)</f>
        <v/>
      </c>
      <c r="D92" s="201">
        <f>$C92-$B92+1</f>
        <v/>
      </c>
      <c r="E92" s="201">
        <f>MONTH($B92)</f>
        <v/>
      </c>
      <c r="F92" s="235">
        <f>($B92+$C92+1)/2</f>
        <v/>
      </c>
      <c r="G92" s="201">
        <f>YEAR($B92)*12+MONTH($B92)-1</f>
        <v/>
      </c>
      <c r="H92" s="207">
        <f>IF(OR(nr_SeasonOn="OFF",$D$76=0,$E$76=0),1,12*INDEX(se_block,$D$76,$E92)/$E$76)</f>
        <v/>
      </c>
      <c r="I92" s="208">
        <f>EXP(SUMPRODUCT((rl_eff&lt;$B92)*(rl_key=$A$76)*rl_ln1p))</f>
        <v/>
      </c>
      <c r="J92" s="208">
        <f>EXP(SUMPRODUCT((rl_eff&lt;=$C92)*(rl_key=$A$76)*rl_ln1p))</f>
        <v/>
      </c>
      <c r="K92" s="201">
        <f>COUNTIFS(rl_key,$A$76,rl_eff,"&gt;="&amp;$B92,rl_eff,"&lt;="&amp;$C92)</f>
        <v/>
      </c>
      <c r="L92" s="201">
        <f>SUMIFS(rl_daysafter,rl_key,$A$76,rl_effmonth,$B92,rl_first,1)</f>
        <v/>
      </c>
      <c r="M92" s="209">
        <f>IF($K92=0,0,MIN(1,$L92/$D92))</f>
        <v/>
      </c>
      <c r="N92" s="208">
        <f>IF($K92=0,$J92,(1-$M92)*$I92+$M92*$J92)</f>
        <v/>
      </c>
      <c r="O92" s="209">
        <f>IF($F92&lt;$B$77,$E$77+$I$77*($F92-$A$77),IF($F92&lt;$C$77,$F$77+$J$77*($F92-$B$77),$G$77+$K$77*($F92-$C$77)))</f>
        <v/>
      </c>
      <c r="P92" s="208">
        <f>MIN(1,MAX(0,(nr_MEndPm1-$G92+0.5)/$C$76))-MIN(1,MAX(0,(nr_MStartPm1-1-$G92+0.5)/$C$76))</f>
        <v/>
      </c>
      <c r="Q92" s="208">
        <f>MIN(1,MAX(0,(nr_MEndP-$G92+0.5)/$C$76))-MIN(1,MAX(0,(nr_MStartP-1-$G92+0.5)/$C$76))</f>
        <v/>
      </c>
      <c r="R92" s="208">
        <f>MIN(1,MAX(0,(nr_MEndP1-$G92+0.5)/$C$76))-MIN(1,MAX(0,(nr_MStartP1-1-$G92+0.5)/$C$76))</f>
        <v/>
      </c>
      <c r="S92" s="208">
        <f>IF($L$76,$N92*IF($O$76=1,$O92/$F$76,1),"")</f>
        <v/>
      </c>
      <c r="T92" s="208">
        <f>IF(NOT($L$76),"",IF($G92&lt;nr_MStartP,$S92,$T80*(1+IF($G92&lt;nr_MStartP1,$M$76,$N$76))))</f>
        <v/>
      </c>
      <c r="U92" s="208">
        <f>IF($L$76,$T92,$N92)</f>
        <v/>
      </c>
    </row>
    <row r="93">
      <c r="A93" s="145" t="n">
        <v>15</v>
      </c>
      <c r="B93" s="204">
        <f>EDATE($B92,1)</f>
        <v/>
      </c>
      <c r="C93" s="205">
        <f>EOMONTH($B93,0)</f>
        <v/>
      </c>
      <c r="D93" s="201">
        <f>$C93-$B93+1</f>
        <v/>
      </c>
      <c r="E93" s="201">
        <f>MONTH($B93)</f>
        <v/>
      </c>
      <c r="F93" s="235">
        <f>($B93+$C93+1)/2</f>
        <v/>
      </c>
      <c r="G93" s="201">
        <f>YEAR($B93)*12+MONTH($B93)-1</f>
        <v/>
      </c>
      <c r="H93" s="207">
        <f>IF(OR(nr_SeasonOn="OFF",$D$76=0,$E$76=0),1,12*INDEX(se_block,$D$76,$E93)/$E$76)</f>
        <v/>
      </c>
      <c r="I93" s="208">
        <f>EXP(SUMPRODUCT((rl_eff&lt;$B93)*(rl_key=$A$76)*rl_ln1p))</f>
        <v/>
      </c>
      <c r="J93" s="208">
        <f>EXP(SUMPRODUCT((rl_eff&lt;=$C93)*(rl_key=$A$76)*rl_ln1p))</f>
        <v/>
      </c>
      <c r="K93" s="201">
        <f>COUNTIFS(rl_key,$A$76,rl_eff,"&gt;="&amp;$B93,rl_eff,"&lt;="&amp;$C93)</f>
        <v/>
      </c>
      <c r="L93" s="201">
        <f>SUMIFS(rl_daysafter,rl_key,$A$76,rl_effmonth,$B93,rl_first,1)</f>
        <v/>
      </c>
      <c r="M93" s="209">
        <f>IF($K93=0,0,MIN(1,$L93/$D93))</f>
        <v/>
      </c>
      <c r="N93" s="208">
        <f>IF($K93=0,$J93,(1-$M93)*$I93+$M93*$J93)</f>
        <v/>
      </c>
      <c r="O93" s="209">
        <f>IF($F93&lt;$B$77,$E$77+$I$77*($F93-$A$77),IF($F93&lt;$C$77,$F$77+$J$77*($F93-$B$77),$G$77+$K$77*($F93-$C$77)))</f>
        <v/>
      </c>
      <c r="P93" s="208">
        <f>MIN(1,MAX(0,(nr_MEndPm1-$G93+0.5)/$C$76))-MIN(1,MAX(0,(nr_MStartPm1-1-$G93+0.5)/$C$76))</f>
        <v/>
      </c>
      <c r="Q93" s="208">
        <f>MIN(1,MAX(0,(nr_MEndP-$G93+0.5)/$C$76))-MIN(1,MAX(0,(nr_MStartP-1-$G93+0.5)/$C$76))</f>
        <v/>
      </c>
      <c r="R93" s="208">
        <f>MIN(1,MAX(0,(nr_MEndP1-$G93+0.5)/$C$76))-MIN(1,MAX(0,(nr_MStartP1-1-$G93+0.5)/$C$76))</f>
        <v/>
      </c>
      <c r="S93" s="208">
        <f>IF($L$76,$N93*IF($O$76=1,$O93/$F$76,1),"")</f>
        <v/>
      </c>
      <c r="T93" s="208">
        <f>IF(NOT($L$76),"",IF($G93&lt;nr_MStartP,$S93,$T81*(1+IF($G93&lt;nr_MStartP1,$M$76,$N$76))))</f>
        <v/>
      </c>
      <c r="U93" s="208">
        <f>IF($L$76,$T93,$N93)</f>
        <v/>
      </c>
    </row>
    <row r="94">
      <c r="A94" s="145" t="n">
        <v>16</v>
      </c>
      <c r="B94" s="204">
        <f>EDATE($B93,1)</f>
        <v/>
      </c>
      <c r="C94" s="205">
        <f>EOMONTH($B94,0)</f>
        <v/>
      </c>
      <c r="D94" s="201">
        <f>$C94-$B94+1</f>
        <v/>
      </c>
      <c r="E94" s="201">
        <f>MONTH($B94)</f>
        <v/>
      </c>
      <c r="F94" s="235">
        <f>($B94+$C94+1)/2</f>
        <v/>
      </c>
      <c r="G94" s="201">
        <f>YEAR($B94)*12+MONTH($B94)-1</f>
        <v/>
      </c>
      <c r="H94" s="207">
        <f>IF(OR(nr_SeasonOn="OFF",$D$76=0,$E$76=0),1,12*INDEX(se_block,$D$76,$E94)/$E$76)</f>
        <v/>
      </c>
      <c r="I94" s="208">
        <f>EXP(SUMPRODUCT((rl_eff&lt;$B94)*(rl_key=$A$76)*rl_ln1p))</f>
        <v/>
      </c>
      <c r="J94" s="208">
        <f>EXP(SUMPRODUCT((rl_eff&lt;=$C94)*(rl_key=$A$76)*rl_ln1p))</f>
        <v/>
      </c>
      <c r="K94" s="201">
        <f>COUNTIFS(rl_key,$A$76,rl_eff,"&gt;="&amp;$B94,rl_eff,"&lt;="&amp;$C94)</f>
        <v/>
      </c>
      <c r="L94" s="201">
        <f>SUMIFS(rl_daysafter,rl_key,$A$76,rl_effmonth,$B94,rl_first,1)</f>
        <v/>
      </c>
      <c r="M94" s="209">
        <f>IF($K94=0,0,MIN(1,$L94/$D94))</f>
        <v/>
      </c>
      <c r="N94" s="208">
        <f>IF($K94=0,$J94,(1-$M94)*$I94+$M94*$J94)</f>
        <v/>
      </c>
      <c r="O94" s="209">
        <f>IF($F94&lt;$B$77,$E$77+$I$77*($F94-$A$77),IF($F94&lt;$C$77,$F$77+$J$77*($F94-$B$77),$G$77+$K$77*($F94-$C$77)))</f>
        <v/>
      </c>
      <c r="P94" s="208">
        <f>MIN(1,MAX(0,(nr_MEndPm1-$G94+0.5)/$C$76))-MIN(1,MAX(0,(nr_MStartPm1-1-$G94+0.5)/$C$76))</f>
        <v/>
      </c>
      <c r="Q94" s="208">
        <f>MIN(1,MAX(0,(nr_MEndP-$G94+0.5)/$C$76))-MIN(1,MAX(0,(nr_MStartP-1-$G94+0.5)/$C$76))</f>
        <v/>
      </c>
      <c r="R94" s="208">
        <f>MIN(1,MAX(0,(nr_MEndP1-$G94+0.5)/$C$76))-MIN(1,MAX(0,(nr_MStartP1-1-$G94+0.5)/$C$76))</f>
        <v/>
      </c>
      <c r="S94" s="208">
        <f>IF($L$76,$N94*IF($O$76=1,$O94/$F$76,1),"")</f>
        <v/>
      </c>
      <c r="T94" s="208">
        <f>IF(NOT($L$76),"",IF($G94&lt;nr_MStartP,$S94,$T82*(1+IF($G94&lt;nr_MStartP1,$M$76,$N$76))))</f>
        <v/>
      </c>
      <c r="U94" s="208">
        <f>IF($L$76,$T94,$N94)</f>
        <v/>
      </c>
    </row>
    <row r="95">
      <c r="A95" s="145" t="n">
        <v>17</v>
      </c>
      <c r="B95" s="204">
        <f>EDATE($B94,1)</f>
        <v/>
      </c>
      <c r="C95" s="205">
        <f>EOMONTH($B95,0)</f>
        <v/>
      </c>
      <c r="D95" s="201">
        <f>$C95-$B95+1</f>
        <v/>
      </c>
      <c r="E95" s="201">
        <f>MONTH($B95)</f>
        <v/>
      </c>
      <c r="F95" s="235">
        <f>($B95+$C95+1)/2</f>
        <v/>
      </c>
      <c r="G95" s="201">
        <f>YEAR($B95)*12+MONTH($B95)-1</f>
        <v/>
      </c>
      <c r="H95" s="207">
        <f>IF(OR(nr_SeasonOn="OFF",$D$76=0,$E$76=0),1,12*INDEX(se_block,$D$76,$E95)/$E$76)</f>
        <v/>
      </c>
      <c r="I95" s="208">
        <f>EXP(SUMPRODUCT((rl_eff&lt;$B95)*(rl_key=$A$76)*rl_ln1p))</f>
        <v/>
      </c>
      <c r="J95" s="208">
        <f>EXP(SUMPRODUCT((rl_eff&lt;=$C95)*(rl_key=$A$76)*rl_ln1p))</f>
        <v/>
      </c>
      <c r="K95" s="201">
        <f>COUNTIFS(rl_key,$A$76,rl_eff,"&gt;="&amp;$B95,rl_eff,"&lt;="&amp;$C95)</f>
        <v/>
      </c>
      <c r="L95" s="201">
        <f>SUMIFS(rl_daysafter,rl_key,$A$76,rl_effmonth,$B95,rl_first,1)</f>
        <v/>
      </c>
      <c r="M95" s="209">
        <f>IF($K95=0,0,MIN(1,$L95/$D95))</f>
        <v/>
      </c>
      <c r="N95" s="208">
        <f>IF($K95=0,$J95,(1-$M95)*$I95+$M95*$J95)</f>
        <v/>
      </c>
      <c r="O95" s="209">
        <f>IF($F95&lt;$B$77,$E$77+$I$77*($F95-$A$77),IF($F95&lt;$C$77,$F$77+$J$77*($F95-$B$77),$G$77+$K$77*($F95-$C$77)))</f>
        <v/>
      </c>
      <c r="P95" s="208">
        <f>MIN(1,MAX(0,(nr_MEndPm1-$G95+0.5)/$C$76))-MIN(1,MAX(0,(nr_MStartPm1-1-$G95+0.5)/$C$76))</f>
        <v/>
      </c>
      <c r="Q95" s="208">
        <f>MIN(1,MAX(0,(nr_MEndP-$G95+0.5)/$C$76))-MIN(1,MAX(0,(nr_MStartP-1-$G95+0.5)/$C$76))</f>
        <v/>
      </c>
      <c r="R95" s="208">
        <f>MIN(1,MAX(0,(nr_MEndP1-$G95+0.5)/$C$76))-MIN(1,MAX(0,(nr_MStartP1-1-$G95+0.5)/$C$76))</f>
        <v/>
      </c>
      <c r="S95" s="208">
        <f>IF($L$76,$N95*IF($O$76=1,$O95/$F$76,1),"")</f>
        <v/>
      </c>
      <c r="T95" s="208">
        <f>IF(NOT($L$76),"",IF($G95&lt;nr_MStartP,$S95,$T83*(1+IF($G95&lt;nr_MStartP1,$M$76,$N$76))))</f>
        <v/>
      </c>
      <c r="U95" s="208">
        <f>IF($L$76,$T95,$N95)</f>
        <v/>
      </c>
    </row>
    <row r="96">
      <c r="A96" s="145" t="n">
        <v>18</v>
      </c>
      <c r="B96" s="204">
        <f>EDATE($B95,1)</f>
        <v/>
      </c>
      <c r="C96" s="205">
        <f>EOMONTH($B96,0)</f>
        <v/>
      </c>
      <c r="D96" s="201">
        <f>$C96-$B96+1</f>
        <v/>
      </c>
      <c r="E96" s="201">
        <f>MONTH($B96)</f>
        <v/>
      </c>
      <c r="F96" s="235">
        <f>($B96+$C96+1)/2</f>
        <v/>
      </c>
      <c r="G96" s="201">
        <f>YEAR($B96)*12+MONTH($B96)-1</f>
        <v/>
      </c>
      <c r="H96" s="207">
        <f>IF(OR(nr_SeasonOn="OFF",$D$76=0,$E$76=0),1,12*INDEX(se_block,$D$76,$E96)/$E$76)</f>
        <v/>
      </c>
      <c r="I96" s="208">
        <f>EXP(SUMPRODUCT((rl_eff&lt;$B96)*(rl_key=$A$76)*rl_ln1p))</f>
        <v/>
      </c>
      <c r="J96" s="208">
        <f>EXP(SUMPRODUCT((rl_eff&lt;=$C96)*(rl_key=$A$76)*rl_ln1p))</f>
        <v/>
      </c>
      <c r="K96" s="201">
        <f>COUNTIFS(rl_key,$A$76,rl_eff,"&gt;="&amp;$B96,rl_eff,"&lt;="&amp;$C96)</f>
        <v/>
      </c>
      <c r="L96" s="201">
        <f>SUMIFS(rl_daysafter,rl_key,$A$76,rl_effmonth,$B96,rl_first,1)</f>
        <v/>
      </c>
      <c r="M96" s="209">
        <f>IF($K96=0,0,MIN(1,$L96/$D96))</f>
        <v/>
      </c>
      <c r="N96" s="208">
        <f>IF($K96=0,$J96,(1-$M96)*$I96+$M96*$J96)</f>
        <v/>
      </c>
      <c r="O96" s="209">
        <f>IF($F96&lt;$B$77,$E$77+$I$77*($F96-$A$77),IF($F96&lt;$C$77,$F$77+$J$77*($F96-$B$77),$G$77+$K$77*($F96-$C$77)))</f>
        <v/>
      </c>
      <c r="P96" s="208">
        <f>MIN(1,MAX(0,(nr_MEndPm1-$G96+0.5)/$C$76))-MIN(1,MAX(0,(nr_MStartPm1-1-$G96+0.5)/$C$76))</f>
        <v/>
      </c>
      <c r="Q96" s="208">
        <f>MIN(1,MAX(0,(nr_MEndP-$G96+0.5)/$C$76))-MIN(1,MAX(0,(nr_MStartP-1-$G96+0.5)/$C$76))</f>
        <v/>
      </c>
      <c r="R96" s="208">
        <f>MIN(1,MAX(0,(nr_MEndP1-$G96+0.5)/$C$76))-MIN(1,MAX(0,(nr_MStartP1-1-$G96+0.5)/$C$76))</f>
        <v/>
      </c>
      <c r="S96" s="208">
        <f>IF($L$76,$N96*IF($O$76=1,$O96/$F$76,1),"")</f>
        <v/>
      </c>
      <c r="T96" s="208">
        <f>IF(NOT($L$76),"",IF($G96&lt;nr_MStartP,$S96,$T84*(1+IF($G96&lt;nr_MStartP1,$M$76,$N$76))))</f>
        <v/>
      </c>
      <c r="U96" s="208">
        <f>IF($L$76,$T96,$N96)</f>
        <v/>
      </c>
    </row>
    <row r="97">
      <c r="A97" s="145" t="n">
        <v>19</v>
      </c>
      <c r="B97" s="204">
        <f>EDATE($B96,1)</f>
        <v/>
      </c>
      <c r="C97" s="205">
        <f>EOMONTH($B97,0)</f>
        <v/>
      </c>
      <c r="D97" s="201">
        <f>$C97-$B97+1</f>
        <v/>
      </c>
      <c r="E97" s="201">
        <f>MONTH($B97)</f>
        <v/>
      </c>
      <c r="F97" s="235">
        <f>($B97+$C97+1)/2</f>
        <v/>
      </c>
      <c r="G97" s="201">
        <f>YEAR($B97)*12+MONTH($B97)-1</f>
        <v/>
      </c>
      <c r="H97" s="207">
        <f>IF(OR(nr_SeasonOn="OFF",$D$76=0,$E$76=0),1,12*INDEX(se_block,$D$76,$E97)/$E$76)</f>
        <v/>
      </c>
      <c r="I97" s="208">
        <f>EXP(SUMPRODUCT((rl_eff&lt;$B97)*(rl_key=$A$76)*rl_ln1p))</f>
        <v/>
      </c>
      <c r="J97" s="208">
        <f>EXP(SUMPRODUCT((rl_eff&lt;=$C97)*(rl_key=$A$76)*rl_ln1p))</f>
        <v/>
      </c>
      <c r="K97" s="201">
        <f>COUNTIFS(rl_key,$A$76,rl_eff,"&gt;="&amp;$B97,rl_eff,"&lt;="&amp;$C97)</f>
        <v/>
      </c>
      <c r="L97" s="201">
        <f>SUMIFS(rl_daysafter,rl_key,$A$76,rl_effmonth,$B97,rl_first,1)</f>
        <v/>
      </c>
      <c r="M97" s="209">
        <f>IF($K97=0,0,MIN(1,$L97/$D97))</f>
        <v/>
      </c>
      <c r="N97" s="208">
        <f>IF($K97=0,$J97,(1-$M97)*$I97+$M97*$J97)</f>
        <v/>
      </c>
      <c r="O97" s="209">
        <f>IF($F97&lt;$B$77,$E$77+$I$77*($F97-$A$77),IF($F97&lt;$C$77,$F$77+$J$77*($F97-$B$77),$G$77+$K$77*($F97-$C$77)))</f>
        <v/>
      </c>
      <c r="P97" s="208">
        <f>MIN(1,MAX(0,(nr_MEndPm1-$G97+0.5)/$C$76))-MIN(1,MAX(0,(nr_MStartPm1-1-$G97+0.5)/$C$76))</f>
        <v/>
      </c>
      <c r="Q97" s="208">
        <f>MIN(1,MAX(0,(nr_MEndP-$G97+0.5)/$C$76))-MIN(1,MAX(0,(nr_MStartP-1-$G97+0.5)/$C$76))</f>
        <v/>
      </c>
      <c r="R97" s="208">
        <f>MIN(1,MAX(0,(nr_MEndP1-$G97+0.5)/$C$76))-MIN(1,MAX(0,(nr_MStartP1-1-$G97+0.5)/$C$76))</f>
        <v/>
      </c>
      <c r="S97" s="208">
        <f>IF($L$76,$N97*IF($O$76=1,$O97/$F$76,1),"")</f>
        <v/>
      </c>
      <c r="T97" s="208">
        <f>IF(NOT($L$76),"",IF($G97&lt;nr_MStartP,$S97,$T85*(1+IF($G97&lt;nr_MStartP1,$M$76,$N$76))))</f>
        <v/>
      </c>
      <c r="U97" s="208">
        <f>IF($L$76,$T97,$N97)</f>
        <v/>
      </c>
    </row>
    <row r="98">
      <c r="A98" s="145" t="n">
        <v>20</v>
      </c>
      <c r="B98" s="204">
        <f>EDATE($B97,1)</f>
        <v/>
      </c>
      <c r="C98" s="205">
        <f>EOMONTH($B98,0)</f>
        <v/>
      </c>
      <c r="D98" s="201">
        <f>$C98-$B98+1</f>
        <v/>
      </c>
      <c r="E98" s="201">
        <f>MONTH($B98)</f>
        <v/>
      </c>
      <c r="F98" s="235">
        <f>($B98+$C98+1)/2</f>
        <v/>
      </c>
      <c r="G98" s="201">
        <f>YEAR($B98)*12+MONTH($B98)-1</f>
        <v/>
      </c>
      <c r="H98" s="207">
        <f>IF(OR(nr_SeasonOn="OFF",$D$76=0,$E$76=0),1,12*INDEX(se_block,$D$76,$E98)/$E$76)</f>
        <v/>
      </c>
      <c r="I98" s="208">
        <f>EXP(SUMPRODUCT((rl_eff&lt;$B98)*(rl_key=$A$76)*rl_ln1p))</f>
        <v/>
      </c>
      <c r="J98" s="208">
        <f>EXP(SUMPRODUCT((rl_eff&lt;=$C98)*(rl_key=$A$76)*rl_ln1p))</f>
        <v/>
      </c>
      <c r="K98" s="201">
        <f>COUNTIFS(rl_key,$A$76,rl_eff,"&gt;="&amp;$B98,rl_eff,"&lt;="&amp;$C98)</f>
        <v/>
      </c>
      <c r="L98" s="201">
        <f>SUMIFS(rl_daysafter,rl_key,$A$76,rl_effmonth,$B98,rl_first,1)</f>
        <v/>
      </c>
      <c r="M98" s="209">
        <f>IF($K98=0,0,MIN(1,$L98/$D98))</f>
        <v/>
      </c>
      <c r="N98" s="208">
        <f>IF($K98=0,$J98,(1-$M98)*$I98+$M98*$J98)</f>
        <v/>
      </c>
      <c r="O98" s="209">
        <f>IF($F98&lt;$B$77,$E$77+$I$77*($F98-$A$77),IF($F98&lt;$C$77,$F$77+$J$77*($F98-$B$77),$G$77+$K$77*($F98-$C$77)))</f>
        <v/>
      </c>
      <c r="P98" s="208">
        <f>MIN(1,MAX(0,(nr_MEndPm1-$G98+0.5)/$C$76))-MIN(1,MAX(0,(nr_MStartPm1-1-$G98+0.5)/$C$76))</f>
        <v/>
      </c>
      <c r="Q98" s="208">
        <f>MIN(1,MAX(0,(nr_MEndP-$G98+0.5)/$C$76))-MIN(1,MAX(0,(nr_MStartP-1-$G98+0.5)/$C$76))</f>
        <v/>
      </c>
      <c r="R98" s="208">
        <f>MIN(1,MAX(0,(nr_MEndP1-$G98+0.5)/$C$76))-MIN(1,MAX(0,(nr_MStartP1-1-$G98+0.5)/$C$76))</f>
        <v/>
      </c>
      <c r="S98" s="208">
        <f>IF($L$76,$N98*IF($O$76=1,$O98/$F$76,1),"")</f>
        <v/>
      </c>
      <c r="T98" s="208">
        <f>IF(NOT($L$76),"",IF($G98&lt;nr_MStartP,$S98,$T86*(1+IF($G98&lt;nr_MStartP1,$M$76,$N$76))))</f>
        <v/>
      </c>
      <c r="U98" s="208">
        <f>IF($L$76,$T98,$N98)</f>
        <v/>
      </c>
    </row>
    <row r="99">
      <c r="A99" s="145" t="n">
        <v>21</v>
      </c>
      <c r="B99" s="204">
        <f>EDATE($B98,1)</f>
        <v/>
      </c>
      <c r="C99" s="205">
        <f>EOMONTH($B99,0)</f>
        <v/>
      </c>
      <c r="D99" s="201">
        <f>$C99-$B99+1</f>
        <v/>
      </c>
      <c r="E99" s="201">
        <f>MONTH($B99)</f>
        <v/>
      </c>
      <c r="F99" s="235">
        <f>($B99+$C99+1)/2</f>
        <v/>
      </c>
      <c r="G99" s="201">
        <f>YEAR($B99)*12+MONTH($B99)-1</f>
        <v/>
      </c>
      <c r="H99" s="207">
        <f>IF(OR(nr_SeasonOn="OFF",$D$76=0,$E$76=0),1,12*INDEX(se_block,$D$76,$E99)/$E$76)</f>
        <v/>
      </c>
      <c r="I99" s="208">
        <f>EXP(SUMPRODUCT((rl_eff&lt;$B99)*(rl_key=$A$76)*rl_ln1p))</f>
        <v/>
      </c>
      <c r="J99" s="208">
        <f>EXP(SUMPRODUCT((rl_eff&lt;=$C99)*(rl_key=$A$76)*rl_ln1p))</f>
        <v/>
      </c>
      <c r="K99" s="201">
        <f>COUNTIFS(rl_key,$A$76,rl_eff,"&gt;="&amp;$B99,rl_eff,"&lt;="&amp;$C99)</f>
        <v/>
      </c>
      <c r="L99" s="201">
        <f>SUMIFS(rl_daysafter,rl_key,$A$76,rl_effmonth,$B99,rl_first,1)</f>
        <v/>
      </c>
      <c r="M99" s="209">
        <f>IF($K99=0,0,MIN(1,$L99/$D99))</f>
        <v/>
      </c>
      <c r="N99" s="208">
        <f>IF($K99=0,$J99,(1-$M99)*$I99+$M99*$J99)</f>
        <v/>
      </c>
      <c r="O99" s="209">
        <f>IF($F99&lt;$B$77,$E$77+$I$77*($F99-$A$77),IF($F99&lt;$C$77,$F$77+$J$77*($F99-$B$77),$G$77+$K$77*($F99-$C$77)))</f>
        <v/>
      </c>
      <c r="P99" s="208">
        <f>MIN(1,MAX(0,(nr_MEndPm1-$G99+0.5)/$C$76))-MIN(1,MAX(0,(nr_MStartPm1-1-$G99+0.5)/$C$76))</f>
        <v/>
      </c>
      <c r="Q99" s="208">
        <f>MIN(1,MAX(0,(nr_MEndP-$G99+0.5)/$C$76))-MIN(1,MAX(0,(nr_MStartP-1-$G99+0.5)/$C$76))</f>
        <v/>
      </c>
      <c r="R99" s="208">
        <f>MIN(1,MAX(0,(nr_MEndP1-$G99+0.5)/$C$76))-MIN(1,MAX(0,(nr_MStartP1-1-$G99+0.5)/$C$76))</f>
        <v/>
      </c>
      <c r="S99" s="208">
        <f>IF($L$76,$N99*IF($O$76=1,$O99/$F$76,1),"")</f>
        <v/>
      </c>
      <c r="T99" s="208">
        <f>IF(NOT($L$76),"",IF($G99&lt;nr_MStartP,$S99,$T87*(1+IF($G99&lt;nr_MStartP1,$M$76,$N$76))))</f>
        <v/>
      </c>
      <c r="U99" s="208">
        <f>IF($L$76,$T99,$N99)</f>
        <v/>
      </c>
    </row>
    <row r="100">
      <c r="A100" s="145" t="n">
        <v>22</v>
      </c>
      <c r="B100" s="204">
        <f>EDATE($B99,1)</f>
        <v/>
      </c>
      <c r="C100" s="205">
        <f>EOMONTH($B100,0)</f>
        <v/>
      </c>
      <c r="D100" s="201">
        <f>$C100-$B100+1</f>
        <v/>
      </c>
      <c r="E100" s="201">
        <f>MONTH($B100)</f>
        <v/>
      </c>
      <c r="F100" s="235">
        <f>($B100+$C100+1)/2</f>
        <v/>
      </c>
      <c r="G100" s="201">
        <f>YEAR($B100)*12+MONTH($B100)-1</f>
        <v/>
      </c>
      <c r="H100" s="207">
        <f>IF(OR(nr_SeasonOn="OFF",$D$76=0,$E$76=0),1,12*INDEX(se_block,$D$76,$E100)/$E$76)</f>
        <v/>
      </c>
      <c r="I100" s="208">
        <f>EXP(SUMPRODUCT((rl_eff&lt;$B100)*(rl_key=$A$76)*rl_ln1p))</f>
        <v/>
      </c>
      <c r="J100" s="208">
        <f>EXP(SUMPRODUCT((rl_eff&lt;=$C100)*(rl_key=$A$76)*rl_ln1p))</f>
        <v/>
      </c>
      <c r="K100" s="201">
        <f>COUNTIFS(rl_key,$A$76,rl_eff,"&gt;="&amp;$B100,rl_eff,"&lt;="&amp;$C100)</f>
        <v/>
      </c>
      <c r="L100" s="201">
        <f>SUMIFS(rl_daysafter,rl_key,$A$76,rl_effmonth,$B100,rl_first,1)</f>
        <v/>
      </c>
      <c r="M100" s="209">
        <f>IF($K100=0,0,MIN(1,$L100/$D100))</f>
        <v/>
      </c>
      <c r="N100" s="208">
        <f>IF($K100=0,$J100,(1-$M100)*$I100+$M100*$J100)</f>
        <v/>
      </c>
      <c r="O100" s="209">
        <f>IF($F100&lt;$B$77,$E$77+$I$77*($F100-$A$77),IF($F100&lt;$C$77,$F$77+$J$77*($F100-$B$77),$G$77+$K$77*($F100-$C$77)))</f>
        <v/>
      </c>
      <c r="P100" s="208">
        <f>MIN(1,MAX(0,(nr_MEndPm1-$G100+0.5)/$C$76))-MIN(1,MAX(0,(nr_MStartPm1-1-$G100+0.5)/$C$76))</f>
        <v/>
      </c>
      <c r="Q100" s="208">
        <f>MIN(1,MAX(0,(nr_MEndP-$G100+0.5)/$C$76))-MIN(1,MAX(0,(nr_MStartP-1-$G100+0.5)/$C$76))</f>
        <v/>
      </c>
      <c r="R100" s="208">
        <f>MIN(1,MAX(0,(nr_MEndP1-$G100+0.5)/$C$76))-MIN(1,MAX(0,(nr_MStartP1-1-$G100+0.5)/$C$76))</f>
        <v/>
      </c>
      <c r="S100" s="208">
        <f>IF($L$76,$N100*IF($O$76=1,$O100/$F$76,1),"")</f>
        <v/>
      </c>
      <c r="T100" s="208">
        <f>IF(NOT($L$76),"",IF($G100&lt;nr_MStartP,$S100,$T88*(1+IF($G100&lt;nr_MStartP1,$M$76,$N$76))))</f>
        <v/>
      </c>
      <c r="U100" s="208">
        <f>IF($L$76,$T100,$N100)</f>
        <v/>
      </c>
    </row>
    <row r="101">
      <c r="A101" s="145" t="n">
        <v>23</v>
      </c>
      <c r="B101" s="204">
        <f>EDATE($B100,1)</f>
        <v/>
      </c>
      <c r="C101" s="205">
        <f>EOMONTH($B101,0)</f>
        <v/>
      </c>
      <c r="D101" s="201">
        <f>$C101-$B101+1</f>
        <v/>
      </c>
      <c r="E101" s="201">
        <f>MONTH($B101)</f>
        <v/>
      </c>
      <c r="F101" s="235">
        <f>($B101+$C101+1)/2</f>
        <v/>
      </c>
      <c r="G101" s="201">
        <f>YEAR($B101)*12+MONTH($B101)-1</f>
        <v/>
      </c>
      <c r="H101" s="207">
        <f>IF(OR(nr_SeasonOn="OFF",$D$76=0,$E$76=0),1,12*INDEX(se_block,$D$76,$E101)/$E$76)</f>
        <v/>
      </c>
      <c r="I101" s="208">
        <f>EXP(SUMPRODUCT((rl_eff&lt;$B101)*(rl_key=$A$76)*rl_ln1p))</f>
        <v/>
      </c>
      <c r="J101" s="208">
        <f>EXP(SUMPRODUCT((rl_eff&lt;=$C101)*(rl_key=$A$76)*rl_ln1p))</f>
        <v/>
      </c>
      <c r="K101" s="201">
        <f>COUNTIFS(rl_key,$A$76,rl_eff,"&gt;="&amp;$B101,rl_eff,"&lt;="&amp;$C101)</f>
        <v/>
      </c>
      <c r="L101" s="201">
        <f>SUMIFS(rl_daysafter,rl_key,$A$76,rl_effmonth,$B101,rl_first,1)</f>
        <v/>
      </c>
      <c r="M101" s="209">
        <f>IF($K101=0,0,MIN(1,$L101/$D101))</f>
        <v/>
      </c>
      <c r="N101" s="208">
        <f>IF($K101=0,$J101,(1-$M101)*$I101+$M101*$J101)</f>
        <v/>
      </c>
      <c r="O101" s="209">
        <f>IF($F101&lt;$B$77,$E$77+$I$77*($F101-$A$77),IF($F101&lt;$C$77,$F$77+$J$77*($F101-$B$77),$G$77+$K$77*($F101-$C$77)))</f>
        <v/>
      </c>
      <c r="P101" s="208">
        <f>MIN(1,MAX(0,(nr_MEndPm1-$G101+0.5)/$C$76))-MIN(1,MAX(0,(nr_MStartPm1-1-$G101+0.5)/$C$76))</f>
        <v/>
      </c>
      <c r="Q101" s="208">
        <f>MIN(1,MAX(0,(nr_MEndP-$G101+0.5)/$C$76))-MIN(1,MAX(0,(nr_MStartP-1-$G101+0.5)/$C$76))</f>
        <v/>
      </c>
      <c r="R101" s="208">
        <f>MIN(1,MAX(0,(nr_MEndP1-$G101+0.5)/$C$76))-MIN(1,MAX(0,(nr_MStartP1-1-$G101+0.5)/$C$76))</f>
        <v/>
      </c>
      <c r="S101" s="208">
        <f>IF($L$76,$N101*IF($O$76=1,$O101/$F$76,1),"")</f>
        <v/>
      </c>
      <c r="T101" s="208">
        <f>IF(NOT($L$76),"",IF($G101&lt;nr_MStartP,$S101,$T89*(1+IF($G101&lt;nr_MStartP1,$M$76,$N$76))))</f>
        <v/>
      </c>
      <c r="U101" s="208">
        <f>IF($L$76,$T101,$N101)</f>
        <v/>
      </c>
    </row>
    <row r="102">
      <c r="A102" s="145" t="n">
        <v>24</v>
      </c>
      <c r="B102" s="204">
        <f>EDATE($B101,1)</f>
        <v/>
      </c>
      <c r="C102" s="205">
        <f>EOMONTH($B102,0)</f>
        <v/>
      </c>
      <c r="D102" s="201">
        <f>$C102-$B102+1</f>
        <v/>
      </c>
      <c r="E102" s="201">
        <f>MONTH($B102)</f>
        <v/>
      </c>
      <c r="F102" s="235">
        <f>($B102+$C102+1)/2</f>
        <v/>
      </c>
      <c r="G102" s="201">
        <f>YEAR($B102)*12+MONTH($B102)-1</f>
        <v/>
      </c>
      <c r="H102" s="207">
        <f>IF(OR(nr_SeasonOn="OFF",$D$76=0,$E$76=0),1,12*INDEX(se_block,$D$76,$E102)/$E$76)</f>
        <v/>
      </c>
      <c r="I102" s="208">
        <f>EXP(SUMPRODUCT((rl_eff&lt;$B102)*(rl_key=$A$76)*rl_ln1p))</f>
        <v/>
      </c>
      <c r="J102" s="208">
        <f>EXP(SUMPRODUCT((rl_eff&lt;=$C102)*(rl_key=$A$76)*rl_ln1p))</f>
        <v/>
      </c>
      <c r="K102" s="201">
        <f>COUNTIFS(rl_key,$A$76,rl_eff,"&gt;="&amp;$B102,rl_eff,"&lt;="&amp;$C102)</f>
        <v/>
      </c>
      <c r="L102" s="201">
        <f>SUMIFS(rl_daysafter,rl_key,$A$76,rl_effmonth,$B102,rl_first,1)</f>
        <v/>
      </c>
      <c r="M102" s="209">
        <f>IF($K102=0,0,MIN(1,$L102/$D102))</f>
        <v/>
      </c>
      <c r="N102" s="208">
        <f>IF($K102=0,$J102,(1-$M102)*$I102+$M102*$J102)</f>
        <v/>
      </c>
      <c r="O102" s="209">
        <f>IF($F102&lt;$B$77,$E$77+$I$77*($F102-$A$77),IF($F102&lt;$C$77,$F$77+$J$77*($F102-$B$77),$G$77+$K$77*($F102-$C$77)))</f>
        <v/>
      </c>
      <c r="P102" s="208">
        <f>MIN(1,MAX(0,(nr_MEndPm1-$G102+0.5)/$C$76))-MIN(1,MAX(0,(nr_MStartPm1-1-$G102+0.5)/$C$76))</f>
        <v/>
      </c>
      <c r="Q102" s="208">
        <f>MIN(1,MAX(0,(nr_MEndP-$G102+0.5)/$C$76))-MIN(1,MAX(0,(nr_MStartP-1-$G102+0.5)/$C$76))</f>
        <v/>
      </c>
      <c r="R102" s="208">
        <f>MIN(1,MAX(0,(nr_MEndP1-$G102+0.5)/$C$76))-MIN(1,MAX(0,(nr_MStartP1-1-$G102+0.5)/$C$76))</f>
        <v/>
      </c>
      <c r="S102" s="208">
        <f>IF($L$76,$N102*IF($O$76=1,$O102/$F$76,1),"")</f>
        <v/>
      </c>
      <c r="T102" s="208">
        <f>IF(NOT($L$76),"",IF($G102&lt;nr_MStartP,$S102,$T90*(1+IF($G102&lt;nr_MStartP1,$M$76,$N$76))))</f>
        <v/>
      </c>
      <c r="U102" s="208">
        <f>IF($L$76,$T102,$N102)</f>
        <v/>
      </c>
    </row>
    <row r="103">
      <c r="A103" s="145" t="n">
        <v>25</v>
      </c>
      <c r="B103" s="204">
        <f>EDATE($B102,1)</f>
        <v/>
      </c>
      <c r="C103" s="205">
        <f>EOMONTH($B103,0)</f>
        <v/>
      </c>
      <c r="D103" s="201">
        <f>$C103-$B103+1</f>
        <v/>
      </c>
      <c r="E103" s="201">
        <f>MONTH($B103)</f>
        <v/>
      </c>
      <c r="F103" s="235">
        <f>($B103+$C103+1)/2</f>
        <v/>
      </c>
      <c r="G103" s="201">
        <f>YEAR($B103)*12+MONTH($B103)-1</f>
        <v/>
      </c>
      <c r="H103" s="207">
        <f>IF(OR(nr_SeasonOn="OFF",$D$76=0,$E$76=0),1,12*INDEX(se_block,$D$76,$E103)/$E$76)</f>
        <v/>
      </c>
      <c r="I103" s="208">
        <f>EXP(SUMPRODUCT((rl_eff&lt;$B103)*(rl_key=$A$76)*rl_ln1p))</f>
        <v/>
      </c>
      <c r="J103" s="208">
        <f>EXP(SUMPRODUCT((rl_eff&lt;=$C103)*(rl_key=$A$76)*rl_ln1p))</f>
        <v/>
      </c>
      <c r="K103" s="201">
        <f>COUNTIFS(rl_key,$A$76,rl_eff,"&gt;="&amp;$B103,rl_eff,"&lt;="&amp;$C103)</f>
        <v/>
      </c>
      <c r="L103" s="201">
        <f>SUMIFS(rl_daysafter,rl_key,$A$76,rl_effmonth,$B103,rl_first,1)</f>
        <v/>
      </c>
      <c r="M103" s="209">
        <f>IF($K103=0,0,MIN(1,$L103/$D103))</f>
        <v/>
      </c>
      <c r="N103" s="208">
        <f>IF($K103=0,$J103,(1-$M103)*$I103+$M103*$J103)</f>
        <v/>
      </c>
      <c r="O103" s="209">
        <f>IF($F103&lt;$B$77,$E$77+$I$77*($F103-$A$77),IF($F103&lt;$C$77,$F$77+$J$77*($F103-$B$77),$G$77+$K$77*($F103-$C$77)))</f>
        <v/>
      </c>
      <c r="P103" s="208">
        <f>MIN(1,MAX(0,(nr_MEndPm1-$G103+0.5)/$C$76))-MIN(1,MAX(0,(nr_MStartPm1-1-$G103+0.5)/$C$76))</f>
        <v/>
      </c>
      <c r="Q103" s="208">
        <f>MIN(1,MAX(0,(nr_MEndP-$G103+0.5)/$C$76))-MIN(1,MAX(0,(nr_MStartP-1-$G103+0.5)/$C$76))</f>
        <v/>
      </c>
      <c r="R103" s="208">
        <f>MIN(1,MAX(0,(nr_MEndP1-$G103+0.5)/$C$76))-MIN(1,MAX(0,(nr_MStartP1-1-$G103+0.5)/$C$76))</f>
        <v/>
      </c>
      <c r="S103" s="208">
        <f>IF($L$76,$N103*IF($O$76=1,$O103/$F$76,1),"")</f>
        <v/>
      </c>
      <c r="T103" s="208">
        <f>IF(NOT($L$76),"",IF($G103&lt;nr_MStartP,$S103,$T91*(1+IF($G103&lt;nr_MStartP1,$M$76,$N$76))))</f>
        <v/>
      </c>
      <c r="U103" s="208">
        <f>IF($L$76,$T103,$N103)</f>
        <v/>
      </c>
    </row>
    <row r="104">
      <c r="A104" s="145" t="n">
        <v>26</v>
      </c>
      <c r="B104" s="204">
        <f>EDATE($B103,1)</f>
        <v/>
      </c>
      <c r="C104" s="205">
        <f>EOMONTH($B104,0)</f>
        <v/>
      </c>
      <c r="D104" s="201">
        <f>$C104-$B104+1</f>
        <v/>
      </c>
      <c r="E104" s="201">
        <f>MONTH($B104)</f>
        <v/>
      </c>
      <c r="F104" s="235">
        <f>($B104+$C104+1)/2</f>
        <v/>
      </c>
      <c r="G104" s="201">
        <f>YEAR($B104)*12+MONTH($B104)-1</f>
        <v/>
      </c>
      <c r="H104" s="207">
        <f>IF(OR(nr_SeasonOn="OFF",$D$76=0,$E$76=0),1,12*INDEX(se_block,$D$76,$E104)/$E$76)</f>
        <v/>
      </c>
      <c r="I104" s="208">
        <f>EXP(SUMPRODUCT((rl_eff&lt;$B104)*(rl_key=$A$76)*rl_ln1p))</f>
        <v/>
      </c>
      <c r="J104" s="208">
        <f>EXP(SUMPRODUCT((rl_eff&lt;=$C104)*(rl_key=$A$76)*rl_ln1p))</f>
        <v/>
      </c>
      <c r="K104" s="201">
        <f>COUNTIFS(rl_key,$A$76,rl_eff,"&gt;="&amp;$B104,rl_eff,"&lt;="&amp;$C104)</f>
        <v/>
      </c>
      <c r="L104" s="201">
        <f>SUMIFS(rl_daysafter,rl_key,$A$76,rl_effmonth,$B104,rl_first,1)</f>
        <v/>
      </c>
      <c r="M104" s="209">
        <f>IF($K104=0,0,MIN(1,$L104/$D104))</f>
        <v/>
      </c>
      <c r="N104" s="208">
        <f>IF($K104=0,$J104,(1-$M104)*$I104+$M104*$J104)</f>
        <v/>
      </c>
      <c r="O104" s="209">
        <f>IF($F104&lt;$B$77,$E$77+$I$77*($F104-$A$77),IF($F104&lt;$C$77,$F$77+$J$77*($F104-$B$77),$G$77+$K$77*($F104-$C$77)))</f>
        <v/>
      </c>
      <c r="P104" s="208">
        <f>MIN(1,MAX(0,(nr_MEndPm1-$G104+0.5)/$C$76))-MIN(1,MAX(0,(nr_MStartPm1-1-$G104+0.5)/$C$76))</f>
        <v/>
      </c>
      <c r="Q104" s="208">
        <f>MIN(1,MAX(0,(nr_MEndP-$G104+0.5)/$C$76))-MIN(1,MAX(0,(nr_MStartP-1-$G104+0.5)/$C$76))</f>
        <v/>
      </c>
      <c r="R104" s="208">
        <f>MIN(1,MAX(0,(nr_MEndP1-$G104+0.5)/$C$76))-MIN(1,MAX(0,(nr_MStartP1-1-$G104+0.5)/$C$76))</f>
        <v/>
      </c>
      <c r="S104" s="208">
        <f>IF($L$76,$N104*IF($O$76=1,$O104/$F$76,1),"")</f>
        <v/>
      </c>
      <c r="T104" s="208">
        <f>IF(NOT($L$76),"",IF($G104&lt;nr_MStartP,$S104,$T92*(1+IF($G104&lt;nr_MStartP1,$M$76,$N$76))))</f>
        <v/>
      </c>
      <c r="U104" s="208">
        <f>IF($L$76,$T104,$N104)</f>
        <v/>
      </c>
    </row>
    <row r="105">
      <c r="A105" s="145" t="n">
        <v>27</v>
      </c>
      <c r="B105" s="204">
        <f>EDATE($B104,1)</f>
        <v/>
      </c>
      <c r="C105" s="205">
        <f>EOMONTH($B105,0)</f>
        <v/>
      </c>
      <c r="D105" s="201">
        <f>$C105-$B105+1</f>
        <v/>
      </c>
      <c r="E105" s="201">
        <f>MONTH($B105)</f>
        <v/>
      </c>
      <c r="F105" s="235">
        <f>($B105+$C105+1)/2</f>
        <v/>
      </c>
      <c r="G105" s="201">
        <f>YEAR($B105)*12+MONTH($B105)-1</f>
        <v/>
      </c>
      <c r="H105" s="207">
        <f>IF(OR(nr_SeasonOn="OFF",$D$76=0,$E$76=0),1,12*INDEX(se_block,$D$76,$E105)/$E$76)</f>
        <v/>
      </c>
      <c r="I105" s="208">
        <f>EXP(SUMPRODUCT((rl_eff&lt;$B105)*(rl_key=$A$76)*rl_ln1p))</f>
        <v/>
      </c>
      <c r="J105" s="208">
        <f>EXP(SUMPRODUCT((rl_eff&lt;=$C105)*(rl_key=$A$76)*rl_ln1p))</f>
        <v/>
      </c>
      <c r="K105" s="201">
        <f>COUNTIFS(rl_key,$A$76,rl_eff,"&gt;="&amp;$B105,rl_eff,"&lt;="&amp;$C105)</f>
        <v/>
      </c>
      <c r="L105" s="201">
        <f>SUMIFS(rl_daysafter,rl_key,$A$76,rl_effmonth,$B105,rl_first,1)</f>
        <v/>
      </c>
      <c r="M105" s="209">
        <f>IF($K105=0,0,MIN(1,$L105/$D105))</f>
        <v/>
      </c>
      <c r="N105" s="208">
        <f>IF($K105=0,$J105,(1-$M105)*$I105+$M105*$J105)</f>
        <v/>
      </c>
      <c r="O105" s="209">
        <f>IF($F105&lt;$B$77,$E$77+$I$77*($F105-$A$77),IF($F105&lt;$C$77,$F$77+$J$77*($F105-$B$77),$G$77+$K$77*($F105-$C$77)))</f>
        <v/>
      </c>
      <c r="P105" s="208">
        <f>MIN(1,MAX(0,(nr_MEndPm1-$G105+0.5)/$C$76))-MIN(1,MAX(0,(nr_MStartPm1-1-$G105+0.5)/$C$76))</f>
        <v/>
      </c>
      <c r="Q105" s="208">
        <f>MIN(1,MAX(0,(nr_MEndP-$G105+0.5)/$C$76))-MIN(1,MAX(0,(nr_MStartP-1-$G105+0.5)/$C$76))</f>
        <v/>
      </c>
      <c r="R105" s="208">
        <f>MIN(1,MAX(0,(nr_MEndP1-$G105+0.5)/$C$76))-MIN(1,MAX(0,(nr_MStartP1-1-$G105+0.5)/$C$76))</f>
        <v/>
      </c>
      <c r="S105" s="208">
        <f>IF($L$76,$N105*IF($O$76=1,$O105/$F$76,1),"")</f>
        <v/>
      </c>
      <c r="T105" s="208">
        <f>IF(NOT($L$76),"",IF($G105&lt;nr_MStartP,$S105,$T93*(1+IF($G105&lt;nr_MStartP1,$M$76,$N$76))))</f>
        <v/>
      </c>
      <c r="U105" s="208">
        <f>IF($L$76,$T105,$N105)</f>
        <v/>
      </c>
    </row>
    <row r="106">
      <c r="A106" s="145" t="n">
        <v>28</v>
      </c>
      <c r="B106" s="204">
        <f>EDATE($B105,1)</f>
        <v/>
      </c>
      <c r="C106" s="205">
        <f>EOMONTH($B106,0)</f>
        <v/>
      </c>
      <c r="D106" s="201">
        <f>$C106-$B106+1</f>
        <v/>
      </c>
      <c r="E106" s="201">
        <f>MONTH($B106)</f>
        <v/>
      </c>
      <c r="F106" s="235">
        <f>($B106+$C106+1)/2</f>
        <v/>
      </c>
      <c r="G106" s="201">
        <f>YEAR($B106)*12+MONTH($B106)-1</f>
        <v/>
      </c>
      <c r="H106" s="207">
        <f>IF(OR(nr_SeasonOn="OFF",$D$76=0,$E$76=0),1,12*INDEX(se_block,$D$76,$E106)/$E$76)</f>
        <v/>
      </c>
      <c r="I106" s="208">
        <f>EXP(SUMPRODUCT((rl_eff&lt;$B106)*(rl_key=$A$76)*rl_ln1p))</f>
        <v/>
      </c>
      <c r="J106" s="208">
        <f>EXP(SUMPRODUCT((rl_eff&lt;=$C106)*(rl_key=$A$76)*rl_ln1p))</f>
        <v/>
      </c>
      <c r="K106" s="201">
        <f>COUNTIFS(rl_key,$A$76,rl_eff,"&gt;="&amp;$B106,rl_eff,"&lt;="&amp;$C106)</f>
        <v/>
      </c>
      <c r="L106" s="201">
        <f>SUMIFS(rl_daysafter,rl_key,$A$76,rl_effmonth,$B106,rl_first,1)</f>
        <v/>
      </c>
      <c r="M106" s="209">
        <f>IF($K106=0,0,MIN(1,$L106/$D106))</f>
        <v/>
      </c>
      <c r="N106" s="208">
        <f>IF($K106=0,$J106,(1-$M106)*$I106+$M106*$J106)</f>
        <v/>
      </c>
      <c r="O106" s="209">
        <f>IF($F106&lt;$B$77,$E$77+$I$77*($F106-$A$77),IF($F106&lt;$C$77,$F$77+$J$77*($F106-$B$77),$G$77+$K$77*($F106-$C$77)))</f>
        <v/>
      </c>
      <c r="P106" s="208">
        <f>MIN(1,MAX(0,(nr_MEndPm1-$G106+0.5)/$C$76))-MIN(1,MAX(0,(nr_MStartPm1-1-$G106+0.5)/$C$76))</f>
        <v/>
      </c>
      <c r="Q106" s="208">
        <f>MIN(1,MAX(0,(nr_MEndP-$G106+0.5)/$C$76))-MIN(1,MAX(0,(nr_MStartP-1-$G106+0.5)/$C$76))</f>
        <v/>
      </c>
      <c r="R106" s="208">
        <f>MIN(1,MAX(0,(nr_MEndP1-$G106+0.5)/$C$76))-MIN(1,MAX(0,(nr_MStartP1-1-$G106+0.5)/$C$76))</f>
        <v/>
      </c>
      <c r="S106" s="208">
        <f>IF($L$76,$N106*IF($O$76=1,$O106/$F$76,1),"")</f>
        <v/>
      </c>
      <c r="T106" s="208">
        <f>IF(NOT($L$76),"",IF($G106&lt;nr_MStartP,$S106,$T94*(1+IF($G106&lt;nr_MStartP1,$M$76,$N$76))))</f>
        <v/>
      </c>
      <c r="U106" s="208">
        <f>IF($L$76,$T106,$N106)</f>
        <v/>
      </c>
    </row>
    <row r="107">
      <c r="A107" s="145" t="n">
        <v>29</v>
      </c>
      <c r="B107" s="204">
        <f>EDATE($B106,1)</f>
        <v/>
      </c>
      <c r="C107" s="205">
        <f>EOMONTH($B107,0)</f>
        <v/>
      </c>
      <c r="D107" s="201">
        <f>$C107-$B107+1</f>
        <v/>
      </c>
      <c r="E107" s="201">
        <f>MONTH($B107)</f>
        <v/>
      </c>
      <c r="F107" s="235">
        <f>($B107+$C107+1)/2</f>
        <v/>
      </c>
      <c r="G107" s="201">
        <f>YEAR($B107)*12+MONTH($B107)-1</f>
        <v/>
      </c>
      <c r="H107" s="207">
        <f>IF(OR(nr_SeasonOn="OFF",$D$76=0,$E$76=0),1,12*INDEX(se_block,$D$76,$E107)/$E$76)</f>
        <v/>
      </c>
      <c r="I107" s="208">
        <f>EXP(SUMPRODUCT((rl_eff&lt;$B107)*(rl_key=$A$76)*rl_ln1p))</f>
        <v/>
      </c>
      <c r="J107" s="208">
        <f>EXP(SUMPRODUCT((rl_eff&lt;=$C107)*(rl_key=$A$76)*rl_ln1p))</f>
        <v/>
      </c>
      <c r="K107" s="201">
        <f>COUNTIFS(rl_key,$A$76,rl_eff,"&gt;="&amp;$B107,rl_eff,"&lt;="&amp;$C107)</f>
        <v/>
      </c>
      <c r="L107" s="201">
        <f>SUMIFS(rl_daysafter,rl_key,$A$76,rl_effmonth,$B107,rl_first,1)</f>
        <v/>
      </c>
      <c r="M107" s="209">
        <f>IF($K107=0,0,MIN(1,$L107/$D107))</f>
        <v/>
      </c>
      <c r="N107" s="208">
        <f>IF($K107=0,$J107,(1-$M107)*$I107+$M107*$J107)</f>
        <v/>
      </c>
      <c r="O107" s="209">
        <f>IF($F107&lt;$B$77,$E$77+$I$77*($F107-$A$77),IF($F107&lt;$C$77,$F$77+$J$77*($F107-$B$77),$G$77+$K$77*($F107-$C$77)))</f>
        <v/>
      </c>
      <c r="P107" s="208">
        <f>MIN(1,MAX(0,(nr_MEndPm1-$G107+0.5)/$C$76))-MIN(1,MAX(0,(nr_MStartPm1-1-$G107+0.5)/$C$76))</f>
        <v/>
      </c>
      <c r="Q107" s="208">
        <f>MIN(1,MAX(0,(nr_MEndP-$G107+0.5)/$C$76))-MIN(1,MAX(0,(nr_MStartP-1-$G107+0.5)/$C$76))</f>
        <v/>
      </c>
      <c r="R107" s="208">
        <f>MIN(1,MAX(0,(nr_MEndP1-$G107+0.5)/$C$76))-MIN(1,MAX(0,(nr_MStartP1-1-$G107+0.5)/$C$76))</f>
        <v/>
      </c>
      <c r="S107" s="208">
        <f>IF($L$76,$N107*IF($O$76=1,$O107/$F$76,1),"")</f>
        <v/>
      </c>
      <c r="T107" s="208">
        <f>IF(NOT($L$76),"",IF($G107&lt;nr_MStartP,$S107,$T95*(1+IF($G107&lt;nr_MStartP1,$M$76,$N$76))))</f>
        <v/>
      </c>
      <c r="U107" s="208">
        <f>IF($L$76,$T107,$N107)</f>
        <v/>
      </c>
    </row>
    <row r="108">
      <c r="A108" s="145" t="n">
        <v>30</v>
      </c>
      <c r="B108" s="204">
        <f>EDATE($B107,1)</f>
        <v/>
      </c>
      <c r="C108" s="205">
        <f>EOMONTH($B108,0)</f>
        <v/>
      </c>
      <c r="D108" s="201">
        <f>$C108-$B108+1</f>
        <v/>
      </c>
      <c r="E108" s="201">
        <f>MONTH($B108)</f>
        <v/>
      </c>
      <c r="F108" s="235">
        <f>($B108+$C108+1)/2</f>
        <v/>
      </c>
      <c r="G108" s="201">
        <f>YEAR($B108)*12+MONTH($B108)-1</f>
        <v/>
      </c>
      <c r="H108" s="207">
        <f>IF(OR(nr_SeasonOn="OFF",$D$76=0,$E$76=0),1,12*INDEX(se_block,$D$76,$E108)/$E$76)</f>
        <v/>
      </c>
      <c r="I108" s="208">
        <f>EXP(SUMPRODUCT((rl_eff&lt;$B108)*(rl_key=$A$76)*rl_ln1p))</f>
        <v/>
      </c>
      <c r="J108" s="208">
        <f>EXP(SUMPRODUCT((rl_eff&lt;=$C108)*(rl_key=$A$76)*rl_ln1p))</f>
        <v/>
      </c>
      <c r="K108" s="201">
        <f>COUNTIFS(rl_key,$A$76,rl_eff,"&gt;="&amp;$B108,rl_eff,"&lt;="&amp;$C108)</f>
        <v/>
      </c>
      <c r="L108" s="201">
        <f>SUMIFS(rl_daysafter,rl_key,$A$76,rl_effmonth,$B108,rl_first,1)</f>
        <v/>
      </c>
      <c r="M108" s="209">
        <f>IF($K108=0,0,MIN(1,$L108/$D108))</f>
        <v/>
      </c>
      <c r="N108" s="208">
        <f>IF($K108=0,$J108,(1-$M108)*$I108+$M108*$J108)</f>
        <v/>
      </c>
      <c r="O108" s="209">
        <f>IF($F108&lt;$B$77,$E$77+$I$77*($F108-$A$77),IF($F108&lt;$C$77,$F$77+$J$77*($F108-$B$77),$G$77+$K$77*($F108-$C$77)))</f>
        <v/>
      </c>
      <c r="P108" s="208">
        <f>MIN(1,MAX(0,(nr_MEndPm1-$G108+0.5)/$C$76))-MIN(1,MAX(0,(nr_MStartPm1-1-$G108+0.5)/$C$76))</f>
        <v/>
      </c>
      <c r="Q108" s="208">
        <f>MIN(1,MAX(0,(nr_MEndP-$G108+0.5)/$C$76))-MIN(1,MAX(0,(nr_MStartP-1-$G108+0.5)/$C$76))</f>
        <v/>
      </c>
      <c r="R108" s="208">
        <f>MIN(1,MAX(0,(nr_MEndP1-$G108+0.5)/$C$76))-MIN(1,MAX(0,(nr_MStartP1-1-$G108+0.5)/$C$76))</f>
        <v/>
      </c>
      <c r="S108" s="208">
        <f>IF($L$76,$N108*IF($O$76=1,$O108/$F$76,1),"")</f>
        <v/>
      </c>
      <c r="T108" s="208">
        <f>IF(NOT($L$76),"",IF($G108&lt;nr_MStartP,$S108,$T96*(1+IF($G108&lt;nr_MStartP1,$M$76,$N$76))))</f>
        <v/>
      </c>
      <c r="U108" s="208">
        <f>IF($L$76,$T108,$N108)</f>
        <v/>
      </c>
    </row>
    <row r="109">
      <c r="A109" s="145" t="n">
        <v>31</v>
      </c>
      <c r="B109" s="204">
        <f>EDATE($B108,1)</f>
        <v/>
      </c>
      <c r="C109" s="205">
        <f>EOMONTH($B109,0)</f>
        <v/>
      </c>
      <c r="D109" s="201">
        <f>$C109-$B109+1</f>
        <v/>
      </c>
      <c r="E109" s="201">
        <f>MONTH($B109)</f>
        <v/>
      </c>
      <c r="F109" s="235">
        <f>($B109+$C109+1)/2</f>
        <v/>
      </c>
      <c r="G109" s="201">
        <f>YEAR($B109)*12+MONTH($B109)-1</f>
        <v/>
      </c>
      <c r="H109" s="207">
        <f>IF(OR(nr_SeasonOn="OFF",$D$76=0,$E$76=0),1,12*INDEX(se_block,$D$76,$E109)/$E$76)</f>
        <v/>
      </c>
      <c r="I109" s="208">
        <f>EXP(SUMPRODUCT((rl_eff&lt;$B109)*(rl_key=$A$76)*rl_ln1p))</f>
        <v/>
      </c>
      <c r="J109" s="208">
        <f>EXP(SUMPRODUCT((rl_eff&lt;=$C109)*(rl_key=$A$76)*rl_ln1p))</f>
        <v/>
      </c>
      <c r="K109" s="201">
        <f>COUNTIFS(rl_key,$A$76,rl_eff,"&gt;="&amp;$B109,rl_eff,"&lt;="&amp;$C109)</f>
        <v/>
      </c>
      <c r="L109" s="201">
        <f>SUMIFS(rl_daysafter,rl_key,$A$76,rl_effmonth,$B109,rl_first,1)</f>
        <v/>
      </c>
      <c r="M109" s="209">
        <f>IF($K109=0,0,MIN(1,$L109/$D109))</f>
        <v/>
      </c>
      <c r="N109" s="208">
        <f>IF($K109=0,$J109,(1-$M109)*$I109+$M109*$J109)</f>
        <v/>
      </c>
      <c r="O109" s="209">
        <f>IF($F109&lt;$B$77,$E$77+$I$77*($F109-$A$77),IF($F109&lt;$C$77,$F$77+$J$77*($F109-$B$77),$G$77+$K$77*($F109-$C$77)))</f>
        <v/>
      </c>
      <c r="P109" s="208">
        <f>MIN(1,MAX(0,(nr_MEndPm1-$G109+0.5)/$C$76))-MIN(1,MAX(0,(nr_MStartPm1-1-$G109+0.5)/$C$76))</f>
        <v/>
      </c>
      <c r="Q109" s="208">
        <f>MIN(1,MAX(0,(nr_MEndP-$G109+0.5)/$C$76))-MIN(1,MAX(0,(nr_MStartP-1-$G109+0.5)/$C$76))</f>
        <v/>
      </c>
      <c r="R109" s="208">
        <f>MIN(1,MAX(0,(nr_MEndP1-$G109+0.5)/$C$76))-MIN(1,MAX(0,(nr_MStartP1-1-$G109+0.5)/$C$76))</f>
        <v/>
      </c>
      <c r="S109" s="208">
        <f>IF($L$76,$N109*IF($O$76=1,$O109/$F$76,1),"")</f>
        <v/>
      </c>
      <c r="T109" s="208">
        <f>IF(NOT($L$76),"",IF($G109&lt;nr_MStartP,$S109,$T97*(1+IF($G109&lt;nr_MStartP1,$M$76,$N$76))))</f>
        <v/>
      </c>
      <c r="U109" s="208">
        <f>IF($L$76,$T109,$N109)</f>
        <v/>
      </c>
    </row>
    <row r="110">
      <c r="A110" s="145" t="n">
        <v>32</v>
      </c>
      <c r="B110" s="204">
        <f>EDATE($B109,1)</f>
        <v/>
      </c>
      <c r="C110" s="205">
        <f>EOMONTH($B110,0)</f>
        <v/>
      </c>
      <c r="D110" s="201">
        <f>$C110-$B110+1</f>
        <v/>
      </c>
      <c r="E110" s="201">
        <f>MONTH($B110)</f>
        <v/>
      </c>
      <c r="F110" s="235">
        <f>($B110+$C110+1)/2</f>
        <v/>
      </c>
      <c r="G110" s="201">
        <f>YEAR($B110)*12+MONTH($B110)-1</f>
        <v/>
      </c>
      <c r="H110" s="207">
        <f>IF(OR(nr_SeasonOn="OFF",$D$76=0,$E$76=0),1,12*INDEX(se_block,$D$76,$E110)/$E$76)</f>
        <v/>
      </c>
      <c r="I110" s="208">
        <f>EXP(SUMPRODUCT((rl_eff&lt;$B110)*(rl_key=$A$76)*rl_ln1p))</f>
        <v/>
      </c>
      <c r="J110" s="208">
        <f>EXP(SUMPRODUCT((rl_eff&lt;=$C110)*(rl_key=$A$76)*rl_ln1p))</f>
        <v/>
      </c>
      <c r="K110" s="201">
        <f>COUNTIFS(rl_key,$A$76,rl_eff,"&gt;="&amp;$B110,rl_eff,"&lt;="&amp;$C110)</f>
        <v/>
      </c>
      <c r="L110" s="201">
        <f>SUMIFS(rl_daysafter,rl_key,$A$76,rl_effmonth,$B110,rl_first,1)</f>
        <v/>
      </c>
      <c r="M110" s="209">
        <f>IF($K110=0,0,MIN(1,$L110/$D110))</f>
        <v/>
      </c>
      <c r="N110" s="208">
        <f>IF($K110=0,$J110,(1-$M110)*$I110+$M110*$J110)</f>
        <v/>
      </c>
      <c r="O110" s="209">
        <f>IF($F110&lt;$B$77,$E$77+$I$77*($F110-$A$77),IF($F110&lt;$C$77,$F$77+$J$77*($F110-$B$77),$G$77+$K$77*($F110-$C$77)))</f>
        <v/>
      </c>
      <c r="P110" s="208">
        <f>MIN(1,MAX(0,(nr_MEndPm1-$G110+0.5)/$C$76))-MIN(1,MAX(0,(nr_MStartPm1-1-$G110+0.5)/$C$76))</f>
        <v/>
      </c>
      <c r="Q110" s="208">
        <f>MIN(1,MAX(0,(nr_MEndP-$G110+0.5)/$C$76))-MIN(1,MAX(0,(nr_MStartP-1-$G110+0.5)/$C$76))</f>
        <v/>
      </c>
      <c r="R110" s="208">
        <f>MIN(1,MAX(0,(nr_MEndP1-$G110+0.5)/$C$76))-MIN(1,MAX(0,(nr_MStartP1-1-$G110+0.5)/$C$76))</f>
        <v/>
      </c>
      <c r="S110" s="208">
        <f>IF($L$76,$N110*IF($O$76=1,$O110/$F$76,1),"")</f>
        <v/>
      </c>
      <c r="T110" s="208">
        <f>IF(NOT($L$76),"",IF($G110&lt;nr_MStartP,$S110,$T98*(1+IF($G110&lt;nr_MStartP1,$M$76,$N$76))))</f>
        <v/>
      </c>
      <c r="U110" s="208">
        <f>IF($L$76,$T110,$N110)</f>
        <v/>
      </c>
    </row>
    <row r="111">
      <c r="A111" s="145" t="n">
        <v>33</v>
      </c>
      <c r="B111" s="204">
        <f>EDATE($B110,1)</f>
        <v/>
      </c>
      <c r="C111" s="205">
        <f>EOMONTH($B111,0)</f>
        <v/>
      </c>
      <c r="D111" s="201">
        <f>$C111-$B111+1</f>
        <v/>
      </c>
      <c r="E111" s="201">
        <f>MONTH($B111)</f>
        <v/>
      </c>
      <c r="F111" s="235">
        <f>($B111+$C111+1)/2</f>
        <v/>
      </c>
      <c r="G111" s="201">
        <f>YEAR($B111)*12+MONTH($B111)-1</f>
        <v/>
      </c>
      <c r="H111" s="207">
        <f>IF(OR(nr_SeasonOn="OFF",$D$76=0,$E$76=0),1,12*INDEX(se_block,$D$76,$E111)/$E$76)</f>
        <v/>
      </c>
      <c r="I111" s="208">
        <f>EXP(SUMPRODUCT((rl_eff&lt;$B111)*(rl_key=$A$76)*rl_ln1p))</f>
        <v/>
      </c>
      <c r="J111" s="208">
        <f>EXP(SUMPRODUCT((rl_eff&lt;=$C111)*(rl_key=$A$76)*rl_ln1p))</f>
        <v/>
      </c>
      <c r="K111" s="201">
        <f>COUNTIFS(rl_key,$A$76,rl_eff,"&gt;="&amp;$B111,rl_eff,"&lt;="&amp;$C111)</f>
        <v/>
      </c>
      <c r="L111" s="201">
        <f>SUMIFS(rl_daysafter,rl_key,$A$76,rl_effmonth,$B111,rl_first,1)</f>
        <v/>
      </c>
      <c r="M111" s="209">
        <f>IF($K111=0,0,MIN(1,$L111/$D111))</f>
        <v/>
      </c>
      <c r="N111" s="208">
        <f>IF($K111=0,$J111,(1-$M111)*$I111+$M111*$J111)</f>
        <v/>
      </c>
      <c r="O111" s="209">
        <f>IF($F111&lt;$B$77,$E$77+$I$77*($F111-$A$77),IF($F111&lt;$C$77,$F$77+$J$77*($F111-$B$77),$G$77+$K$77*($F111-$C$77)))</f>
        <v/>
      </c>
      <c r="P111" s="208">
        <f>MIN(1,MAX(0,(nr_MEndPm1-$G111+0.5)/$C$76))-MIN(1,MAX(0,(nr_MStartPm1-1-$G111+0.5)/$C$76))</f>
        <v/>
      </c>
      <c r="Q111" s="208">
        <f>MIN(1,MAX(0,(nr_MEndP-$G111+0.5)/$C$76))-MIN(1,MAX(0,(nr_MStartP-1-$G111+0.5)/$C$76))</f>
        <v/>
      </c>
      <c r="R111" s="208">
        <f>MIN(1,MAX(0,(nr_MEndP1-$G111+0.5)/$C$76))-MIN(1,MAX(0,(nr_MStartP1-1-$G111+0.5)/$C$76))</f>
        <v/>
      </c>
      <c r="S111" s="208">
        <f>IF($L$76,$N111*IF($O$76=1,$O111/$F$76,1),"")</f>
        <v/>
      </c>
      <c r="T111" s="208">
        <f>IF(NOT($L$76),"",IF($G111&lt;nr_MStartP,$S111,$T99*(1+IF($G111&lt;nr_MStartP1,$M$76,$N$76))))</f>
        <v/>
      </c>
      <c r="U111" s="208">
        <f>IF($L$76,$T111,$N111)</f>
        <v/>
      </c>
    </row>
    <row r="112">
      <c r="A112" s="145" t="n">
        <v>34</v>
      </c>
      <c r="B112" s="204">
        <f>EDATE($B111,1)</f>
        <v/>
      </c>
      <c r="C112" s="205">
        <f>EOMONTH($B112,0)</f>
        <v/>
      </c>
      <c r="D112" s="201">
        <f>$C112-$B112+1</f>
        <v/>
      </c>
      <c r="E112" s="201">
        <f>MONTH($B112)</f>
        <v/>
      </c>
      <c r="F112" s="235">
        <f>($B112+$C112+1)/2</f>
        <v/>
      </c>
      <c r="G112" s="201">
        <f>YEAR($B112)*12+MONTH($B112)-1</f>
        <v/>
      </c>
      <c r="H112" s="207">
        <f>IF(OR(nr_SeasonOn="OFF",$D$76=0,$E$76=0),1,12*INDEX(se_block,$D$76,$E112)/$E$76)</f>
        <v/>
      </c>
      <c r="I112" s="208">
        <f>EXP(SUMPRODUCT((rl_eff&lt;$B112)*(rl_key=$A$76)*rl_ln1p))</f>
        <v/>
      </c>
      <c r="J112" s="208">
        <f>EXP(SUMPRODUCT((rl_eff&lt;=$C112)*(rl_key=$A$76)*rl_ln1p))</f>
        <v/>
      </c>
      <c r="K112" s="201">
        <f>COUNTIFS(rl_key,$A$76,rl_eff,"&gt;="&amp;$B112,rl_eff,"&lt;="&amp;$C112)</f>
        <v/>
      </c>
      <c r="L112" s="201">
        <f>SUMIFS(rl_daysafter,rl_key,$A$76,rl_effmonth,$B112,rl_first,1)</f>
        <v/>
      </c>
      <c r="M112" s="209">
        <f>IF($K112=0,0,MIN(1,$L112/$D112))</f>
        <v/>
      </c>
      <c r="N112" s="208">
        <f>IF($K112=0,$J112,(1-$M112)*$I112+$M112*$J112)</f>
        <v/>
      </c>
      <c r="O112" s="209">
        <f>IF($F112&lt;$B$77,$E$77+$I$77*($F112-$A$77),IF($F112&lt;$C$77,$F$77+$J$77*($F112-$B$77),$G$77+$K$77*($F112-$C$77)))</f>
        <v/>
      </c>
      <c r="P112" s="208">
        <f>MIN(1,MAX(0,(nr_MEndPm1-$G112+0.5)/$C$76))-MIN(1,MAX(0,(nr_MStartPm1-1-$G112+0.5)/$C$76))</f>
        <v/>
      </c>
      <c r="Q112" s="208">
        <f>MIN(1,MAX(0,(nr_MEndP-$G112+0.5)/$C$76))-MIN(1,MAX(0,(nr_MStartP-1-$G112+0.5)/$C$76))</f>
        <v/>
      </c>
      <c r="R112" s="208">
        <f>MIN(1,MAX(0,(nr_MEndP1-$G112+0.5)/$C$76))-MIN(1,MAX(0,(nr_MStartP1-1-$G112+0.5)/$C$76))</f>
        <v/>
      </c>
      <c r="S112" s="208">
        <f>IF($L$76,$N112*IF($O$76=1,$O112/$F$76,1),"")</f>
        <v/>
      </c>
      <c r="T112" s="208">
        <f>IF(NOT($L$76),"",IF($G112&lt;nr_MStartP,$S112,$T100*(1+IF($G112&lt;nr_MStartP1,$M$76,$N$76))))</f>
        <v/>
      </c>
      <c r="U112" s="208">
        <f>IF($L$76,$T112,$N112)</f>
        <v/>
      </c>
    </row>
    <row r="113">
      <c r="A113" s="145" t="n">
        <v>35</v>
      </c>
      <c r="B113" s="204">
        <f>EDATE($B112,1)</f>
        <v/>
      </c>
      <c r="C113" s="205">
        <f>EOMONTH($B113,0)</f>
        <v/>
      </c>
      <c r="D113" s="201">
        <f>$C113-$B113+1</f>
        <v/>
      </c>
      <c r="E113" s="201">
        <f>MONTH($B113)</f>
        <v/>
      </c>
      <c r="F113" s="235">
        <f>($B113+$C113+1)/2</f>
        <v/>
      </c>
      <c r="G113" s="201">
        <f>YEAR($B113)*12+MONTH($B113)-1</f>
        <v/>
      </c>
      <c r="H113" s="207">
        <f>IF(OR(nr_SeasonOn="OFF",$D$76=0,$E$76=0),1,12*INDEX(se_block,$D$76,$E113)/$E$76)</f>
        <v/>
      </c>
      <c r="I113" s="208">
        <f>EXP(SUMPRODUCT((rl_eff&lt;$B113)*(rl_key=$A$76)*rl_ln1p))</f>
        <v/>
      </c>
      <c r="J113" s="208">
        <f>EXP(SUMPRODUCT((rl_eff&lt;=$C113)*(rl_key=$A$76)*rl_ln1p))</f>
        <v/>
      </c>
      <c r="K113" s="201">
        <f>COUNTIFS(rl_key,$A$76,rl_eff,"&gt;="&amp;$B113,rl_eff,"&lt;="&amp;$C113)</f>
        <v/>
      </c>
      <c r="L113" s="201">
        <f>SUMIFS(rl_daysafter,rl_key,$A$76,rl_effmonth,$B113,rl_first,1)</f>
        <v/>
      </c>
      <c r="M113" s="209">
        <f>IF($K113=0,0,MIN(1,$L113/$D113))</f>
        <v/>
      </c>
      <c r="N113" s="208">
        <f>IF($K113=0,$J113,(1-$M113)*$I113+$M113*$J113)</f>
        <v/>
      </c>
      <c r="O113" s="209">
        <f>IF($F113&lt;$B$77,$E$77+$I$77*($F113-$A$77),IF($F113&lt;$C$77,$F$77+$J$77*($F113-$B$77),$G$77+$K$77*($F113-$C$77)))</f>
        <v/>
      </c>
      <c r="P113" s="208">
        <f>MIN(1,MAX(0,(nr_MEndPm1-$G113+0.5)/$C$76))-MIN(1,MAX(0,(nr_MStartPm1-1-$G113+0.5)/$C$76))</f>
        <v/>
      </c>
      <c r="Q113" s="208">
        <f>MIN(1,MAX(0,(nr_MEndP-$G113+0.5)/$C$76))-MIN(1,MAX(0,(nr_MStartP-1-$G113+0.5)/$C$76))</f>
        <v/>
      </c>
      <c r="R113" s="208">
        <f>MIN(1,MAX(0,(nr_MEndP1-$G113+0.5)/$C$76))-MIN(1,MAX(0,(nr_MStartP1-1-$G113+0.5)/$C$76))</f>
        <v/>
      </c>
      <c r="S113" s="208">
        <f>IF($L$76,$N113*IF($O$76=1,$O113/$F$76,1),"")</f>
        <v/>
      </c>
      <c r="T113" s="208">
        <f>IF(NOT($L$76),"",IF($G113&lt;nr_MStartP,$S113,$T101*(1+IF($G113&lt;nr_MStartP1,$M$76,$N$76))))</f>
        <v/>
      </c>
      <c r="U113" s="208">
        <f>IF($L$76,$T113,$N113)</f>
        <v/>
      </c>
    </row>
    <row r="114">
      <c r="A114" s="145" t="n">
        <v>36</v>
      </c>
      <c r="B114" s="204">
        <f>EDATE($B113,1)</f>
        <v/>
      </c>
      <c r="C114" s="205">
        <f>EOMONTH($B114,0)</f>
        <v/>
      </c>
      <c r="D114" s="201">
        <f>$C114-$B114+1</f>
        <v/>
      </c>
      <c r="E114" s="201">
        <f>MONTH($B114)</f>
        <v/>
      </c>
      <c r="F114" s="235">
        <f>($B114+$C114+1)/2</f>
        <v/>
      </c>
      <c r="G114" s="201">
        <f>YEAR($B114)*12+MONTH($B114)-1</f>
        <v/>
      </c>
      <c r="H114" s="207">
        <f>IF(OR(nr_SeasonOn="OFF",$D$76=0,$E$76=0),1,12*INDEX(se_block,$D$76,$E114)/$E$76)</f>
        <v/>
      </c>
      <c r="I114" s="208">
        <f>EXP(SUMPRODUCT((rl_eff&lt;$B114)*(rl_key=$A$76)*rl_ln1p))</f>
        <v/>
      </c>
      <c r="J114" s="208">
        <f>EXP(SUMPRODUCT((rl_eff&lt;=$C114)*(rl_key=$A$76)*rl_ln1p))</f>
        <v/>
      </c>
      <c r="K114" s="201">
        <f>COUNTIFS(rl_key,$A$76,rl_eff,"&gt;="&amp;$B114,rl_eff,"&lt;="&amp;$C114)</f>
        <v/>
      </c>
      <c r="L114" s="201">
        <f>SUMIFS(rl_daysafter,rl_key,$A$76,rl_effmonth,$B114,rl_first,1)</f>
        <v/>
      </c>
      <c r="M114" s="209">
        <f>IF($K114=0,0,MIN(1,$L114/$D114))</f>
        <v/>
      </c>
      <c r="N114" s="208">
        <f>IF($K114=0,$J114,(1-$M114)*$I114+$M114*$J114)</f>
        <v/>
      </c>
      <c r="O114" s="209">
        <f>IF($F114&lt;$B$77,$E$77+$I$77*($F114-$A$77),IF($F114&lt;$C$77,$F$77+$J$77*($F114-$B$77),$G$77+$K$77*($F114-$C$77)))</f>
        <v/>
      </c>
      <c r="P114" s="208">
        <f>MIN(1,MAX(0,(nr_MEndPm1-$G114+0.5)/$C$76))-MIN(1,MAX(0,(nr_MStartPm1-1-$G114+0.5)/$C$76))</f>
        <v/>
      </c>
      <c r="Q114" s="208">
        <f>MIN(1,MAX(0,(nr_MEndP-$G114+0.5)/$C$76))-MIN(1,MAX(0,(nr_MStartP-1-$G114+0.5)/$C$76))</f>
        <v/>
      </c>
      <c r="R114" s="208">
        <f>MIN(1,MAX(0,(nr_MEndP1-$G114+0.5)/$C$76))-MIN(1,MAX(0,(nr_MStartP1-1-$G114+0.5)/$C$76))</f>
        <v/>
      </c>
      <c r="S114" s="208">
        <f>IF($L$76,$N114*IF($O$76=1,$O114/$F$76,1),"")</f>
        <v/>
      </c>
      <c r="T114" s="208">
        <f>IF(NOT($L$76),"",IF($G114&lt;nr_MStartP,$S114,$T102*(1+IF($G114&lt;nr_MStartP1,$M$76,$N$76))))</f>
        <v/>
      </c>
      <c r="U114" s="208">
        <f>IF($L$76,$T114,$N114)</f>
        <v/>
      </c>
    </row>
    <row r="115">
      <c r="A115" s="145" t="n">
        <v>37</v>
      </c>
      <c r="B115" s="204">
        <f>EDATE($B114,1)</f>
        <v/>
      </c>
      <c r="C115" s="205">
        <f>EOMONTH($B115,0)</f>
        <v/>
      </c>
      <c r="D115" s="201">
        <f>$C115-$B115+1</f>
        <v/>
      </c>
      <c r="E115" s="201">
        <f>MONTH($B115)</f>
        <v/>
      </c>
      <c r="F115" s="235">
        <f>($B115+$C115+1)/2</f>
        <v/>
      </c>
      <c r="G115" s="201">
        <f>YEAR($B115)*12+MONTH($B115)-1</f>
        <v/>
      </c>
      <c r="H115" s="207">
        <f>IF(OR(nr_SeasonOn="OFF",$D$76=0,$E$76=0),1,12*INDEX(se_block,$D$76,$E115)/$E$76)</f>
        <v/>
      </c>
      <c r="I115" s="208">
        <f>EXP(SUMPRODUCT((rl_eff&lt;$B115)*(rl_key=$A$76)*rl_ln1p))</f>
        <v/>
      </c>
      <c r="J115" s="208">
        <f>EXP(SUMPRODUCT((rl_eff&lt;=$C115)*(rl_key=$A$76)*rl_ln1p))</f>
        <v/>
      </c>
      <c r="K115" s="201">
        <f>COUNTIFS(rl_key,$A$76,rl_eff,"&gt;="&amp;$B115,rl_eff,"&lt;="&amp;$C115)</f>
        <v/>
      </c>
      <c r="L115" s="201">
        <f>SUMIFS(rl_daysafter,rl_key,$A$76,rl_effmonth,$B115,rl_first,1)</f>
        <v/>
      </c>
      <c r="M115" s="209">
        <f>IF($K115=0,0,MIN(1,$L115/$D115))</f>
        <v/>
      </c>
      <c r="N115" s="208">
        <f>IF($K115=0,$J115,(1-$M115)*$I115+$M115*$J115)</f>
        <v/>
      </c>
      <c r="O115" s="209">
        <f>IF($F115&lt;$B$77,$E$77+$I$77*($F115-$A$77),IF($F115&lt;$C$77,$F$77+$J$77*($F115-$B$77),$G$77+$K$77*($F115-$C$77)))</f>
        <v/>
      </c>
      <c r="P115" s="208">
        <f>MIN(1,MAX(0,(nr_MEndPm1-$G115+0.5)/$C$76))-MIN(1,MAX(0,(nr_MStartPm1-1-$G115+0.5)/$C$76))</f>
        <v/>
      </c>
      <c r="Q115" s="208">
        <f>MIN(1,MAX(0,(nr_MEndP-$G115+0.5)/$C$76))-MIN(1,MAX(0,(nr_MStartP-1-$G115+0.5)/$C$76))</f>
        <v/>
      </c>
      <c r="R115" s="208">
        <f>MIN(1,MAX(0,(nr_MEndP1-$G115+0.5)/$C$76))-MIN(1,MAX(0,(nr_MStartP1-1-$G115+0.5)/$C$76))</f>
        <v/>
      </c>
      <c r="S115" s="208">
        <f>IF($L$76,$N115*IF($O$76=1,$O115/$F$76,1),"")</f>
        <v/>
      </c>
      <c r="T115" s="208">
        <f>IF(NOT($L$76),"",IF($G115&lt;nr_MStartP,$S115,$T103*(1+IF($G115&lt;nr_MStartP1,$M$76,$N$76))))</f>
        <v/>
      </c>
      <c r="U115" s="208">
        <f>IF($L$76,$T115,$N115)</f>
        <v/>
      </c>
    </row>
    <row r="116">
      <c r="A116" s="145" t="n">
        <v>38</v>
      </c>
      <c r="B116" s="204">
        <f>EDATE($B115,1)</f>
        <v/>
      </c>
      <c r="C116" s="205">
        <f>EOMONTH($B116,0)</f>
        <v/>
      </c>
      <c r="D116" s="201">
        <f>$C116-$B116+1</f>
        <v/>
      </c>
      <c r="E116" s="201">
        <f>MONTH($B116)</f>
        <v/>
      </c>
      <c r="F116" s="235">
        <f>($B116+$C116+1)/2</f>
        <v/>
      </c>
      <c r="G116" s="201">
        <f>YEAR($B116)*12+MONTH($B116)-1</f>
        <v/>
      </c>
      <c r="H116" s="207">
        <f>IF(OR(nr_SeasonOn="OFF",$D$76=0,$E$76=0),1,12*INDEX(se_block,$D$76,$E116)/$E$76)</f>
        <v/>
      </c>
      <c r="I116" s="208">
        <f>EXP(SUMPRODUCT((rl_eff&lt;$B116)*(rl_key=$A$76)*rl_ln1p))</f>
        <v/>
      </c>
      <c r="J116" s="208">
        <f>EXP(SUMPRODUCT((rl_eff&lt;=$C116)*(rl_key=$A$76)*rl_ln1p))</f>
        <v/>
      </c>
      <c r="K116" s="201">
        <f>COUNTIFS(rl_key,$A$76,rl_eff,"&gt;="&amp;$B116,rl_eff,"&lt;="&amp;$C116)</f>
        <v/>
      </c>
      <c r="L116" s="201">
        <f>SUMIFS(rl_daysafter,rl_key,$A$76,rl_effmonth,$B116,rl_first,1)</f>
        <v/>
      </c>
      <c r="M116" s="209">
        <f>IF($K116=0,0,MIN(1,$L116/$D116))</f>
        <v/>
      </c>
      <c r="N116" s="208">
        <f>IF($K116=0,$J116,(1-$M116)*$I116+$M116*$J116)</f>
        <v/>
      </c>
      <c r="O116" s="209">
        <f>IF($F116&lt;$B$77,$E$77+$I$77*($F116-$A$77),IF($F116&lt;$C$77,$F$77+$J$77*($F116-$B$77),$G$77+$K$77*($F116-$C$77)))</f>
        <v/>
      </c>
      <c r="P116" s="208">
        <f>MIN(1,MAX(0,(nr_MEndPm1-$G116+0.5)/$C$76))-MIN(1,MAX(0,(nr_MStartPm1-1-$G116+0.5)/$C$76))</f>
        <v/>
      </c>
      <c r="Q116" s="208">
        <f>MIN(1,MAX(0,(nr_MEndP-$G116+0.5)/$C$76))-MIN(1,MAX(0,(nr_MStartP-1-$G116+0.5)/$C$76))</f>
        <v/>
      </c>
      <c r="R116" s="208">
        <f>MIN(1,MAX(0,(nr_MEndP1-$G116+0.5)/$C$76))-MIN(1,MAX(0,(nr_MStartP1-1-$G116+0.5)/$C$76))</f>
        <v/>
      </c>
      <c r="S116" s="208">
        <f>IF($L$76,$N116*IF($O$76=1,$O116/$F$76,1),"")</f>
        <v/>
      </c>
      <c r="T116" s="208">
        <f>IF(NOT($L$76),"",IF($G116&lt;nr_MStartP,$S116,$T104*(1+IF($G116&lt;nr_MStartP1,$M$76,$N$76))))</f>
        <v/>
      </c>
      <c r="U116" s="208">
        <f>IF($L$76,$T116,$N116)</f>
        <v/>
      </c>
    </row>
    <row r="117">
      <c r="A117" s="145" t="n">
        <v>39</v>
      </c>
      <c r="B117" s="204">
        <f>EDATE($B116,1)</f>
        <v/>
      </c>
      <c r="C117" s="205">
        <f>EOMONTH($B117,0)</f>
        <v/>
      </c>
      <c r="D117" s="201">
        <f>$C117-$B117+1</f>
        <v/>
      </c>
      <c r="E117" s="201">
        <f>MONTH($B117)</f>
        <v/>
      </c>
      <c r="F117" s="235">
        <f>($B117+$C117+1)/2</f>
        <v/>
      </c>
      <c r="G117" s="201">
        <f>YEAR($B117)*12+MONTH($B117)-1</f>
        <v/>
      </c>
      <c r="H117" s="207">
        <f>IF(OR(nr_SeasonOn="OFF",$D$76=0,$E$76=0),1,12*INDEX(se_block,$D$76,$E117)/$E$76)</f>
        <v/>
      </c>
      <c r="I117" s="208">
        <f>EXP(SUMPRODUCT((rl_eff&lt;$B117)*(rl_key=$A$76)*rl_ln1p))</f>
        <v/>
      </c>
      <c r="J117" s="208">
        <f>EXP(SUMPRODUCT((rl_eff&lt;=$C117)*(rl_key=$A$76)*rl_ln1p))</f>
        <v/>
      </c>
      <c r="K117" s="201">
        <f>COUNTIFS(rl_key,$A$76,rl_eff,"&gt;="&amp;$B117,rl_eff,"&lt;="&amp;$C117)</f>
        <v/>
      </c>
      <c r="L117" s="201">
        <f>SUMIFS(rl_daysafter,rl_key,$A$76,rl_effmonth,$B117,rl_first,1)</f>
        <v/>
      </c>
      <c r="M117" s="209">
        <f>IF($K117=0,0,MIN(1,$L117/$D117))</f>
        <v/>
      </c>
      <c r="N117" s="208">
        <f>IF($K117=0,$J117,(1-$M117)*$I117+$M117*$J117)</f>
        <v/>
      </c>
      <c r="O117" s="209">
        <f>IF($F117&lt;$B$77,$E$77+$I$77*($F117-$A$77),IF($F117&lt;$C$77,$F$77+$J$77*($F117-$B$77),$G$77+$K$77*($F117-$C$77)))</f>
        <v/>
      </c>
      <c r="P117" s="208">
        <f>MIN(1,MAX(0,(nr_MEndPm1-$G117+0.5)/$C$76))-MIN(1,MAX(0,(nr_MStartPm1-1-$G117+0.5)/$C$76))</f>
        <v/>
      </c>
      <c r="Q117" s="208">
        <f>MIN(1,MAX(0,(nr_MEndP-$G117+0.5)/$C$76))-MIN(1,MAX(0,(nr_MStartP-1-$G117+0.5)/$C$76))</f>
        <v/>
      </c>
      <c r="R117" s="208">
        <f>MIN(1,MAX(0,(nr_MEndP1-$G117+0.5)/$C$76))-MIN(1,MAX(0,(nr_MStartP1-1-$G117+0.5)/$C$76))</f>
        <v/>
      </c>
      <c r="S117" s="208">
        <f>IF($L$76,$N117*IF($O$76=1,$O117/$F$76,1),"")</f>
        <v/>
      </c>
      <c r="T117" s="208">
        <f>IF(NOT($L$76),"",IF($G117&lt;nr_MStartP,$S117,$T105*(1+IF($G117&lt;nr_MStartP1,$M$76,$N$76))))</f>
        <v/>
      </c>
      <c r="U117" s="208">
        <f>IF($L$76,$T117,$N117)</f>
        <v/>
      </c>
    </row>
    <row r="118">
      <c r="A118" s="145" t="n">
        <v>40</v>
      </c>
      <c r="B118" s="204">
        <f>EDATE($B117,1)</f>
        <v/>
      </c>
      <c r="C118" s="205">
        <f>EOMONTH($B118,0)</f>
        <v/>
      </c>
      <c r="D118" s="201">
        <f>$C118-$B118+1</f>
        <v/>
      </c>
      <c r="E118" s="201">
        <f>MONTH($B118)</f>
        <v/>
      </c>
      <c r="F118" s="235">
        <f>($B118+$C118+1)/2</f>
        <v/>
      </c>
      <c r="G118" s="201">
        <f>YEAR($B118)*12+MONTH($B118)-1</f>
        <v/>
      </c>
      <c r="H118" s="207">
        <f>IF(OR(nr_SeasonOn="OFF",$D$76=0,$E$76=0),1,12*INDEX(se_block,$D$76,$E118)/$E$76)</f>
        <v/>
      </c>
      <c r="I118" s="208">
        <f>EXP(SUMPRODUCT((rl_eff&lt;$B118)*(rl_key=$A$76)*rl_ln1p))</f>
        <v/>
      </c>
      <c r="J118" s="208">
        <f>EXP(SUMPRODUCT((rl_eff&lt;=$C118)*(rl_key=$A$76)*rl_ln1p))</f>
        <v/>
      </c>
      <c r="K118" s="201">
        <f>COUNTIFS(rl_key,$A$76,rl_eff,"&gt;="&amp;$B118,rl_eff,"&lt;="&amp;$C118)</f>
        <v/>
      </c>
      <c r="L118" s="201">
        <f>SUMIFS(rl_daysafter,rl_key,$A$76,rl_effmonth,$B118,rl_first,1)</f>
        <v/>
      </c>
      <c r="M118" s="209">
        <f>IF($K118=0,0,MIN(1,$L118/$D118))</f>
        <v/>
      </c>
      <c r="N118" s="208">
        <f>IF($K118=0,$J118,(1-$M118)*$I118+$M118*$J118)</f>
        <v/>
      </c>
      <c r="O118" s="209">
        <f>IF($F118&lt;$B$77,$E$77+$I$77*($F118-$A$77),IF($F118&lt;$C$77,$F$77+$J$77*($F118-$B$77),$G$77+$K$77*($F118-$C$77)))</f>
        <v/>
      </c>
      <c r="P118" s="208">
        <f>MIN(1,MAX(0,(nr_MEndPm1-$G118+0.5)/$C$76))-MIN(1,MAX(0,(nr_MStartPm1-1-$G118+0.5)/$C$76))</f>
        <v/>
      </c>
      <c r="Q118" s="208">
        <f>MIN(1,MAX(0,(nr_MEndP-$G118+0.5)/$C$76))-MIN(1,MAX(0,(nr_MStartP-1-$G118+0.5)/$C$76))</f>
        <v/>
      </c>
      <c r="R118" s="208">
        <f>MIN(1,MAX(0,(nr_MEndP1-$G118+0.5)/$C$76))-MIN(1,MAX(0,(nr_MStartP1-1-$G118+0.5)/$C$76))</f>
        <v/>
      </c>
      <c r="S118" s="208">
        <f>IF($L$76,$N118*IF($O$76=1,$O118/$F$76,1),"")</f>
        <v/>
      </c>
      <c r="T118" s="208">
        <f>IF(NOT($L$76),"",IF($G118&lt;nr_MStartP,$S118,$T106*(1+IF($G118&lt;nr_MStartP1,$M$76,$N$76))))</f>
        <v/>
      </c>
      <c r="U118" s="208">
        <f>IF($L$76,$T118,$N118)</f>
        <v/>
      </c>
    </row>
    <row r="119">
      <c r="A119" s="145" t="n">
        <v>41</v>
      </c>
      <c r="B119" s="204">
        <f>EDATE($B118,1)</f>
        <v/>
      </c>
      <c r="C119" s="205">
        <f>EOMONTH($B119,0)</f>
        <v/>
      </c>
      <c r="D119" s="201">
        <f>$C119-$B119+1</f>
        <v/>
      </c>
      <c r="E119" s="201">
        <f>MONTH($B119)</f>
        <v/>
      </c>
      <c r="F119" s="235">
        <f>($B119+$C119+1)/2</f>
        <v/>
      </c>
      <c r="G119" s="201">
        <f>YEAR($B119)*12+MONTH($B119)-1</f>
        <v/>
      </c>
      <c r="H119" s="207">
        <f>IF(OR(nr_SeasonOn="OFF",$D$76=0,$E$76=0),1,12*INDEX(se_block,$D$76,$E119)/$E$76)</f>
        <v/>
      </c>
      <c r="I119" s="208">
        <f>EXP(SUMPRODUCT((rl_eff&lt;$B119)*(rl_key=$A$76)*rl_ln1p))</f>
        <v/>
      </c>
      <c r="J119" s="208">
        <f>EXP(SUMPRODUCT((rl_eff&lt;=$C119)*(rl_key=$A$76)*rl_ln1p))</f>
        <v/>
      </c>
      <c r="K119" s="201">
        <f>COUNTIFS(rl_key,$A$76,rl_eff,"&gt;="&amp;$B119,rl_eff,"&lt;="&amp;$C119)</f>
        <v/>
      </c>
      <c r="L119" s="201">
        <f>SUMIFS(rl_daysafter,rl_key,$A$76,rl_effmonth,$B119,rl_first,1)</f>
        <v/>
      </c>
      <c r="M119" s="209">
        <f>IF($K119=0,0,MIN(1,$L119/$D119))</f>
        <v/>
      </c>
      <c r="N119" s="208">
        <f>IF($K119=0,$J119,(1-$M119)*$I119+$M119*$J119)</f>
        <v/>
      </c>
      <c r="O119" s="209">
        <f>IF($F119&lt;$B$77,$E$77+$I$77*($F119-$A$77),IF($F119&lt;$C$77,$F$77+$J$77*($F119-$B$77),$G$77+$K$77*($F119-$C$77)))</f>
        <v/>
      </c>
      <c r="P119" s="208">
        <f>MIN(1,MAX(0,(nr_MEndPm1-$G119+0.5)/$C$76))-MIN(1,MAX(0,(nr_MStartPm1-1-$G119+0.5)/$C$76))</f>
        <v/>
      </c>
      <c r="Q119" s="208">
        <f>MIN(1,MAX(0,(nr_MEndP-$G119+0.5)/$C$76))-MIN(1,MAX(0,(nr_MStartP-1-$G119+0.5)/$C$76))</f>
        <v/>
      </c>
      <c r="R119" s="208">
        <f>MIN(1,MAX(0,(nr_MEndP1-$G119+0.5)/$C$76))-MIN(1,MAX(0,(nr_MStartP1-1-$G119+0.5)/$C$76))</f>
        <v/>
      </c>
      <c r="S119" s="208">
        <f>IF($L$76,$N119*IF($O$76=1,$O119/$F$76,1),"")</f>
        <v/>
      </c>
      <c r="T119" s="208">
        <f>IF(NOT($L$76),"",IF($G119&lt;nr_MStartP,$S119,$T107*(1+IF($G119&lt;nr_MStartP1,$M$76,$N$76))))</f>
        <v/>
      </c>
      <c r="U119" s="208">
        <f>IF($L$76,$T119,$N119)</f>
        <v/>
      </c>
    </row>
    <row r="120">
      <c r="A120" s="145" t="n">
        <v>42</v>
      </c>
      <c r="B120" s="204">
        <f>EDATE($B119,1)</f>
        <v/>
      </c>
      <c r="C120" s="205">
        <f>EOMONTH($B120,0)</f>
        <v/>
      </c>
      <c r="D120" s="201">
        <f>$C120-$B120+1</f>
        <v/>
      </c>
      <c r="E120" s="201">
        <f>MONTH($B120)</f>
        <v/>
      </c>
      <c r="F120" s="235">
        <f>($B120+$C120+1)/2</f>
        <v/>
      </c>
      <c r="G120" s="201">
        <f>YEAR($B120)*12+MONTH($B120)-1</f>
        <v/>
      </c>
      <c r="H120" s="207">
        <f>IF(OR(nr_SeasonOn="OFF",$D$76=0,$E$76=0),1,12*INDEX(se_block,$D$76,$E120)/$E$76)</f>
        <v/>
      </c>
      <c r="I120" s="208">
        <f>EXP(SUMPRODUCT((rl_eff&lt;$B120)*(rl_key=$A$76)*rl_ln1p))</f>
        <v/>
      </c>
      <c r="J120" s="208">
        <f>EXP(SUMPRODUCT((rl_eff&lt;=$C120)*(rl_key=$A$76)*rl_ln1p))</f>
        <v/>
      </c>
      <c r="K120" s="201">
        <f>COUNTIFS(rl_key,$A$76,rl_eff,"&gt;="&amp;$B120,rl_eff,"&lt;="&amp;$C120)</f>
        <v/>
      </c>
      <c r="L120" s="201">
        <f>SUMIFS(rl_daysafter,rl_key,$A$76,rl_effmonth,$B120,rl_first,1)</f>
        <v/>
      </c>
      <c r="M120" s="209">
        <f>IF($K120=0,0,MIN(1,$L120/$D120))</f>
        <v/>
      </c>
      <c r="N120" s="208">
        <f>IF($K120=0,$J120,(1-$M120)*$I120+$M120*$J120)</f>
        <v/>
      </c>
      <c r="O120" s="209">
        <f>IF($F120&lt;$B$77,$E$77+$I$77*($F120-$A$77),IF($F120&lt;$C$77,$F$77+$J$77*($F120-$B$77),$G$77+$K$77*($F120-$C$77)))</f>
        <v/>
      </c>
      <c r="P120" s="208">
        <f>MIN(1,MAX(0,(nr_MEndPm1-$G120+0.5)/$C$76))-MIN(1,MAX(0,(nr_MStartPm1-1-$G120+0.5)/$C$76))</f>
        <v/>
      </c>
      <c r="Q120" s="208">
        <f>MIN(1,MAX(0,(nr_MEndP-$G120+0.5)/$C$76))-MIN(1,MAX(0,(nr_MStartP-1-$G120+0.5)/$C$76))</f>
        <v/>
      </c>
      <c r="R120" s="208">
        <f>MIN(1,MAX(0,(nr_MEndP1-$G120+0.5)/$C$76))-MIN(1,MAX(0,(nr_MStartP1-1-$G120+0.5)/$C$76))</f>
        <v/>
      </c>
      <c r="S120" s="208">
        <f>IF($L$76,$N120*IF($O$76=1,$O120/$F$76,1),"")</f>
        <v/>
      </c>
      <c r="T120" s="208">
        <f>IF(NOT($L$76),"",IF($G120&lt;nr_MStartP,$S120,$T108*(1+IF($G120&lt;nr_MStartP1,$M$76,$N$76))))</f>
        <v/>
      </c>
      <c r="U120" s="208">
        <f>IF($L$76,$T120,$N120)</f>
        <v/>
      </c>
    </row>
    <row r="121">
      <c r="A121" s="145" t="n">
        <v>43</v>
      </c>
      <c r="B121" s="204">
        <f>EDATE($B120,1)</f>
        <v/>
      </c>
      <c r="C121" s="205">
        <f>EOMONTH($B121,0)</f>
        <v/>
      </c>
      <c r="D121" s="201">
        <f>$C121-$B121+1</f>
        <v/>
      </c>
      <c r="E121" s="201">
        <f>MONTH($B121)</f>
        <v/>
      </c>
      <c r="F121" s="235">
        <f>($B121+$C121+1)/2</f>
        <v/>
      </c>
      <c r="G121" s="201">
        <f>YEAR($B121)*12+MONTH($B121)-1</f>
        <v/>
      </c>
      <c r="H121" s="207">
        <f>IF(OR(nr_SeasonOn="OFF",$D$76=0,$E$76=0),1,12*INDEX(se_block,$D$76,$E121)/$E$76)</f>
        <v/>
      </c>
      <c r="I121" s="208">
        <f>EXP(SUMPRODUCT((rl_eff&lt;$B121)*(rl_key=$A$76)*rl_ln1p))</f>
        <v/>
      </c>
      <c r="J121" s="208">
        <f>EXP(SUMPRODUCT((rl_eff&lt;=$C121)*(rl_key=$A$76)*rl_ln1p))</f>
        <v/>
      </c>
      <c r="K121" s="201">
        <f>COUNTIFS(rl_key,$A$76,rl_eff,"&gt;="&amp;$B121,rl_eff,"&lt;="&amp;$C121)</f>
        <v/>
      </c>
      <c r="L121" s="201">
        <f>SUMIFS(rl_daysafter,rl_key,$A$76,rl_effmonth,$B121,rl_first,1)</f>
        <v/>
      </c>
      <c r="M121" s="209">
        <f>IF($K121=0,0,MIN(1,$L121/$D121))</f>
        <v/>
      </c>
      <c r="N121" s="208">
        <f>IF($K121=0,$J121,(1-$M121)*$I121+$M121*$J121)</f>
        <v/>
      </c>
      <c r="O121" s="209">
        <f>IF($F121&lt;$B$77,$E$77+$I$77*($F121-$A$77),IF($F121&lt;$C$77,$F$77+$J$77*($F121-$B$77),$G$77+$K$77*($F121-$C$77)))</f>
        <v/>
      </c>
      <c r="P121" s="208">
        <f>MIN(1,MAX(0,(nr_MEndPm1-$G121+0.5)/$C$76))-MIN(1,MAX(0,(nr_MStartPm1-1-$G121+0.5)/$C$76))</f>
        <v/>
      </c>
      <c r="Q121" s="208">
        <f>MIN(1,MAX(0,(nr_MEndP-$G121+0.5)/$C$76))-MIN(1,MAX(0,(nr_MStartP-1-$G121+0.5)/$C$76))</f>
        <v/>
      </c>
      <c r="R121" s="208">
        <f>MIN(1,MAX(0,(nr_MEndP1-$G121+0.5)/$C$76))-MIN(1,MAX(0,(nr_MStartP1-1-$G121+0.5)/$C$76))</f>
        <v/>
      </c>
      <c r="S121" s="208">
        <f>IF($L$76,$N121*IF($O$76=1,$O121/$F$76,1),"")</f>
        <v/>
      </c>
      <c r="T121" s="208">
        <f>IF(NOT($L$76),"",IF($G121&lt;nr_MStartP,$S121,$T109*(1+IF($G121&lt;nr_MStartP1,$M$76,$N$76))))</f>
        <v/>
      </c>
      <c r="U121" s="208">
        <f>IF($L$76,$T121,$N121)</f>
        <v/>
      </c>
    </row>
    <row r="122">
      <c r="A122" s="145" t="n">
        <v>44</v>
      </c>
      <c r="B122" s="204">
        <f>EDATE($B121,1)</f>
        <v/>
      </c>
      <c r="C122" s="205">
        <f>EOMONTH($B122,0)</f>
        <v/>
      </c>
      <c r="D122" s="201">
        <f>$C122-$B122+1</f>
        <v/>
      </c>
      <c r="E122" s="201">
        <f>MONTH($B122)</f>
        <v/>
      </c>
      <c r="F122" s="235">
        <f>($B122+$C122+1)/2</f>
        <v/>
      </c>
      <c r="G122" s="201">
        <f>YEAR($B122)*12+MONTH($B122)-1</f>
        <v/>
      </c>
      <c r="H122" s="207">
        <f>IF(OR(nr_SeasonOn="OFF",$D$76=0,$E$76=0),1,12*INDEX(se_block,$D$76,$E122)/$E$76)</f>
        <v/>
      </c>
      <c r="I122" s="208">
        <f>EXP(SUMPRODUCT((rl_eff&lt;$B122)*(rl_key=$A$76)*rl_ln1p))</f>
        <v/>
      </c>
      <c r="J122" s="208">
        <f>EXP(SUMPRODUCT((rl_eff&lt;=$C122)*(rl_key=$A$76)*rl_ln1p))</f>
        <v/>
      </c>
      <c r="K122" s="201">
        <f>COUNTIFS(rl_key,$A$76,rl_eff,"&gt;="&amp;$B122,rl_eff,"&lt;="&amp;$C122)</f>
        <v/>
      </c>
      <c r="L122" s="201">
        <f>SUMIFS(rl_daysafter,rl_key,$A$76,rl_effmonth,$B122,rl_first,1)</f>
        <v/>
      </c>
      <c r="M122" s="209">
        <f>IF($K122=0,0,MIN(1,$L122/$D122))</f>
        <v/>
      </c>
      <c r="N122" s="208">
        <f>IF($K122=0,$J122,(1-$M122)*$I122+$M122*$J122)</f>
        <v/>
      </c>
      <c r="O122" s="209">
        <f>IF($F122&lt;$B$77,$E$77+$I$77*($F122-$A$77),IF($F122&lt;$C$77,$F$77+$J$77*($F122-$B$77),$G$77+$K$77*($F122-$C$77)))</f>
        <v/>
      </c>
      <c r="P122" s="208">
        <f>MIN(1,MAX(0,(nr_MEndPm1-$G122+0.5)/$C$76))-MIN(1,MAX(0,(nr_MStartPm1-1-$G122+0.5)/$C$76))</f>
        <v/>
      </c>
      <c r="Q122" s="208">
        <f>MIN(1,MAX(0,(nr_MEndP-$G122+0.5)/$C$76))-MIN(1,MAX(0,(nr_MStartP-1-$G122+0.5)/$C$76))</f>
        <v/>
      </c>
      <c r="R122" s="208">
        <f>MIN(1,MAX(0,(nr_MEndP1-$G122+0.5)/$C$76))-MIN(1,MAX(0,(nr_MStartP1-1-$G122+0.5)/$C$76))</f>
        <v/>
      </c>
      <c r="S122" s="208">
        <f>IF($L$76,$N122*IF($O$76=1,$O122/$F$76,1),"")</f>
        <v/>
      </c>
      <c r="T122" s="208">
        <f>IF(NOT($L$76),"",IF($G122&lt;nr_MStartP,$S122,$T110*(1+IF($G122&lt;nr_MStartP1,$M$76,$N$76))))</f>
        <v/>
      </c>
      <c r="U122" s="208">
        <f>IF($L$76,$T122,$N122)</f>
        <v/>
      </c>
    </row>
    <row r="123">
      <c r="A123" s="145" t="n">
        <v>45</v>
      </c>
      <c r="B123" s="204">
        <f>EDATE($B122,1)</f>
        <v/>
      </c>
      <c r="C123" s="205">
        <f>EOMONTH($B123,0)</f>
        <v/>
      </c>
      <c r="D123" s="201">
        <f>$C123-$B123+1</f>
        <v/>
      </c>
      <c r="E123" s="201">
        <f>MONTH($B123)</f>
        <v/>
      </c>
      <c r="F123" s="235">
        <f>($B123+$C123+1)/2</f>
        <v/>
      </c>
      <c r="G123" s="201">
        <f>YEAR($B123)*12+MONTH($B123)-1</f>
        <v/>
      </c>
      <c r="H123" s="207">
        <f>IF(OR(nr_SeasonOn="OFF",$D$76=0,$E$76=0),1,12*INDEX(se_block,$D$76,$E123)/$E$76)</f>
        <v/>
      </c>
      <c r="I123" s="208">
        <f>EXP(SUMPRODUCT((rl_eff&lt;$B123)*(rl_key=$A$76)*rl_ln1p))</f>
        <v/>
      </c>
      <c r="J123" s="208">
        <f>EXP(SUMPRODUCT((rl_eff&lt;=$C123)*(rl_key=$A$76)*rl_ln1p))</f>
        <v/>
      </c>
      <c r="K123" s="201">
        <f>COUNTIFS(rl_key,$A$76,rl_eff,"&gt;="&amp;$B123,rl_eff,"&lt;="&amp;$C123)</f>
        <v/>
      </c>
      <c r="L123" s="201">
        <f>SUMIFS(rl_daysafter,rl_key,$A$76,rl_effmonth,$B123,rl_first,1)</f>
        <v/>
      </c>
      <c r="M123" s="209">
        <f>IF($K123=0,0,MIN(1,$L123/$D123))</f>
        <v/>
      </c>
      <c r="N123" s="208">
        <f>IF($K123=0,$J123,(1-$M123)*$I123+$M123*$J123)</f>
        <v/>
      </c>
      <c r="O123" s="209">
        <f>IF($F123&lt;$B$77,$E$77+$I$77*($F123-$A$77),IF($F123&lt;$C$77,$F$77+$J$77*($F123-$B$77),$G$77+$K$77*($F123-$C$77)))</f>
        <v/>
      </c>
      <c r="P123" s="208">
        <f>MIN(1,MAX(0,(nr_MEndPm1-$G123+0.5)/$C$76))-MIN(1,MAX(0,(nr_MStartPm1-1-$G123+0.5)/$C$76))</f>
        <v/>
      </c>
      <c r="Q123" s="208">
        <f>MIN(1,MAX(0,(nr_MEndP-$G123+0.5)/$C$76))-MIN(1,MAX(0,(nr_MStartP-1-$G123+0.5)/$C$76))</f>
        <v/>
      </c>
      <c r="R123" s="208">
        <f>MIN(1,MAX(0,(nr_MEndP1-$G123+0.5)/$C$76))-MIN(1,MAX(0,(nr_MStartP1-1-$G123+0.5)/$C$76))</f>
        <v/>
      </c>
      <c r="S123" s="208">
        <f>IF($L$76,$N123*IF($O$76=1,$O123/$F$76,1),"")</f>
        <v/>
      </c>
      <c r="T123" s="208">
        <f>IF(NOT($L$76),"",IF($G123&lt;nr_MStartP,$S123,$T111*(1+IF($G123&lt;nr_MStartP1,$M$76,$N$76))))</f>
        <v/>
      </c>
      <c r="U123" s="208">
        <f>IF($L$76,$T123,$N123)</f>
        <v/>
      </c>
    </row>
    <row r="124">
      <c r="A124" s="145" t="n">
        <v>46</v>
      </c>
      <c r="B124" s="204">
        <f>EDATE($B123,1)</f>
        <v/>
      </c>
      <c r="C124" s="205">
        <f>EOMONTH($B124,0)</f>
        <v/>
      </c>
      <c r="D124" s="201">
        <f>$C124-$B124+1</f>
        <v/>
      </c>
      <c r="E124" s="201">
        <f>MONTH($B124)</f>
        <v/>
      </c>
      <c r="F124" s="235">
        <f>($B124+$C124+1)/2</f>
        <v/>
      </c>
      <c r="G124" s="201">
        <f>YEAR($B124)*12+MONTH($B124)-1</f>
        <v/>
      </c>
      <c r="H124" s="207">
        <f>IF(OR(nr_SeasonOn="OFF",$D$76=0,$E$76=0),1,12*INDEX(se_block,$D$76,$E124)/$E$76)</f>
        <v/>
      </c>
      <c r="I124" s="208">
        <f>EXP(SUMPRODUCT((rl_eff&lt;$B124)*(rl_key=$A$76)*rl_ln1p))</f>
        <v/>
      </c>
      <c r="J124" s="208">
        <f>EXP(SUMPRODUCT((rl_eff&lt;=$C124)*(rl_key=$A$76)*rl_ln1p))</f>
        <v/>
      </c>
      <c r="K124" s="201">
        <f>COUNTIFS(rl_key,$A$76,rl_eff,"&gt;="&amp;$B124,rl_eff,"&lt;="&amp;$C124)</f>
        <v/>
      </c>
      <c r="L124" s="201">
        <f>SUMIFS(rl_daysafter,rl_key,$A$76,rl_effmonth,$B124,rl_first,1)</f>
        <v/>
      </c>
      <c r="M124" s="209">
        <f>IF($K124=0,0,MIN(1,$L124/$D124))</f>
        <v/>
      </c>
      <c r="N124" s="208">
        <f>IF($K124=0,$J124,(1-$M124)*$I124+$M124*$J124)</f>
        <v/>
      </c>
      <c r="O124" s="209">
        <f>IF($F124&lt;$B$77,$E$77+$I$77*($F124-$A$77),IF($F124&lt;$C$77,$F$77+$J$77*($F124-$B$77),$G$77+$K$77*($F124-$C$77)))</f>
        <v/>
      </c>
      <c r="P124" s="208">
        <f>MIN(1,MAX(0,(nr_MEndPm1-$G124+0.5)/$C$76))-MIN(1,MAX(0,(nr_MStartPm1-1-$G124+0.5)/$C$76))</f>
        <v/>
      </c>
      <c r="Q124" s="208">
        <f>MIN(1,MAX(0,(nr_MEndP-$G124+0.5)/$C$76))-MIN(1,MAX(0,(nr_MStartP-1-$G124+0.5)/$C$76))</f>
        <v/>
      </c>
      <c r="R124" s="208">
        <f>MIN(1,MAX(0,(nr_MEndP1-$G124+0.5)/$C$76))-MIN(1,MAX(0,(nr_MStartP1-1-$G124+0.5)/$C$76))</f>
        <v/>
      </c>
      <c r="S124" s="208">
        <f>IF($L$76,$N124*IF($O$76=1,$O124/$F$76,1),"")</f>
        <v/>
      </c>
      <c r="T124" s="208">
        <f>IF(NOT($L$76),"",IF($G124&lt;nr_MStartP,$S124,$T112*(1+IF($G124&lt;nr_MStartP1,$M$76,$N$76))))</f>
        <v/>
      </c>
      <c r="U124" s="208">
        <f>IF($L$76,$T124,$N124)</f>
        <v/>
      </c>
    </row>
    <row r="125">
      <c r="A125" s="145" t="n">
        <v>47</v>
      </c>
      <c r="B125" s="204">
        <f>EDATE($B124,1)</f>
        <v/>
      </c>
      <c r="C125" s="205">
        <f>EOMONTH($B125,0)</f>
        <v/>
      </c>
      <c r="D125" s="201">
        <f>$C125-$B125+1</f>
        <v/>
      </c>
      <c r="E125" s="201">
        <f>MONTH($B125)</f>
        <v/>
      </c>
      <c r="F125" s="235">
        <f>($B125+$C125+1)/2</f>
        <v/>
      </c>
      <c r="G125" s="201">
        <f>YEAR($B125)*12+MONTH($B125)-1</f>
        <v/>
      </c>
      <c r="H125" s="207">
        <f>IF(OR(nr_SeasonOn="OFF",$D$76=0,$E$76=0),1,12*INDEX(se_block,$D$76,$E125)/$E$76)</f>
        <v/>
      </c>
      <c r="I125" s="208">
        <f>EXP(SUMPRODUCT((rl_eff&lt;$B125)*(rl_key=$A$76)*rl_ln1p))</f>
        <v/>
      </c>
      <c r="J125" s="208">
        <f>EXP(SUMPRODUCT((rl_eff&lt;=$C125)*(rl_key=$A$76)*rl_ln1p))</f>
        <v/>
      </c>
      <c r="K125" s="201">
        <f>COUNTIFS(rl_key,$A$76,rl_eff,"&gt;="&amp;$B125,rl_eff,"&lt;="&amp;$C125)</f>
        <v/>
      </c>
      <c r="L125" s="201">
        <f>SUMIFS(rl_daysafter,rl_key,$A$76,rl_effmonth,$B125,rl_first,1)</f>
        <v/>
      </c>
      <c r="M125" s="209">
        <f>IF($K125=0,0,MIN(1,$L125/$D125))</f>
        <v/>
      </c>
      <c r="N125" s="208">
        <f>IF($K125=0,$J125,(1-$M125)*$I125+$M125*$J125)</f>
        <v/>
      </c>
      <c r="O125" s="209">
        <f>IF($F125&lt;$B$77,$E$77+$I$77*($F125-$A$77),IF($F125&lt;$C$77,$F$77+$J$77*($F125-$B$77),$G$77+$K$77*($F125-$C$77)))</f>
        <v/>
      </c>
      <c r="P125" s="208">
        <f>MIN(1,MAX(0,(nr_MEndPm1-$G125+0.5)/$C$76))-MIN(1,MAX(0,(nr_MStartPm1-1-$G125+0.5)/$C$76))</f>
        <v/>
      </c>
      <c r="Q125" s="208">
        <f>MIN(1,MAX(0,(nr_MEndP-$G125+0.5)/$C$76))-MIN(1,MAX(0,(nr_MStartP-1-$G125+0.5)/$C$76))</f>
        <v/>
      </c>
      <c r="R125" s="208">
        <f>MIN(1,MAX(0,(nr_MEndP1-$G125+0.5)/$C$76))-MIN(1,MAX(0,(nr_MStartP1-1-$G125+0.5)/$C$76))</f>
        <v/>
      </c>
      <c r="S125" s="208">
        <f>IF($L$76,$N125*IF($O$76=1,$O125/$F$76,1),"")</f>
        <v/>
      </c>
      <c r="T125" s="208">
        <f>IF(NOT($L$76),"",IF($G125&lt;nr_MStartP,$S125,$T113*(1+IF($G125&lt;nr_MStartP1,$M$76,$N$76))))</f>
        <v/>
      </c>
      <c r="U125" s="208">
        <f>IF($L$76,$T125,$N125)</f>
        <v/>
      </c>
    </row>
    <row r="126">
      <c r="A126" s="145" t="n">
        <v>48</v>
      </c>
      <c r="B126" s="204">
        <f>EDATE($B125,1)</f>
        <v/>
      </c>
      <c r="C126" s="205">
        <f>EOMONTH($B126,0)</f>
        <v/>
      </c>
      <c r="D126" s="201">
        <f>$C126-$B126+1</f>
        <v/>
      </c>
      <c r="E126" s="201">
        <f>MONTH($B126)</f>
        <v/>
      </c>
      <c r="F126" s="235">
        <f>($B126+$C126+1)/2</f>
        <v/>
      </c>
      <c r="G126" s="201">
        <f>YEAR($B126)*12+MONTH($B126)-1</f>
        <v/>
      </c>
      <c r="H126" s="207">
        <f>IF(OR(nr_SeasonOn="OFF",$D$76=0,$E$76=0),1,12*INDEX(se_block,$D$76,$E126)/$E$76)</f>
        <v/>
      </c>
      <c r="I126" s="208">
        <f>EXP(SUMPRODUCT((rl_eff&lt;$B126)*(rl_key=$A$76)*rl_ln1p))</f>
        <v/>
      </c>
      <c r="J126" s="208">
        <f>EXP(SUMPRODUCT((rl_eff&lt;=$C126)*(rl_key=$A$76)*rl_ln1p))</f>
        <v/>
      </c>
      <c r="K126" s="201">
        <f>COUNTIFS(rl_key,$A$76,rl_eff,"&gt;="&amp;$B126,rl_eff,"&lt;="&amp;$C126)</f>
        <v/>
      </c>
      <c r="L126" s="201">
        <f>SUMIFS(rl_daysafter,rl_key,$A$76,rl_effmonth,$B126,rl_first,1)</f>
        <v/>
      </c>
      <c r="M126" s="209">
        <f>IF($K126=0,0,MIN(1,$L126/$D126))</f>
        <v/>
      </c>
      <c r="N126" s="208">
        <f>IF($K126=0,$J126,(1-$M126)*$I126+$M126*$J126)</f>
        <v/>
      </c>
      <c r="O126" s="209">
        <f>IF($F126&lt;$B$77,$E$77+$I$77*($F126-$A$77),IF($F126&lt;$C$77,$F$77+$J$77*($F126-$B$77),$G$77+$K$77*($F126-$C$77)))</f>
        <v/>
      </c>
      <c r="P126" s="208">
        <f>MIN(1,MAX(0,(nr_MEndPm1-$G126+0.5)/$C$76))-MIN(1,MAX(0,(nr_MStartPm1-1-$G126+0.5)/$C$76))</f>
        <v/>
      </c>
      <c r="Q126" s="208">
        <f>MIN(1,MAX(0,(nr_MEndP-$G126+0.5)/$C$76))-MIN(1,MAX(0,(nr_MStartP-1-$G126+0.5)/$C$76))</f>
        <v/>
      </c>
      <c r="R126" s="208">
        <f>MIN(1,MAX(0,(nr_MEndP1-$G126+0.5)/$C$76))-MIN(1,MAX(0,(nr_MStartP1-1-$G126+0.5)/$C$76))</f>
        <v/>
      </c>
      <c r="S126" s="208">
        <f>IF($L$76,$N126*IF($O$76=1,$O126/$F$76,1),"")</f>
        <v/>
      </c>
      <c r="T126" s="208">
        <f>IF(NOT($L$76),"",IF($G126&lt;nr_MStartP,$S126,$T114*(1+IF($G126&lt;nr_MStartP1,$M$76,$N$76))))</f>
        <v/>
      </c>
      <c r="U126" s="208">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184">
        <f>SUMPRODUCT($H$79:$H$126,$Q$79:$Q$126,$O$79:$O$126)/SUMPRODUCT($H$79:$H$126,$Q$79:$Q$126)</f>
        <v/>
      </c>
      <c r="G127" s="184">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184">
        <f>IF(N(INDEX(lr_mind,2))=0,1,INDEX(lr_mind,2))</f>
        <v/>
      </c>
      <c r="G130" s="184">
        <f>IF(N(INDEX(lr_m0,2))=0,1,INDEX(lr_m0,2))</f>
        <v/>
      </c>
      <c r="H130" s="73">
        <f>IF(N(INDEX(lr_m0asof,2))=0,DATE(nr_PlanYear-1,10,1),INDEX(lr_m0asof,2))</f>
        <v/>
      </c>
      <c r="I130" s="184">
        <f>IF(N(INDEX(lr_m1,2))=0,1,INDEX(lr_m1,2))</f>
        <v/>
      </c>
      <c r="J130" s="184">
        <f>INDEX(lr_mprior,2)</f>
        <v/>
      </c>
      <c r="K130" s="184">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145" t="n">
        <v>1</v>
      </c>
      <c r="B133" s="204">
        <f>DATE(nr_PlanYear-2,1,1)</f>
        <v/>
      </c>
      <c r="C133" s="205">
        <f>EOMONTH($B133,0)</f>
        <v/>
      </c>
      <c r="D133" s="201">
        <f>$C133-$B133+1</f>
        <v/>
      </c>
      <c r="E133" s="201">
        <f>MONTH($B133)</f>
        <v/>
      </c>
      <c r="F133" s="235">
        <f>($B133+$C133+1)/2</f>
        <v/>
      </c>
      <c r="G133" s="201">
        <f>YEAR($B133)*12+MONTH($B133)-1</f>
        <v/>
      </c>
      <c r="H133" s="207">
        <f>IF(OR(nr_SeasonOn="OFF",$D$130=0,$E$130=0),1,12*INDEX(se_block,$D$130,$E133)/$E$130)</f>
        <v/>
      </c>
      <c r="I133" s="208">
        <f>EXP(SUMPRODUCT((rl_eff&lt;$B133)*(rl_key=$A$130)*rl_ln1p))</f>
        <v/>
      </c>
      <c r="J133" s="208">
        <f>EXP(SUMPRODUCT((rl_eff&lt;=$C133)*(rl_key=$A$130)*rl_ln1p))</f>
        <v/>
      </c>
      <c r="K133" s="201">
        <f>COUNTIFS(rl_key,$A$130,rl_eff,"&gt;="&amp;$B133,rl_eff,"&lt;="&amp;$C133)</f>
        <v/>
      </c>
      <c r="L133" s="201">
        <f>SUMIFS(rl_daysafter,rl_key,$A$130,rl_effmonth,$B133,rl_first,1)</f>
        <v/>
      </c>
      <c r="M133" s="209">
        <f>IF($K133=0,0,MIN(1,$L133/$D133))</f>
        <v/>
      </c>
      <c r="N133" s="208">
        <f>IF($K133=0,$J133,(1-$M133)*$I133+$M133*$J133)</f>
        <v/>
      </c>
      <c r="O133" s="209">
        <f>IF($F133&lt;$B$131,$E$131+$I$131*($F133-$A$131),IF($F133&lt;$C$131,$F$131+$J$131*($F133-$B$131),$G$131+$K$131*($F133-$C$131)))</f>
        <v/>
      </c>
      <c r="P133" s="208">
        <f>MIN(1,MAX(0,(nr_MEndPm1-$G133+0.5)/$C$130))-MIN(1,MAX(0,(nr_MStartPm1-1-$G133+0.5)/$C$130))</f>
        <v/>
      </c>
      <c r="Q133" s="208">
        <f>MIN(1,MAX(0,(nr_MEndP-$G133+0.5)/$C$130))-MIN(1,MAX(0,(nr_MStartP-1-$G133+0.5)/$C$130))</f>
        <v/>
      </c>
      <c r="R133" s="208">
        <f>MIN(1,MAX(0,(nr_MEndP1-$G133+0.5)/$C$130))-MIN(1,MAX(0,(nr_MStartP1-1-$G133+0.5)/$C$130))</f>
        <v/>
      </c>
      <c r="S133" s="208">
        <f>IF($L$130,$N133*IF($O$130=1,$O133/$F$130,1),"")</f>
        <v/>
      </c>
      <c r="T133" s="208">
        <f>IF(NOT($L$130),"",IF($G133&lt;nr_MStartP,$S133,$T121*(1+IF($G133&lt;nr_MStartP1,$M$130,$N$130))))</f>
        <v/>
      </c>
      <c r="U133" s="208">
        <f>IF($L$130,$T133,$N133)</f>
        <v/>
      </c>
    </row>
    <row r="134">
      <c r="A134" s="145" t="n">
        <v>2</v>
      </c>
      <c r="B134" s="204">
        <f>EDATE($B133,1)</f>
        <v/>
      </c>
      <c r="C134" s="205">
        <f>EOMONTH($B134,0)</f>
        <v/>
      </c>
      <c r="D134" s="201">
        <f>$C134-$B134+1</f>
        <v/>
      </c>
      <c r="E134" s="201">
        <f>MONTH($B134)</f>
        <v/>
      </c>
      <c r="F134" s="235">
        <f>($B134+$C134+1)/2</f>
        <v/>
      </c>
      <c r="G134" s="201">
        <f>YEAR($B134)*12+MONTH($B134)-1</f>
        <v/>
      </c>
      <c r="H134" s="207">
        <f>IF(OR(nr_SeasonOn="OFF",$D$130=0,$E$130=0),1,12*INDEX(se_block,$D$130,$E134)/$E$130)</f>
        <v/>
      </c>
      <c r="I134" s="208">
        <f>EXP(SUMPRODUCT((rl_eff&lt;$B134)*(rl_key=$A$130)*rl_ln1p))</f>
        <v/>
      </c>
      <c r="J134" s="208">
        <f>EXP(SUMPRODUCT((rl_eff&lt;=$C134)*(rl_key=$A$130)*rl_ln1p))</f>
        <v/>
      </c>
      <c r="K134" s="201">
        <f>COUNTIFS(rl_key,$A$130,rl_eff,"&gt;="&amp;$B134,rl_eff,"&lt;="&amp;$C134)</f>
        <v/>
      </c>
      <c r="L134" s="201">
        <f>SUMIFS(rl_daysafter,rl_key,$A$130,rl_effmonth,$B134,rl_first,1)</f>
        <v/>
      </c>
      <c r="M134" s="209">
        <f>IF($K134=0,0,MIN(1,$L134/$D134))</f>
        <v/>
      </c>
      <c r="N134" s="208">
        <f>IF($K134=0,$J134,(1-$M134)*$I134+$M134*$J134)</f>
        <v/>
      </c>
      <c r="O134" s="209">
        <f>IF($F134&lt;$B$131,$E$131+$I$131*($F134-$A$131),IF($F134&lt;$C$131,$F$131+$J$131*($F134-$B$131),$G$131+$K$131*($F134-$C$131)))</f>
        <v/>
      </c>
      <c r="P134" s="208">
        <f>MIN(1,MAX(0,(nr_MEndPm1-$G134+0.5)/$C$130))-MIN(1,MAX(0,(nr_MStartPm1-1-$G134+0.5)/$C$130))</f>
        <v/>
      </c>
      <c r="Q134" s="208">
        <f>MIN(1,MAX(0,(nr_MEndP-$G134+0.5)/$C$130))-MIN(1,MAX(0,(nr_MStartP-1-$G134+0.5)/$C$130))</f>
        <v/>
      </c>
      <c r="R134" s="208">
        <f>MIN(1,MAX(0,(nr_MEndP1-$G134+0.5)/$C$130))-MIN(1,MAX(0,(nr_MStartP1-1-$G134+0.5)/$C$130))</f>
        <v/>
      </c>
      <c r="S134" s="208">
        <f>IF($L$130,$N134*IF($O$130=1,$O134/$F$130,1),"")</f>
        <v/>
      </c>
      <c r="T134" s="208">
        <f>IF(NOT($L$130),"",IF($G134&lt;nr_MStartP,$S134,$T122*(1+IF($G134&lt;nr_MStartP1,$M$130,$N$130))))</f>
        <v/>
      </c>
      <c r="U134" s="208">
        <f>IF($L$130,$T134,$N134)</f>
        <v/>
      </c>
    </row>
    <row r="135">
      <c r="A135" s="145" t="n">
        <v>3</v>
      </c>
      <c r="B135" s="204">
        <f>EDATE($B134,1)</f>
        <v/>
      </c>
      <c r="C135" s="205">
        <f>EOMONTH($B135,0)</f>
        <v/>
      </c>
      <c r="D135" s="201">
        <f>$C135-$B135+1</f>
        <v/>
      </c>
      <c r="E135" s="201">
        <f>MONTH($B135)</f>
        <v/>
      </c>
      <c r="F135" s="235">
        <f>($B135+$C135+1)/2</f>
        <v/>
      </c>
      <c r="G135" s="201">
        <f>YEAR($B135)*12+MONTH($B135)-1</f>
        <v/>
      </c>
      <c r="H135" s="207">
        <f>IF(OR(nr_SeasonOn="OFF",$D$130=0,$E$130=0),1,12*INDEX(se_block,$D$130,$E135)/$E$130)</f>
        <v/>
      </c>
      <c r="I135" s="208">
        <f>EXP(SUMPRODUCT((rl_eff&lt;$B135)*(rl_key=$A$130)*rl_ln1p))</f>
        <v/>
      </c>
      <c r="J135" s="208">
        <f>EXP(SUMPRODUCT((rl_eff&lt;=$C135)*(rl_key=$A$130)*rl_ln1p))</f>
        <v/>
      </c>
      <c r="K135" s="201">
        <f>COUNTIFS(rl_key,$A$130,rl_eff,"&gt;="&amp;$B135,rl_eff,"&lt;="&amp;$C135)</f>
        <v/>
      </c>
      <c r="L135" s="201">
        <f>SUMIFS(rl_daysafter,rl_key,$A$130,rl_effmonth,$B135,rl_first,1)</f>
        <v/>
      </c>
      <c r="M135" s="209">
        <f>IF($K135=0,0,MIN(1,$L135/$D135))</f>
        <v/>
      </c>
      <c r="N135" s="208">
        <f>IF($K135=0,$J135,(1-$M135)*$I135+$M135*$J135)</f>
        <v/>
      </c>
      <c r="O135" s="209">
        <f>IF($F135&lt;$B$131,$E$131+$I$131*($F135-$A$131),IF($F135&lt;$C$131,$F$131+$J$131*($F135-$B$131),$G$131+$K$131*($F135-$C$131)))</f>
        <v/>
      </c>
      <c r="P135" s="208">
        <f>MIN(1,MAX(0,(nr_MEndPm1-$G135+0.5)/$C$130))-MIN(1,MAX(0,(nr_MStartPm1-1-$G135+0.5)/$C$130))</f>
        <v/>
      </c>
      <c r="Q135" s="208">
        <f>MIN(1,MAX(0,(nr_MEndP-$G135+0.5)/$C$130))-MIN(1,MAX(0,(nr_MStartP-1-$G135+0.5)/$C$130))</f>
        <v/>
      </c>
      <c r="R135" s="208">
        <f>MIN(1,MAX(0,(nr_MEndP1-$G135+0.5)/$C$130))-MIN(1,MAX(0,(nr_MStartP1-1-$G135+0.5)/$C$130))</f>
        <v/>
      </c>
      <c r="S135" s="208">
        <f>IF($L$130,$N135*IF($O$130=1,$O135/$F$130,1),"")</f>
        <v/>
      </c>
      <c r="T135" s="208">
        <f>IF(NOT($L$130),"",IF($G135&lt;nr_MStartP,$S135,$T123*(1+IF($G135&lt;nr_MStartP1,$M$130,$N$130))))</f>
        <v/>
      </c>
      <c r="U135" s="208">
        <f>IF($L$130,$T135,$N135)</f>
        <v/>
      </c>
    </row>
    <row r="136">
      <c r="A136" s="145" t="n">
        <v>4</v>
      </c>
      <c r="B136" s="204">
        <f>EDATE($B135,1)</f>
        <v/>
      </c>
      <c r="C136" s="205">
        <f>EOMONTH($B136,0)</f>
        <v/>
      </c>
      <c r="D136" s="201">
        <f>$C136-$B136+1</f>
        <v/>
      </c>
      <c r="E136" s="201">
        <f>MONTH($B136)</f>
        <v/>
      </c>
      <c r="F136" s="235">
        <f>($B136+$C136+1)/2</f>
        <v/>
      </c>
      <c r="G136" s="201">
        <f>YEAR($B136)*12+MONTH($B136)-1</f>
        <v/>
      </c>
      <c r="H136" s="207">
        <f>IF(OR(nr_SeasonOn="OFF",$D$130=0,$E$130=0),1,12*INDEX(se_block,$D$130,$E136)/$E$130)</f>
        <v/>
      </c>
      <c r="I136" s="208">
        <f>EXP(SUMPRODUCT((rl_eff&lt;$B136)*(rl_key=$A$130)*rl_ln1p))</f>
        <v/>
      </c>
      <c r="J136" s="208">
        <f>EXP(SUMPRODUCT((rl_eff&lt;=$C136)*(rl_key=$A$130)*rl_ln1p))</f>
        <v/>
      </c>
      <c r="K136" s="201">
        <f>COUNTIFS(rl_key,$A$130,rl_eff,"&gt;="&amp;$B136,rl_eff,"&lt;="&amp;$C136)</f>
        <v/>
      </c>
      <c r="L136" s="201">
        <f>SUMIFS(rl_daysafter,rl_key,$A$130,rl_effmonth,$B136,rl_first,1)</f>
        <v/>
      </c>
      <c r="M136" s="209">
        <f>IF($K136=0,0,MIN(1,$L136/$D136))</f>
        <v/>
      </c>
      <c r="N136" s="208">
        <f>IF($K136=0,$J136,(1-$M136)*$I136+$M136*$J136)</f>
        <v/>
      </c>
      <c r="O136" s="209">
        <f>IF($F136&lt;$B$131,$E$131+$I$131*($F136-$A$131),IF($F136&lt;$C$131,$F$131+$J$131*($F136-$B$131),$G$131+$K$131*($F136-$C$131)))</f>
        <v/>
      </c>
      <c r="P136" s="208">
        <f>MIN(1,MAX(0,(nr_MEndPm1-$G136+0.5)/$C$130))-MIN(1,MAX(0,(nr_MStartPm1-1-$G136+0.5)/$C$130))</f>
        <v/>
      </c>
      <c r="Q136" s="208">
        <f>MIN(1,MAX(0,(nr_MEndP-$G136+0.5)/$C$130))-MIN(1,MAX(0,(nr_MStartP-1-$G136+0.5)/$C$130))</f>
        <v/>
      </c>
      <c r="R136" s="208">
        <f>MIN(1,MAX(0,(nr_MEndP1-$G136+0.5)/$C$130))-MIN(1,MAX(0,(nr_MStartP1-1-$G136+0.5)/$C$130))</f>
        <v/>
      </c>
      <c r="S136" s="208">
        <f>IF($L$130,$N136*IF($O$130=1,$O136/$F$130,1),"")</f>
        <v/>
      </c>
      <c r="T136" s="208">
        <f>IF(NOT($L$130),"",IF($G136&lt;nr_MStartP,$S136,$T124*(1+IF($G136&lt;nr_MStartP1,$M$130,$N$130))))</f>
        <v/>
      </c>
      <c r="U136" s="208">
        <f>IF($L$130,$T136,$N136)</f>
        <v/>
      </c>
    </row>
    <row r="137">
      <c r="A137" s="145" t="n">
        <v>5</v>
      </c>
      <c r="B137" s="204">
        <f>EDATE($B136,1)</f>
        <v/>
      </c>
      <c r="C137" s="205">
        <f>EOMONTH($B137,0)</f>
        <v/>
      </c>
      <c r="D137" s="201">
        <f>$C137-$B137+1</f>
        <v/>
      </c>
      <c r="E137" s="201">
        <f>MONTH($B137)</f>
        <v/>
      </c>
      <c r="F137" s="235">
        <f>($B137+$C137+1)/2</f>
        <v/>
      </c>
      <c r="G137" s="201">
        <f>YEAR($B137)*12+MONTH($B137)-1</f>
        <v/>
      </c>
      <c r="H137" s="207">
        <f>IF(OR(nr_SeasonOn="OFF",$D$130=0,$E$130=0),1,12*INDEX(se_block,$D$130,$E137)/$E$130)</f>
        <v/>
      </c>
      <c r="I137" s="208">
        <f>EXP(SUMPRODUCT((rl_eff&lt;$B137)*(rl_key=$A$130)*rl_ln1p))</f>
        <v/>
      </c>
      <c r="J137" s="208">
        <f>EXP(SUMPRODUCT((rl_eff&lt;=$C137)*(rl_key=$A$130)*rl_ln1p))</f>
        <v/>
      </c>
      <c r="K137" s="201">
        <f>COUNTIFS(rl_key,$A$130,rl_eff,"&gt;="&amp;$B137,rl_eff,"&lt;="&amp;$C137)</f>
        <v/>
      </c>
      <c r="L137" s="201">
        <f>SUMIFS(rl_daysafter,rl_key,$A$130,rl_effmonth,$B137,rl_first,1)</f>
        <v/>
      </c>
      <c r="M137" s="209">
        <f>IF($K137=0,0,MIN(1,$L137/$D137))</f>
        <v/>
      </c>
      <c r="N137" s="208">
        <f>IF($K137=0,$J137,(1-$M137)*$I137+$M137*$J137)</f>
        <v/>
      </c>
      <c r="O137" s="209">
        <f>IF($F137&lt;$B$131,$E$131+$I$131*($F137-$A$131),IF($F137&lt;$C$131,$F$131+$J$131*($F137-$B$131),$G$131+$K$131*($F137-$C$131)))</f>
        <v/>
      </c>
      <c r="P137" s="208">
        <f>MIN(1,MAX(0,(nr_MEndPm1-$G137+0.5)/$C$130))-MIN(1,MAX(0,(nr_MStartPm1-1-$G137+0.5)/$C$130))</f>
        <v/>
      </c>
      <c r="Q137" s="208">
        <f>MIN(1,MAX(0,(nr_MEndP-$G137+0.5)/$C$130))-MIN(1,MAX(0,(nr_MStartP-1-$G137+0.5)/$C$130))</f>
        <v/>
      </c>
      <c r="R137" s="208">
        <f>MIN(1,MAX(0,(nr_MEndP1-$G137+0.5)/$C$130))-MIN(1,MAX(0,(nr_MStartP1-1-$G137+0.5)/$C$130))</f>
        <v/>
      </c>
      <c r="S137" s="208">
        <f>IF($L$130,$N137*IF($O$130=1,$O137/$F$130,1),"")</f>
        <v/>
      </c>
      <c r="T137" s="208">
        <f>IF(NOT($L$130),"",IF($G137&lt;nr_MStartP,$S137,$T125*(1+IF($G137&lt;nr_MStartP1,$M$130,$N$130))))</f>
        <v/>
      </c>
      <c r="U137" s="208">
        <f>IF($L$130,$T137,$N137)</f>
        <v/>
      </c>
    </row>
    <row r="138">
      <c r="A138" s="145" t="n">
        <v>6</v>
      </c>
      <c r="B138" s="204">
        <f>EDATE($B137,1)</f>
        <v/>
      </c>
      <c r="C138" s="205">
        <f>EOMONTH($B138,0)</f>
        <v/>
      </c>
      <c r="D138" s="201">
        <f>$C138-$B138+1</f>
        <v/>
      </c>
      <c r="E138" s="201">
        <f>MONTH($B138)</f>
        <v/>
      </c>
      <c r="F138" s="235">
        <f>($B138+$C138+1)/2</f>
        <v/>
      </c>
      <c r="G138" s="201">
        <f>YEAR($B138)*12+MONTH($B138)-1</f>
        <v/>
      </c>
      <c r="H138" s="207">
        <f>IF(OR(nr_SeasonOn="OFF",$D$130=0,$E$130=0),1,12*INDEX(se_block,$D$130,$E138)/$E$130)</f>
        <v/>
      </c>
      <c r="I138" s="208">
        <f>EXP(SUMPRODUCT((rl_eff&lt;$B138)*(rl_key=$A$130)*rl_ln1p))</f>
        <v/>
      </c>
      <c r="J138" s="208">
        <f>EXP(SUMPRODUCT((rl_eff&lt;=$C138)*(rl_key=$A$130)*rl_ln1p))</f>
        <v/>
      </c>
      <c r="K138" s="201">
        <f>COUNTIFS(rl_key,$A$130,rl_eff,"&gt;="&amp;$B138,rl_eff,"&lt;="&amp;$C138)</f>
        <v/>
      </c>
      <c r="L138" s="201">
        <f>SUMIFS(rl_daysafter,rl_key,$A$130,rl_effmonth,$B138,rl_first,1)</f>
        <v/>
      </c>
      <c r="M138" s="209">
        <f>IF($K138=0,0,MIN(1,$L138/$D138))</f>
        <v/>
      </c>
      <c r="N138" s="208">
        <f>IF($K138=0,$J138,(1-$M138)*$I138+$M138*$J138)</f>
        <v/>
      </c>
      <c r="O138" s="209">
        <f>IF($F138&lt;$B$131,$E$131+$I$131*($F138-$A$131),IF($F138&lt;$C$131,$F$131+$J$131*($F138-$B$131),$G$131+$K$131*($F138-$C$131)))</f>
        <v/>
      </c>
      <c r="P138" s="208">
        <f>MIN(1,MAX(0,(nr_MEndPm1-$G138+0.5)/$C$130))-MIN(1,MAX(0,(nr_MStartPm1-1-$G138+0.5)/$C$130))</f>
        <v/>
      </c>
      <c r="Q138" s="208">
        <f>MIN(1,MAX(0,(nr_MEndP-$G138+0.5)/$C$130))-MIN(1,MAX(0,(nr_MStartP-1-$G138+0.5)/$C$130))</f>
        <v/>
      </c>
      <c r="R138" s="208">
        <f>MIN(1,MAX(0,(nr_MEndP1-$G138+0.5)/$C$130))-MIN(1,MAX(0,(nr_MStartP1-1-$G138+0.5)/$C$130))</f>
        <v/>
      </c>
      <c r="S138" s="208">
        <f>IF($L$130,$N138*IF($O$130=1,$O138/$F$130,1),"")</f>
        <v/>
      </c>
      <c r="T138" s="208">
        <f>IF(NOT($L$130),"",IF($G138&lt;nr_MStartP,$S138,$T126*(1+IF($G138&lt;nr_MStartP1,$M$130,$N$130))))</f>
        <v/>
      </c>
      <c r="U138" s="208">
        <f>IF($L$130,$T138,$N138)</f>
        <v/>
      </c>
    </row>
    <row r="139">
      <c r="A139" s="145" t="n">
        <v>7</v>
      </c>
      <c r="B139" s="204">
        <f>EDATE($B138,1)</f>
        <v/>
      </c>
      <c r="C139" s="205">
        <f>EOMONTH($B139,0)</f>
        <v/>
      </c>
      <c r="D139" s="201">
        <f>$C139-$B139+1</f>
        <v/>
      </c>
      <c r="E139" s="201">
        <f>MONTH($B139)</f>
        <v/>
      </c>
      <c r="F139" s="235">
        <f>($B139+$C139+1)/2</f>
        <v/>
      </c>
      <c r="G139" s="201">
        <f>YEAR($B139)*12+MONTH($B139)-1</f>
        <v/>
      </c>
      <c r="H139" s="207">
        <f>IF(OR(nr_SeasonOn="OFF",$D$130=0,$E$130=0),1,12*INDEX(se_block,$D$130,$E139)/$E$130)</f>
        <v/>
      </c>
      <c r="I139" s="208">
        <f>EXP(SUMPRODUCT((rl_eff&lt;$B139)*(rl_key=$A$130)*rl_ln1p))</f>
        <v/>
      </c>
      <c r="J139" s="208">
        <f>EXP(SUMPRODUCT((rl_eff&lt;=$C139)*(rl_key=$A$130)*rl_ln1p))</f>
        <v/>
      </c>
      <c r="K139" s="201">
        <f>COUNTIFS(rl_key,$A$130,rl_eff,"&gt;="&amp;$B139,rl_eff,"&lt;="&amp;$C139)</f>
        <v/>
      </c>
      <c r="L139" s="201">
        <f>SUMIFS(rl_daysafter,rl_key,$A$130,rl_effmonth,$B139,rl_first,1)</f>
        <v/>
      </c>
      <c r="M139" s="209">
        <f>IF($K139=0,0,MIN(1,$L139/$D139))</f>
        <v/>
      </c>
      <c r="N139" s="208">
        <f>IF($K139=0,$J139,(1-$M139)*$I139+$M139*$J139)</f>
        <v/>
      </c>
      <c r="O139" s="209">
        <f>IF($F139&lt;$B$131,$E$131+$I$131*($F139-$A$131),IF($F139&lt;$C$131,$F$131+$J$131*($F139-$B$131),$G$131+$K$131*($F139-$C$131)))</f>
        <v/>
      </c>
      <c r="P139" s="208">
        <f>MIN(1,MAX(0,(nr_MEndPm1-$G139+0.5)/$C$130))-MIN(1,MAX(0,(nr_MStartPm1-1-$G139+0.5)/$C$130))</f>
        <v/>
      </c>
      <c r="Q139" s="208">
        <f>MIN(1,MAX(0,(nr_MEndP-$G139+0.5)/$C$130))-MIN(1,MAX(0,(nr_MStartP-1-$G139+0.5)/$C$130))</f>
        <v/>
      </c>
      <c r="R139" s="208">
        <f>MIN(1,MAX(0,(nr_MEndP1-$G139+0.5)/$C$130))-MIN(1,MAX(0,(nr_MStartP1-1-$G139+0.5)/$C$130))</f>
        <v/>
      </c>
      <c r="S139" s="208">
        <f>IF($L$130,$N139*IF($O$130=1,$O139/$F$130,1),"")</f>
        <v/>
      </c>
      <c r="T139" s="208">
        <f>IF(NOT($L$130),"",IF($G139&lt;nr_MStartP,$S139,$T127*(1+IF($G139&lt;nr_MStartP1,$M$130,$N$130))))</f>
        <v/>
      </c>
      <c r="U139" s="208">
        <f>IF($L$130,$T139,$N139)</f>
        <v/>
      </c>
    </row>
    <row r="140">
      <c r="A140" s="145" t="n">
        <v>8</v>
      </c>
      <c r="B140" s="204">
        <f>EDATE($B139,1)</f>
        <v/>
      </c>
      <c r="C140" s="205">
        <f>EOMONTH($B140,0)</f>
        <v/>
      </c>
      <c r="D140" s="201">
        <f>$C140-$B140+1</f>
        <v/>
      </c>
      <c r="E140" s="201">
        <f>MONTH($B140)</f>
        <v/>
      </c>
      <c r="F140" s="235">
        <f>($B140+$C140+1)/2</f>
        <v/>
      </c>
      <c r="G140" s="201">
        <f>YEAR($B140)*12+MONTH($B140)-1</f>
        <v/>
      </c>
      <c r="H140" s="207">
        <f>IF(OR(nr_SeasonOn="OFF",$D$130=0,$E$130=0),1,12*INDEX(se_block,$D$130,$E140)/$E$130)</f>
        <v/>
      </c>
      <c r="I140" s="208">
        <f>EXP(SUMPRODUCT((rl_eff&lt;$B140)*(rl_key=$A$130)*rl_ln1p))</f>
        <v/>
      </c>
      <c r="J140" s="208">
        <f>EXP(SUMPRODUCT((rl_eff&lt;=$C140)*(rl_key=$A$130)*rl_ln1p))</f>
        <v/>
      </c>
      <c r="K140" s="201">
        <f>COUNTIFS(rl_key,$A$130,rl_eff,"&gt;="&amp;$B140,rl_eff,"&lt;="&amp;$C140)</f>
        <v/>
      </c>
      <c r="L140" s="201">
        <f>SUMIFS(rl_daysafter,rl_key,$A$130,rl_effmonth,$B140,rl_first,1)</f>
        <v/>
      </c>
      <c r="M140" s="209">
        <f>IF($K140=0,0,MIN(1,$L140/$D140))</f>
        <v/>
      </c>
      <c r="N140" s="208">
        <f>IF($K140=0,$J140,(1-$M140)*$I140+$M140*$J140)</f>
        <v/>
      </c>
      <c r="O140" s="209">
        <f>IF($F140&lt;$B$131,$E$131+$I$131*($F140-$A$131),IF($F140&lt;$C$131,$F$131+$J$131*($F140-$B$131),$G$131+$K$131*($F140-$C$131)))</f>
        <v/>
      </c>
      <c r="P140" s="208">
        <f>MIN(1,MAX(0,(nr_MEndPm1-$G140+0.5)/$C$130))-MIN(1,MAX(0,(nr_MStartPm1-1-$G140+0.5)/$C$130))</f>
        <v/>
      </c>
      <c r="Q140" s="208">
        <f>MIN(1,MAX(0,(nr_MEndP-$G140+0.5)/$C$130))-MIN(1,MAX(0,(nr_MStartP-1-$G140+0.5)/$C$130))</f>
        <v/>
      </c>
      <c r="R140" s="208">
        <f>MIN(1,MAX(0,(nr_MEndP1-$G140+0.5)/$C$130))-MIN(1,MAX(0,(nr_MStartP1-1-$G140+0.5)/$C$130))</f>
        <v/>
      </c>
      <c r="S140" s="208">
        <f>IF($L$130,$N140*IF($O$130=1,$O140/$F$130,1),"")</f>
        <v/>
      </c>
      <c r="T140" s="208">
        <f>IF(NOT($L$130),"",IF($G140&lt;nr_MStartP,$S140,$T128*(1+IF($G140&lt;nr_MStartP1,$M$130,$N$130))))</f>
        <v/>
      </c>
      <c r="U140" s="208">
        <f>IF($L$130,$T140,$N140)</f>
        <v/>
      </c>
    </row>
    <row r="141">
      <c r="A141" s="145" t="n">
        <v>9</v>
      </c>
      <c r="B141" s="204">
        <f>EDATE($B140,1)</f>
        <v/>
      </c>
      <c r="C141" s="205">
        <f>EOMONTH($B141,0)</f>
        <v/>
      </c>
      <c r="D141" s="201">
        <f>$C141-$B141+1</f>
        <v/>
      </c>
      <c r="E141" s="201">
        <f>MONTH($B141)</f>
        <v/>
      </c>
      <c r="F141" s="235">
        <f>($B141+$C141+1)/2</f>
        <v/>
      </c>
      <c r="G141" s="201">
        <f>YEAR($B141)*12+MONTH($B141)-1</f>
        <v/>
      </c>
      <c r="H141" s="207">
        <f>IF(OR(nr_SeasonOn="OFF",$D$130=0,$E$130=0),1,12*INDEX(se_block,$D$130,$E141)/$E$130)</f>
        <v/>
      </c>
      <c r="I141" s="208">
        <f>EXP(SUMPRODUCT((rl_eff&lt;$B141)*(rl_key=$A$130)*rl_ln1p))</f>
        <v/>
      </c>
      <c r="J141" s="208">
        <f>EXP(SUMPRODUCT((rl_eff&lt;=$C141)*(rl_key=$A$130)*rl_ln1p))</f>
        <v/>
      </c>
      <c r="K141" s="201">
        <f>COUNTIFS(rl_key,$A$130,rl_eff,"&gt;="&amp;$B141,rl_eff,"&lt;="&amp;$C141)</f>
        <v/>
      </c>
      <c r="L141" s="201">
        <f>SUMIFS(rl_daysafter,rl_key,$A$130,rl_effmonth,$B141,rl_first,1)</f>
        <v/>
      </c>
      <c r="M141" s="209">
        <f>IF($K141=0,0,MIN(1,$L141/$D141))</f>
        <v/>
      </c>
      <c r="N141" s="208">
        <f>IF($K141=0,$J141,(1-$M141)*$I141+$M141*$J141)</f>
        <v/>
      </c>
      <c r="O141" s="209">
        <f>IF($F141&lt;$B$131,$E$131+$I$131*($F141-$A$131),IF($F141&lt;$C$131,$F$131+$J$131*($F141-$B$131),$G$131+$K$131*($F141-$C$131)))</f>
        <v/>
      </c>
      <c r="P141" s="208">
        <f>MIN(1,MAX(0,(nr_MEndPm1-$G141+0.5)/$C$130))-MIN(1,MAX(0,(nr_MStartPm1-1-$G141+0.5)/$C$130))</f>
        <v/>
      </c>
      <c r="Q141" s="208">
        <f>MIN(1,MAX(0,(nr_MEndP-$G141+0.5)/$C$130))-MIN(1,MAX(0,(nr_MStartP-1-$G141+0.5)/$C$130))</f>
        <v/>
      </c>
      <c r="R141" s="208">
        <f>MIN(1,MAX(0,(nr_MEndP1-$G141+0.5)/$C$130))-MIN(1,MAX(0,(nr_MStartP1-1-$G141+0.5)/$C$130))</f>
        <v/>
      </c>
      <c r="S141" s="208">
        <f>IF($L$130,$N141*IF($O$130=1,$O141/$F$130,1),"")</f>
        <v/>
      </c>
      <c r="T141" s="208">
        <f>IF(NOT($L$130),"",IF($G141&lt;nr_MStartP,$S141,$T129*(1+IF($G141&lt;nr_MStartP1,$M$130,$N$130))))</f>
        <v/>
      </c>
      <c r="U141" s="208">
        <f>IF($L$130,$T141,$N141)</f>
        <v/>
      </c>
    </row>
    <row r="142">
      <c r="A142" s="145" t="n">
        <v>10</v>
      </c>
      <c r="B142" s="204">
        <f>EDATE($B141,1)</f>
        <v/>
      </c>
      <c r="C142" s="205">
        <f>EOMONTH($B142,0)</f>
        <v/>
      </c>
      <c r="D142" s="201">
        <f>$C142-$B142+1</f>
        <v/>
      </c>
      <c r="E142" s="201">
        <f>MONTH($B142)</f>
        <v/>
      </c>
      <c r="F142" s="235">
        <f>($B142+$C142+1)/2</f>
        <v/>
      </c>
      <c r="G142" s="201">
        <f>YEAR($B142)*12+MONTH($B142)-1</f>
        <v/>
      </c>
      <c r="H142" s="207">
        <f>IF(OR(nr_SeasonOn="OFF",$D$130=0,$E$130=0),1,12*INDEX(se_block,$D$130,$E142)/$E$130)</f>
        <v/>
      </c>
      <c r="I142" s="208">
        <f>EXP(SUMPRODUCT((rl_eff&lt;$B142)*(rl_key=$A$130)*rl_ln1p))</f>
        <v/>
      </c>
      <c r="J142" s="208">
        <f>EXP(SUMPRODUCT((rl_eff&lt;=$C142)*(rl_key=$A$130)*rl_ln1p))</f>
        <v/>
      </c>
      <c r="K142" s="201">
        <f>COUNTIFS(rl_key,$A$130,rl_eff,"&gt;="&amp;$B142,rl_eff,"&lt;="&amp;$C142)</f>
        <v/>
      </c>
      <c r="L142" s="201">
        <f>SUMIFS(rl_daysafter,rl_key,$A$130,rl_effmonth,$B142,rl_first,1)</f>
        <v/>
      </c>
      <c r="M142" s="209">
        <f>IF($K142=0,0,MIN(1,$L142/$D142))</f>
        <v/>
      </c>
      <c r="N142" s="208">
        <f>IF($K142=0,$J142,(1-$M142)*$I142+$M142*$J142)</f>
        <v/>
      </c>
      <c r="O142" s="209">
        <f>IF($F142&lt;$B$131,$E$131+$I$131*($F142-$A$131),IF($F142&lt;$C$131,$F$131+$J$131*($F142-$B$131),$G$131+$K$131*($F142-$C$131)))</f>
        <v/>
      </c>
      <c r="P142" s="208">
        <f>MIN(1,MAX(0,(nr_MEndPm1-$G142+0.5)/$C$130))-MIN(1,MAX(0,(nr_MStartPm1-1-$G142+0.5)/$C$130))</f>
        <v/>
      </c>
      <c r="Q142" s="208">
        <f>MIN(1,MAX(0,(nr_MEndP-$G142+0.5)/$C$130))-MIN(1,MAX(0,(nr_MStartP-1-$G142+0.5)/$C$130))</f>
        <v/>
      </c>
      <c r="R142" s="208">
        <f>MIN(1,MAX(0,(nr_MEndP1-$G142+0.5)/$C$130))-MIN(1,MAX(0,(nr_MStartP1-1-$G142+0.5)/$C$130))</f>
        <v/>
      </c>
      <c r="S142" s="208">
        <f>IF($L$130,$N142*IF($O$130=1,$O142/$F$130,1),"")</f>
        <v/>
      </c>
      <c r="T142" s="208">
        <f>IF(NOT($L$130),"",IF($G142&lt;nr_MStartP,$S142,$T130*(1+IF($G142&lt;nr_MStartP1,$M$130,$N$130))))</f>
        <v/>
      </c>
      <c r="U142" s="208">
        <f>IF($L$130,$T142,$N142)</f>
        <v/>
      </c>
    </row>
    <row r="143">
      <c r="A143" s="145" t="n">
        <v>11</v>
      </c>
      <c r="B143" s="204">
        <f>EDATE($B142,1)</f>
        <v/>
      </c>
      <c r="C143" s="205">
        <f>EOMONTH($B143,0)</f>
        <v/>
      </c>
      <c r="D143" s="201">
        <f>$C143-$B143+1</f>
        <v/>
      </c>
      <c r="E143" s="201">
        <f>MONTH($B143)</f>
        <v/>
      </c>
      <c r="F143" s="235">
        <f>($B143+$C143+1)/2</f>
        <v/>
      </c>
      <c r="G143" s="201">
        <f>YEAR($B143)*12+MONTH($B143)-1</f>
        <v/>
      </c>
      <c r="H143" s="207">
        <f>IF(OR(nr_SeasonOn="OFF",$D$130=0,$E$130=0),1,12*INDEX(se_block,$D$130,$E143)/$E$130)</f>
        <v/>
      </c>
      <c r="I143" s="208">
        <f>EXP(SUMPRODUCT((rl_eff&lt;$B143)*(rl_key=$A$130)*rl_ln1p))</f>
        <v/>
      </c>
      <c r="J143" s="208">
        <f>EXP(SUMPRODUCT((rl_eff&lt;=$C143)*(rl_key=$A$130)*rl_ln1p))</f>
        <v/>
      </c>
      <c r="K143" s="201">
        <f>COUNTIFS(rl_key,$A$130,rl_eff,"&gt;="&amp;$B143,rl_eff,"&lt;="&amp;$C143)</f>
        <v/>
      </c>
      <c r="L143" s="201">
        <f>SUMIFS(rl_daysafter,rl_key,$A$130,rl_effmonth,$B143,rl_first,1)</f>
        <v/>
      </c>
      <c r="M143" s="209">
        <f>IF($K143=0,0,MIN(1,$L143/$D143))</f>
        <v/>
      </c>
      <c r="N143" s="208">
        <f>IF($K143=0,$J143,(1-$M143)*$I143+$M143*$J143)</f>
        <v/>
      </c>
      <c r="O143" s="209">
        <f>IF($F143&lt;$B$131,$E$131+$I$131*($F143-$A$131),IF($F143&lt;$C$131,$F$131+$J$131*($F143-$B$131),$G$131+$K$131*($F143-$C$131)))</f>
        <v/>
      </c>
      <c r="P143" s="208">
        <f>MIN(1,MAX(0,(nr_MEndPm1-$G143+0.5)/$C$130))-MIN(1,MAX(0,(nr_MStartPm1-1-$G143+0.5)/$C$130))</f>
        <v/>
      </c>
      <c r="Q143" s="208">
        <f>MIN(1,MAX(0,(nr_MEndP-$G143+0.5)/$C$130))-MIN(1,MAX(0,(nr_MStartP-1-$G143+0.5)/$C$130))</f>
        <v/>
      </c>
      <c r="R143" s="208">
        <f>MIN(1,MAX(0,(nr_MEndP1-$G143+0.5)/$C$130))-MIN(1,MAX(0,(nr_MStartP1-1-$G143+0.5)/$C$130))</f>
        <v/>
      </c>
      <c r="S143" s="208">
        <f>IF($L$130,$N143*IF($O$130=1,$O143/$F$130,1),"")</f>
        <v/>
      </c>
      <c r="T143" s="208">
        <f>IF(NOT($L$130),"",IF($G143&lt;nr_MStartP,$S143,$T131*(1+IF($G143&lt;nr_MStartP1,$M$130,$N$130))))</f>
        <v/>
      </c>
      <c r="U143" s="208">
        <f>IF($L$130,$T143,$N143)</f>
        <v/>
      </c>
    </row>
    <row r="144">
      <c r="A144" s="145" t="n">
        <v>12</v>
      </c>
      <c r="B144" s="204">
        <f>EDATE($B143,1)</f>
        <v/>
      </c>
      <c r="C144" s="205">
        <f>EOMONTH($B144,0)</f>
        <v/>
      </c>
      <c r="D144" s="201">
        <f>$C144-$B144+1</f>
        <v/>
      </c>
      <c r="E144" s="201">
        <f>MONTH($B144)</f>
        <v/>
      </c>
      <c r="F144" s="235">
        <f>($B144+$C144+1)/2</f>
        <v/>
      </c>
      <c r="G144" s="201">
        <f>YEAR($B144)*12+MONTH($B144)-1</f>
        <v/>
      </c>
      <c r="H144" s="207">
        <f>IF(OR(nr_SeasonOn="OFF",$D$130=0,$E$130=0),1,12*INDEX(se_block,$D$130,$E144)/$E$130)</f>
        <v/>
      </c>
      <c r="I144" s="208">
        <f>EXP(SUMPRODUCT((rl_eff&lt;$B144)*(rl_key=$A$130)*rl_ln1p))</f>
        <v/>
      </c>
      <c r="J144" s="208">
        <f>EXP(SUMPRODUCT((rl_eff&lt;=$C144)*(rl_key=$A$130)*rl_ln1p))</f>
        <v/>
      </c>
      <c r="K144" s="201">
        <f>COUNTIFS(rl_key,$A$130,rl_eff,"&gt;="&amp;$B144,rl_eff,"&lt;="&amp;$C144)</f>
        <v/>
      </c>
      <c r="L144" s="201">
        <f>SUMIFS(rl_daysafter,rl_key,$A$130,rl_effmonth,$B144,rl_first,1)</f>
        <v/>
      </c>
      <c r="M144" s="209">
        <f>IF($K144=0,0,MIN(1,$L144/$D144))</f>
        <v/>
      </c>
      <c r="N144" s="208">
        <f>IF($K144=0,$J144,(1-$M144)*$I144+$M144*$J144)</f>
        <v/>
      </c>
      <c r="O144" s="209">
        <f>IF($F144&lt;$B$131,$E$131+$I$131*($F144-$A$131),IF($F144&lt;$C$131,$F$131+$J$131*($F144-$B$131),$G$131+$K$131*($F144-$C$131)))</f>
        <v/>
      </c>
      <c r="P144" s="208">
        <f>MIN(1,MAX(0,(nr_MEndPm1-$G144+0.5)/$C$130))-MIN(1,MAX(0,(nr_MStartPm1-1-$G144+0.5)/$C$130))</f>
        <v/>
      </c>
      <c r="Q144" s="208">
        <f>MIN(1,MAX(0,(nr_MEndP-$G144+0.5)/$C$130))-MIN(1,MAX(0,(nr_MStartP-1-$G144+0.5)/$C$130))</f>
        <v/>
      </c>
      <c r="R144" s="208">
        <f>MIN(1,MAX(0,(nr_MEndP1-$G144+0.5)/$C$130))-MIN(1,MAX(0,(nr_MStartP1-1-$G144+0.5)/$C$130))</f>
        <v/>
      </c>
      <c r="S144" s="208">
        <f>IF($L$130,$N144*IF($O$130=1,$O144/$F$130,1),"")</f>
        <v/>
      </c>
      <c r="T144" s="208">
        <f>IF(NOT($L$130),"",IF($G144&lt;nr_MStartP,$S144,$T132*(1+IF($G144&lt;nr_MStartP1,$M$130,$N$130))))</f>
        <v/>
      </c>
      <c r="U144" s="208">
        <f>IF($L$130,$T144,$N144)</f>
        <v/>
      </c>
    </row>
    <row r="145">
      <c r="A145" s="145" t="n">
        <v>13</v>
      </c>
      <c r="B145" s="204">
        <f>EDATE($B144,1)</f>
        <v/>
      </c>
      <c r="C145" s="205">
        <f>EOMONTH($B145,0)</f>
        <v/>
      </c>
      <c r="D145" s="201">
        <f>$C145-$B145+1</f>
        <v/>
      </c>
      <c r="E145" s="201">
        <f>MONTH($B145)</f>
        <v/>
      </c>
      <c r="F145" s="235">
        <f>($B145+$C145+1)/2</f>
        <v/>
      </c>
      <c r="G145" s="201">
        <f>YEAR($B145)*12+MONTH($B145)-1</f>
        <v/>
      </c>
      <c r="H145" s="207">
        <f>IF(OR(nr_SeasonOn="OFF",$D$130=0,$E$130=0),1,12*INDEX(se_block,$D$130,$E145)/$E$130)</f>
        <v/>
      </c>
      <c r="I145" s="208">
        <f>EXP(SUMPRODUCT((rl_eff&lt;$B145)*(rl_key=$A$130)*rl_ln1p))</f>
        <v/>
      </c>
      <c r="J145" s="208">
        <f>EXP(SUMPRODUCT((rl_eff&lt;=$C145)*(rl_key=$A$130)*rl_ln1p))</f>
        <v/>
      </c>
      <c r="K145" s="201">
        <f>COUNTIFS(rl_key,$A$130,rl_eff,"&gt;="&amp;$B145,rl_eff,"&lt;="&amp;$C145)</f>
        <v/>
      </c>
      <c r="L145" s="201">
        <f>SUMIFS(rl_daysafter,rl_key,$A$130,rl_effmonth,$B145,rl_first,1)</f>
        <v/>
      </c>
      <c r="M145" s="209">
        <f>IF($K145=0,0,MIN(1,$L145/$D145))</f>
        <v/>
      </c>
      <c r="N145" s="208">
        <f>IF($K145=0,$J145,(1-$M145)*$I145+$M145*$J145)</f>
        <v/>
      </c>
      <c r="O145" s="209">
        <f>IF($F145&lt;$B$131,$E$131+$I$131*($F145-$A$131),IF($F145&lt;$C$131,$F$131+$J$131*($F145-$B$131),$G$131+$K$131*($F145-$C$131)))</f>
        <v/>
      </c>
      <c r="P145" s="208">
        <f>MIN(1,MAX(0,(nr_MEndPm1-$G145+0.5)/$C$130))-MIN(1,MAX(0,(nr_MStartPm1-1-$G145+0.5)/$C$130))</f>
        <v/>
      </c>
      <c r="Q145" s="208">
        <f>MIN(1,MAX(0,(nr_MEndP-$G145+0.5)/$C$130))-MIN(1,MAX(0,(nr_MStartP-1-$G145+0.5)/$C$130))</f>
        <v/>
      </c>
      <c r="R145" s="208">
        <f>MIN(1,MAX(0,(nr_MEndP1-$G145+0.5)/$C$130))-MIN(1,MAX(0,(nr_MStartP1-1-$G145+0.5)/$C$130))</f>
        <v/>
      </c>
      <c r="S145" s="208">
        <f>IF($L$130,$N145*IF($O$130=1,$O145/$F$130,1),"")</f>
        <v/>
      </c>
      <c r="T145" s="208">
        <f>IF(NOT($L$130),"",IF($G145&lt;nr_MStartP,$S145,$T133*(1+IF($G145&lt;nr_MStartP1,$M$130,$N$130))))</f>
        <v/>
      </c>
      <c r="U145" s="208">
        <f>IF($L$130,$T145,$N145)</f>
        <v/>
      </c>
    </row>
    <row r="146">
      <c r="A146" s="145" t="n">
        <v>14</v>
      </c>
      <c r="B146" s="204">
        <f>EDATE($B145,1)</f>
        <v/>
      </c>
      <c r="C146" s="205">
        <f>EOMONTH($B146,0)</f>
        <v/>
      </c>
      <c r="D146" s="201">
        <f>$C146-$B146+1</f>
        <v/>
      </c>
      <c r="E146" s="201">
        <f>MONTH($B146)</f>
        <v/>
      </c>
      <c r="F146" s="235">
        <f>($B146+$C146+1)/2</f>
        <v/>
      </c>
      <c r="G146" s="201">
        <f>YEAR($B146)*12+MONTH($B146)-1</f>
        <v/>
      </c>
      <c r="H146" s="207">
        <f>IF(OR(nr_SeasonOn="OFF",$D$130=0,$E$130=0),1,12*INDEX(se_block,$D$130,$E146)/$E$130)</f>
        <v/>
      </c>
      <c r="I146" s="208">
        <f>EXP(SUMPRODUCT((rl_eff&lt;$B146)*(rl_key=$A$130)*rl_ln1p))</f>
        <v/>
      </c>
      <c r="J146" s="208">
        <f>EXP(SUMPRODUCT((rl_eff&lt;=$C146)*(rl_key=$A$130)*rl_ln1p))</f>
        <v/>
      </c>
      <c r="K146" s="201">
        <f>COUNTIFS(rl_key,$A$130,rl_eff,"&gt;="&amp;$B146,rl_eff,"&lt;="&amp;$C146)</f>
        <v/>
      </c>
      <c r="L146" s="201">
        <f>SUMIFS(rl_daysafter,rl_key,$A$130,rl_effmonth,$B146,rl_first,1)</f>
        <v/>
      </c>
      <c r="M146" s="209">
        <f>IF($K146=0,0,MIN(1,$L146/$D146))</f>
        <v/>
      </c>
      <c r="N146" s="208">
        <f>IF($K146=0,$J146,(1-$M146)*$I146+$M146*$J146)</f>
        <v/>
      </c>
      <c r="O146" s="209">
        <f>IF($F146&lt;$B$131,$E$131+$I$131*($F146-$A$131),IF($F146&lt;$C$131,$F$131+$J$131*($F146-$B$131),$G$131+$K$131*($F146-$C$131)))</f>
        <v/>
      </c>
      <c r="P146" s="208">
        <f>MIN(1,MAX(0,(nr_MEndPm1-$G146+0.5)/$C$130))-MIN(1,MAX(0,(nr_MStartPm1-1-$G146+0.5)/$C$130))</f>
        <v/>
      </c>
      <c r="Q146" s="208">
        <f>MIN(1,MAX(0,(nr_MEndP-$G146+0.5)/$C$130))-MIN(1,MAX(0,(nr_MStartP-1-$G146+0.5)/$C$130))</f>
        <v/>
      </c>
      <c r="R146" s="208">
        <f>MIN(1,MAX(0,(nr_MEndP1-$G146+0.5)/$C$130))-MIN(1,MAX(0,(nr_MStartP1-1-$G146+0.5)/$C$130))</f>
        <v/>
      </c>
      <c r="S146" s="208">
        <f>IF($L$130,$N146*IF($O$130=1,$O146/$F$130,1),"")</f>
        <v/>
      </c>
      <c r="T146" s="208">
        <f>IF(NOT($L$130),"",IF($G146&lt;nr_MStartP,$S146,$T134*(1+IF($G146&lt;nr_MStartP1,$M$130,$N$130))))</f>
        <v/>
      </c>
      <c r="U146" s="208">
        <f>IF($L$130,$T146,$N146)</f>
        <v/>
      </c>
    </row>
    <row r="147">
      <c r="A147" s="145" t="n">
        <v>15</v>
      </c>
      <c r="B147" s="204">
        <f>EDATE($B146,1)</f>
        <v/>
      </c>
      <c r="C147" s="205">
        <f>EOMONTH($B147,0)</f>
        <v/>
      </c>
      <c r="D147" s="201">
        <f>$C147-$B147+1</f>
        <v/>
      </c>
      <c r="E147" s="201">
        <f>MONTH($B147)</f>
        <v/>
      </c>
      <c r="F147" s="235">
        <f>($B147+$C147+1)/2</f>
        <v/>
      </c>
      <c r="G147" s="201">
        <f>YEAR($B147)*12+MONTH($B147)-1</f>
        <v/>
      </c>
      <c r="H147" s="207">
        <f>IF(OR(nr_SeasonOn="OFF",$D$130=0,$E$130=0),1,12*INDEX(se_block,$D$130,$E147)/$E$130)</f>
        <v/>
      </c>
      <c r="I147" s="208">
        <f>EXP(SUMPRODUCT((rl_eff&lt;$B147)*(rl_key=$A$130)*rl_ln1p))</f>
        <v/>
      </c>
      <c r="J147" s="208">
        <f>EXP(SUMPRODUCT((rl_eff&lt;=$C147)*(rl_key=$A$130)*rl_ln1p))</f>
        <v/>
      </c>
      <c r="K147" s="201">
        <f>COUNTIFS(rl_key,$A$130,rl_eff,"&gt;="&amp;$B147,rl_eff,"&lt;="&amp;$C147)</f>
        <v/>
      </c>
      <c r="L147" s="201">
        <f>SUMIFS(rl_daysafter,rl_key,$A$130,rl_effmonth,$B147,rl_first,1)</f>
        <v/>
      </c>
      <c r="M147" s="209">
        <f>IF($K147=0,0,MIN(1,$L147/$D147))</f>
        <v/>
      </c>
      <c r="N147" s="208">
        <f>IF($K147=0,$J147,(1-$M147)*$I147+$M147*$J147)</f>
        <v/>
      </c>
      <c r="O147" s="209">
        <f>IF($F147&lt;$B$131,$E$131+$I$131*($F147-$A$131),IF($F147&lt;$C$131,$F$131+$J$131*($F147-$B$131),$G$131+$K$131*($F147-$C$131)))</f>
        <v/>
      </c>
      <c r="P147" s="208">
        <f>MIN(1,MAX(0,(nr_MEndPm1-$G147+0.5)/$C$130))-MIN(1,MAX(0,(nr_MStartPm1-1-$G147+0.5)/$C$130))</f>
        <v/>
      </c>
      <c r="Q147" s="208">
        <f>MIN(1,MAX(0,(nr_MEndP-$G147+0.5)/$C$130))-MIN(1,MAX(0,(nr_MStartP-1-$G147+0.5)/$C$130))</f>
        <v/>
      </c>
      <c r="R147" s="208">
        <f>MIN(1,MAX(0,(nr_MEndP1-$G147+0.5)/$C$130))-MIN(1,MAX(0,(nr_MStartP1-1-$G147+0.5)/$C$130))</f>
        <v/>
      </c>
      <c r="S147" s="208">
        <f>IF($L$130,$N147*IF($O$130=1,$O147/$F$130,1),"")</f>
        <v/>
      </c>
      <c r="T147" s="208">
        <f>IF(NOT($L$130),"",IF($G147&lt;nr_MStartP,$S147,$T135*(1+IF($G147&lt;nr_MStartP1,$M$130,$N$130))))</f>
        <v/>
      </c>
      <c r="U147" s="208">
        <f>IF($L$130,$T147,$N147)</f>
        <v/>
      </c>
    </row>
    <row r="148">
      <c r="A148" s="145" t="n">
        <v>16</v>
      </c>
      <c r="B148" s="204">
        <f>EDATE($B147,1)</f>
        <v/>
      </c>
      <c r="C148" s="205">
        <f>EOMONTH($B148,0)</f>
        <v/>
      </c>
      <c r="D148" s="201">
        <f>$C148-$B148+1</f>
        <v/>
      </c>
      <c r="E148" s="201">
        <f>MONTH($B148)</f>
        <v/>
      </c>
      <c r="F148" s="235">
        <f>($B148+$C148+1)/2</f>
        <v/>
      </c>
      <c r="G148" s="201">
        <f>YEAR($B148)*12+MONTH($B148)-1</f>
        <v/>
      </c>
      <c r="H148" s="207">
        <f>IF(OR(nr_SeasonOn="OFF",$D$130=0,$E$130=0),1,12*INDEX(se_block,$D$130,$E148)/$E$130)</f>
        <v/>
      </c>
      <c r="I148" s="208">
        <f>EXP(SUMPRODUCT((rl_eff&lt;$B148)*(rl_key=$A$130)*rl_ln1p))</f>
        <v/>
      </c>
      <c r="J148" s="208">
        <f>EXP(SUMPRODUCT((rl_eff&lt;=$C148)*(rl_key=$A$130)*rl_ln1p))</f>
        <v/>
      </c>
      <c r="K148" s="201">
        <f>COUNTIFS(rl_key,$A$130,rl_eff,"&gt;="&amp;$B148,rl_eff,"&lt;="&amp;$C148)</f>
        <v/>
      </c>
      <c r="L148" s="201">
        <f>SUMIFS(rl_daysafter,rl_key,$A$130,rl_effmonth,$B148,rl_first,1)</f>
        <v/>
      </c>
      <c r="M148" s="209">
        <f>IF($K148=0,0,MIN(1,$L148/$D148))</f>
        <v/>
      </c>
      <c r="N148" s="208">
        <f>IF($K148=0,$J148,(1-$M148)*$I148+$M148*$J148)</f>
        <v/>
      </c>
      <c r="O148" s="209">
        <f>IF($F148&lt;$B$131,$E$131+$I$131*($F148-$A$131),IF($F148&lt;$C$131,$F$131+$J$131*($F148-$B$131),$G$131+$K$131*($F148-$C$131)))</f>
        <v/>
      </c>
      <c r="P148" s="208">
        <f>MIN(1,MAX(0,(nr_MEndPm1-$G148+0.5)/$C$130))-MIN(1,MAX(0,(nr_MStartPm1-1-$G148+0.5)/$C$130))</f>
        <v/>
      </c>
      <c r="Q148" s="208">
        <f>MIN(1,MAX(0,(nr_MEndP-$G148+0.5)/$C$130))-MIN(1,MAX(0,(nr_MStartP-1-$G148+0.5)/$C$130))</f>
        <v/>
      </c>
      <c r="R148" s="208">
        <f>MIN(1,MAX(0,(nr_MEndP1-$G148+0.5)/$C$130))-MIN(1,MAX(0,(nr_MStartP1-1-$G148+0.5)/$C$130))</f>
        <v/>
      </c>
      <c r="S148" s="208">
        <f>IF($L$130,$N148*IF($O$130=1,$O148/$F$130,1),"")</f>
        <v/>
      </c>
      <c r="T148" s="208">
        <f>IF(NOT($L$130),"",IF($G148&lt;nr_MStartP,$S148,$T136*(1+IF($G148&lt;nr_MStartP1,$M$130,$N$130))))</f>
        <v/>
      </c>
      <c r="U148" s="208">
        <f>IF($L$130,$T148,$N148)</f>
        <v/>
      </c>
    </row>
    <row r="149">
      <c r="A149" s="145" t="n">
        <v>17</v>
      </c>
      <c r="B149" s="204">
        <f>EDATE($B148,1)</f>
        <v/>
      </c>
      <c r="C149" s="205">
        <f>EOMONTH($B149,0)</f>
        <v/>
      </c>
      <c r="D149" s="201">
        <f>$C149-$B149+1</f>
        <v/>
      </c>
      <c r="E149" s="201">
        <f>MONTH($B149)</f>
        <v/>
      </c>
      <c r="F149" s="235">
        <f>($B149+$C149+1)/2</f>
        <v/>
      </c>
      <c r="G149" s="201">
        <f>YEAR($B149)*12+MONTH($B149)-1</f>
        <v/>
      </c>
      <c r="H149" s="207">
        <f>IF(OR(nr_SeasonOn="OFF",$D$130=0,$E$130=0),1,12*INDEX(se_block,$D$130,$E149)/$E$130)</f>
        <v/>
      </c>
      <c r="I149" s="208">
        <f>EXP(SUMPRODUCT((rl_eff&lt;$B149)*(rl_key=$A$130)*rl_ln1p))</f>
        <v/>
      </c>
      <c r="J149" s="208">
        <f>EXP(SUMPRODUCT((rl_eff&lt;=$C149)*(rl_key=$A$130)*rl_ln1p))</f>
        <v/>
      </c>
      <c r="K149" s="201">
        <f>COUNTIFS(rl_key,$A$130,rl_eff,"&gt;="&amp;$B149,rl_eff,"&lt;="&amp;$C149)</f>
        <v/>
      </c>
      <c r="L149" s="201">
        <f>SUMIFS(rl_daysafter,rl_key,$A$130,rl_effmonth,$B149,rl_first,1)</f>
        <v/>
      </c>
      <c r="M149" s="209">
        <f>IF($K149=0,0,MIN(1,$L149/$D149))</f>
        <v/>
      </c>
      <c r="N149" s="208">
        <f>IF($K149=0,$J149,(1-$M149)*$I149+$M149*$J149)</f>
        <v/>
      </c>
      <c r="O149" s="209">
        <f>IF($F149&lt;$B$131,$E$131+$I$131*($F149-$A$131),IF($F149&lt;$C$131,$F$131+$J$131*($F149-$B$131),$G$131+$K$131*($F149-$C$131)))</f>
        <v/>
      </c>
      <c r="P149" s="208">
        <f>MIN(1,MAX(0,(nr_MEndPm1-$G149+0.5)/$C$130))-MIN(1,MAX(0,(nr_MStartPm1-1-$G149+0.5)/$C$130))</f>
        <v/>
      </c>
      <c r="Q149" s="208">
        <f>MIN(1,MAX(0,(nr_MEndP-$G149+0.5)/$C$130))-MIN(1,MAX(0,(nr_MStartP-1-$G149+0.5)/$C$130))</f>
        <v/>
      </c>
      <c r="R149" s="208">
        <f>MIN(1,MAX(0,(nr_MEndP1-$G149+0.5)/$C$130))-MIN(1,MAX(0,(nr_MStartP1-1-$G149+0.5)/$C$130))</f>
        <v/>
      </c>
      <c r="S149" s="208">
        <f>IF($L$130,$N149*IF($O$130=1,$O149/$F$130,1),"")</f>
        <v/>
      </c>
      <c r="T149" s="208">
        <f>IF(NOT($L$130),"",IF($G149&lt;nr_MStartP,$S149,$T137*(1+IF($G149&lt;nr_MStartP1,$M$130,$N$130))))</f>
        <v/>
      </c>
      <c r="U149" s="208">
        <f>IF($L$130,$T149,$N149)</f>
        <v/>
      </c>
    </row>
    <row r="150">
      <c r="A150" s="145" t="n">
        <v>18</v>
      </c>
      <c r="B150" s="204">
        <f>EDATE($B149,1)</f>
        <v/>
      </c>
      <c r="C150" s="205">
        <f>EOMONTH($B150,0)</f>
        <v/>
      </c>
      <c r="D150" s="201">
        <f>$C150-$B150+1</f>
        <v/>
      </c>
      <c r="E150" s="201">
        <f>MONTH($B150)</f>
        <v/>
      </c>
      <c r="F150" s="235">
        <f>($B150+$C150+1)/2</f>
        <v/>
      </c>
      <c r="G150" s="201">
        <f>YEAR($B150)*12+MONTH($B150)-1</f>
        <v/>
      </c>
      <c r="H150" s="207">
        <f>IF(OR(nr_SeasonOn="OFF",$D$130=0,$E$130=0),1,12*INDEX(se_block,$D$130,$E150)/$E$130)</f>
        <v/>
      </c>
      <c r="I150" s="208">
        <f>EXP(SUMPRODUCT((rl_eff&lt;$B150)*(rl_key=$A$130)*rl_ln1p))</f>
        <v/>
      </c>
      <c r="J150" s="208">
        <f>EXP(SUMPRODUCT((rl_eff&lt;=$C150)*(rl_key=$A$130)*rl_ln1p))</f>
        <v/>
      </c>
      <c r="K150" s="201">
        <f>COUNTIFS(rl_key,$A$130,rl_eff,"&gt;="&amp;$B150,rl_eff,"&lt;="&amp;$C150)</f>
        <v/>
      </c>
      <c r="L150" s="201">
        <f>SUMIFS(rl_daysafter,rl_key,$A$130,rl_effmonth,$B150,rl_first,1)</f>
        <v/>
      </c>
      <c r="M150" s="209">
        <f>IF($K150=0,0,MIN(1,$L150/$D150))</f>
        <v/>
      </c>
      <c r="N150" s="208">
        <f>IF($K150=0,$J150,(1-$M150)*$I150+$M150*$J150)</f>
        <v/>
      </c>
      <c r="O150" s="209">
        <f>IF($F150&lt;$B$131,$E$131+$I$131*($F150-$A$131),IF($F150&lt;$C$131,$F$131+$J$131*($F150-$B$131),$G$131+$K$131*($F150-$C$131)))</f>
        <v/>
      </c>
      <c r="P150" s="208">
        <f>MIN(1,MAX(0,(nr_MEndPm1-$G150+0.5)/$C$130))-MIN(1,MAX(0,(nr_MStartPm1-1-$G150+0.5)/$C$130))</f>
        <v/>
      </c>
      <c r="Q150" s="208">
        <f>MIN(1,MAX(0,(nr_MEndP-$G150+0.5)/$C$130))-MIN(1,MAX(0,(nr_MStartP-1-$G150+0.5)/$C$130))</f>
        <v/>
      </c>
      <c r="R150" s="208">
        <f>MIN(1,MAX(0,(nr_MEndP1-$G150+0.5)/$C$130))-MIN(1,MAX(0,(nr_MStartP1-1-$G150+0.5)/$C$130))</f>
        <v/>
      </c>
      <c r="S150" s="208">
        <f>IF($L$130,$N150*IF($O$130=1,$O150/$F$130,1),"")</f>
        <v/>
      </c>
      <c r="T150" s="208">
        <f>IF(NOT($L$130),"",IF($G150&lt;nr_MStartP,$S150,$T138*(1+IF($G150&lt;nr_MStartP1,$M$130,$N$130))))</f>
        <v/>
      </c>
      <c r="U150" s="208">
        <f>IF($L$130,$T150,$N150)</f>
        <v/>
      </c>
    </row>
    <row r="151">
      <c r="A151" s="145" t="n">
        <v>19</v>
      </c>
      <c r="B151" s="204">
        <f>EDATE($B150,1)</f>
        <v/>
      </c>
      <c r="C151" s="205">
        <f>EOMONTH($B151,0)</f>
        <v/>
      </c>
      <c r="D151" s="201">
        <f>$C151-$B151+1</f>
        <v/>
      </c>
      <c r="E151" s="201">
        <f>MONTH($B151)</f>
        <v/>
      </c>
      <c r="F151" s="235">
        <f>($B151+$C151+1)/2</f>
        <v/>
      </c>
      <c r="G151" s="201">
        <f>YEAR($B151)*12+MONTH($B151)-1</f>
        <v/>
      </c>
      <c r="H151" s="207">
        <f>IF(OR(nr_SeasonOn="OFF",$D$130=0,$E$130=0),1,12*INDEX(se_block,$D$130,$E151)/$E$130)</f>
        <v/>
      </c>
      <c r="I151" s="208">
        <f>EXP(SUMPRODUCT((rl_eff&lt;$B151)*(rl_key=$A$130)*rl_ln1p))</f>
        <v/>
      </c>
      <c r="J151" s="208">
        <f>EXP(SUMPRODUCT((rl_eff&lt;=$C151)*(rl_key=$A$130)*rl_ln1p))</f>
        <v/>
      </c>
      <c r="K151" s="201">
        <f>COUNTIFS(rl_key,$A$130,rl_eff,"&gt;="&amp;$B151,rl_eff,"&lt;="&amp;$C151)</f>
        <v/>
      </c>
      <c r="L151" s="201">
        <f>SUMIFS(rl_daysafter,rl_key,$A$130,rl_effmonth,$B151,rl_first,1)</f>
        <v/>
      </c>
      <c r="M151" s="209">
        <f>IF($K151=0,0,MIN(1,$L151/$D151))</f>
        <v/>
      </c>
      <c r="N151" s="208">
        <f>IF($K151=0,$J151,(1-$M151)*$I151+$M151*$J151)</f>
        <v/>
      </c>
      <c r="O151" s="209">
        <f>IF($F151&lt;$B$131,$E$131+$I$131*($F151-$A$131),IF($F151&lt;$C$131,$F$131+$J$131*($F151-$B$131),$G$131+$K$131*($F151-$C$131)))</f>
        <v/>
      </c>
      <c r="P151" s="208">
        <f>MIN(1,MAX(0,(nr_MEndPm1-$G151+0.5)/$C$130))-MIN(1,MAX(0,(nr_MStartPm1-1-$G151+0.5)/$C$130))</f>
        <v/>
      </c>
      <c r="Q151" s="208">
        <f>MIN(1,MAX(0,(nr_MEndP-$G151+0.5)/$C$130))-MIN(1,MAX(0,(nr_MStartP-1-$G151+0.5)/$C$130))</f>
        <v/>
      </c>
      <c r="R151" s="208">
        <f>MIN(1,MAX(0,(nr_MEndP1-$G151+0.5)/$C$130))-MIN(1,MAX(0,(nr_MStartP1-1-$G151+0.5)/$C$130))</f>
        <v/>
      </c>
      <c r="S151" s="208">
        <f>IF($L$130,$N151*IF($O$130=1,$O151/$F$130,1),"")</f>
        <v/>
      </c>
      <c r="T151" s="208">
        <f>IF(NOT($L$130),"",IF($G151&lt;nr_MStartP,$S151,$T139*(1+IF($G151&lt;nr_MStartP1,$M$130,$N$130))))</f>
        <v/>
      </c>
      <c r="U151" s="208">
        <f>IF($L$130,$T151,$N151)</f>
        <v/>
      </c>
    </row>
    <row r="152">
      <c r="A152" s="145" t="n">
        <v>20</v>
      </c>
      <c r="B152" s="204">
        <f>EDATE($B151,1)</f>
        <v/>
      </c>
      <c r="C152" s="205">
        <f>EOMONTH($B152,0)</f>
        <v/>
      </c>
      <c r="D152" s="201">
        <f>$C152-$B152+1</f>
        <v/>
      </c>
      <c r="E152" s="201">
        <f>MONTH($B152)</f>
        <v/>
      </c>
      <c r="F152" s="235">
        <f>($B152+$C152+1)/2</f>
        <v/>
      </c>
      <c r="G152" s="201">
        <f>YEAR($B152)*12+MONTH($B152)-1</f>
        <v/>
      </c>
      <c r="H152" s="207">
        <f>IF(OR(nr_SeasonOn="OFF",$D$130=0,$E$130=0),1,12*INDEX(se_block,$D$130,$E152)/$E$130)</f>
        <v/>
      </c>
      <c r="I152" s="208">
        <f>EXP(SUMPRODUCT((rl_eff&lt;$B152)*(rl_key=$A$130)*rl_ln1p))</f>
        <v/>
      </c>
      <c r="J152" s="208">
        <f>EXP(SUMPRODUCT((rl_eff&lt;=$C152)*(rl_key=$A$130)*rl_ln1p))</f>
        <v/>
      </c>
      <c r="K152" s="201">
        <f>COUNTIFS(rl_key,$A$130,rl_eff,"&gt;="&amp;$B152,rl_eff,"&lt;="&amp;$C152)</f>
        <v/>
      </c>
      <c r="L152" s="201">
        <f>SUMIFS(rl_daysafter,rl_key,$A$130,rl_effmonth,$B152,rl_first,1)</f>
        <v/>
      </c>
      <c r="M152" s="209">
        <f>IF($K152=0,0,MIN(1,$L152/$D152))</f>
        <v/>
      </c>
      <c r="N152" s="208">
        <f>IF($K152=0,$J152,(1-$M152)*$I152+$M152*$J152)</f>
        <v/>
      </c>
      <c r="O152" s="209">
        <f>IF($F152&lt;$B$131,$E$131+$I$131*($F152-$A$131),IF($F152&lt;$C$131,$F$131+$J$131*($F152-$B$131),$G$131+$K$131*($F152-$C$131)))</f>
        <v/>
      </c>
      <c r="P152" s="208">
        <f>MIN(1,MAX(0,(nr_MEndPm1-$G152+0.5)/$C$130))-MIN(1,MAX(0,(nr_MStartPm1-1-$G152+0.5)/$C$130))</f>
        <v/>
      </c>
      <c r="Q152" s="208">
        <f>MIN(1,MAX(0,(nr_MEndP-$G152+0.5)/$C$130))-MIN(1,MAX(0,(nr_MStartP-1-$G152+0.5)/$C$130))</f>
        <v/>
      </c>
      <c r="R152" s="208">
        <f>MIN(1,MAX(0,(nr_MEndP1-$G152+0.5)/$C$130))-MIN(1,MAX(0,(nr_MStartP1-1-$G152+0.5)/$C$130))</f>
        <v/>
      </c>
      <c r="S152" s="208">
        <f>IF($L$130,$N152*IF($O$130=1,$O152/$F$130,1),"")</f>
        <v/>
      </c>
      <c r="T152" s="208">
        <f>IF(NOT($L$130),"",IF($G152&lt;nr_MStartP,$S152,$T140*(1+IF($G152&lt;nr_MStartP1,$M$130,$N$130))))</f>
        <v/>
      </c>
      <c r="U152" s="208">
        <f>IF($L$130,$T152,$N152)</f>
        <v/>
      </c>
    </row>
    <row r="153">
      <c r="A153" s="145" t="n">
        <v>21</v>
      </c>
      <c r="B153" s="204">
        <f>EDATE($B152,1)</f>
        <v/>
      </c>
      <c r="C153" s="205">
        <f>EOMONTH($B153,0)</f>
        <v/>
      </c>
      <c r="D153" s="201">
        <f>$C153-$B153+1</f>
        <v/>
      </c>
      <c r="E153" s="201">
        <f>MONTH($B153)</f>
        <v/>
      </c>
      <c r="F153" s="235">
        <f>($B153+$C153+1)/2</f>
        <v/>
      </c>
      <c r="G153" s="201">
        <f>YEAR($B153)*12+MONTH($B153)-1</f>
        <v/>
      </c>
      <c r="H153" s="207">
        <f>IF(OR(nr_SeasonOn="OFF",$D$130=0,$E$130=0),1,12*INDEX(se_block,$D$130,$E153)/$E$130)</f>
        <v/>
      </c>
      <c r="I153" s="208">
        <f>EXP(SUMPRODUCT((rl_eff&lt;$B153)*(rl_key=$A$130)*rl_ln1p))</f>
        <v/>
      </c>
      <c r="J153" s="208">
        <f>EXP(SUMPRODUCT((rl_eff&lt;=$C153)*(rl_key=$A$130)*rl_ln1p))</f>
        <v/>
      </c>
      <c r="K153" s="201">
        <f>COUNTIFS(rl_key,$A$130,rl_eff,"&gt;="&amp;$B153,rl_eff,"&lt;="&amp;$C153)</f>
        <v/>
      </c>
      <c r="L153" s="201">
        <f>SUMIFS(rl_daysafter,rl_key,$A$130,rl_effmonth,$B153,rl_first,1)</f>
        <v/>
      </c>
      <c r="M153" s="209">
        <f>IF($K153=0,0,MIN(1,$L153/$D153))</f>
        <v/>
      </c>
      <c r="N153" s="208">
        <f>IF($K153=0,$J153,(1-$M153)*$I153+$M153*$J153)</f>
        <v/>
      </c>
      <c r="O153" s="209">
        <f>IF($F153&lt;$B$131,$E$131+$I$131*($F153-$A$131),IF($F153&lt;$C$131,$F$131+$J$131*($F153-$B$131),$G$131+$K$131*($F153-$C$131)))</f>
        <v/>
      </c>
      <c r="P153" s="208">
        <f>MIN(1,MAX(0,(nr_MEndPm1-$G153+0.5)/$C$130))-MIN(1,MAX(0,(nr_MStartPm1-1-$G153+0.5)/$C$130))</f>
        <v/>
      </c>
      <c r="Q153" s="208">
        <f>MIN(1,MAX(0,(nr_MEndP-$G153+0.5)/$C$130))-MIN(1,MAX(0,(nr_MStartP-1-$G153+0.5)/$C$130))</f>
        <v/>
      </c>
      <c r="R153" s="208">
        <f>MIN(1,MAX(0,(nr_MEndP1-$G153+0.5)/$C$130))-MIN(1,MAX(0,(nr_MStartP1-1-$G153+0.5)/$C$130))</f>
        <v/>
      </c>
      <c r="S153" s="208">
        <f>IF($L$130,$N153*IF($O$130=1,$O153/$F$130,1),"")</f>
        <v/>
      </c>
      <c r="T153" s="208">
        <f>IF(NOT($L$130),"",IF($G153&lt;nr_MStartP,$S153,$T141*(1+IF($G153&lt;nr_MStartP1,$M$130,$N$130))))</f>
        <v/>
      </c>
      <c r="U153" s="208">
        <f>IF($L$130,$T153,$N153)</f>
        <v/>
      </c>
    </row>
    <row r="154">
      <c r="A154" s="145" t="n">
        <v>22</v>
      </c>
      <c r="B154" s="204">
        <f>EDATE($B153,1)</f>
        <v/>
      </c>
      <c r="C154" s="205">
        <f>EOMONTH($B154,0)</f>
        <v/>
      </c>
      <c r="D154" s="201">
        <f>$C154-$B154+1</f>
        <v/>
      </c>
      <c r="E154" s="201">
        <f>MONTH($B154)</f>
        <v/>
      </c>
      <c r="F154" s="235">
        <f>($B154+$C154+1)/2</f>
        <v/>
      </c>
      <c r="G154" s="201">
        <f>YEAR($B154)*12+MONTH($B154)-1</f>
        <v/>
      </c>
      <c r="H154" s="207">
        <f>IF(OR(nr_SeasonOn="OFF",$D$130=0,$E$130=0),1,12*INDEX(se_block,$D$130,$E154)/$E$130)</f>
        <v/>
      </c>
      <c r="I154" s="208">
        <f>EXP(SUMPRODUCT((rl_eff&lt;$B154)*(rl_key=$A$130)*rl_ln1p))</f>
        <v/>
      </c>
      <c r="J154" s="208">
        <f>EXP(SUMPRODUCT((rl_eff&lt;=$C154)*(rl_key=$A$130)*rl_ln1p))</f>
        <v/>
      </c>
      <c r="K154" s="201">
        <f>COUNTIFS(rl_key,$A$130,rl_eff,"&gt;="&amp;$B154,rl_eff,"&lt;="&amp;$C154)</f>
        <v/>
      </c>
      <c r="L154" s="201">
        <f>SUMIFS(rl_daysafter,rl_key,$A$130,rl_effmonth,$B154,rl_first,1)</f>
        <v/>
      </c>
      <c r="M154" s="209">
        <f>IF($K154=0,0,MIN(1,$L154/$D154))</f>
        <v/>
      </c>
      <c r="N154" s="208">
        <f>IF($K154=0,$J154,(1-$M154)*$I154+$M154*$J154)</f>
        <v/>
      </c>
      <c r="O154" s="209">
        <f>IF($F154&lt;$B$131,$E$131+$I$131*($F154-$A$131),IF($F154&lt;$C$131,$F$131+$J$131*($F154-$B$131),$G$131+$K$131*($F154-$C$131)))</f>
        <v/>
      </c>
      <c r="P154" s="208">
        <f>MIN(1,MAX(0,(nr_MEndPm1-$G154+0.5)/$C$130))-MIN(1,MAX(0,(nr_MStartPm1-1-$G154+0.5)/$C$130))</f>
        <v/>
      </c>
      <c r="Q154" s="208">
        <f>MIN(1,MAX(0,(nr_MEndP-$G154+0.5)/$C$130))-MIN(1,MAX(0,(nr_MStartP-1-$G154+0.5)/$C$130))</f>
        <v/>
      </c>
      <c r="R154" s="208">
        <f>MIN(1,MAX(0,(nr_MEndP1-$G154+0.5)/$C$130))-MIN(1,MAX(0,(nr_MStartP1-1-$G154+0.5)/$C$130))</f>
        <v/>
      </c>
      <c r="S154" s="208">
        <f>IF($L$130,$N154*IF($O$130=1,$O154/$F$130,1),"")</f>
        <v/>
      </c>
      <c r="T154" s="208">
        <f>IF(NOT($L$130),"",IF($G154&lt;nr_MStartP,$S154,$T142*(1+IF($G154&lt;nr_MStartP1,$M$130,$N$130))))</f>
        <v/>
      </c>
      <c r="U154" s="208">
        <f>IF($L$130,$T154,$N154)</f>
        <v/>
      </c>
    </row>
    <row r="155">
      <c r="A155" s="145" t="n">
        <v>23</v>
      </c>
      <c r="B155" s="204">
        <f>EDATE($B154,1)</f>
        <v/>
      </c>
      <c r="C155" s="205">
        <f>EOMONTH($B155,0)</f>
        <v/>
      </c>
      <c r="D155" s="201">
        <f>$C155-$B155+1</f>
        <v/>
      </c>
      <c r="E155" s="201">
        <f>MONTH($B155)</f>
        <v/>
      </c>
      <c r="F155" s="235">
        <f>($B155+$C155+1)/2</f>
        <v/>
      </c>
      <c r="G155" s="201">
        <f>YEAR($B155)*12+MONTH($B155)-1</f>
        <v/>
      </c>
      <c r="H155" s="207">
        <f>IF(OR(nr_SeasonOn="OFF",$D$130=0,$E$130=0),1,12*INDEX(se_block,$D$130,$E155)/$E$130)</f>
        <v/>
      </c>
      <c r="I155" s="208">
        <f>EXP(SUMPRODUCT((rl_eff&lt;$B155)*(rl_key=$A$130)*rl_ln1p))</f>
        <v/>
      </c>
      <c r="J155" s="208">
        <f>EXP(SUMPRODUCT((rl_eff&lt;=$C155)*(rl_key=$A$130)*rl_ln1p))</f>
        <v/>
      </c>
      <c r="K155" s="201">
        <f>COUNTIFS(rl_key,$A$130,rl_eff,"&gt;="&amp;$B155,rl_eff,"&lt;="&amp;$C155)</f>
        <v/>
      </c>
      <c r="L155" s="201">
        <f>SUMIFS(rl_daysafter,rl_key,$A$130,rl_effmonth,$B155,rl_first,1)</f>
        <v/>
      </c>
      <c r="M155" s="209">
        <f>IF($K155=0,0,MIN(1,$L155/$D155))</f>
        <v/>
      </c>
      <c r="N155" s="208">
        <f>IF($K155=0,$J155,(1-$M155)*$I155+$M155*$J155)</f>
        <v/>
      </c>
      <c r="O155" s="209">
        <f>IF($F155&lt;$B$131,$E$131+$I$131*($F155-$A$131),IF($F155&lt;$C$131,$F$131+$J$131*($F155-$B$131),$G$131+$K$131*($F155-$C$131)))</f>
        <v/>
      </c>
      <c r="P155" s="208">
        <f>MIN(1,MAX(0,(nr_MEndPm1-$G155+0.5)/$C$130))-MIN(1,MAX(0,(nr_MStartPm1-1-$G155+0.5)/$C$130))</f>
        <v/>
      </c>
      <c r="Q155" s="208">
        <f>MIN(1,MAX(0,(nr_MEndP-$G155+0.5)/$C$130))-MIN(1,MAX(0,(nr_MStartP-1-$G155+0.5)/$C$130))</f>
        <v/>
      </c>
      <c r="R155" s="208">
        <f>MIN(1,MAX(0,(nr_MEndP1-$G155+0.5)/$C$130))-MIN(1,MAX(0,(nr_MStartP1-1-$G155+0.5)/$C$130))</f>
        <v/>
      </c>
      <c r="S155" s="208">
        <f>IF($L$130,$N155*IF($O$130=1,$O155/$F$130,1),"")</f>
        <v/>
      </c>
      <c r="T155" s="208">
        <f>IF(NOT($L$130),"",IF($G155&lt;nr_MStartP,$S155,$T143*(1+IF($G155&lt;nr_MStartP1,$M$130,$N$130))))</f>
        <v/>
      </c>
      <c r="U155" s="208">
        <f>IF($L$130,$T155,$N155)</f>
        <v/>
      </c>
    </row>
    <row r="156">
      <c r="A156" s="145" t="n">
        <v>24</v>
      </c>
      <c r="B156" s="204">
        <f>EDATE($B155,1)</f>
        <v/>
      </c>
      <c r="C156" s="205">
        <f>EOMONTH($B156,0)</f>
        <v/>
      </c>
      <c r="D156" s="201">
        <f>$C156-$B156+1</f>
        <v/>
      </c>
      <c r="E156" s="201">
        <f>MONTH($B156)</f>
        <v/>
      </c>
      <c r="F156" s="235">
        <f>($B156+$C156+1)/2</f>
        <v/>
      </c>
      <c r="G156" s="201">
        <f>YEAR($B156)*12+MONTH($B156)-1</f>
        <v/>
      </c>
      <c r="H156" s="207">
        <f>IF(OR(nr_SeasonOn="OFF",$D$130=0,$E$130=0),1,12*INDEX(se_block,$D$130,$E156)/$E$130)</f>
        <v/>
      </c>
      <c r="I156" s="208">
        <f>EXP(SUMPRODUCT((rl_eff&lt;$B156)*(rl_key=$A$130)*rl_ln1p))</f>
        <v/>
      </c>
      <c r="J156" s="208">
        <f>EXP(SUMPRODUCT((rl_eff&lt;=$C156)*(rl_key=$A$130)*rl_ln1p))</f>
        <v/>
      </c>
      <c r="K156" s="201">
        <f>COUNTIFS(rl_key,$A$130,rl_eff,"&gt;="&amp;$B156,rl_eff,"&lt;="&amp;$C156)</f>
        <v/>
      </c>
      <c r="L156" s="201">
        <f>SUMIFS(rl_daysafter,rl_key,$A$130,rl_effmonth,$B156,rl_first,1)</f>
        <v/>
      </c>
      <c r="M156" s="209">
        <f>IF($K156=0,0,MIN(1,$L156/$D156))</f>
        <v/>
      </c>
      <c r="N156" s="208">
        <f>IF($K156=0,$J156,(1-$M156)*$I156+$M156*$J156)</f>
        <v/>
      </c>
      <c r="O156" s="209">
        <f>IF($F156&lt;$B$131,$E$131+$I$131*($F156-$A$131),IF($F156&lt;$C$131,$F$131+$J$131*($F156-$B$131),$G$131+$K$131*($F156-$C$131)))</f>
        <v/>
      </c>
      <c r="P156" s="208">
        <f>MIN(1,MAX(0,(nr_MEndPm1-$G156+0.5)/$C$130))-MIN(1,MAX(0,(nr_MStartPm1-1-$G156+0.5)/$C$130))</f>
        <v/>
      </c>
      <c r="Q156" s="208">
        <f>MIN(1,MAX(0,(nr_MEndP-$G156+0.5)/$C$130))-MIN(1,MAX(0,(nr_MStartP-1-$G156+0.5)/$C$130))</f>
        <v/>
      </c>
      <c r="R156" s="208">
        <f>MIN(1,MAX(0,(nr_MEndP1-$G156+0.5)/$C$130))-MIN(1,MAX(0,(nr_MStartP1-1-$G156+0.5)/$C$130))</f>
        <v/>
      </c>
      <c r="S156" s="208">
        <f>IF($L$130,$N156*IF($O$130=1,$O156/$F$130,1),"")</f>
        <v/>
      </c>
      <c r="T156" s="208">
        <f>IF(NOT($L$130),"",IF($G156&lt;nr_MStartP,$S156,$T144*(1+IF($G156&lt;nr_MStartP1,$M$130,$N$130))))</f>
        <v/>
      </c>
      <c r="U156" s="208">
        <f>IF($L$130,$T156,$N156)</f>
        <v/>
      </c>
    </row>
    <row r="157">
      <c r="A157" s="145" t="n">
        <v>25</v>
      </c>
      <c r="B157" s="204">
        <f>EDATE($B156,1)</f>
        <v/>
      </c>
      <c r="C157" s="205">
        <f>EOMONTH($B157,0)</f>
        <v/>
      </c>
      <c r="D157" s="201">
        <f>$C157-$B157+1</f>
        <v/>
      </c>
      <c r="E157" s="201">
        <f>MONTH($B157)</f>
        <v/>
      </c>
      <c r="F157" s="235">
        <f>($B157+$C157+1)/2</f>
        <v/>
      </c>
      <c r="G157" s="201">
        <f>YEAR($B157)*12+MONTH($B157)-1</f>
        <v/>
      </c>
      <c r="H157" s="207">
        <f>IF(OR(nr_SeasonOn="OFF",$D$130=0,$E$130=0),1,12*INDEX(se_block,$D$130,$E157)/$E$130)</f>
        <v/>
      </c>
      <c r="I157" s="208">
        <f>EXP(SUMPRODUCT((rl_eff&lt;$B157)*(rl_key=$A$130)*rl_ln1p))</f>
        <v/>
      </c>
      <c r="J157" s="208">
        <f>EXP(SUMPRODUCT((rl_eff&lt;=$C157)*(rl_key=$A$130)*rl_ln1p))</f>
        <v/>
      </c>
      <c r="K157" s="201">
        <f>COUNTIFS(rl_key,$A$130,rl_eff,"&gt;="&amp;$B157,rl_eff,"&lt;="&amp;$C157)</f>
        <v/>
      </c>
      <c r="L157" s="201">
        <f>SUMIFS(rl_daysafter,rl_key,$A$130,rl_effmonth,$B157,rl_first,1)</f>
        <v/>
      </c>
      <c r="M157" s="209">
        <f>IF($K157=0,0,MIN(1,$L157/$D157))</f>
        <v/>
      </c>
      <c r="N157" s="208">
        <f>IF($K157=0,$J157,(1-$M157)*$I157+$M157*$J157)</f>
        <v/>
      </c>
      <c r="O157" s="209">
        <f>IF($F157&lt;$B$131,$E$131+$I$131*($F157-$A$131),IF($F157&lt;$C$131,$F$131+$J$131*($F157-$B$131),$G$131+$K$131*($F157-$C$131)))</f>
        <v/>
      </c>
      <c r="P157" s="208">
        <f>MIN(1,MAX(0,(nr_MEndPm1-$G157+0.5)/$C$130))-MIN(1,MAX(0,(nr_MStartPm1-1-$G157+0.5)/$C$130))</f>
        <v/>
      </c>
      <c r="Q157" s="208">
        <f>MIN(1,MAX(0,(nr_MEndP-$G157+0.5)/$C$130))-MIN(1,MAX(0,(nr_MStartP-1-$G157+0.5)/$C$130))</f>
        <v/>
      </c>
      <c r="R157" s="208">
        <f>MIN(1,MAX(0,(nr_MEndP1-$G157+0.5)/$C$130))-MIN(1,MAX(0,(nr_MStartP1-1-$G157+0.5)/$C$130))</f>
        <v/>
      </c>
      <c r="S157" s="208">
        <f>IF($L$130,$N157*IF($O$130=1,$O157/$F$130,1),"")</f>
        <v/>
      </c>
      <c r="T157" s="208">
        <f>IF(NOT($L$130),"",IF($G157&lt;nr_MStartP,$S157,$T145*(1+IF($G157&lt;nr_MStartP1,$M$130,$N$130))))</f>
        <v/>
      </c>
      <c r="U157" s="208">
        <f>IF($L$130,$T157,$N157)</f>
        <v/>
      </c>
    </row>
    <row r="158">
      <c r="A158" s="145" t="n">
        <v>26</v>
      </c>
      <c r="B158" s="204">
        <f>EDATE($B157,1)</f>
        <v/>
      </c>
      <c r="C158" s="205">
        <f>EOMONTH($B158,0)</f>
        <v/>
      </c>
      <c r="D158" s="201">
        <f>$C158-$B158+1</f>
        <v/>
      </c>
      <c r="E158" s="201">
        <f>MONTH($B158)</f>
        <v/>
      </c>
      <c r="F158" s="235">
        <f>($B158+$C158+1)/2</f>
        <v/>
      </c>
      <c r="G158" s="201">
        <f>YEAR($B158)*12+MONTH($B158)-1</f>
        <v/>
      </c>
      <c r="H158" s="207">
        <f>IF(OR(nr_SeasonOn="OFF",$D$130=0,$E$130=0),1,12*INDEX(se_block,$D$130,$E158)/$E$130)</f>
        <v/>
      </c>
      <c r="I158" s="208">
        <f>EXP(SUMPRODUCT((rl_eff&lt;$B158)*(rl_key=$A$130)*rl_ln1p))</f>
        <v/>
      </c>
      <c r="J158" s="208">
        <f>EXP(SUMPRODUCT((rl_eff&lt;=$C158)*(rl_key=$A$130)*rl_ln1p))</f>
        <v/>
      </c>
      <c r="K158" s="201">
        <f>COUNTIFS(rl_key,$A$130,rl_eff,"&gt;="&amp;$B158,rl_eff,"&lt;="&amp;$C158)</f>
        <v/>
      </c>
      <c r="L158" s="201">
        <f>SUMIFS(rl_daysafter,rl_key,$A$130,rl_effmonth,$B158,rl_first,1)</f>
        <v/>
      </c>
      <c r="M158" s="209">
        <f>IF($K158=0,0,MIN(1,$L158/$D158))</f>
        <v/>
      </c>
      <c r="N158" s="208">
        <f>IF($K158=0,$J158,(1-$M158)*$I158+$M158*$J158)</f>
        <v/>
      </c>
      <c r="O158" s="209">
        <f>IF($F158&lt;$B$131,$E$131+$I$131*($F158-$A$131),IF($F158&lt;$C$131,$F$131+$J$131*($F158-$B$131),$G$131+$K$131*($F158-$C$131)))</f>
        <v/>
      </c>
      <c r="P158" s="208">
        <f>MIN(1,MAX(0,(nr_MEndPm1-$G158+0.5)/$C$130))-MIN(1,MAX(0,(nr_MStartPm1-1-$G158+0.5)/$C$130))</f>
        <v/>
      </c>
      <c r="Q158" s="208">
        <f>MIN(1,MAX(0,(nr_MEndP-$G158+0.5)/$C$130))-MIN(1,MAX(0,(nr_MStartP-1-$G158+0.5)/$C$130))</f>
        <v/>
      </c>
      <c r="R158" s="208">
        <f>MIN(1,MAX(0,(nr_MEndP1-$G158+0.5)/$C$130))-MIN(1,MAX(0,(nr_MStartP1-1-$G158+0.5)/$C$130))</f>
        <v/>
      </c>
      <c r="S158" s="208">
        <f>IF($L$130,$N158*IF($O$130=1,$O158/$F$130,1),"")</f>
        <v/>
      </c>
      <c r="T158" s="208">
        <f>IF(NOT($L$130),"",IF($G158&lt;nr_MStartP,$S158,$T146*(1+IF($G158&lt;nr_MStartP1,$M$130,$N$130))))</f>
        <v/>
      </c>
      <c r="U158" s="208">
        <f>IF($L$130,$T158,$N158)</f>
        <v/>
      </c>
    </row>
    <row r="159">
      <c r="A159" s="145" t="n">
        <v>27</v>
      </c>
      <c r="B159" s="204">
        <f>EDATE($B158,1)</f>
        <v/>
      </c>
      <c r="C159" s="205">
        <f>EOMONTH($B159,0)</f>
        <v/>
      </c>
      <c r="D159" s="201">
        <f>$C159-$B159+1</f>
        <v/>
      </c>
      <c r="E159" s="201">
        <f>MONTH($B159)</f>
        <v/>
      </c>
      <c r="F159" s="235">
        <f>($B159+$C159+1)/2</f>
        <v/>
      </c>
      <c r="G159" s="201">
        <f>YEAR($B159)*12+MONTH($B159)-1</f>
        <v/>
      </c>
      <c r="H159" s="207">
        <f>IF(OR(nr_SeasonOn="OFF",$D$130=0,$E$130=0),1,12*INDEX(se_block,$D$130,$E159)/$E$130)</f>
        <v/>
      </c>
      <c r="I159" s="208">
        <f>EXP(SUMPRODUCT((rl_eff&lt;$B159)*(rl_key=$A$130)*rl_ln1p))</f>
        <v/>
      </c>
      <c r="J159" s="208">
        <f>EXP(SUMPRODUCT((rl_eff&lt;=$C159)*(rl_key=$A$130)*rl_ln1p))</f>
        <v/>
      </c>
      <c r="K159" s="201">
        <f>COUNTIFS(rl_key,$A$130,rl_eff,"&gt;="&amp;$B159,rl_eff,"&lt;="&amp;$C159)</f>
        <v/>
      </c>
      <c r="L159" s="201">
        <f>SUMIFS(rl_daysafter,rl_key,$A$130,rl_effmonth,$B159,rl_first,1)</f>
        <v/>
      </c>
      <c r="M159" s="209">
        <f>IF($K159=0,0,MIN(1,$L159/$D159))</f>
        <v/>
      </c>
      <c r="N159" s="208">
        <f>IF($K159=0,$J159,(1-$M159)*$I159+$M159*$J159)</f>
        <v/>
      </c>
      <c r="O159" s="209">
        <f>IF($F159&lt;$B$131,$E$131+$I$131*($F159-$A$131),IF($F159&lt;$C$131,$F$131+$J$131*($F159-$B$131),$G$131+$K$131*($F159-$C$131)))</f>
        <v/>
      </c>
      <c r="P159" s="208">
        <f>MIN(1,MAX(0,(nr_MEndPm1-$G159+0.5)/$C$130))-MIN(1,MAX(0,(nr_MStartPm1-1-$G159+0.5)/$C$130))</f>
        <v/>
      </c>
      <c r="Q159" s="208">
        <f>MIN(1,MAX(0,(nr_MEndP-$G159+0.5)/$C$130))-MIN(1,MAX(0,(nr_MStartP-1-$G159+0.5)/$C$130))</f>
        <v/>
      </c>
      <c r="R159" s="208">
        <f>MIN(1,MAX(0,(nr_MEndP1-$G159+0.5)/$C$130))-MIN(1,MAX(0,(nr_MStartP1-1-$G159+0.5)/$C$130))</f>
        <v/>
      </c>
      <c r="S159" s="208">
        <f>IF($L$130,$N159*IF($O$130=1,$O159/$F$130,1),"")</f>
        <v/>
      </c>
      <c r="T159" s="208">
        <f>IF(NOT($L$130),"",IF($G159&lt;nr_MStartP,$S159,$T147*(1+IF($G159&lt;nr_MStartP1,$M$130,$N$130))))</f>
        <v/>
      </c>
      <c r="U159" s="208">
        <f>IF($L$130,$T159,$N159)</f>
        <v/>
      </c>
    </row>
    <row r="160">
      <c r="A160" s="145" t="n">
        <v>28</v>
      </c>
      <c r="B160" s="204">
        <f>EDATE($B159,1)</f>
        <v/>
      </c>
      <c r="C160" s="205">
        <f>EOMONTH($B160,0)</f>
        <v/>
      </c>
      <c r="D160" s="201">
        <f>$C160-$B160+1</f>
        <v/>
      </c>
      <c r="E160" s="201">
        <f>MONTH($B160)</f>
        <v/>
      </c>
      <c r="F160" s="235">
        <f>($B160+$C160+1)/2</f>
        <v/>
      </c>
      <c r="G160" s="201">
        <f>YEAR($B160)*12+MONTH($B160)-1</f>
        <v/>
      </c>
      <c r="H160" s="207">
        <f>IF(OR(nr_SeasonOn="OFF",$D$130=0,$E$130=0),1,12*INDEX(se_block,$D$130,$E160)/$E$130)</f>
        <v/>
      </c>
      <c r="I160" s="208">
        <f>EXP(SUMPRODUCT((rl_eff&lt;$B160)*(rl_key=$A$130)*rl_ln1p))</f>
        <v/>
      </c>
      <c r="J160" s="208">
        <f>EXP(SUMPRODUCT((rl_eff&lt;=$C160)*(rl_key=$A$130)*rl_ln1p))</f>
        <v/>
      </c>
      <c r="K160" s="201">
        <f>COUNTIFS(rl_key,$A$130,rl_eff,"&gt;="&amp;$B160,rl_eff,"&lt;="&amp;$C160)</f>
        <v/>
      </c>
      <c r="L160" s="201">
        <f>SUMIFS(rl_daysafter,rl_key,$A$130,rl_effmonth,$B160,rl_first,1)</f>
        <v/>
      </c>
      <c r="M160" s="209">
        <f>IF($K160=0,0,MIN(1,$L160/$D160))</f>
        <v/>
      </c>
      <c r="N160" s="208">
        <f>IF($K160=0,$J160,(1-$M160)*$I160+$M160*$J160)</f>
        <v/>
      </c>
      <c r="O160" s="209">
        <f>IF($F160&lt;$B$131,$E$131+$I$131*($F160-$A$131),IF($F160&lt;$C$131,$F$131+$J$131*($F160-$B$131),$G$131+$K$131*($F160-$C$131)))</f>
        <v/>
      </c>
      <c r="P160" s="208">
        <f>MIN(1,MAX(0,(nr_MEndPm1-$G160+0.5)/$C$130))-MIN(1,MAX(0,(nr_MStartPm1-1-$G160+0.5)/$C$130))</f>
        <v/>
      </c>
      <c r="Q160" s="208">
        <f>MIN(1,MAX(0,(nr_MEndP-$G160+0.5)/$C$130))-MIN(1,MAX(0,(nr_MStartP-1-$G160+0.5)/$C$130))</f>
        <v/>
      </c>
      <c r="R160" s="208">
        <f>MIN(1,MAX(0,(nr_MEndP1-$G160+0.5)/$C$130))-MIN(1,MAX(0,(nr_MStartP1-1-$G160+0.5)/$C$130))</f>
        <v/>
      </c>
      <c r="S160" s="208">
        <f>IF($L$130,$N160*IF($O$130=1,$O160/$F$130,1),"")</f>
        <v/>
      </c>
      <c r="T160" s="208">
        <f>IF(NOT($L$130),"",IF($G160&lt;nr_MStartP,$S160,$T148*(1+IF($G160&lt;nr_MStartP1,$M$130,$N$130))))</f>
        <v/>
      </c>
      <c r="U160" s="208">
        <f>IF($L$130,$T160,$N160)</f>
        <v/>
      </c>
    </row>
    <row r="161">
      <c r="A161" s="145" t="n">
        <v>29</v>
      </c>
      <c r="B161" s="204">
        <f>EDATE($B160,1)</f>
        <v/>
      </c>
      <c r="C161" s="205">
        <f>EOMONTH($B161,0)</f>
        <v/>
      </c>
      <c r="D161" s="201">
        <f>$C161-$B161+1</f>
        <v/>
      </c>
      <c r="E161" s="201">
        <f>MONTH($B161)</f>
        <v/>
      </c>
      <c r="F161" s="235">
        <f>($B161+$C161+1)/2</f>
        <v/>
      </c>
      <c r="G161" s="201">
        <f>YEAR($B161)*12+MONTH($B161)-1</f>
        <v/>
      </c>
      <c r="H161" s="207">
        <f>IF(OR(nr_SeasonOn="OFF",$D$130=0,$E$130=0),1,12*INDEX(se_block,$D$130,$E161)/$E$130)</f>
        <v/>
      </c>
      <c r="I161" s="208">
        <f>EXP(SUMPRODUCT((rl_eff&lt;$B161)*(rl_key=$A$130)*rl_ln1p))</f>
        <v/>
      </c>
      <c r="J161" s="208">
        <f>EXP(SUMPRODUCT((rl_eff&lt;=$C161)*(rl_key=$A$130)*rl_ln1p))</f>
        <v/>
      </c>
      <c r="K161" s="201">
        <f>COUNTIFS(rl_key,$A$130,rl_eff,"&gt;="&amp;$B161,rl_eff,"&lt;="&amp;$C161)</f>
        <v/>
      </c>
      <c r="L161" s="201">
        <f>SUMIFS(rl_daysafter,rl_key,$A$130,rl_effmonth,$B161,rl_first,1)</f>
        <v/>
      </c>
      <c r="M161" s="209">
        <f>IF($K161=0,0,MIN(1,$L161/$D161))</f>
        <v/>
      </c>
      <c r="N161" s="208">
        <f>IF($K161=0,$J161,(1-$M161)*$I161+$M161*$J161)</f>
        <v/>
      </c>
      <c r="O161" s="209">
        <f>IF($F161&lt;$B$131,$E$131+$I$131*($F161-$A$131),IF($F161&lt;$C$131,$F$131+$J$131*($F161-$B$131),$G$131+$K$131*($F161-$C$131)))</f>
        <v/>
      </c>
      <c r="P161" s="208">
        <f>MIN(1,MAX(0,(nr_MEndPm1-$G161+0.5)/$C$130))-MIN(1,MAX(0,(nr_MStartPm1-1-$G161+0.5)/$C$130))</f>
        <v/>
      </c>
      <c r="Q161" s="208">
        <f>MIN(1,MAX(0,(nr_MEndP-$G161+0.5)/$C$130))-MIN(1,MAX(0,(nr_MStartP-1-$G161+0.5)/$C$130))</f>
        <v/>
      </c>
      <c r="R161" s="208">
        <f>MIN(1,MAX(0,(nr_MEndP1-$G161+0.5)/$C$130))-MIN(1,MAX(0,(nr_MStartP1-1-$G161+0.5)/$C$130))</f>
        <v/>
      </c>
      <c r="S161" s="208">
        <f>IF($L$130,$N161*IF($O$130=1,$O161/$F$130,1),"")</f>
        <v/>
      </c>
      <c r="T161" s="208">
        <f>IF(NOT($L$130),"",IF($G161&lt;nr_MStartP,$S161,$T149*(1+IF($G161&lt;nr_MStartP1,$M$130,$N$130))))</f>
        <v/>
      </c>
      <c r="U161" s="208">
        <f>IF($L$130,$T161,$N161)</f>
        <v/>
      </c>
    </row>
    <row r="162">
      <c r="A162" s="145" t="n">
        <v>30</v>
      </c>
      <c r="B162" s="204">
        <f>EDATE($B161,1)</f>
        <v/>
      </c>
      <c r="C162" s="205">
        <f>EOMONTH($B162,0)</f>
        <v/>
      </c>
      <c r="D162" s="201">
        <f>$C162-$B162+1</f>
        <v/>
      </c>
      <c r="E162" s="201">
        <f>MONTH($B162)</f>
        <v/>
      </c>
      <c r="F162" s="235">
        <f>($B162+$C162+1)/2</f>
        <v/>
      </c>
      <c r="G162" s="201">
        <f>YEAR($B162)*12+MONTH($B162)-1</f>
        <v/>
      </c>
      <c r="H162" s="207">
        <f>IF(OR(nr_SeasonOn="OFF",$D$130=0,$E$130=0),1,12*INDEX(se_block,$D$130,$E162)/$E$130)</f>
        <v/>
      </c>
      <c r="I162" s="208">
        <f>EXP(SUMPRODUCT((rl_eff&lt;$B162)*(rl_key=$A$130)*rl_ln1p))</f>
        <v/>
      </c>
      <c r="J162" s="208">
        <f>EXP(SUMPRODUCT((rl_eff&lt;=$C162)*(rl_key=$A$130)*rl_ln1p))</f>
        <v/>
      </c>
      <c r="K162" s="201">
        <f>COUNTIFS(rl_key,$A$130,rl_eff,"&gt;="&amp;$B162,rl_eff,"&lt;="&amp;$C162)</f>
        <v/>
      </c>
      <c r="L162" s="201">
        <f>SUMIFS(rl_daysafter,rl_key,$A$130,rl_effmonth,$B162,rl_first,1)</f>
        <v/>
      </c>
      <c r="M162" s="209">
        <f>IF($K162=0,0,MIN(1,$L162/$D162))</f>
        <v/>
      </c>
      <c r="N162" s="208">
        <f>IF($K162=0,$J162,(1-$M162)*$I162+$M162*$J162)</f>
        <v/>
      </c>
      <c r="O162" s="209">
        <f>IF($F162&lt;$B$131,$E$131+$I$131*($F162-$A$131),IF($F162&lt;$C$131,$F$131+$J$131*($F162-$B$131),$G$131+$K$131*($F162-$C$131)))</f>
        <v/>
      </c>
      <c r="P162" s="208">
        <f>MIN(1,MAX(0,(nr_MEndPm1-$G162+0.5)/$C$130))-MIN(1,MAX(0,(nr_MStartPm1-1-$G162+0.5)/$C$130))</f>
        <v/>
      </c>
      <c r="Q162" s="208">
        <f>MIN(1,MAX(0,(nr_MEndP-$G162+0.5)/$C$130))-MIN(1,MAX(0,(nr_MStartP-1-$G162+0.5)/$C$130))</f>
        <v/>
      </c>
      <c r="R162" s="208">
        <f>MIN(1,MAX(0,(nr_MEndP1-$G162+0.5)/$C$130))-MIN(1,MAX(0,(nr_MStartP1-1-$G162+0.5)/$C$130))</f>
        <v/>
      </c>
      <c r="S162" s="208">
        <f>IF($L$130,$N162*IF($O$130=1,$O162/$F$130,1),"")</f>
        <v/>
      </c>
      <c r="T162" s="208">
        <f>IF(NOT($L$130),"",IF($G162&lt;nr_MStartP,$S162,$T150*(1+IF($G162&lt;nr_MStartP1,$M$130,$N$130))))</f>
        <v/>
      </c>
      <c r="U162" s="208">
        <f>IF($L$130,$T162,$N162)</f>
        <v/>
      </c>
    </row>
    <row r="163">
      <c r="A163" s="145" t="n">
        <v>31</v>
      </c>
      <c r="B163" s="204">
        <f>EDATE($B162,1)</f>
        <v/>
      </c>
      <c r="C163" s="205">
        <f>EOMONTH($B163,0)</f>
        <v/>
      </c>
      <c r="D163" s="201">
        <f>$C163-$B163+1</f>
        <v/>
      </c>
      <c r="E163" s="201">
        <f>MONTH($B163)</f>
        <v/>
      </c>
      <c r="F163" s="235">
        <f>($B163+$C163+1)/2</f>
        <v/>
      </c>
      <c r="G163" s="201">
        <f>YEAR($B163)*12+MONTH($B163)-1</f>
        <v/>
      </c>
      <c r="H163" s="207">
        <f>IF(OR(nr_SeasonOn="OFF",$D$130=0,$E$130=0),1,12*INDEX(se_block,$D$130,$E163)/$E$130)</f>
        <v/>
      </c>
      <c r="I163" s="208">
        <f>EXP(SUMPRODUCT((rl_eff&lt;$B163)*(rl_key=$A$130)*rl_ln1p))</f>
        <v/>
      </c>
      <c r="J163" s="208">
        <f>EXP(SUMPRODUCT((rl_eff&lt;=$C163)*(rl_key=$A$130)*rl_ln1p))</f>
        <v/>
      </c>
      <c r="K163" s="201">
        <f>COUNTIFS(rl_key,$A$130,rl_eff,"&gt;="&amp;$B163,rl_eff,"&lt;="&amp;$C163)</f>
        <v/>
      </c>
      <c r="L163" s="201">
        <f>SUMIFS(rl_daysafter,rl_key,$A$130,rl_effmonth,$B163,rl_first,1)</f>
        <v/>
      </c>
      <c r="M163" s="209">
        <f>IF($K163=0,0,MIN(1,$L163/$D163))</f>
        <v/>
      </c>
      <c r="N163" s="208">
        <f>IF($K163=0,$J163,(1-$M163)*$I163+$M163*$J163)</f>
        <v/>
      </c>
      <c r="O163" s="209">
        <f>IF($F163&lt;$B$131,$E$131+$I$131*($F163-$A$131),IF($F163&lt;$C$131,$F$131+$J$131*($F163-$B$131),$G$131+$K$131*($F163-$C$131)))</f>
        <v/>
      </c>
      <c r="P163" s="208">
        <f>MIN(1,MAX(0,(nr_MEndPm1-$G163+0.5)/$C$130))-MIN(1,MAX(0,(nr_MStartPm1-1-$G163+0.5)/$C$130))</f>
        <v/>
      </c>
      <c r="Q163" s="208">
        <f>MIN(1,MAX(0,(nr_MEndP-$G163+0.5)/$C$130))-MIN(1,MAX(0,(nr_MStartP-1-$G163+0.5)/$C$130))</f>
        <v/>
      </c>
      <c r="R163" s="208">
        <f>MIN(1,MAX(0,(nr_MEndP1-$G163+0.5)/$C$130))-MIN(1,MAX(0,(nr_MStartP1-1-$G163+0.5)/$C$130))</f>
        <v/>
      </c>
      <c r="S163" s="208">
        <f>IF($L$130,$N163*IF($O$130=1,$O163/$F$130,1),"")</f>
        <v/>
      </c>
      <c r="T163" s="208">
        <f>IF(NOT($L$130),"",IF($G163&lt;nr_MStartP,$S163,$T151*(1+IF($G163&lt;nr_MStartP1,$M$130,$N$130))))</f>
        <v/>
      </c>
      <c r="U163" s="208">
        <f>IF($L$130,$T163,$N163)</f>
        <v/>
      </c>
    </row>
    <row r="164">
      <c r="A164" s="145" t="n">
        <v>32</v>
      </c>
      <c r="B164" s="204">
        <f>EDATE($B163,1)</f>
        <v/>
      </c>
      <c r="C164" s="205">
        <f>EOMONTH($B164,0)</f>
        <v/>
      </c>
      <c r="D164" s="201">
        <f>$C164-$B164+1</f>
        <v/>
      </c>
      <c r="E164" s="201">
        <f>MONTH($B164)</f>
        <v/>
      </c>
      <c r="F164" s="235">
        <f>($B164+$C164+1)/2</f>
        <v/>
      </c>
      <c r="G164" s="201">
        <f>YEAR($B164)*12+MONTH($B164)-1</f>
        <v/>
      </c>
      <c r="H164" s="207">
        <f>IF(OR(nr_SeasonOn="OFF",$D$130=0,$E$130=0),1,12*INDEX(se_block,$D$130,$E164)/$E$130)</f>
        <v/>
      </c>
      <c r="I164" s="208">
        <f>EXP(SUMPRODUCT((rl_eff&lt;$B164)*(rl_key=$A$130)*rl_ln1p))</f>
        <v/>
      </c>
      <c r="J164" s="208">
        <f>EXP(SUMPRODUCT((rl_eff&lt;=$C164)*(rl_key=$A$130)*rl_ln1p))</f>
        <v/>
      </c>
      <c r="K164" s="201">
        <f>COUNTIFS(rl_key,$A$130,rl_eff,"&gt;="&amp;$B164,rl_eff,"&lt;="&amp;$C164)</f>
        <v/>
      </c>
      <c r="L164" s="201">
        <f>SUMIFS(rl_daysafter,rl_key,$A$130,rl_effmonth,$B164,rl_first,1)</f>
        <v/>
      </c>
      <c r="M164" s="209">
        <f>IF($K164=0,0,MIN(1,$L164/$D164))</f>
        <v/>
      </c>
      <c r="N164" s="208">
        <f>IF($K164=0,$J164,(1-$M164)*$I164+$M164*$J164)</f>
        <v/>
      </c>
      <c r="O164" s="209">
        <f>IF($F164&lt;$B$131,$E$131+$I$131*($F164-$A$131),IF($F164&lt;$C$131,$F$131+$J$131*($F164-$B$131),$G$131+$K$131*($F164-$C$131)))</f>
        <v/>
      </c>
      <c r="P164" s="208">
        <f>MIN(1,MAX(0,(nr_MEndPm1-$G164+0.5)/$C$130))-MIN(1,MAX(0,(nr_MStartPm1-1-$G164+0.5)/$C$130))</f>
        <v/>
      </c>
      <c r="Q164" s="208">
        <f>MIN(1,MAX(0,(nr_MEndP-$G164+0.5)/$C$130))-MIN(1,MAX(0,(nr_MStartP-1-$G164+0.5)/$C$130))</f>
        <v/>
      </c>
      <c r="R164" s="208">
        <f>MIN(1,MAX(0,(nr_MEndP1-$G164+0.5)/$C$130))-MIN(1,MAX(0,(nr_MStartP1-1-$G164+0.5)/$C$130))</f>
        <v/>
      </c>
      <c r="S164" s="208">
        <f>IF($L$130,$N164*IF($O$130=1,$O164/$F$130,1),"")</f>
        <v/>
      </c>
      <c r="T164" s="208">
        <f>IF(NOT($L$130),"",IF($G164&lt;nr_MStartP,$S164,$T152*(1+IF($G164&lt;nr_MStartP1,$M$130,$N$130))))</f>
        <v/>
      </c>
      <c r="U164" s="208">
        <f>IF($L$130,$T164,$N164)</f>
        <v/>
      </c>
    </row>
    <row r="165">
      <c r="A165" s="145" t="n">
        <v>33</v>
      </c>
      <c r="B165" s="204">
        <f>EDATE($B164,1)</f>
        <v/>
      </c>
      <c r="C165" s="205">
        <f>EOMONTH($B165,0)</f>
        <v/>
      </c>
      <c r="D165" s="201">
        <f>$C165-$B165+1</f>
        <v/>
      </c>
      <c r="E165" s="201">
        <f>MONTH($B165)</f>
        <v/>
      </c>
      <c r="F165" s="235">
        <f>($B165+$C165+1)/2</f>
        <v/>
      </c>
      <c r="G165" s="201">
        <f>YEAR($B165)*12+MONTH($B165)-1</f>
        <v/>
      </c>
      <c r="H165" s="207">
        <f>IF(OR(nr_SeasonOn="OFF",$D$130=0,$E$130=0),1,12*INDEX(se_block,$D$130,$E165)/$E$130)</f>
        <v/>
      </c>
      <c r="I165" s="208">
        <f>EXP(SUMPRODUCT((rl_eff&lt;$B165)*(rl_key=$A$130)*rl_ln1p))</f>
        <v/>
      </c>
      <c r="J165" s="208">
        <f>EXP(SUMPRODUCT((rl_eff&lt;=$C165)*(rl_key=$A$130)*rl_ln1p))</f>
        <v/>
      </c>
      <c r="K165" s="201">
        <f>COUNTIFS(rl_key,$A$130,rl_eff,"&gt;="&amp;$B165,rl_eff,"&lt;="&amp;$C165)</f>
        <v/>
      </c>
      <c r="L165" s="201">
        <f>SUMIFS(rl_daysafter,rl_key,$A$130,rl_effmonth,$B165,rl_first,1)</f>
        <v/>
      </c>
      <c r="M165" s="209">
        <f>IF($K165=0,0,MIN(1,$L165/$D165))</f>
        <v/>
      </c>
      <c r="N165" s="208">
        <f>IF($K165=0,$J165,(1-$M165)*$I165+$M165*$J165)</f>
        <v/>
      </c>
      <c r="O165" s="209">
        <f>IF($F165&lt;$B$131,$E$131+$I$131*($F165-$A$131),IF($F165&lt;$C$131,$F$131+$J$131*($F165-$B$131),$G$131+$K$131*($F165-$C$131)))</f>
        <v/>
      </c>
      <c r="P165" s="208">
        <f>MIN(1,MAX(0,(nr_MEndPm1-$G165+0.5)/$C$130))-MIN(1,MAX(0,(nr_MStartPm1-1-$G165+0.5)/$C$130))</f>
        <v/>
      </c>
      <c r="Q165" s="208">
        <f>MIN(1,MAX(0,(nr_MEndP-$G165+0.5)/$C$130))-MIN(1,MAX(0,(nr_MStartP-1-$G165+0.5)/$C$130))</f>
        <v/>
      </c>
      <c r="R165" s="208">
        <f>MIN(1,MAX(0,(nr_MEndP1-$G165+0.5)/$C$130))-MIN(1,MAX(0,(nr_MStartP1-1-$G165+0.5)/$C$130))</f>
        <v/>
      </c>
      <c r="S165" s="208">
        <f>IF($L$130,$N165*IF($O$130=1,$O165/$F$130,1),"")</f>
        <v/>
      </c>
      <c r="T165" s="208">
        <f>IF(NOT($L$130),"",IF($G165&lt;nr_MStartP,$S165,$T153*(1+IF($G165&lt;nr_MStartP1,$M$130,$N$130))))</f>
        <v/>
      </c>
      <c r="U165" s="208">
        <f>IF($L$130,$T165,$N165)</f>
        <v/>
      </c>
    </row>
    <row r="166">
      <c r="A166" s="145" t="n">
        <v>34</v>
      </c>
      <c r="B166" s="204">
        <f>EDATE($B165,1)</f>
        <v/>
      </c>
      <c r="C166" s="205">
        <f>EOMONTH($B166,0)</f>
        <v/>
      </c>
      <c r="D166" s="201">
        <f>$C166-$B166+1</f>
        <v/>
      </c>
      <c r="E166" s="201">
        <f>MONTH($B166)</f>
        <v/>
      </c>
      <c r="F166" s="235">
        <f>($B166+$C166+1)/2</f>
        <v/>
      </c>
      <c r="G166" s="201">
        <f>YEAR($B166)*12+MONTH($B166)-1</f>
        <v/>
      </c>
      <c r="H166" s="207">
        <f>IF(OR(nr_SeasonOn="OFF",$D$130=0,$E$130=0),1,12*INDEX(se_block,$D$130,$E166)/$E$130)</f>
        <v/>
      </c>
      <c r="I166" s="208">
        <f>EXP(SUMPRODUCT((rl_eff&lt;$B166)*(rl_key=$A$130)*rl_ln1p))</f>
        <v/>
      </c>
      <c r="J166" s="208">
        <f>EXP(SUMPRODUCT((rl_eff&lt;=$C166)*(rl_key=$A$130)*rl_ln1p))</f>
        <v/>
      </c>
      <c r="K166" s="201">
        <f>COUNTIFS(rl_key,$A$130,rl_eff,"&gt;="&amp;$B166,rl_eff,"&lt;="&amp;$C166)</f>
        <v/>
      </c>
      <c r="L166" s="201">
        <f>SUMIFS(rl_daysafter,rl_key,$A$130,rl_effmonth,$B166,rl_first,1)</f>
        <v/>
      </c>
      <c r="M166" s="209">
        <f>IF($K166=0,0,MIN(1,$L166/$D166))</f>
        <v/>
      </c>
      <c r="N166" s="208">
        <f>IF($K166=0,$J166,(1-$M166)*$I166+$M166*$J166)</f>
        <v/>
      </c>
      <c r="O166" s="209">
        <f>IF($F166&lt;$B$131,$E$131+$I$131*($F166-$A$131),IF($F166&lt;$C$131,$F$131+$J$131*($F166-$B$131),$G$131+$K$131*($F166-$C$131)))</f>
        <v/>
      </c>
      <c r="P166" s="208">
        <f>MIN(1,MAX(0,(nr_MEndPm1-$G166+0.5)/$C$130))-MIN(1,MAX(0,(nr_MStartPm1-1-$G166+0.5)/$C$130))</f>
        <v/>
      </c>
      <c r="Q166" s="208">
        <f>MIN(1,MAX(0,(nr_MEndP-$G166+0.5)/$C$130))-MIN(1,MAX(0,(nr_MStartP-1-$G166+0.5)/$C$130))</f>
        <v/>
      </c>
      <c r="R166" s="208">
        <f>MIN(1,MAX(0,(nr_MEndP1-$G166+0.5)/$C$130))-MIN(1,MAX(0,(nr_MStartP1-1-$G166+0.5)/$C$130))</f>
        <v/>
      </c>
      <c r="S166" s="208">
        <f>IF($L$130,$N166*IF($O$130=1,$O166/$F$130,1),"")</f>
        <v/>
      </c>
      <c r="T166" s="208">
        <f>IF(NOT($L$130),"",IF($G166&lt;nr_MStartP,$S166,$T154*(1+IF($G166&lt;nr_MStartP1,$M$130,$N$130))))</f>
        <v/>
      </c>
      <c r="U166" s="208">
        <f>IF($L$130,$T166,$N166)</f>
        <v/>
      </c>
    </row>
    <row r="167">
      <c r="A167" s="145" t="n">
        <v>35</v>
      </c>
      <c r="B167" s="204">
        <f>EDATE($B166,1)</f>
        <v/>
      </c>
      <c r="C167" s="205">
        <f>EOMONTH($B167,0)</f>
        <v/>
      </c>
      <c r="D167" s="201">
        <f>$C167-$B167+1</f>
        <v/>
      </c>
      <c r="E167" s="201">
        <f>MONTH($B167)</f>
        <v/>
      </c>
      <c r="F167" s="235">
        <f>($B167+$C167+1)/2</f>
        <v/>
      </c>
      <c r="G167" s="201">
        <f>YEAR($B167)*12+MONTH($B167)-1</f>
        <v/>
      </c>
      <c r="H167" s="207">
        <f>IF(OR(nr_SeasonOn="OFF",$D$130=0,$E$130=0),1,12*INDEX(se_block,$D$130,$E167)/$E$130)</f>
        <v/>
      </c>
      <c r="I167" s="208">
        <f>EXP(SUMPRODUCT((rl_eff&lt;$B167)*(rl_key=$A$130)*rl_ln1p))</f>
        <v/>
      </c>
      <c r="J167" s="208">
        <f>EXP(SUMPRODUCT((rl_eff&lt;=$C167)*(rl_key=$A$130)*rl_ln1p))</f>
        <v/>
      </c>
      <c r="K167" s="201">
        <f>COUNTIFS(rl_key,$A$130,rl_eff,"&gt;="&amp;$B167,rl_eff,"&lt;="&amp;$C167)</f>
        <v/>
      </c>
      <c r="L167" s="201">
        <f>SUMIFS(rl_daysafter,rl_key,$A$130,rl_effmonth,$B167,rl_first,1)</f>
        <v/>
      </c>
      <c r="M167" s="209">
        <f>IF($K167=0,0,MIN(1,$L167/$D167))</f>
        <v/>
      </c>
      <c r="N167" s="208">
        <f>IF($K167=0,$J167,(1-$M167)*$I167+$M167*$J167)</f>
        <v/>
      </c>
      <c r="O167" s="209">
        <f>IF($F167&lt;$B$131,$E$131+$I$131*($F167-$A$131),IF($F167&lt;$C$131,$F$131+$J$131*($F167-$B$131),$G$131+$K$131*($F167-$C$131)))</f>
        <v/>
      </c>
      <c r="P167" s="208">
        <f>MIN(1,MAX(0,(nr_MEndPm1-$G167+0.5)/$C$130))-MIN(1,MAX(0,(nr_MStartPm1-1-$G167+0.5)/$C$130))</f>
        <v/>
      </c>
      <c r="Q167" s="208">
        <f>MIN(1,MAX(0,(nr_MEndP-$G167+0.5)/$C$130))-MIN(1,MAX(0,(nr_MStartP-1-$G167+0.5)/$C$130))</f>
        <v/>
      </c>
      <c r="R167" s="208">
        <f>MIN(1,MAX(0,(nr_MEndP1-$G167+0.5)/$C$130))-MIN(1,MAX(0,(nr_MStartP1-1-$G167+0.5)/$C$130))</f>
        <v/>
      </c>
      <c r="S167" s="208">
        <f>IF($L$130,$N167*IF($O$130=1,$O167/$F$130,1),"")</f>
        <v/>
      </c>
      <c r="T167" s="208">
        <f>IF(NOT($L$130),"",IF($G167&lt;nr_MStartP,$S167,$T155*(1+IF($G167&lt;nr_MStartP1,$M$130,$N$130))))</f>
        <v/>
      </c>
      <c r="U167" s="208">
        <f>IF($L$130,$T167,$N167)</f>
        <v/>
      </c>
    </row>
    <row r="168">
      <c r="A168" s="145" t="n">
        <v>36</v>
      </c>
      <c r="B168" s="204">
        <f>EDATE($B167,1)</f>
        <v/>
      </c>
      <c r="C168" s="205">
        <f>EOMONTH($B168,0)</f>
        <v/>
      </c>
      <c r="D168" s="201">
        <f>$C168-$B168+1</f>
        <v/>
      </c>
      <c r="E168" s="201">
        <f>MONTH($B168)</f>
        <v/>
      </c>
      <c r="F168" s="235">
        <f>($B168+$C168+1)/2</f>
        <v/>
      </c>
      <c r="G168" s="201">
        <f>YEAR($B168)*12+MONTH($B168)-1</f>
        <v/>
      </c>
      <c r="H168" s="207">
        <f>IF(OR(nr_SeasonOn="OFF",$D$130=0,$E$130=0),1,12*INDEX(se_block,$D$130,$E168)/$E$130)</f>
        <v/>
      </c>
      <c r="I168" s="208">
        <f>EXP(SUMPRODUCT((rl_eff&lt;$B168)*(rl_key=$A$130)*rl_ln1p))</f>
        <v/>
      </c>
      <c r="J168" s="208">
        <f>EXP(SUMPRODUCT((rl_eff&lt;=$C168)*(rl_key=$A$130)*rl_ln1p))</f>
        <v/>
      </c>
      <c r="K168" s="201">
        <f>COUNTIFS(rl_key,$A$130,rl_eff,"&gt;="&amp;$B168,rl_eff,"&lt;="&amp;$C168)</f>
        <v/>
      </c>
      <c r="L168" s="201">
        <f>SUMIFS(rl_daysafter,rl_key,$A$130,rl_effmonth,$B168,rl_first,1)</f>
        <v/>
      </c>
      <c r="M168" s="209">
        <f>IF($K168=0,0,MIN(1,$L168/$D168))</f>
        <v/>
      </c>
      <c r="N168" s="208">
        <f>IF($K168=0,$J168,(1-$M168)*$I168+$M168*$J168)</f>
        <v/>
      </c>
      <c r="O168" s="209">
        <f>IF($F168&lt;$B$131,$E$131+$I$131*($F168-$A$131),IF($F168&lt;$C$131,$F$131+$J$131*($F168-$B$131),$G$131+$K$131*($F168-$C$131)))</f>
        <v/>
      </c>
      <c r="P168" s="208">
        <f>MIN(1,MAX(0,(nr_MEndPm1-$G168+0.5)/$C$130))-MIN(1,MAX(0,(nr_MStartPm1-1-$G168+0.5)/$C$130))</f>
        <v/>
      </c>
      <c r="Q168" s="208">
        <f>MIN(1,MAX(0,(nr_MEndP-$G168+0.5)/$C$130))-MIN(1,MAX(0,(nr_MStartP-1-$G168+0.5)/$C$130))</f>
        <v/>
      </c>
      <c r="R168" s="208">
        <f>MIN(1,MAX(0,(nr_MEndP1-$G168+0.5)/$C$130))-MIN(1,MAX(0,(nr_MStartP1-1-$G168+0.5)/$C$130))</f>
        <v/>
      </c>
      <c r="S168" s="208">
        <f>IF($L$130,$N168*IF($O$130=1,$O168/$F$130,1),"")</f>
        <v/>
      </c>
      <c r="T168" s="208">
        <f>IF(NOT($L$130),"",IF($G168&lt;nr_MStartP,$S168,$T156*(1+IF($G168&lt;nr_MStartP1,$M$130,$N$130))))</f>
        <v/>
      </c>
      <c r="U168" s="208">
        <f>IF($L$130,$T168,$N168)</f>
        <v/>
      </c>
    </row>
    <row r="169">
      <c r="A169" s="145" t="n">
        <v>37</v>
      </c>
      <c r="B169" s="204">
        <f>EDATE($B168,1)</f>
        <v/>
      </c>
      <c r="C169" s="205">
        <f>EOMONTH($B169,0)</f>
        <v/>
      </c>
      <c r="D169" s="201">
        <f>$C169-$B169+1</f>
        <v/>
      </c>
      <c r="E169" s="201">
        <f>MONTH($B169)</f>
        <v/>
      </c>
      <c r="F169" s="235">
        <f>($B169+$C169+1)/2</f>
        <v/>
      </c>
      <c r="G169" s="201">
        <f>YEAR($B169)*12+MONTH($B169)-1</f>
        <v/>
      </c>
      <c r="H169" s="207">
        <f>IF(OR(nr_SeasonOn="OFF",$D$130=0,$E$130=0),1,12*INDEX(se_block,$D$130,$E169)/$E$130)</f>
        <v/>
      </c>
      <c r="I169" s="208">
        <f>EXP(SUMPRODUCT((rl_eff&lt;$B169)*(rl_key=$A$130)*rl_ln1p))</f>
        <v/>
      </c>
      <c r="J169" s="208">
        <f>EXP(SUMPRODUCT((rl_eff&lt;=$C169)*(rl_key=$A$130)*rl_ln1p))</f>
        <v/>
      </c>
      <c r="K169" s="201">
        <f>COUNTIFS(rl_key,$A$130,rl_eff,"&gt;="&amp;$B169,rl_eff,"&lt;="&amp;$C169)</f>
        <v/>
      </c>
      <c r="L169" s="201">
        <f>SUMIFS(rl_daysafter,rl_key,$A$130,rl_effmonth,$B169,rl_first,1)</f>
        <v/>
      </c>
      <c r="M169" s="209">
        <f>IF($K169=0,0,MIN(1,$L169/$D169))</f>
        <v/>
      </c>
      <c r="N169" s="208">
        <f>IF($K169=0,$J169,(1-$M169)*$I169+$M169*$J169)</f>
        <v/>
      </c>
      <c r="O169" s="209">
        <f>IF($F169&lt;$B$131,$E$131+$I$131*($F169-$A$131),IF($F169&lt;$C$131,$F$131+$J$131*($F169-$B$131),$G$131+$K$131*($F169-$C$131)))</f>
        <v/>
      </c>
      <c r="P169" s="208">
        <f>MIN(1,MAX(0,(nr_MEndPm1-$G169+0.5)/$C$130))-MIN(1,MAX(0,(nr_MStartPm1-1-$G169+0.5)/$C$130))</f>
        <v/>
      </c>
      <c r="Q169" s="208">
        <f>MIN(1,MAX(0,(nr_MEndP-$G169+0.5)/$C$130))-MIN(1,MAX(0,(nr_MStartP-1-$G169+0.5)/$C$130))</f>
        <v/>
      </c>
      <c r="R169" s="208">
        <f>MIN(1,MAX(0,(nr_MEndP1-$G169+0.5)/$C$130))-MIN(1,MAX(0,(nr_MStartP1-1-$G169+0.5)/$C$130))</f>
        <v/>
      </c>
      <c r="S169" s="208">
        <f>IF($L$130,$N169*IF($O$130=1,$O169/$F$130,1),"")</f>
        <v/>
      </c>
      <c r="T169" s="208">
        <f>IF(NOT($L$130),"",IF($G169&lt;nr_MStartP,$S169,$T157*(1+IF($G169&lt;nr_MStartP1,$M$130,$N$130))))</f>
        <v/>
      </c>
      <c r="U169" s="208">
        <f>IF($L$130,$T169,$N169)</f>
        <v/>
      </c>
    </row>
    <row r="170">
      <c r="A170" s="145" t="n">
        <v>38</v>
      </c>
      <c r="B170" s="204">
        <f>EDATE($B169,1)</f>
        <v/>
      </c>
      <c r="C170" s="205">
        <f>EOMONTH($B170,0)</f>
        <v/>
      </c>
      <c r="D170" s="201">
        <f>$C170-$B170+1</f>
        <v/>
      </c>
      <c r="E170" s="201">
        <f>MONTH($B170)</f>
        <v/>
      </c>
      <c r="F170" s="235">
        <f>($B170+$C170+1)/2</f>
        <v/>
      </c>
      <c r="G170" s="201">
        <f>YEAR($B170)*12+MONTH($B170)-1</f>
        <v/>
      </c>
      <c r="H170" s="207">
        <f>IF(OR(nr_SeasonOn="OFF",$D$130=0,$E$130=0),1,12*INDEX(se_block,$D$130,$E170)/$E$130)</f>
        <v/>
      </c>
      <c r="I170" s="208">
        <f>EXP(SUMPRODUCT((rl_eff&lt;$B170)*(rl_key=$A$130)*rl_ln1p))</f>
        <v/>
      </c>
      <c r="J170" s="208">
        <f>EXP(SUMPRODUCT((rl_eff&lt;=$C170)*(rl_key=$A$130)*rl_ln1p))</f>
        <v/>
      </c>
      <c r="K170" s="201">
        <f>COUNTIFS(rl_key,$A$130,rl_eff,"&gt;="&amp;$B170,rl_eff,"&lt;="&amp;$C170)</f>
        <v/>
      </c>
      <c r="L170" s="201">
        <f>SUMIFS(rl_daysafter,rl_key,$A$130,rl_effmonth,$B170,rl_first,1)</f>
        <v/>
      </c>
      <c r="M170" s="209">
        <f>IF($K170=0,0,MIN(1,$L170/$D170))</f>
        <v/>
      </c>
      <c r="N170" s="208">
        <f>IF($K170=0,$J170,(1-$M170)*$I170+$M170*$J170)</f>
        <v/>
      </c>
      <c r="O170" s="209">
        <f>IF($F170&lt;$B$131,$E$131+$I$131*($F170-$A$131),IF($F170&lt;$C$131,$F$131+$J$131*($F170-$B$131),$G$131+$K$131*($F170-$C$131)))</f>
        <v/>
      </c>
      <c r="P170" s="208">
        <f>MIN(1,MAX(0,(nr_MEndPm1-$G170+0.5)/$C$130))-MIN(1,MAX(0,(nr_MStartPm1-1-$G170+0.5)/$C$130))</f>
        <v/>
      </c>
      <c r="Q170" s="208">
        <f>MIN(1,MAX(0,(nr_MEndP-$G170+0.5)/$C$130))-MIN(1,MAX(0,(nr_MStartP-1-$G170+0.5)/$C$130))</f>
        <v/>
      </c>
      <c r="R170" s="208">
        <f>MIN(1,MAX(0,(nr_MEndP1-$G170+0.5)/$C$130))-MIN(1,MAX(0,(nr_MStartP1-1-$G170+0.5)/$C$130))</f>
        <v/>
      </c>
      <c r="S170" s="208">
        <f>IF($L$130,$N170*IF($O$130=1,$O170/$F$130,1),"")</f>
        <v/>
      </c>
      <c r="T170" s="208">
        <f>IF(NOT($L$130),"",IF($G170&lt;nr_MStartP,$S170,$T158*(1+IF($G170&lt;nr_MStartP1,$M$130,$N$130))))</f>
        <v/>
      </c>
      <c r="U170" s="208">
        <f>IF($L$130,$T170,$N170)</f>
        <v/>
      </c>
    </row>
    <row r="171">
      <c r="A171" s="145" t="n">
        <v>39</v>
      </c>
      <c r="B171" s="204">
        <f>EDATE($B170,1)</f>
        <v/>
      </c>
      <c r="C171" s="205">
        <f>EOMONTH($B171,0)</f>
        <v/>
      </c>
      <c r="D171" s="201">
        <f>$C171-$B171+1</f>
        <v/>
      </c>
      <c r="E171" s="201">
        <f>MONTH($B171)</f>
        <v/>
      </c>
      <c r="F171" s="235">
        <f>($B171+$C171+1)/2</f>
        <v/>
      </c>
      <c r="G171" s="201">
        <f>YEAR($B171)*12+MONTH($B171)-1</f>
        <v/>
      </c>
      <c r="H171" s="207">
        <f>IF(OR(nr_SeasonOn="OFF",$D$130=0,$E$130=0),1,12*INDEX(se_block,$D$130,$E171)/$E$130)</f>
        <v/>
      </c>
      <c r="I171" s="208">
        <f>EXP(SUMPRODUCT((rl_eff&lt;$B171)*(rl_key=$A$130)*rl_ln1p))</f>
        <v/>
      </c>
      <c r="J171" s="208">
        <f>EXP(SUMPRODUCT((rl_eff&lt;=$C171)*(rl_key=$A$130)*rl_ln1p))</f>
        <v/>
      </c>
      <c r="K171" s="201">
        <f>COUNTIFS(rl_key,$A$130,rl_eff,"&gt;="&amp;$B171,rl_eff,"&lt;="&amp;$C171)</f>
        <v/>
      </c>
      <c r="L171" s="201">
        <f>SUMIFS(rl_daysafter,rl_key,$A$130,rl_effmonth,$B171,rl_first,1)</f>
        <v/>
      </c>
      <c r="M171" s="209">
        <f>IF($K171=0,0,MIN(1,$L171/$D171))</f>
        <v/>
      </c>
      <c r="N171" s="208">
        <f>IF($K171=0,$J171,(1-$M171)*$I171+$M171*$J171)</f>
        <v/>
      </c>
      <c r="O171" s="209">
        <f>IF($F171&lt;$B$131,$E$131+$I$131*($F171-$A$131),IF($F171&lt;$C$131,$F$131+$J$131*($F171-$B$131),$G$131+$K$131*($F171-$C$131)))</f>
        <v/>
      </c>
      <c r="P171" s="208">
        <f>MIN(1,MAX(0,(nr_MEndPm1-$G171+0.5)/$C$130))-MIN(1,MAX(0,(nr_MStartPm1-1-$G171+0.5)/$C$130))</f>
        <v/>
      </c>
      <c r="Q171" s="208">
        <f>MIN(1,MAX(0,(nr_MEndP-$G171+0.5)/$C$130))-MIN(1,MAX(0,(nr_MStartP-1-$G171+0.5)/$C$130))</f>
        <v/>
      </c>
      <c r="R171" s="208">
        <f>MIN(1,MAX(0,(nr_MEndP1-$G171+0.5)/$C$130))-MIN(1,MAX(0,(nr_MStartP1-1-$G171+0.5)/$C$130))</f>
        <v/>
      </c>
      <c r="S171" s="208">
        <f>IF($L$130,$N171*IF($O$130=1,$O171/$F$130,1),"")</f>
        <v/>
      </c>
      <c r="T171" s="208">
        <f>IF(NOT($L$130),"",IF($G171&lt;nr_MStartP,$S171,$T159*(1+IF($G171&lt;nr_MStartP1,$M$130,$N$130))))</f>
        <v/>
      </c>
      <c r="U171" s="208">
        <f>IF($L$130,$T171,$N171)</f>
        <v/>
      </c>
    </row>
    <row r="172">
      <c r="A172" s="145" t="n">
        <v>40</v>
      </c>
      <c r="B172" s="204">
        <f>EDATE($B171,1)</f>
        <v/>
      </c>
      <c r="C172" s="205">
        <f>EOMONTH($B172,0)</f>
        <v/>
      </c>
      <c r="D172" s="201">
        <f>$C172-$B172+1</f>
        <v/>
      </c>
      <c r="E172" s="201">
        <f>MONTH($B172)</f>
        <v/>
      </c>
      <c r="F172" s="235">
        <f>($B172+$C172+1)/2</f>
        <v/>
      </c>
      <c r="G172" s="201">
        <f>YEAR($B172)*12+MONTH($B172)-1</f>
        <v/>
      </c>
      <c r="H172" s="207">
        <f>IF(OR(nr_SeasonOn="OFF",$D$130=0,$E$130=0),1,12*INDEX(se_block,$D$130,$E172)/$E$130)</f>
        <v/>
      </c>
      <c r="I172" s="208">
        <f>EXP(SUMPRODUCT((rl_eff&lt;$B172)*(rl_key=$A$130)*rl_ln1p))</f>
        <v/>
      </c>
      <c r="J172" s="208">
        <f>EXP(SUMPRODUCT((rl_eff&lt;=$C172)*(rl_key=$A$130)*rl_ln1p))</f>
        <v/>
      </c>
      <c r="K172" s="201">
        <f>COUNTIFS(rl_key,$A$130,rl_eff,"&gt;="&amp;$B172,rl_eff,"&lt;="&amp;$C172)</f>
        <v/>
      </c>
      <c r="L172" s="201">
        <f>SUMIFS(rl_daysafter,rl_key,$A$130,rl_effmonth,$B172,rl_first,1)</f>
        <v/>
      </c>
      <c r="M172" s="209">
        <f>IF($K172=0,0,MIN(1,$L172/$D172))</f>
        <v/>
      </c>
      <c r="N172" s="208">
        <f>IF($K172=0,$J172,(1-$M172)*$I172+$M172*$J172)</f>
        <v/>
      </c>
      <c r="O172" s="209">
        <f>IF($F172&lt;$B$131,$E$131+$I$131*($F172-$A$131),IF($F172&lt;$C$131,$F$131+$J$131*($F172-$B$131),$G$131+$K$131*($F172-$C$131)))</f>
        <v/>
      </c>
      <c r="P172" s="208">
        <f>MIN(1,MAX(0,(nr_MEndPm1-$G172+0.5)/$C$130))-MIN(1,MAX(0,(nr_MStartPm1-1-$G172+0.5)/$C$130))</f>
        <v/>
      </c>
      <c r="Q172" s="208">
        <f>MIN(1,MAX(0,(nr_MEndP-$G172+0.5)/$C$130))-MIN(1,MAX(0,(nr_MStartP-1-$G172+0.5)/$C$130))</f>
        <v/>
      </c>
      <c r="R172" s="208">
        <f>MIN(1,MAX(0,(nr_MEndP1-$G172+0.5)/$C$130))-MIN(1,MAX(0,(nr_MStartP1-1-$G172+0.5)/$C$130))</f>
        <v/>
      </c>
      <c r="S172" s="208">
        <f>IF($L$130,$N172*IF($O$130=1,$O172/$F$130,1),"")</f>
        <v/>
      </c>
      <c r="T172" s="208">
        <f>IF(NOT($L$130),"",IF($G172&lt;nr_MStartP,$S172,$T160*(1+IF($G172&lt;nr_MStartP1,$M$130,$N$130))))</f>
        <v/>
      </c>
      <c r="U172" s="208">
        <f>IF($L$130,$T172,$N172)</f>
        <v/>
      </c>
    </row>
    <row r="173">
      <c r="A173" s="145" t="n">
        <v>41</v>
      </c>
      <c r="B173" s="204">
        <f>EDATE($B172,1)</f>
        <v/>
      </c>
      <c r="C173" s="205">
        <f>EOMONTH($B173,0)</f>
        <v/>
      </c>
      <c r="D173" s="201">
        <f>$C173-$B173+1</f>
        <v/>
      </c>
      <c r="E173" s="201">
        <f>MONTH($B173)</f>
        <v/>
      </c>
      <c r="F173" s="235">
        <f>($B173+$C173+1)/2</f>
        <v/>
      </c>
      <c r="G173" s="201">
        <f>YEAR($B173)*12+MONTH($B173)-1</f>
        <v/>
      </c>
      <c r="H173" s="207">
        <f>IF(OR(nr_SeasonOn="OFF",$D$130=0,$E$130=0),1,12*INDEX(se_block,$D$130,$E173)/$E$130)</f>
        <v/>
      </c>
      <c r="I173" s="208">
        <f>EXP(SUMPRODUCT((rl_eff&lt;$B173)*(rl_key=$A$130)*rl_ln1p))</f>
        <v/>
      </c>
      <c r="J173" s="208">
        <f>EXP(SUMPRODUCT((rl_eff&lt;=$C173)*(rl_key=$A$130)*rl_ln1p))</f>
        <v/>
      </c>
      <c r="K173" s="201">
        <f>COUNTIFS(rl_key,$A$130,rl_eff,"&gt;="&amp;$B173,rl_eff,"&lt;="&amp;$C173)</f>
        <v/>
      </c>
      <c r="L173" s="201">
        <f>SUMIFS(rl_daysafter,rl_key,$A$130,rl_effmonth,$B173,rl_first,1)</f>
        <v/>
      </c>
      <c r="M173" s="209">
        <f>IF($K173=0,0,MIN(1,$L173/$D173))</f>
        <v/>
      </c>
      <c r="N173" s="208">
        <f>IF($K173=0,$J173,(1-$M173)*$I173+$M173*$J173)</f>
        <v/>
      </c>
      <c r="O173" s="209">
        <f>IF($F173&lt;$B$131,$E$131+$I$131*($F173-$A$131),IF($F173&lt;$C$131,$F$131+$J$131*($F173-$B$131),$G$131+$K$131*($F173-$C$131)))</f>
        <v/>
      </c>
      <c r="P173" s="208">
        <f>MIN(1,MAX(0,(nr_MEndPm1-$G173+0.5)/$C$130))-MIN(1,MAX(0,(nr_MStartPm1-1-$G173+0.5)/$C$130))</f>
        <v/>
      </c>
      <c r="Q173" s="208">
        <f>MIN(1,MAX(0,(nr_MEndP-$G173+0.5)/$C$130))-MIN(1,MAX(0,(nr_MStartP-1-$G173+0.5)/$C$130))</f>
        <v/>
      </c>
      <c r="R173" s="208">
        <f>MIN(1,MAX(0,(nr_MEndP1-$G173+0.5)/$C$130))-MIN(1,MAX(0,(nr_MStartP1-1-$G173+0.5)/$C$130))</f>
        <v/>
      </c>
      <c r="S173" s="208">
        <f>IF($L$130,$N173*IF($O$130=1,$O173/$F$130,1),"")</f>
        <v/>
      </c>
      <c r="T173" s="208">
        <f>IF(NOT($L$130),"",IF($G173&lt;nr_MStartP,$S173,$T161*(1+IF($G173&lt;nr_MStartP1,$M$130,$N$130))))</f>
        <v/>
      </c>
      <c r="U173" s="208">
        <f>IF($L$130,$T173,$N173)</f>
        <v/>
      </c>
    </row>
    <row r="174">
      <c r="A174" s="145" t="n">
        <v>42</v>
      </c>
      <c r="B174" s="204">
        <f>EDATE($B173,1)</f>
        <v/>
      </c>
      <c r="C174" s="205">
        <f>EOMONTH($B174,0)</f>
        <v/>
      </c>
      <c r="D174" s="201">
        <f>$C174-$B174+1</f>
        <v/>
      </c>
      <c r="E174" s="201">
        <f>MONTH($B174)</f>
        <v/>
      </c>
      <c r="F174" s="235">
        <f>($B174+$C174+1)/2</f>
        <v/>
      </c>
      <c r="G174" s="201">
        <f>YEAR($B174)*12+MONTH($B174)-1</f>
        <v/>
      </c>
      <c r="H174" s="207">
        <f>IF(OR(nr_SeasonOn="OFF",$D$130=0,$E$130=0),1,12*INDEX(se_block,$D$130,$E174)/$E$130)</f>
        <v/>
      </c>
      <c r="I174" s="208">
        <f>EXP(SUMPRODUCT((rl_eff&lt;$B174)*(rl_key=$A$130)*rl_ln1p))</f>
        <v/>
      </c>
      <c r="J174" s="208">
        <f>EXP(SUMPRODUCT((rl_eff&lt;=$C174)*(rl_key=$A$130)*rl_ln1p))</f>
        <v/>
      </c>
      <c r="K174" s="201">
        <f>COUNTIFS(rl_key,$A$130,rl_eff,"&gt;="&amp;$B174,rl_eff,"&lt;="&amp;$C174)</f>
        <v/>
      </c>
      <c r="L174" s="201">
        <f>SUMIFS(rl_daysafter,rl_key,$A$130,rl_effmonth,$B174,rl_first,1)</f>
        <v/>
      </c>
      <c r="M174" s="209">
        <f>IF($K174=0,0,MIN(1,$L174/$D174))</f>
        <v/>
      </c>
      <c r="N174" s="208">
        <f>IF($K174=0,$J174,(1-$M174)*$I174+$M174*$J174)</f>
        <v/>
      </c>
      <c r="O174" s="209">
        <f>IF($F174&lt;$B$131,$E$131+$I$131*($F174-$A$131),IF($F174&lt;$C$131,$F$131+$J$131*($F174-$B$131),$G$131+$K$131*($F174-$C$131)))</f>
        <v/>
      </c>
      <c r="P174" s="208">
        <f>MIN(1,MAX(0,(nr_MEndPm1-$G174+0.5)/$C$130))-MIN(1,MAX(0,(nr_MStartPm1-1-$G174+0.5)/$C$130))</f>
        <v/>
      </c>
      <c r="Q174" s="208">
        <f>MIN(1,MAX(0,(nr_MEndP-$G174+0.5)/$C$130))-MIN(1,MAX(0,(nr_MStartP-1-$G174+0.5)/$C$130))</f>
        <v/>
      </c>
      <c r="R174" s="208">
        <f>MIN(1,MAX(0,(nr_MEndP1-$G174+0.5)/$C$130))-MIN(1,MAX(0,(nr_MStartP1-1-$G174+0.5)/$C$130))</f>
        <v/>
      </c>
      <c r="S174" s="208">
        <f>IF($L$130,$N174*IF($O$130=1,$O174/$F$130,1),"")</f>
        <v/>
      </c>
      <c r="T174" s="208">
        <f>IF(NOT($L$130),"",IF($G174&lt;nr_MStartP,$S174,$T162*(1+IF($G174&lt;nr_MStartP1,$M$130,$N$130))))</f>
        <v/>
      </c>
      <c r="U174" s="208">
        <f>IF($L$130,$T174,$N174)</f>
        <v/>
      </c>
    </row>
    <row r="175">
      <c r="A175" s="145" t="n">
        <v>43</v>
      </c>
      <c r="B175" s="204">
        <f>EDATE($B174,1)</f>
        <v/>
      </c>
      <c r="C175" s="205">
        <f>EOMONTH($B175,0)</f>
        <v/>
      </c>
      <c r="D175" s="201">
        <f>$C175-$B175+1</f>
        <v/>
      </c>
      <c r="E175" s="201">
        <f>MONTH($B175)</f>
        <v/>
      </c>
      <c r="F175" s="235">
        <f>($B175+$C175+1)/2</f>
        <v/>
      </c>
      <c r="G175" s="201">
        <f>YEAR($B175)*12+MONTH($B175)-1</f>
        <v/>
      </c>
      <c r="H175" s="207">
        <f>IF(OR(nr_SeasonOn="OFF",$D$130=0,$E$130=0),1,12*INDEX(se_block,$D$130,$E175)/$E$130)</f>
        <v/>
      </c>
      <c r="I175" s="208">
        <f>EXP(SUMPRODUCT((rl_eff&lt;$B175)*(rl_key=$A$130)*rl_ln1p))</f>
        <v/>
      </c>
      <c r="J175" s="208">
        <f>EXP(SUMPRODUCT((rl_eff&lt;=$C175)*(rl_key=$A$130)*rl_ln1p))</f>
        <v/>
      </c>
      <c r="K175" s="201">
        <f>COUNTIFS(rl_key,$A$130,rl_eff,"&gt;="&amp;$B175,rl_eff,"&lt;="&amp;$C175)</f>
        <v/>
      </c>
      <c r="L175" s="201">
        <f>SUMIFS(rl_daysafter,rl_key,$A$130,rl_effmonth,$B175,rl_first,1)</f>
        <v/>
      </c>
      <c r="M175" s="209">
        <f>IF($K175=0,0,MIN(1,$L175/$D175))</f>
        <v/>
      </c>
      <c r="N175" s="208">
        <f>IF($K175=0,$J175,(1-$M175)*$I175+$M175*$J175)</f>
        <v/>
      </c>
      <c r="O175" s="209">
        <f>IF($F175&lt;$B$131,$E$131+$I$131*($F175-$A$131),IF($F175&lt;$C$131,$F$131+$J$131*($F175-$B$131),$G$131+$K$131*($F175-$C$131)))</f>
        <v/>
      </c>
      <c r="P175" s="208">
        <f>MIN(1,MAX(0,(nr_MEndPm1-$G175+0.5)/$C$130))-MIN(1,MAX(0,(nr_MStartPm1-1-$G175+0.5)/$C$130))</f>
        <v/>
      </c>
      <c r="Q175" s="208">
        <f>MIN(1,MAX(0,(nr_MEndP-$G175+0.5)/$C$130))-MIN(1,MAX(0,(nr_MStartP-1-$G175+0.5)/$C$130))</f>
        <v/>
      </c>
      <c r="R175" s="208">
        <f>MIN(1,MAX(0,(nr_MEndP1-$G175+0.5)/$C$130))-MIN(1,MAX(0,(nr_MStartP1-1-$G175+0.5)/$C$130))</f>
        <v/>
      </c>
      <c r="S175" s="208">
        <f>IF($L$130,$N175*IF($O$130=1,$O175/$F$130,1),"")</f>
        <v/>
      </c>
      <c r="T175" s="208">
        <f>IF(NOT($L$130),"",IF($G175&lt;nr_MStartP,$S175,$T163*(1+IF($G175&lt;nr_MStartP1,$M$130,$N$130))))</f>
        <v/>
      </c>
      <c r="U175" s="208">
        <f>IF($L$130,$T175,$N175)</f>
        <v/>
      </c>
    </row>
    <row r="176">
      <c r="A176" s="145" t="n">
        <v>44</v>
      </c>
      <c r="B176" s="204">
        <f>EDATE($B175,1)</f>
        <v/>
      </c>
      <c r="C176" s="205">
        <f>EOMONTH($B176,0)</f>
        <v/>
      </c>
      <c r="D176" s="201">
        <f>$C176-$B176+1</f>
        <v/>
      </c>
      <c r="E176" s="201">
        <f>MONTH($B176)</f>
        <v/>
      </c>
      <c r="F176" s="235">
        <f>($B176+$C176+1)/2</f>
        <v/>
      </c>
      <c r="G176" s="201">
        <f>YEAR($B176)*12+MONTH($B176)-1</f>
        <v/>
      </c>
      <c r="H176" s="207">
        <f>IF(OR(nr_SeasonOn="OFF",$D$130=0,$E$130=0),1,12*INDEX(se_block,$D$130,$E176)/$E$130)</f>
        <v/>
      </c>
      <c r="I176" s="208">
        <f>EXP(SUMPRODUCT((rl_eff&lt;$B176)*(rl_key=$A$130)*rl_ln1p))</f>
        <v/>
      </c>
      <c r="J176" s="208">
        <f>EXP(SUMPRODUCT((rl_eff&lt;=$C176)*(rl_key=$A$130)*rl_ln1p))</f>
        <v/>
      </c>
      <c r="K176" s="201">
        <f>COUNTIFS(rl_key,$A$130,rl_eff,"&gt;="&amp;$B176,rl_eff,"&lt;="&amp;$C176)</f>
        <v/>
      </c>
      <c r="L176" s="201">
        <f>SUMIFS(rl_daysafter,rl_key,$A$130,rl_effmonth,$B176,rl_first,1)</f>
        <v/>
      </c>
      <c r="M176" s="209">
        <f>IF($K176=0,0,MIN(1,$L176/$D176))</f>
        <v/>
      </c>
      <c r="N176" s="208">
        <f>IF($K176=0,$J176,(1-$M176)*$I176+$M176*$J176)</f>
        <v/>
      </c>
      <c r="O176" s="209">
        <f>IF($F176&lt;$B$131,$E$131+$I$131*($F176-$A$131),IF($F176&lt;$C$131,$F$131+$J$131*($F176-$B$131),$G$131+$K$131*($F176-$C$131)))</f>
        <v/>
      </c>
      <c r="P176" s="208">
        <f>MIN(1,MAX(0,(nr_MEndPm1-$G176+0.5)/$C$130))-MIN(1,MAX(0,(nr_MStartPm1-1-$G176+0.5)/$C$130))</f>
        <v/>
      </c>
      <c r="Q176" s="208">
        <f>MIN(1,MAX(0,(nr_MEndP-$G176+0.5)/$C$130))-MIN(1,MAX(0,(nr_MStartP-1-$G176+0.5)/$C$130))</f>
        <v/>
      </c>
      <c r="R176" s="208">
        <f>MIN(1,MAX(0,(nr_MEndP1-$G176+0.5)/$C$130))-MIN(1,MAX(0,(nr_MStartP1-1-$G176+0.5)/$C$130))</f>
        <v/>
      </c>
      <c r="S176" s="208">
        <f>IF($L$130,$N176*IF($O$130=1,$O176/$F$130,1),"")</f>
        <v/>
      </c>
      <c r="T176" s="208">
        <f>IF(NOT($L$130),"",IF($G176&lt;nr_MStartP,$S176,$T164*(1+IF($G176&lt;nr_MStartP1,$M$130,$N$130))))</f>
        <v/>
      </c>
      <c r="U176" s="208">
        <f>IF($L$130,$T176,$N176)</f>
        <v/>
      </c>
    </row>
    <row r="177">
      <c r="A177" s="145" t="n">
        <v>45</v>
      </c>
      <c r="B177" s="204">
        <f>EDATE($B176,1)</f>
        <v/>
      </c>
      <c r="C177" s="205">
        <f>EOMONTH($B177,0)</f>
        <v/>
      </c>
      <c r="D177" s="201">
        <f>$C177-$B177+1</f>
        <v/>
      </c>
      <c r="E177" s="201">
        <f>MONTH($B177)</f>
        <v/>
      </c>
      <c r="F177" s="235">
        <f>($B177+$C177+1)/2</f>
        <v/>
      </c>
      <c r="G177" s="201">
        <f>YEAR($B177)*12+MONTH($B177)-1</f>
        <v/>
      </c>
      <c r="H177" s="207">
        <f>IF(OR(nr_SeasonOn="OFF",$D$130=0,$E$130=0),1,12*INDEX(se_block,$D$130,$E177)/$E$130)</f>
        <v/>
      </c>
      <c r="I177" s="208">
        <f>EXP(SUMPRODUCT((rl_eff&lt;$B177)*(rl_key=$A$130)*rl_ln1p))</f>
        <v/>
      </c>
      <c r="J177" s="208">
        <f>EXP(SUMPRODUCT((rl_eff&lt;=$C177)*(rl_key=$A$130)*rl_ln1p))</f>
        <v/>
      </c>
      <c r="K177" s="201">
        <f>COUNTIFS(rl_key,$A$130,rl_eff,"&gt;="&amp;$B177,rl_eff,"&lt;="&amp;$C177)</f>
        <v/>
      </c>
      <c r="L177" s="201">
        <f>SUMIFS(rl_daysafter,rl_key,$A$130,rl_effmonth,$B177,rl_first,1)</f>
        <v/>
      </c>
      <c r="M177" s="209">
        <f>IF($K177=0,0,MIN(1,$L177/$D177))</f>
        <v/>
      </c>
      <c r="N177" s="208">
        <f>IF($K177=0,$J177,(1-$M177)*$I177+$M177*$J177)</f>
        <v/>
      </c>
      <c r="O177" s="209">
        <f>IF($F177&lt;$B$131,$E$131+$I$131*($F177-$A$131),IF($F177&lt;$C$131,$F$131+$J$131*($F177-$B$131),$G$131+$K$131*($F177-$C$131)))</f>
        <v/>
      </c>
      <c r="P177" s="208">
        <f>MIN(1,MAX(0,(nr_MEndPm1-$G177+0.5)/$C$130))-MIN(1,MAX(0,(nr_MStartPm1-1-$G177+0.5)/$C$130))</f>
        <v/>
      </c>
      <c r="Q177" s="208">
        <f>MIN(1,MAX(0,(nr_MEndP-$G177+0.5)/$C$130))-MIN(1,MAX(0,(nr_MStartP-1-$G177+0.5)/$C$130))</f>
        <v/>
      </c>
      <c r="R177" s="208">
        <f>MIN(1,MAX(0,(nr_MEndP1-$G177+0.5)/$C$130))-MIN(1,MAX(0,(nr_MStartP1-1-$G177+0.5)/$C$130))</f>
        <v/>
      </c>
      <c r="S177" s="208">
        <f>IF($L$130,$N177*IF($O$130=1,$O177/$F$130,1),"")</f>
        <v/>
      </c>
      <c r="T177" s="208">
        <f>IF(NOT($L$130),"",IF($G177&lt;nr_MStartP,$S177,$T165*(1+IF($G177&lt;nr_MStartP1,$M$130,$N$130))))</f>
        <v/>
      </c>
      <c r="U177" s="208">
        <f>IF($L$130,$T177,$N177)</f>
        <v/>
      </c>
    </row>
    <row r="178">
      <c r="A178" s="145" t="n">
        <v>46</v>
      </c>
      <c r="B178" s="204">
        <f>EDATE($B177,1)</f>
        <v/>
      </c>
      <c r="C178" s="205">
        <f>EOMONTH($B178,0)</f>
        <v/>
      </c>
      <c r="D178" s="201">
        <f>$C178-$B178+1</f>
        <v/>
      </c>
      <c r="E178" s="201">
        <f>MONTH($B178)</f>
        <v/>
      </c>
      <c r="F178" s="235">
        <f>($B178+$C178+1)/2</f>
        <v/>
      </c>
      <c r="G178" s="201">
        <f>YEAR($B178)*12+MONTH($B178)-1</f>
        <v/>
      </c>
      <c r="H178" s="207">
        <f>IF(OR(nr_SeasonOn="OFF",$D$130=0,$E$130=0),1,12*INDEX(se_block,$D$130,$E178)/$E$130)</f>
        <v/>
      </c>
      <c r="I178" s="208">
        <f>EXP(SUMPRODUCT((rl_eff&lt;$B178)*(rl_key=$A$130)*rl_ln1p))</f>
        <v/>
      </c>
      <c r="J178" s="208">
        <f>EXP(SUMPRODUCT((rl_eff&lt;=$C178)*(rl_key=$A$130)*rl_ln1p))</f>
        <v/>
      </c>
      <c r="K178" s="201">
        <f>COUNTIFS(rl_key,$A$130,rl_eff,"&gt;="&amp;$B178,rl_eff,"&lt;="&amp;$C178)</f>
        <v/>
      </c>
      <c r="L178" s="201">
        <f>SUMIFS(rl_daysafter,rl_key,$A$130,rl_effmonth,$B178,rl_first,1)</f>
        <v/>
      </c>
      <c r="M178" s="209">
        <f>IF($K178=0,0,MIN(1,$L178/$D178))</f>
        <v/>
      </c>
      <c r="N178" s="208">
        <f>IF($K178=0,$J178,(1-$M178)*$I178+$M178*$J178)</f>
        <v/>
      </c>
      <c r="O178" s="209">
        <f>IF($F178&lt;$B$131,$E$131+$I$131*($F178-$A$131),IF($F178&lt;$C$131,$F$131+$J$131*($F178-$B$131),$G$131+$K$131*($F178-$C$131)))</f>
        <v/>
      </c>
      <c r="P178" s="208">
        <f>MIN(1,MAX(0,(nr_MEndPm1-$G178+0.5)/$C$130))-MIN(1,MAX(0,(nr_MStartPm1-1-$G178+0.5)/$C$130))</f>
        <v/>
      </c>
      <c r="Q178" s="208">
        <f>MIN(1,MAX(0,(nr_MEndP-$G178+0.5)/$C$130))-MIN(1,MAX(0,(nr_MStartP-1-$G178+0.5)/$C$130))</f>
        <v/>
      </c>
      <c r="R178" s="208">
        <f>MIN(1,MAX(0,(nr_MEndP1-$G178+0.5)/$C$130))-MIN(1,MAX(0,(nr_MStartP1-1-$G178+0.5)/$C$130))</f>
        <v/>
      </c>
      <c r="S178" s="208">
        <f>IF($L$130,$N178*IF($O$130=1,$O178/$F$130,1),"")</f>
        <v/>
      </c>
      <c r="T178" s="208">
        <f>IF(NOT($L$130),"",IF($G178&lt;nr_MStartP,$S178,$T166*(1+IF($G178&lt;nr_MStartP1,$M$130,$N$130))))</f>
        <v/>
      </c>
      <c r="U178" s="208">
        <f>IF($L$130,$T178,$N178)</f>
        <v/>
      </c>
    </row>
    <row r="179">
      <c r="A179" s="145" t="n">
        <v>47</v>
      </c>
      <c r="B179" s="204">
        <f>EDATE($B178,1)</f>
        <v/>
      </c>
      <c r="C179" s="205">
        <f>EOMONTH($B179,0)</f>
        <v/>
      </c>
      <c r="D179" s="201">
        <f>$C179-$B179+1</f>
        <v/>
      </c>
      <c r="E179" s="201">
        <f>MONTH($B179)</f>
        <v/>
      </c>
      <c r="F179" s="235">
        <f>($B179+$C179+1)/2</f>
        <v/>
      </c>
      <c r="G179" s="201">
        <f>YEAR($B179)*12+MONTH($B179)-1</f>
        <v/>
      </c>
      <c r="H179" s="207">
        <f>IF(OR(nr_SeasonOn="OFF",$D$130=0,$E$130=0),1,12*INDEX(se_block,$D$130,$E179)/$E$130)</f>
        <v/>
      </c>
      <c r="I179" s="208">
        <f>EXP(SUMPRODUCT((rl_eff&lt;$B179)*(rl_key=$A$130)*rl_ln1p))</f>
        <v/>
      </c>
      <c r="J179" s="208">
        <f>EXP(SUMPRODUCT((rl_eff&lt;=$C179)*(rl_key=$A$130)*rl_ln1p))</f>
        <v/>
      </c>
      <c r="K179" s="201">
        <f>COUNTIFS(rl_key,$A$130,rl_eff,"&gt;="&amp;$B179,rl_eff,"&lt;="&amp;$C179)</f>
        <v/>
      </c>
      <c r="L179" s="201">
        <f>SUMIFS(rl_daysafter,rl_key,$A$130,rl_effmonth,$B179,rl_first,1)</f>
        <v/>
      </c>
      <c r="M179" s="209">
        <f>IF($K179=0,0,MIN(1,$L179/$D179))</f>
        <v/>
      </c>
      <c r="N179" s="208">
        <f>IF($K179=0,$J179,(1-$M179)*$I179+$M179*$J179)</f>
        <v/>
      </c>
      <c r="O179" s="209">
        <f>IF($F179&lt;$B$131,$E$131+$I$131*($F179-$A$131),IF($F179&lt;$C$131,$F$131+$J$131*($F179-$B$131),$G$131+$K$131*($F179-$C$131)))</f>
        <v/>
      </c>
      <c r="P179" s="208">
        <f>MIN(1,MAX(0,(nr_MEndPm1-$G179+0.5)/$C$130))-MIN(1,MAX(0,(nr_MStartPm1-1-$G179+0.5)/$C$130))</f>
        <v/>
      </c>
      <c r="Q179" s="208">
        <f>MIN(1,MAX(0,(nr_MEndP-$G179+0.5)/$C$130))-MIN(1,MAX(0,(nr_MStartP-1-$G179+0.5)/$C$130))</f>
        <v/>
      </c>
      <c r="R179" s="208">
        <f>MIN(1,MAX(0,(nr_MEndP1-$G179+0.5)/$C$130))-MIN(1,MAX(0,(nr_MStartP1-1-$G179+0.5)/$C$130))</f>
        <v/>
      </c>
      <c r="S179" s="208">
        <f>IF($L$130,$N179*IF($O$130=1,$O179/$F$130,1),"")</f>
        <v/>
      </c>
      <c r="T179" s="208">
        <f>IF(NOT($L$130),"",IF($G179&lt;nr_MStartP,$S179,$T167*(1+IF($G179&lt;nr_MStartP1,$M$130,$N$130))))</f>
        <v/>
      </c>
      <c r="U179" s="208">
        <f>IF($L$130,$T179,$N179)</f>
        <v/>
      </c>
    </row>
    <row r="180">
      <c r="A180" s="145" t="n">
        <v>48</v>
      </c>
      <c r="B180" s="204">
        <f>EDATE($B179,1)</f>
        <v/>
      </c>
      <c r="C180" s="205">
        <f>EOMONTH($B180,0)</f>
        <v/>
      </c>
      <c r="D180" s="201">
        <f>$C180-$B180+1</f>
        <v/>
      </c>
      <c r="E180" s="201">
        <f>MONTH($B180)</f>
        <v/>
      </c>
      <c r="F180" s="235">
        <f>($B180+$C180+1)/2</f>
        <v/>
      </c>
      <c r="G180" s="201">
        <f>YEAR($B180)*12+MONTH($B180)-1</f>
        <v/>
      </c>
      <c r="H180" s="207">
        <f>IF(OR(nr_SeasonOn="OFF",$D$130=0,$E$130=0),1,12*INDEX(se_block,$D$130,$E180)/$E$130)</f>
        <v/>
      </c>
      <c r="I180" s="208">
        <f>EXP(SUMPRODUCT((rl_eff&lt;$B180)*(rl_key=$A$130)*rl_ln1p))</f>
        <v/>
      </c>
      <c r="J180" s="208">
        <f>EXP(SUMPRODUCT((rl_eff&lt;=$C180)*(rl_key=$A$130)*rl_ln1p))</f>
        <v/>
      </c>
      <c r="K180" s="201">
        <f>COUNTIFS(rl_key,$A$130,rl_eff,"&gt;="&amp;$B180,rl_eff,"&lt;="&amp;$C180)</f>
        <v/>
      </c>
      <c r="L180" s="201">
        <f>SUMIFS(rl_daysafter,rl_key,$A$130,rl_effmonth,$B180,rl_first,1)</f>
        <v/>
      </c>
      <c r="M180" s="209">
        <f>IF($K180=0,0,MIN(1,$L180/$D180))</f>
        <v/>
      </c>
      <c r="N180" s="208">
        <f>IF($K180=0,$J180,(1-$M180)*$I180+$M180*$J180)</f>
        <v/>
      </c>
      <c r="O180" s="209">
        <f>IF($F180&lt;$B$131,$E$131+$I$131*($F180-$A$131),IF($F180&lt;$C$131,$F$131+$J$131*($F180-$B$131),$G$131+$K$131*($F180-$C$131)))</f>
        <v/>
      </c>
      <c r="P180" s="208">
        <f>MIN(1,MAX(0,(nr_MEndPm1-$G180+0.5)/$C$130))-MIN(1,MAX(0,(nr_MStartPm1-1-$G180+0.5)/$C$130))</f>
        <v/>
      </c>
      <c r="Q180" s="208">
        <f>MIN(1,MAX(0,(nr_MEndP-$G180+0.5)/$C$130))-MIN(1,MAX(0,(nr_MStartP-1-$G180+0.5)/$C$130))</f>
        <v/>
      </c>
      <c r="R180" s="208">
        <f>MIN(1,MAX(0,(nr_MEndP1-$G180+0.5)/$C$130))-MIN(1,MAX(0,(nr_MStartP1-1-$G180+0.5)/$C$130))</f>
        <v/>
      </c>
      <c r="S180" s="208">
        <f>IF($L$130,$N180*IF($O$130=1,$O180/$F$130,1),"")</f>
        <v/>
      </c>
      <c r="T180" s="208">
        <f>IF(NOT($L$130),"",IF($G180&lt;nr_MStartP,$S180,$T168*(1+IF($G180&lt;nr_MStartP1,$M$130,$N$130))))</f>
        <v/>
      </c>
      <c r="U180" s="208">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184">
        <f>SUMPRODUCT($H$133:$H$180,$Q$133:$Q$180,$O$133:$O$180)/SUMPRODUCT($H$133:$H$180,$Q$133:$Q$180)</f>
        <v/>
      </c>
      <c r="G181" s="184">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184">
        <f>IF(N(INDEX(lr_mind,3))=0,1,INDEX(lr_mind,3))</f>
        <v/>
      </c>
      <c r="G184" s="184">
        <f>IF(N(INDEX(lr_m0,3))=0,1,INDEX(lr_m0,3))</f>
        <v/>
      </c>
      <c r="H184" s="73">
        <f>IF(N(INDEX(lr_m0asof,3))=0,DATE(nr_PlanYear-1,10,1),INDEX(lr_m0asof,3))</f>
        <v/>
      </c>
      <c r="I184" s="184">
        <f>IF(N(INDEX(lr_m1,3))=0,1,INDEX(lr_m1,3))</f>
        <v/>
      </c>
      <c r="J184" s="184">
        <f>INDEX(lr_mprior,3)</f>
        <v/>
      </c>
      <c r="K184" s="184">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145" t="n">
        <v>1</v>
      </c>
      <c r="B187" s="204">
        <f>DATE(nr_PlanYear-2,1,1)</f>
        <v/>
      </c>
      <c r="C187" s="205">
        <f>EOMONTH($B187,0)</f>
        <v/>
      </c>
      <c r="D187" s="201">
        <f>$C187-$B187+1</f>
        <v/>
      </c>
      <c r="E187" s="201">
        <f>MONTH($B187)</f>
        <v/>
      </c>
      <c r="F187" s="235">
        <f>($B187+$C187+1)/2</f>
        <v/>
      </c>
      <c r="G187" s="201">
        <f>YEAR($B187)*12+MONTH($B187)-1</f>
        <v/>
      </c>
      <c r="H187" s="207">
        <f>IF(OR(nr_SeasonOn="OFF",$D$184=0,$E$184=0),1,12*INDEX(se_block,$D$184,$E187)/$E$184)</f>
        <v/>
      </c>
      <c r="I187" s="208">
        <f>EXP(SUMPRODUCT((rl_eff&lt;$B187)*(rl_key=$A$184)*rl_ln1p))</f>
        <v/>
      </c>
      <c r="J187" s="208">
        <f>EXP(SUMPRODUCT((rl_eff&lt;=$C187)*(rl_key=$A$184)*rl_ln1p))</f>
        <v/>
      </c>
      <c r="K187" s="201">
        <f>COUNTIFS(rl_key,$A$184,rl_eff,"&gt;="&amp;$B187,rl_eff,"&lt;="&amp;$C187)</f>
        <v/>
      </c>
      <c r="L187" s="201">
        <f>SUMIFS(rl_daysafter,rl_key,$A$184,rl_effmonth,$B187,rl_first,1)</f>
        <v/>
      </c>
      <c r="M187" s="209">
        <f>IF($K187=0,0,MIN(1,$L187/$D187))</f>
        <v/>
      </c>
      <c r="N187" s="208">
        <f>IF($K187=0,$J187,(1-$M187)*$I187+$M187*$J187)</f>
        <v/>
      </c>
      <c r="O187" s="209">
        <f>IF($F187&lt;$B$185,$E$185+$I$185*($F187-$A$185),IF($F187&lt;$C$185,$F$185+$J$185*($F187-$B$185),$G$185+$K$185*($F187-$C$185)))</f>
        <v/>
      </c>
      <c r="P187" s="208">
        <f>MIN(1,MAX(0,(nr_MEndPm1-$G187+0.5)/$C$184))-MIN(1,MAX(0,(nr_MStartPm1-1-$G187+0.5)/$C$184))</f>
        <v/>
      </c>
      <c r="Q187" s="208">
        <f>MIN(1,MAX(0,(nr_MEndP-$G187+0.5)/$C$184))-MIN(1,MAX(0,(nr_MStartP-1-$G187+0.5)/$C$184))</f>
        <v/>
      </c>
      <c r="R187" s="208">
        <f>MIN(1,MAX(0,(nr_MEndP1-$G187+0.5)/$C$184))-MIN(1,MAX(0,(nr_MStartP1-1-$G187+0.5)/$C$184))</f>
        <v/>
      </c>
      <c r="S187" s="208">
        <f>IF($L$184,$N187*IF($O$184=1,$O187/$F$184,1),"")</f>
        <v/>
      </c>
      <c r="T187" s="208">
        <f>IF(NOT($L$184),"",IF($G187&lt;nr_MStartP,$S187,$T175*(1+IF($G187&lt;nr_MStartP1,$M$184,$N$184))))</f>
        <v/>
      </c>
      <c r="U187" s="208">
        <f>IF($L$184,$T187,$N187)</f>
        <v/>
      </c>
    </row>
    <row r="188">
      <c r="A188" s="145" t="n">
        <v>2</v>
      </c>
      <c r="B188" s="204">
        <f>EDATE($B187,1)</f>
        <v/>
      </c>
      <c r="C188" s="205">
        <f>EOMONTH($B188,0)</f>
        <v/>
      </c>
      <c r="D188" s="201">
        <f>$C188-$B188+1</f>
        <v/>
      </c>
      <c r="E188" s="201">
        <f>MONTH($B188)</f>
        <v/>
      </c>
      <c r="F188" s="235">
        <f>($B188+$C188+1)/2</f>
        <v/>
      </c>
      <c r="G188" s="201">
        <f>YEAR($B188)*12+MONTH($B188)-1</f>
        <v/>
      </c>
      <c r="H188" s="207">
        <f>IF(OR(nr_SeasonOn="OFF",$D$184=0,$E$184=0),1,12*INDEX(se_block,$D$184,$E188)/$E$184)</f>
        <v/>
      </c>
      <c r="I188" s="208">
        <f>EXP(SUMPRODUCT((rl_eff&lt;$B188)*(rl_key=$A$184)*rl_ln1p))</f>
        <v/>
      </c>
      <c r="J188" s="208">
        <f>EXP(SUMPRODUCT((rl_eff&lt;=$C188)*(rl_key=$A$184)*rl_ln1p))</f>
        <v/>
      </c>
      <c r="K188" s="201">
        <f>COUNTIFS(rl_key,$A$184,rl_eff,"&gt;="&amp;$B188,rl_eff,"&lt;="&amp;$C188)</f>
        <v/>
      </c>
      <c r="L188" s="201">
        <f>SUMIFS(rl_daysafter,rl_key,$A$184,rl_effmonth,$B188,rl_first,1)</f>
        <v/>
      </c>
      <c r="M188" s="209">
        <f>IF($K188=0,0,MIN(1,$L188/$D188))</f>
        <v/>
      </c>
      <c r="N188" s="208">
        <f>IF($K188=0,$J188,(1-$M188)*$I188+$M188*$J188)</f>
        <v/>
      </c>
      <c r="O188" s="209">
        <f>IF($F188&lt;$B$185,$E$185+$I$185*($F188-$A$185),IF($F188&lt;$C$185,$F$185+$J$185*($F188-$B$185),$G$185+$K$185*($F188-$C$185)))</f>
        <v/>
      </c>
      <c r="P188" s="208">
        <f>MIN(1,MAX(0,(nr_MEndPm1-$G188+0.5)/$C$184))-MIN(1,MAX(0,(nr_MStartPm1-1-$G188+0.5)/$C$184))</f>
        <v/>
      </c>
      <c r="Q188" s="208">
        <f>MIN(1,MAX(0,(nr_MEndP-$G188+0.5)/$C$184))-MIN(1,MAX(0,(nr_MStartP-1-$G188+0.5)/$C$184))</f>
        <v/>
      </c>
      <c r="R188" s="208">
        <f>MIN(1,MAX(0,(nr_MEndP1-$G188+0.5)/$C$184))-MIN(1,MAX(0,(nr_MStartP1-1-$G188+0.5)/$C$184))</f>
        <v/>
      </c>
      <c r="S188" s="208">
        <f>IF($L$184,$N188*IF($O$184=1,$O188/$F$184,1),"")</f>
        <v/>
      </c>
      <c r="T188" s="208">
        <f>IF(NOT($L$184),"",IF($G188&lt;nr_MStartP,$S188,$T176*(1+IF($G188&lt;nr_MStartP1,$M$184,$N$184))))</f>
        <v/>
      </c>
      <c r="U188" s="208">
        <f>IF($L$184,$T188,$N188)</f>
        <v/>
      </c>
    </row>
    <row r="189">
      <c r="A189" s="145" t="n">
        <v>3</v>
      </c>
      <c r="B189" s="204">
        <f>EDATE($B188,1)</f>
        <v/>
      </c>
      <c r="C189" s="205">
        <f>EOMONTH($B189,0)</f>
        <v/>
      </c>
      <c r="D189" s="201">
        <f>$C189-$B189+1</f>
        <v/>
      </c>
      <c r="E189" s="201">
        <f>MONTH($B189)</f>
        <v/>
      </c>
      <c r="F189" s="235">
        <f>($B189+$C189+1)/2</f>
        <v/>
      </c>
      <c r="G189" s="201">
        <f>YEAR($B189)*12+MONTH($B189)-1</f>
        <v/>
      </c>
      <c r="H189" s="207">
        <f>IF(OR(nr_SeasonOn="OFF",$D$184=0,$E$184=0),1,12*INDEX(se_block,$D$184,$E189)/$E$184)</f>
        <v/>
      </c>
      <c r="I189" s="208">
        <f>EXP(SUMPRODUCT((rl_eff&lt;$B189)*(rl_key=$A$184)*rl_ln1p))</f>
        <v/>
      </c>
      <c r="J189" s="208">
        <f>EXP(SUMPRODUCT((rl_eff&lt;=$C189)*(rl_key=$A$184)*rl_ln1p))</f>
        <v/>
      </c>
      <c r="K189" s="201">
        <f>COUNTIFS(rl_key,$A$184,rl_eff,"&gt;="&amp;$B189,rl_eff,"&lt;="&amp;$C189)</f>
        <v/>
      </c>
      <c r="L189" s="201">
        <f>SUMIFS(rl_daysafter,rl_key,$A$184,rl_effmonth,$B189,rl_first,1)</f>
        <v/>
      </c>
      <c r="M189" s="209">
        <f>IF($K189=0,0,MIN(1,$L189/$D189))</f>
        <v/>
      </c>
      <c r="N189" s="208">
        <f>IF($K189=0,$J189,(1-$M189)*$I189+$M189*$J189)</f>
        <v/>
      </c>
      <c r="O189" s="209">
        <f>IF($F189&lt;$B$185,$E$185+$I$185*($F189-$A$185),IF($F189&lt;$C$185,$F$185+$J$185*($F189-$B$185),$G$185+$K$185*($F189-$C$185)))</f>
        <v/>
      </c>
      <c r="P189" s="208">
        <f>MIN(1,MAX(0,(nr_MEndPm1-$G189+0.5)/$C$184))-MIN(1,MAX(0,(nr_MStartPm1-1-$G189+0.5)/$C$184))</f>
        <v/>
      </c>
      <c r="Q189" s="208">
        <f>MIN(1,MAX(0,(nr_MEndP-$G189+0.5)/$C$184))-MIN(1,MAX(0,(nr_MStartP-1-$G189+0.5)/$C$184))</f>
        <v/>
      </c>
      <c r="R189" s="208">
        <f>MIN(1,MAX(0,(nr_MEndP1-$G189+0.5)/$C$184))-MIN(1,MAX(0,(nr_MStartP1-1-$G189+0.5)/$C$184))</f>
        <v/>
      </c>
      <c r="S189" s="208">
        <f>IF($L$184,$N189*IF($O$184=1,$O189/$F$184,1),"")</f>
        <v/>
      </c>
      <c r="T189" s="208">
        <f>IF(NOT($L$184),"",IF($G189&lt;nr_MStartP,$S189,$T177*(1+IF($G189&lt;nr_MStartP1,$M$184,$N$184))))</f>
        <v/>
      </c>
      <c r="U189" s="208">
        <f>IF($L$184,$T189,$N189)</f>
        <v/>
      </c>
    </row>
    <row r="190">
      <c r="A190" s="145" t="n">
        <v>4</v>
      </c>
      <c r="B190" s="204">
        <f>EDATE($B189,1)</f>
        <v/>
      </c>
      <c r="C190" s="205">
        <f>EOMONTH($B190,0)</f>
        <v/>
      </c>
      <c r="D190" s="201">
        <f>$C190-$B190+1</f>
        <v/>
      </c>
      <c r="E190" s="201">
        <f>MONTH($B190)</f>
        <v/>
      </c>
      <c r="F190" s="235">
        <f>($B190+$C190+1)/2</f>
        <v/>
      </c>
      <c r="G190" s="201">
        <f>YEAR($B190)*12+MONTH($B190)-1</f>
        <v/>
      </c>
      <c r="H190" s="207">
        <f>IF(OR(nr_SeasonOn="OFF",$D$184=0,$E$184=0),1,12*INDEX(se_block,$D$184,$E190)/$E$184)</f>
        <v/>
      </c>
      <c r="I190" s="208">
        <f>EXP(SUMPRODUCT((rl_eff&lt;$B190)*(rl_key=$A$184)*rl_ln1p))</f>
        <v/>
      </c>
      <c r="J190" s="208">
        <f>EXP(SUMPRODUCT((rl_eff&lt;=$C190)*(rl_key=$A$184)*rl_ln1p))</f>
        <v/>
      </c>
      <c r="K190" s="201">
        <f>COUNTIFS(rl_key,$A$184,rl_eff,"&gt;="&amp;$B190,rl_eff,"&lt;="&amp;$C190)</f>
        <v/>
      </c>
      <c r="L190" s="201">
        <f>SUMIFS(rl_daysafter,rl_key,$A$184,rl_effmonth,$B190,rl_first,1)</f>
        <v/>
      </c>
      <c r="M190" s="209">
        <f>IF($K190=0,0,MIN(1,$L190/$D190))</f>
        <v/>
      </c>
      <c r="N190" s="208">
        <f>IF($K190=0,$J190,(1-$M190)*$I190+$M190*$J190)</f>
        <v/>
      </c>
      <c r="O190" s="209">
        <f>IF($F190&lt;$B$185,$E$185+$I$185*($F190-$A$185),IF($F190&lt;$C$185,$F$185+$J$185*($F190-$B$185),$G$185+$K$185*($F190-$C$185)))</f>
        <v/>
      </c>
      <c r="P190" s="208">
        <f>MIN(1,MAX(0,(nr_MEndPm1-$G190+0.5)/$C$184))-MIN(1,MAX(0,(nr_MStartPm1-1-$G190+0.5)/$C$184))</f>
        <v/>
      </c>
      <c r="Q190" s="208">
        <f>MIN(1,MAX(0,(nr_MEndP-$G190+0.5)/$C$184))-MIN(1,MAX(0,(nr_MStartP-1-$G190+0.5)/$C$184))</f>
        <v/>
      </c>
      <c r="R190" s="208">
        <f>MIN(1,MAX(0,(nr_MEndP1-$G190+0.5)/$C$184))-MIN(1,MAX(0,(nr_MStartP1-1-$G190+0.5)/$C$184))</f>
        <v/>
      </c>
      <c r="S190" s="208">
        <f>IF($L$184,$N190*IF($O$184=1,$O190/$F$184,1),"")</f>
        <v/>
      </c>
      <c r="T190" s="208">
        <f>IF(NOT($L$184),"",IF($G190&lt;nr_MStartP,$S190,$T178*(1+IF($G190&lt;nr_MStartP1,$M$184,$N$184))))</f>
        <v/>
      </c>
      <c r="U190" s="208">
        <f>IF($L$184,$T190,$N190)</f>
        <v/>
      </c>
    </row>
    <row r="191">
      <c r="A191" s="145" t="n">
        <v>5</v>
      </c>
      <c r="B191" s="204">
        <f>EDATE($B190,1)</f>
        <v/>
      </c>
      <c r="C191" s="205">
        <f>EOMONTH($B191,0)</f>
        <v/>
      </c>
      <c r="D191" s="201">
        <f>$C191-$B191+1</f>
        <v/>
      </c>
      <c r="E191" s="201">
        <f>MONTH($B191)</f>
        <v/>
      </c>
      <c r="F191" s="235">
        <f>($B191+$C191+1)/2</f>
        <v/>
      </c>
      <c r="G191" s="201">
        <f>YEAR($B191)*12+MONTH($B191)-1</f>
        <v/>
      </c>
      <c r="H191" s="207">
        <f>IF(OR(nr_SeasonOn="OFF",$D$184=0,$E$184=0),1,12*INDEX(se_block,$D$184,$E191)/$E$184)</f>
        <v/>
      </c>
      <c r="I191" s="208">
        <f>EXP(SUMPRODUCT((rl_eff&lt;$B191)*(rl_key=$A$184)*rl_ln1p))</f>
        <v/>
      </c>
      <c r="J191" s="208">
        <f>EXP(SUMPRODUCT((rl_eff&lt;=$C191)*(rl_key=$A$184)*rl_ln1p))</f>
        <v/>
      </c>
      <c r="K191" s="201">
        <f>COUNTIFS(rl_key,$A$184,rl_eff,"&gt;="&amp;$B191,rl_eff,"&lt;="&amp;$C191)</f>
        <v/>
      </c>
      <c r="L191" s="201">
        <f>SUMIFS(rl_daysafter,rl_key,$A$184,rl_effmonth,$B191,rl_first,1)</f>
        <v/>
      </c>
      <c r="M191" s="209">
        <f>IF($K191=0,0,MIN(1,$L191/$D191))</f>
        <v/>
      </c>
      <c r="N191" s="208">
        <f>IF($K191=0,$J191,(1-$M191)*$I191+$M191*$J191)</f>
        <v/>
      </c>
      <c r="O191" s="209">
        <f>IF($F191&lt;$B$185,$E$185+$I$185*($F191-$A$185),IF($F191&lt;$C$185,$F$185+$J$185*($F191-$B$185),$G$185+$K$185*($F191-$C$185)))</f>
        <v/>
      </c>
      <c r="P191" s="208">
        <f>MIN(1,MAX(0,(nr_MEndPm1-$G191+0.5)/$C$184))-MIN(1,MAX(0,(nr_MStartPm1-1-$G191+0.5)/$C$184))</f>
        <v/>
      </c>
      <c r="Q191" s="208">
        <f>MIN(1,MAX(0,(nr_MEndP-$G191+0.5)/$C$184))-MIN(1,MAX(0,(nr_MStartP-1-$G191+0.5)/$C$184))</f>
        <v/>
      </c>
      <c r="R191" s="208">
        <f>MIN(1,MAX(0,(nr_MEndP1-$G191+0.5)/$C$184))-MIN(1,MAX(0,(nr_MStartP1-1-$G191+0.5)/$C$184))</f>
        <v/>
      </c>
      <c r="S191" s="208">
        <f>IF($L$184,$N191*IF($O$184=1,$O191/$F$184,1),"")</f>
        <v/>
      </c>
      <c r="T191" s="208">
        <f>IF(NOT($L$184),"",IF($G191&lt;nr_MStartP,$S191,$T179*(1+IF($G191&lt;nr_MStartP1,$M$184,$N$184))))</f>
        <v/>
      </c>
      <c r="U191" s="208">
        <f>IF($L$184,$T191,$N191)</f>
        <v/>
      </c>
    </row>
    <row r="192">
      <c r="A192" s="145" t="n">
        <v>6</v>
      </c>
      <c r="B192" s="204">
        <f>EDATE($B191,1)</f>
        <v/>
      </c>
      <c r="C192" s="205">
        <f>EOMONTH($B192,0)</f>
        <v/>
      </c>
      <c r="D192" s="201">
        <f>$C192-$B192+1</f>
        <v/>
      </c>
      <c r="E192" s="201">
        <f>MONTH($B192)</f>
        <v/>
      </c>
      <c r="F192" s="235">
        <f>($B192+$C192+1)/2</f>
        <v/>
      </c>
      <c r="G192" s="201">
        <f>YEAR($B192)*12+MONTH($B192)-1</f>
        <v/>
      </c>
      <c r="H192" s="207">
        <f>IF(OR(nr_SeasonOn="OFF",$D$184=0,$E$184=0),1,12*INDEX(se_block,$D$184,$E192)/$E$184)</f>
        <v/>
      </c>
      <c r="I192" s="208">
        <f>EXP(SUMPRODUCT((rl_eff&lt;$B192)*(rl_key=$A$184)*rl_ln1p))</f>
        <v/>
      </c>
      <c r="J192" s="208">
        <f>EXP(SUMPRODUCT((rl_eff&lt;=$C192)*(rl_key=$A$184)*rl_ln1p))</f>
        <v/>
      </c>
      <c r="K192" s="201">
        <f>COUNTIFS(rl_key,$A$184,rl_eff,"&gt;="&amp;$B192,rl_eff,"&lt;="&amp;$C192)</f>
        <v/>
      </c>
      <c r="L192" s="201">
        <f>SUMIFS(rl_daysafter,rl_key,$A$184,rl_effmonth,$B192,rl_first,1)</f>
        <v/>
      </c>
      <c r="M192" s="209">
        <f>IF($K192=0,0,MIN(1,$L192/$D192))</f>
        <v/>
      </c>
      <c r="N192" s="208">
        <f>IF($K192=0,$J192,(1-$M192)*$I192+$M192*$J192)</f>
        <v/>
      </c>
      <c r="O192" s="209">
        <f>IF($F192&lt;$B$185,$E$185+$I$185*($F192-$A$185),IF($F192&lt;$C$185,$F$185+$J$185*($F192-$B$185),$G$185+$K$185*($F192-$C$185)))</f>
        <v/>
      </c>
      <c r="P192" s="208">
        <f>MIN(1,MAX(0,(nr_MEndPm1-$G192+0.5)/$C$184))-MIN(1,MAX(0,(nr_MStartPm1-1-$G192+0.5)/$C$184))</f>
        <v/>
      </c>
      <c r="Q192" s="208">
        <f>MIN(1,MAX(0,(nr_MEndP-$G192+0.5)/$C$184))-MIN(1,MAX(0,(nr_MStartP-1-$G192+0.5)/$C$184))</f>
        <v/>
      </c>
      <c r="R192" s="208">
        <f>MIN(1,MAX(0,(nr_MEndP1-$G192+0.5)/$C$184))-MIN(1,MAX(0,(nr_MStartP1-1-$G192+0.5)/$C$184))</f>
        <v/>
      </c>
      <c r="S192" s="208">
        <f>IF($L$184,$N192*IF($O$184=1,$O192/$F$184,1),"")</f>
        <v/>
      </c>
      <c r="T192" s="208">
        <f>IF(NOT($L$184),"",IF($G192&lt;nr_MStartP,$S192,$T180*(1+IF($G192&lt;nr_MStartP1,$M$184,$N$184))))</f>
        <v/>
      </c>
      <c r="U192" s="208">
        <f>IF($L$184,$T192,$N192)</f>
        <v/>
      </c>
    </row>
    <row r="193">
      <c r="A193" s="145" t="n">
        <v>7</v>
      </c>
      <c r="B193" s="204">
        <f>EDATE($B192,1)</f>
        <v/>
      </c>
      <c r="C193" s="205">
        <f>EOMONTH($B193,0)</f>
        <v/>
      </c>
      <c r="D193" s="201">
        <f>$C193-$B193+1</f>
        <v/>
      </c>
      <c r="E193" s="201">
        <f>MONTH($B193)</f>
        <v/>
      </c>
      <c r="F193" s="235">
        <f>($B193+$C193+1)/2</f>
        <v/>
      </c>
      <c r="G193" s="201">
        <f>YEAR($B193)*12+MONTH($B193)-1</f>
        <v/>
      </c>
      <c r="H193" s="207">
        <f>IF(OR(nr_SeasonOn="OFF",$D$184=0,$E$184=0),1,12*INDEX(se_block,$D$184,$E193)/$E$184)</f>
        <v/>
      </c>
      <c r="I193" s="208">
        <f>EXP(SUMPRODUCT((rl_eff&lt;$B193)*(rl_key=$A$184)*rl_ln1p))</f>
        <v/>
      </c>
      <c r="J193" s="208">
        <f>EXP(SUMPRODUCT((rl_eff&lt;=$C193)*(rl_key=$A$184)*rl_ln1p))</f>
        <v/>
      </c>
      <c r="K193" s="201">
        <f>COUNTIFS(rl_key,$A$184,rl_eff,"&gt;="&amp;$B193,rl_eff,"&lt;="&amp;$C193)</f>
        <v/>
      </c>
      <c r="L193" s="201">
        <f>SUMIFS(rl_daysafter,rl_key,$A$184,rl_effmonth,$B193,rl_first,1)</f>
        <v/>
      </c>
      <c r="M193" s="209">
        <f>IF($K193=0,0,MIN(1,$L193/$D193))</f>
        <v/>
      </c>
      <c r="N193" s="208">
        <f>IF($K193=0,$J193,(1-$M193)*$I193+$M193*$J193)</f>
        <v/>
      </c>
      <c r="O193" s="209">
        <f>IF($F193&lt;$B$185,$E$185+$I$185*($F193-$A$185),IF($F193&lt;$C$185,$F$185+$J$185*($F193-$B$185),$G$185+$K$185*($F193-$C$185)))</f>
        <v/>
      </c>
      <c r="P193" s="208">
        <f>MIN(1,MAX(0,(nr_MEndPm1-$G193+0.5)/$C$184))-MIN(1,MAX(0,(nr_MStartPm1-1-$G193+0.5)/$C$184))</f>
        <v/>
      </c>
      <c r="Q193" s="208">
        <f>MIN(1,MAX(0,(nr_MEndP-$G193+0.5)/$C$184))-MIN(1,MAX(0,(nr_MStartP-1-$G193+0.5)/$C$184))</f>
        <v/>
      </c>
      <c r="R193" s="208">
        <f>MIN(1,MAX(0,(nr_MEndP1-$G193+0.5)/$C$184))-MIN(1,MAX(0,(nr_MStartP1-1-$G193+0.5)/$C$184))</f>
        <v/>
      </c>
      <c r="S193" s="208">
        <f>IF($L$184,$N193*IF($O$184=1,$O193/$F$184,1),"")</f>
        <v/>
      </c>
      <c r="T193" s="208">
        <f>IF(NOT($L$184),"",IF($G193&lt;nr_MStartP,$S193,$T181*(1+IF($G193&lt;nr_MStartP1,$M$184,$N$184))))</f>
        <v/>
      </c>
      <c r="U193" s="208">
        <f>IF($L$184,$T193,$N193)</f>
        <v/>
      </c>
    </row>
    <row r="194">
      <c r="A194" s="145" t="n">
        <v>8</v>
      </c>
      <c r="B194" s="204">
        <f>EDATE($B193,1)</f>
        <v/>
      </c>
      <c r="C194" s="205">
        <f>EOMONTH($B194,0)</f>
        <v/>
      </c>
      <c r="D194" s="201">
        <f>$C194-$B194+1</f>
        <v/>
      </c>
      <c r="E194" s="201">
        <f>MONTH($B194)</f>
        <v/>
      </c>
      <c r="F194" s="235">
        <f>($B194+$C194+1)/2</f>
        <v/>
      </c>
      <c r="G194" s="201">
        <f>YEAR($B194)*12+MONTH($B194)-1</f>
        <v/>
      </c>
      <c r="H194" s="207">
        <f>IF(OR(nr_SeasonOn="OFF",$D$184=0,$E$184=0),1,12*INDEX(se_block,$D$184,$E194)/$E$184)</f>
        <v/>
      </c>
      <c r="I194" s="208">
        <f>EXP(SUMPRODUCT((rl_eff&lt;$B194)*(rl_key=$A$184)*rl_ln1p))</f>
        <v/>
      </c>
      <c r="J194" s="208">
        <f>EXP(SUMPRODUCT((rl_eff&lt;=$C194)*(rl_key=$A$184)*rl_ln1p))</f>
        <v/>
      </c>
      <c r="K194" s="201">
        <f>COUNTIFS(rl_key,$A$184,rl_eff,"&gt;="&amp;$B194,rl_eff,"&lt;="&amp;$C194)</f>
        <v/>
      </c>
      <c r="L194" s="201">
        <f>SUMIFS(rl_daysafter,rl_key,$A$184,rl_effmonth,$B194,rl_first,1)</f>
        <v/>
      </c>
      <c r="M194" s="209">
        <f>IF($K194=0,0,MIN(1,$L194/$D194))</f>
        <v/>
      </c>
      <c r="N194" s="208">
        <f>IF($K194=0,$J194,(1-$M194)*$I194+$M194*$J194)</f>
        <v/>
      </c>
      <c r="O194" s="209">
        <f>IF($F194&lt;$B$185,$E$185+$I$185*($F194-$A$185),IF($F194&lt;$C$185,$F$185+$J$185*($F194-$B$185),$G$185+$K$185*($F194-$C$185)))</f>
        <v/>
      </c>
      <c r="P194" s="208">
        <f>MIN(1,MAX(0,(nr_MEndPm1-$G194+0.5)/$C$184))-MIN(1,MAX(0,(nr_MStartPm1-1-$G194+0.5)/$C$184))</f>
        <v/>
      </c>
      <c r="Q194" s="208">
        <f>MIN(1,MAX(0,(nr_MEndP-$G194+0.5)/$C$184))-MIN(1,MAX(0,(nr_MStartP-1-$G194+0.5)/$C$184))</f>
        <v/>
      </c>
      <c r="R194" s="208">
        <f>MIN(1,MAX(0,(nr_MEndP1-$G194+0.5)/$C$184))-MIN(1,MAX(0,(nr_MStartP1-1-$G194+0.5)/$C$184))</f>
        <v/>
      </c>
      <c r="S194" s="208">
        <f>IF($L$184,$N194*IF($O$184=1,$O194/$F$184,1),"")</f>
        <v/>
      </c>
      <c r="T194" s="208">
        <f>IF(NOT($L$184),"",IF($G194&lt;nr_MStartP,$S194,$T182*(1+IF($G194&lt;nr_MStartP1,$M$184,$N$184))))</f>
        <v/>
      </c>
      <c r="U194" s="208">
        <f>IF($L$184,$T194,$N194)</f>
        <v/>
      </c>
    </row>
    <row r="195">
      <c r="A195" s="145" t="n">
        <v>9</v>
      </c>
      <c r="B195" s="204">
        <f>EDATE($B194,1)</f>
        <v/>
      </c>
      <c r="C195" s="205">
        <f>EOMONTH($B195,0)</f>
        <v/>
      </c>
      <c r="D195" s="201">
        <f>$C195-$B195+1</f>
        <v/>
      </c>
      <c r="E195" s="201">
        <f>MONTH($B195)</f>
        <v/>
      </c>
      <c r="F195" s="235">
        <f>($B195+$C195+1)/2</f>
        <v/>
      </c>
      <c r="G195" s="201">
        <f>YEAR($B195)*12+MONTH($B195)-1</f>
        <v/>
      </c>
      <c r="H195" s="207">
        <f>IF(OR(nr_SeasonOn="OFF",$D$184=0,$E$184=0),1,12*INDEX(se_block,$D$184,$E195)/$E$184)</f>
        <v/>
      </c>
      <c r="I195" s="208">
        <f>EXP(SUMPRODUCT((rl_eff&lt;$B195)*(rl_key=$A$184)*rl_ln1p))</f>
        <v/>
      </c>
      <c r="J195" s="208">
        <f>EXP(SUMPRODUCT((rl_eff&lt;=$C195)*(rl_key=$A$184)*rl_ln1p))</f>
        <v/>
      </c>
      <c r="K195" s="201">
        <f>COUNTIFS(rl_key,$A$184,rl_eff,"&gt;="&amp;$B195,rl_eff,"&lt;="&amp;$C195)</f>
        <v/>
      </c>
      <c r="L195" s="201">
        <f>SUMIFS(rl_daysafter,rl_key,$A$184,rl_effmonth,$B195,rl_first,1)</f>
        <v/>
      </c>
      <c r="M195" s="209">
        <f>IF($K195=0,0,MIN(1,$L195/$D195))</f>
        <v/>
      </c>
      <c r="N195" s="208">
        <f>IF($K195=0,$J195,(1-$M195)*$I195+$M195*$J195)</f>
        <v/>
      </c>
      <c r="O195" s="209">
        <f>IF($F195&lt;$B$185,$E$185+$I$185*($F195-$A$185),IF($F195&lt;$C$185,$F$185+$J$185*($F195-$B$185),$G$185+$K$185*($F195-$C$185)))</f>
        <v/>
      </c>
      <c r="P195" s="208">
        <f>MIN(1,MAX(0,(nr_MEndPm1-$G195+0.5)/$C$184))-MIN(1,MAX(0,(nr_MStartPm1-1-$G195+0.5)/$C$184))</f>
        <v/>
      </c>
      <c r="Q195" s="208">
        <f>MIN(1,MAX(0,(nr_MEndP-$G195+0.5)/$C$184))-MIN(1,MAX(0,(nr_MStartP-1-$G195+0.5)/$C$184))</f>
        <v/>
      </c>
      <c r="R195" s="208">
        <f>MIN(1,MAX(0,(nr_MEndP1-$G195+0.5)/$C$184))-MIN(1,MAX(0,(nr_MStartP1-1-$G195+0.5)/$C$184))</f>
        <v/>
      </c>
      <c r="S195" s="208">
        <f>IF($L$184,$N195*IF($O$184=1,$O195/$F$184,1),"")</f>
        <v/>
      </c>
      <c r="T195" s="208">
        <f>IF(NOT($L$184),"",IF($G195&lt;nr_MStartP,$S195,$T183*(1+IF($G195&lt;nr_MStartP1,$M$184,$N$184))))</f>
        <v/>
      </c>
      <c r="U195" s="208">
        <f>IF($L$184,$T195,$N195)</f>
        <v/>
      </c>
    </row>
    <row r="196">
      <c r="A196" s="145" t="n">
        <v>10</v>
      </c>
      <c r="B196" s="204">
        <f>EDATE($B195,1)</f>
        <v/>
      </c>
      <c r="C196" s="205">
        <f>EOMONTH($B196,0)</f>
        <v/>
      </c>
      <c r="D196" s="201">
        <f>$C196-$B196+1</f>
        <v/>
      </c>
      <c r="E196" s="201">
        <f>MONTH($B196)</f>
        <v/>
      </c>
      <c r="F196" s="235">
        <f>($B196+$C196+1)/2</f>
        <v/>
      </c>
      <c r="G196" s="201">
        <f>YEAR($B196)*12+MONTH($B196)-1</f>
        <v/>
      </c>
      <c r="H196" s="207">
        <f>IF(OR(nr_SeasonOn="OFF",$D$184=0,$E$184=0),1,12*INDEX(se_block,$D$184,$E196)/$E$184)</f>
        <v/>
      </c>
      <c r="I196" s="208">
        <f>EXP(SUMPRODUCT((rl_eff&lt;$B196)*(rl_key=$A$184)*rl_ln1p))</f>
        <v/>
      </c>
      <c r="J196" s="208">
        <f>EXP(SUMPRODUCT((rl_eff&lt;=$C196)*(rl_key=$A$184)*rl_ln1p))</f>
        <v/>
      </c>
      <c r="K196" s="201">
        <f>COUNTIFS(rl_key,$A$184,rl_eff,"&gt;="&amp;$B196,rl_eff,"&lt;="&amp;$C196)</f>
        <v/>
      </c>
      <c r="L196" s="201">
        <f>SUMIFS(rl_daysafter,rl_key,$A$184,rl_effmonth,$B196,rl_first,1)</f>
        <v/>
      </c>
      <c r="M196" s="209">
        <f>IF($K196=0,0,MIN(1,$L196/$D196))</f>
        <v/>
      </c>
      <c r="N196" s="208">
        <f>IF($K196=0,$J196,(1-$M196)*$I196+$M196*$J196)</f>
        <v/>
      </c>
      <c r="O196" s="209">
        <f>IF($F196&lt;$B$185,$E$185+$I$185*($F196-$A$185),IF($F196&lt;$C$185,$F$185+$J$185*($F196-$B$185),$G$185+$K$185*($F196-$C$185)))</f>
        <v/>
      </c>
      <c r="P196" s="208">
        <f>MIN(1,MAX(0,(nr_MEndPm1-$G196+0.5)/$C$184))-MIN(1,MAX(0,(nr_MStartPm1-1-$G196+0.5)/$C$184))</f>
        <v/>
      </c>
      <c r="Q196" s="208">
        <f>MIN(1,MAX(0,(nr_MEndP-$G196+0.5)/$C$184))-MIN(1,MAX(0,(nr_MStartP-1-$G196+0.5)/$C$184))</f>
        <v/>
      </c>
      <c r="R196" s="208">
        <f>MIN(1,MAX(0,(nr_MEndP1-$G196+0.5)/$C$184))-MIN(1,MAX(0,(nr_MStartP1-1-$G196+0.5)/$C$184))</f>
        <v/>
      </c>
      <c r="S196" s="208">
        <f>IF($L$184,$N196*IF($O$184=1,$O196/$F$184,1),"")</f>
        <v/>
      </c>
      <c r="T196" s="208">
        <f>IF(NOT($L$184),"",IF($G196&lt;nr_MStartP,$S196,$T184*(1+IF($G196&lt;nr_MStartP1,$M$184,$N$184))))</f>
        <v/>
      </c>
      <c r="U196" s="208">
        <f>IF($L$184,$T196,$N196)</f>
        <v/>
      </c>
    </row>
    <row r="197">
      <c r="A197" s="145" t="n">
        <v>11</v>
      </c>
      <c r="B197" s="204">
        <f>EDATE($B196,1)</f>
        <v/>
      </c>
      <c r="C197" s="205">
        <f>EOMONTH($B197,0)</f>
        <v/>
      </c>
      <c r="D197" s="201">
        <f>$C197-$B197+1</f>
        <v/>
      </c>
      <c r="E197" s="201">
        <f>MONTH($B197)</f>
        <v/>
      </c>
      <c r="F197" s="235">
        <f>($B197+$C197+1)/2</f>
        <v/>
      </c>
      <c r="G197" s="201">
        <f>YEAR($B197)*12+MONTH($B197)-1</f>
        <v/>
      </c>
      <c r="H197" s="207">
        <f>IF(OR(nr_SeasonOn="OFF",$D$184=0,$E$184=0),1,12*INDEX(se_block,$D$184,$E197)/$E$184)</f>
        <v/>
      </c>
      <c r="I197" s="208">
        <f>EXP(SUMPRODUCT((rl_eff&lt;$B197)*(rl_key=$A$184)*rl_ln1p))</f>
        <v/>
      </c>
      <c r="J197" s="208">
        <f>EXP(SUMPRODUCT((rl_eff&lt;=$C197)*(rl_key=$A$184)*rl_ln1p))</f>
        <v/>
      </c>
      <c r="K197" s="201">
        <f>COUNTIFS(rl_key,$A$184,rl_eff,"&gt;="&amp;$B197,rl_eff,"&lt;="&amp;$C197)</f>
        <v/>
      </c>
      <c r="L197" s="201">
        <f>SUMIFS(rl_daysafter,rl_key,$A$184,rl_effmonth,$B197,rl_first,1)</f>
        <v/>
      </c>
      <c r="M197" s="209">
        <f>IF($K197=0,0,MIN(1,$L197/$D197))</f>
        <v/>
      </c>
      <c r="N197" s="208">
        <f>IF($K197=0,$J197,(1-$M197)*$I197+$M197*$J197)</f>
        <v/>
      </c>
      <c r="O197" s="209">
        <f>IF($F197&lt;$B$185,$E$185+$I$185*($F197-$A$185),IF($F197&lt;$C$185,$F$185+$J$185*($F197-$B$185),$G$185+$K$185*($F197-$C$185)))</f>
        <v/>
      </c>
      <c r="P197" s="208">
        <f>MIN(1,MAX(0,(nr_MEndPm1-$G197+0.5)/$C$184))-MIN(1,MAX(0,(nr_MStartPm1-1-$G197+0.5)/$C$184))</f>
        <v/>
      </c>
      <c r="Q197" s="208">
        <f>MIN(1,MAX(0,(nr_MEndP-$G197+0.5)/$C$184))-MIN(1,MAX(0,(nr_MStartP-1-$G197+0.5)/$C$184))</f>
        <v/>
      </c>
      <c r="R197" s="208">
        <f>MIN(1,MAX(0,(nr_MEndP1-$G197+0.5)/$C$184))-MIN(1,MAX(0,(nr_MStartP1-1-$G197+0.5)/$C$184))</f>
        <v/>
      </c>
      <c r="S197" s="208">
        <f>IF($L$184,$N197*IF($O$184=1,$O197/$F$184,1),"")</f>
        <v/>
      </c>
      <c r="T197" s="208">
        <f>IF(NOT($L$184),"",IF($G197&lt;nr_MStartP,$S197,$T185*(1+IF($G197&lt;nr_MStartP1,$M$184,$N$184))))</f>
        <v/>
      </c>
      <c r="U197" s="208">
        <f>IF($L$184,$T197,$N197)</f>
        <v/>
      </c>
    </row>
    <row r="198">
      <c r="A198" s="145" t="n">
        <v>12</v>
      </c>
      <c r="B198" s="204">
        <f>EDATE($B197,1)</f>
        <v/>
      </c>
      <c r="C198" s="205">
        <f>EOMONTH($B198,0)</f>
        <v/>
      </c>
      <c r="D198" s="201">
        <f>$C198-$B198+1</f>
        <v/>
      </c>
      <c r="E198" s="201">
        <f>MONTH($B198)</f>
        <v/>
      </c>
      <c r="F198" s="235">
        <f>($B198+$C198+1)/2</f>
        <v/>
      </c>
      <c r="G198" s="201">
        <f>YEAR($B198)*12+MONTH($B198)-1</f>
        <v/>
      </c>
      <c r="H198" s="207">
        <f>IF(OR(nr_SeasonOn="OFF",$D$184=0,$E$184=0),1,12*INDEX(se_block,$D$184,$E198)/$E$184)</f>
        <v/>
      </c>
      <c r="I198" s="208">
        <f>EXP(SUMPRODUCT((rl_eff&lt;$B198)*(rl_key=$A$184)*rl_ln1p))</f>
        <v/>
      </c>
      <c r="J198" s="208">
        <f>EXP(SUMPRODUCT((rl_eff&lt;=$C198)*(rl_key=$A$184)*rl_ln1p))</f>
        <v/>
      </c>
      <c r="K198" s="201">
        <f>COUNTIFS(rl_key,$A$184,rl_eff,"&gt;="&amp;$B198,rl_eff,"&lt;="&amp;$C198)</f>
        <v/>
      </c>
      <c r="L198" s="201">
        <f>SUMIFS(rl_daysafter,rl_key,$A$184,rl_effmonth,$B198,rl_first,1)</f>
        <v/>
      </c>
      <c r="M198" s="209">
        <f>IF($K198=0,0,MIN(1,$L198/$D198))</f>
        <v/>
      </c>
      <c r="N198" s="208">
        <f>IF($K198=0,$J198,(1-$M198)*$I198+$M198*$J198)</f>
        <v/>
      </c>
      <c r="O198" s="209">
        <f>IF($F198&lt;$B$185,$E$185+$I$185*($F198-$A$185),IF($F198&lt;$C$185,$F$185+$J$185*($F198-$B$185),$G$185+$K$185*($F198-$C$185)))</f>
        <v/>
      </c>
      <c r="P198" s="208">
        <f>MIN(1,MAX(0,(nr_MEndPm1-$G198+0.5)/$C$184))-MIN(1,MAX(0,(nr_MStartPm1-1-$G198+0.5)/$C$184))</f>
        <v/>
      </c>
      <c r="Q198" s="208">
        <f>MIN(1,MAX(0,(nr_MEndP-$G198+0.5)/$C$184))-MIN(1,MAX(0,(nr_MStartP-1-$G198+0.5)/$C$184))</f>
        <v/>
      </c>
      <c r="R198" s="208">
        <f>MIN(1,MAX(0,(nr_MEndP1-$G198+0.5)/$C$184))-MIN(1,MAX(0,(nr_MStartP1-1-$G198+0.5)/$C$184))</f>
        <v/>
      </c>
      <c r="S198" s="208">
        <f>IF($L$184,$N198*IF($O$184=1,$O198/$F$184,1),"")</f>
        <v/>
      </c>
      <c r="T198" s="208">
        <f>IF(NOT($L$184),"",IF($G198&lt;nr_MStartP,$S198,$T186*(1+IF($G198&lt;nr_MStartP1,$M$184,$N$184))))</f>
        <v/>
      </c>
      <c r="U198" s="208">
        <f>IF($L$184,$T198,$N198)</f>
        <v/>
      </c>
    </row>
    <row r="199">
      <c r="A199" s="145" t="n">
        <v>13</v>
      </c>
      <c r="B199" s="204">
        <f>EDATE($B198,1)</f>
        <v/>
      </c>
      <c r="C199" s="205">
        <f>EOMONTH($B199,0)</f>
        <v/>
      </c>
      <c r="D199" s="201">
        <f>$C199-$B199+1</f>
        <v/>
      </c>
      <c r="E199" s="201">
        <f>MONTH($B199)</f>
        <v/>
      </c>
      <c r="F199" s="235">
        <f>($B199+$C199+1)/2</f>
        <v/>
      </c>
      <c r="G199" s="201">
        <f>YEAR($B199)*12+MONTH($B199)-1</f>
        <v/>
      </c>
      <c r="H199" s="207">
        <f>IF(OR(nr_SeasonOn="OFF",$D$184=0,$E$184=0),1,12*INDEX(se_block,$D$184,$E199)/$E$184)</f>
        <v/>
      </c>
      <c r="I199" s="208">
        <f>EXP(SUMPRODUCT((rl_eff&lt;$B199)*(rl_key=$A$184)*rl_ln1p))</f>
        <v/>
      </c>
      <c r="J199" s="208">
        <f>EXP(SUMPRODUCT((rl_eff&lt;=$C199)*(rl_key=$A$184)*rl_ln1p))</f>
        <v/>
      </c>
      <c r="K199" s="201">
        <f>COUNTIFS(rl_key,$A$184,rl_eff,"&gt;="&amp;$B199,rl_eff,"&lt;="&amp;$C199)</f>
        <v/>
      </c>
      <c r="L199" s="201">
        <f>SUMIFS(rl_daysafter,rl_key,$A$184,rl_effmonth,$B199,rl_first,1)</f>
        <v/>
      </c>
      <c r="M199" s="209">
        <f>IF($K199=0,0,MIN(1,$L199/$D199))</f>
        <v/>
      </c>
      <c r="N199" s="208">
        <f>IF($K199=0,$J199,(1-$M199)*$I199+$M199*$J199)</f>
        <v/>
      </c>
      <c r="O199" s="209">
        <f>IF($F199&lt;$B$185,$E$185+$I$185*($F199-$A$185),IF($F199&lt;$C$185,$F$185+$J$185*($F199-$B$185),$G$185+$K$185*($F199-$C$185)))</f>
        <v/>
      </c>
      <c r="P199" s="208">
        <f>MIN(1,MAX(0,(nr_MEndPm1-$G199+0.5)/$C$184))-MIN(1,MAX(0,(nr_MStartPm1-1-$G199+0.5)/$C$184))</f>
        <v/>
      </c>
      <c r="Q199" s="208">
        <f>MIN(1,MAX(0,(nr_MEndP-$G199+0.5)/$C$184))-MIN(1,MAX(0,(nr_MStartP-1-$G199+0.5)/$C$184))</f>
        <v/>
      </c>
      <c r="R199" s="208">
        <f>MIN(1,MAX(0,(nr_MEndP1-$G199+0.5)/$C$184))-MIN(1,MAX(0,(nr_MStartP1-1-$G199+0.5)/$C$184))</f>
        <v/>
      </c>
      <c r="S199" s="208">
        <f>IF($L$184,$N199*IF($O$184=1,$O199/$F$184,1),"")</f>
        <v/>
      </c>
      <c r="T199" s="208">
        <f>IF(NOT($L$184),"",IF($G199&lt;nr_MStartP,$S199,$T187*(1+IF($G199&lt;nr_MStartP1,$M$184,$N$184))))</f>
        <v/>
      </c>
      <c r="U199" s="208">
        <f>IF($L$184,$T199,$N199)</f>
        <v/>
      </c>
    </row>
    <row r="200">
      <c r="A200" s="145" t="n">
        <v>14</v>
      </c>
      <c r="B200" s="204">
        <f>EDATE($B199,1)</f>
        <v/>
      </c>
      <c r="C200" s="205">
        <f>EOMONTH($B200,0)</f>
        <v/>
      </c>
      <c r="D200" s="201">
        <f>$C200-$B200+1</f>
        <v/>
      </c>
      <c r="E200" s="201">
        <f>MONTH($B200)</f>
        <v/>
      </c>
      <c r="F200" s="235">
        <f>($B200+$C200+1)/2</f>
        <v/>
      </c>
      <c r="G200" s="201">
        <f>YEAR($B200)*12+MONTH($B200)-1</f>
        <v/>
      </c>
      <c r="H200" s="207">
        <f>IF(OR(nr_SeasonOn="OFF",$D$184=0,$E$184=0),1,12*INDEX(se_block,$D$184,$E200)/$E$184)</f>
        <v/>
      </c>
      <c r="I200" s="208">
        <f>EXP(SUMPRODUCT((rl_eff&lt;$B200)*(rl_key=$A$184)*rl_ln1p))</f>
        <v/>
      </c>
      <c r="J200" s="208">
        <f>EXP(SUMPRODUCT((rl_eff&lt;=$C200)*(rl_key=$A$184)*rl_ln1p))</f>
        <v/>
      </c>
      <c r="K200" s="201">
        <f>COUNTIFS(rl_key,$A$184,rl_eff,"&gt;="&amp;$B200,rl_eff,"&lt;="&amp;$C200)</f>
        <v/>
      </c>
      <c r="L200" s="201">
        <f>SUMIFS(rl_daysafter,rl_key,$A$184,rl_effmonth,$B200,rl_first,1)</f>
        <v/>
      </c>
      <c r="M200" s="209">
        <f>IF($K200=0,0,MIN(1,$L200/$D200))</f>
        <v/>
      </c>
      <c r="N200" s="208">
        <f>IF($K200=0,$J200,(1-$M200)*$I200+$M200*$J200)</f>
        <v/>
      </c>
      <c r="O200" s="209">
        <f>IF($F200&lt;$B$185,$E$185+$I$185*($F200-$A$185),IF($F200&lt;$C$185,$F$185+$J$185*($F200-$B$185),$G$185+$K$185*($F200-$C$185)))</f>
        <v/>
      </c>
      <c r="P200" s="208">
        <f>MIN(1,MAX(0,(nr_MEndPm1-$G200+0.5)/$C$184))-MIN(1,MAX(0,(nr_MStartPm1-1-$G200+0.5)/$C$184))</f>
        <v/>
      </c>
      <c r="Q200" s="208">
        <f>MIN(1,MAX(0,(nr_MEndP-$G200+0.5)/$C$184))-MIN(1,MAX(0,(nr_MStartP-1-$G200+0.5)/$C$184))</f>
        <v/>
      </c>
      <c r="R200" s="208">
        <f>MIN(1,MAX(0,(nr_MEndP1-$G200+0.5)/$C$184))-MIN(1,MAX(0,(nr_MStartP1-1-$G200+0.5)/$C$184))</f>
        <v/>
      </c>
      <c r="S200" s="208">
        <f>IF($L$184,$N200*IF($O$184=1,$O200/$F$184,1),"")</f>
        <v/>
      </c>
      <c r="T200" s="208">
        <f>IF(NOT($L$184),"",IF($G200&lt;nr_MStartP,$S200,$T188*(1+IF($G200&lt;nr_MStartP1,$M$184,$N$184))))</f>
        <v/>
      </c>
      <c r="U200" s="208">
        <f>IF($L$184,$T200,$N200)</f>
        <v/>
      </c>
    </row>
    <row r="201">
      <c r="A201" s="145" t="n">
        <v>15</v>
      </c>
      <c r="B201" s="204">
        <f>EDATE($B200,1)</f>
        <v/>
      </c>
      <c r="C201" s="205">
        <f>EOMONTH($B201,0)</f>
        <v/>
      </c>
      <c r="D201" s="201">
        <f>$C201-$B201+1</f>
        <v/>
      </c>
      <c r="E201" s="201">
        <f>MONTH($B201)</f>
        <v/>
      </c>
      <c r="F201" s="235">
        <f>($B201+$C201+1)/2</f>
        <v/>
      </c>
      <c r="G201" s="201">
        <f>YEAR($B201)*12+MONTH($B201)-1</f>
        <v/>
      </c>
      <c r="H201" s="207">
        <f>IF(OR(nr_SeasonOn="OFF",$D$184=0,$E$184=0),1,12*INDEX(se_block,$D$184,$E201)/$E$184)</f>
        <v/>
      </c>
      <c r="I201" s="208">
        <f>EXP(SUMPRODUCT((rl_eff&lt;$B201)*(rl_key=$A$184)*rl_ln1p))</f>
        <v/>
      </c>
      <c r="J201" s="208">
        <f>EXP(SUMPRODUCT((rl_eff&lt;=$C201)*(rl_key=$A$184)*rl_ln1p))</f>
        <v/>
      </c>
      <c r="K201" s="201">
        <f>COUNTIFS(rl_key,$A$184,rl_eff,"&gt;="&amp;$B201,rl_eff,"&lt;="&amp;$C201)</f>
        <v/>
      </c>
      <c r="L201" s="201">
        <f>SUMIFS(rl_daysafter,rl_key,$A$184,rl_effmonth,$B201,rl_first,1)</f>
        <v/>
      </c>
      <c r="M201" s="209">
        <f>IF($K201=0,0,MIN(1,$L201/$D201))</f>
        <v/>
      </c>
      <c r="N201" s="208">
        <f>IF($K201=0,$J201,(1-$M201)*$I201+$M201*$J201)</f>
        <v/>
      </c>
      <c r="O201" s="209">
        <f>IF($F201&lt;$B$185,$E$185+$I$185*($F201-$A$185),IF($F201&lt;$C$185,$F$185+$J$185*($F201-$B$185),$G$185+$K$185*($F201-$C$185)))</f>
        <v/>
      </c>
      <c r="P201" s="208">
        <f>MIN(1,MAX(0,(nr_MEndPm1-$G201+0.5)/$C$184))-MIN(1,MAX(0,(nr_MStartPm1-1-$G201+0.5)/$C$184))</f>
        <v/>
      </c>
      <c r="Q201" s="208">
        <f>MIN(1,MAX(0,(nr_MEndP-$G201+0.5)/$C$184))-MIN(1,MAX(0,(nr_MStartP-1-$G201+0.5)/$C$184))</f>
        <v/>
      </c>
      <c r="R201" s="208">
        <f>MIN(1,MAX(0,(nr_MEndP1-$G201+0.5)/$C$184))-MIN(1,MAX(0,(nr_MStartP1-1-$G201+0.5)/$C$184))</f>
        <v/>
      </c>
      <c r="S201" s="208">
        <f>IF($L$184,$N201*IF($O$184=1,$O201/$F$184,1),"")</f>
        <v/>
      </c>
      <c r="T201" s="208">
        <f>IF(NOT($L$184),"",IF($G201&lt;nr_MStartP,$S201,$T189*(1+IF($G201&lt;nr_MStartP1,$M$184,$N$184))))</f>
        <v/>
      </c>
      <c r="U201" s="208">
        <f>IF($L$184,$T201,$N201)</f>
        <v/>
      </c>
    </row>
    <row r="202">
      <c r="A202" s="145" t="n">
        <v>16</v>
      </c>
      <c r="B202" s="204">
        <f>EDATE($B201,1)</f>
        <v/>
      </c>
      <c r="C202" s="205">
        <f>EOMONTH($B202,0)</f>
        <v/>
      </c>
      <c r="D202" s="201">
        <f>$C202-$B202+1</f>
        <v/>
      </c>
      <c r="E202" s="201">
        <f>MONTH($B202)</f>
        <v/>
      </c>
      <c r="F202" s="235">
        <f>($B202+$C202+1)/2</f>
        <v/>
      </c>
      <c r="G202" s="201">
        <f>YEAR($B202)*12+MONTH($B202)-1</f>
        <v/>
      </c>
      <c r="H202" s="207">
        <f>IF(OR(nr_SeasonOn="OFF",$D$184=0,$E$184=0),1,12*INDEX(se_block,$D$184,$E202)/$E$184)</f>
        <v/>
      </c>
      <c r="I202" s="208">
        <f>EXP(SUMPRODUCT((rl_eff&lt;$B202)*(rl_key=$A$184)*rl_ln1p))</f>
        <v/>
      </c>
      <c r="J202" s="208">
        <f>EXP(SUMPRODUCT((rl_eff&lt;=$C202)*(rl_key=$A$184)*rl_ln1p))</f>
        <v/>
      </c>
      <c r="K202" s="201">
        <f>COUNTIFS(rl_key,$A$184,rl_eff,"&gt;="&amp;$B202,rl_eff,"&lt;="&amp;$C202)</f>
        <v/>
      </c>
      <c r="L202" s="201">
        <f>SUMIFS(rl_daysafter,rl_key,$A$184,rl_effmonth,$B202,rl_first,1)</f>
        <v/>
      </c>
      <c r="M202" s="209">
        <f>IF($K202=0,0,MIN(1,$L202/$D202))</f>
        <v/>
      </c>
      <c r="N202" s="208">
        <f>IF($K202=0,$J202,(1-$M202)*$I202+$M202*$J202)</f>
        <v/>
      </c>
      <c r="O202" s="209">
        <f>IF($F202&lt;$B$185,$E$185+$I$185*($F202-$A$185),IF($F202&lt;$C$185,$F$185+$J$185*($F202-$B$185),$G$185+$K$185*($F202-$C$185)))</f>
        <v/>
      </c>
      <c r="P202" s="208">
        <f>MIN(1,MAX(0,(nr_MEndPm1-$G202+0.5)/$C$184))-MIN(1,MAX(0,(nr_MStartPm1-1-$G202+0.5)/$C$184))</f>
        <v/>
      </c>
      <c r="Q202" s="208">
        <f>MIN(1,MAX(0,(nr_MEndP-$G202+0.5)/$C$184))-MIN(1,MAX(0,(nr_MStartP-1-$G202+0.5)/$C$184))</f>
        <v/>
      </c>
      <c r="R202" s="208">
        <f>MIN(1,MAX(0,(nr_MEndP1-$G202+0.5)/$C$184))-MIN(1,MAX(0,(nr_MStartP1-1-$G202+0.5)/$C$184))</f>
        <v/>
      </c>
      <c r="S202" s="208">
        <f>IF($L$184,$N202*IF($O$184=1,$O202/$F$184,1),"")</f>
        <v/>
      </c>
      <c r="T202" s="208">
        <f>IF(NOT($L$184),"",IF($G202&lt;nr_MStartP,$S202,$T190*(1+IF($G202&lt;nr_MStartP1,$M$184,$N$184))))</f>
        <v/>
      </c>
      <c r="U202" s="208">
        <f>IF($L$184,$T202,$N202)</f>
        <v/>
      </c>
    </row>
    <row r="203">
      <c r="A203" s="145" t="n">
        <v>17</v>
      </c>
      <c r="B203" s="204">
        <f>EDATE($B202,1)</f>
        <v/>
      </c>
      <c r="C203" s="205">
        <f>EOMONTH($B203,0)</f>
        <v/>
      </c>
      <c r="D203" s="201">
        <f>$C203-$B203+1</f>
        <v/>
      </c>
      <c r="E203" s="201">
        <f>MONTH($B203)</f>
        <v/>
      </c>
      <c r="F203" s="235">
        <f>($B203+$C203+1)/2</f>
        <v/>
      </c>
      <c r="G203" s="201">
        <f>YEAR($B203)*12+MONTH($B203)-1</f>
        <v/>
      </c>
      <c r="H203" s="207">
        <f>IF(OR(nr_SeasonOn="OFF",$D$184=0,$E$184=0),1,12*INDEX(se_block,$D$184,$E203)/$E$184)</f>
        <v/>
      </c>
      <c r="I203" s="208">
        <f>EXP(SUMPRODUCT((rl_eff&lt;$B203)*(rl_key=$A$184)*rl_ln1p))</f>
        <v/>
      </c>
      <c r="J203" s="208">
        <f>EXP(SUMPRODUCT((rl_eff&lt;=$C203)*(rl_key=$A$184)*rl_ln1p))</f>
        <v/>
      </c>
      <c r="K203" s="201">
        <f>COUNTIFS(rl_key,$A$184,rl_eff,"&gt;="&amp;$B203,rl_eff,"&lt;="&amp;$C203)</f>
        <v/>
      </c>
      <c r="L203" s="201">
        <f>SUMIFS(rl_daysafter,rl_key,$A$184,rl_effmonth,$B203,rl_first,1)</f>
        <v/>
      </c>
      <c r="M203" s="209">
        <f>IF($K203=0,0,MIN(1,$L203/$D203))</f>
        <v/>
      </c>
      <c r="N203" s="208">
        <f>IF($K203=0,$J203,(1-$M203)*$I203+$M203*$J203)</f>
        <v/>
      </c>
      <c r="O203" s="209">
        <f>IF($F203&lt;$B$185,$E$185+$I$185*($F203-$A$185),IF($F203&lt;$C$185,$F$185+$J$185*($F203-$B$185),$G$185+$K$185*($F203-$C$185)))</f>
        <v/>
      </c>
      <c r="P203" s="208">
        <f>MIN(1,MAX(0,(nr_MEndPm1-$G203+0.5)/$C$184))-MIN(1,MAX(0,(nr_MStartPm1-1-$G203+0.5)/$C$184))</f>
        <v/>
      </c>
      <c r="Q203" s="208">
        <f>MIN(1,MAX(0,(nr_MEndP-$G203+0.5)/$C$184))-MIN(1,MAX(0,(nr_MStartP-1-$G203+0.5)/$C$184))</f>
        <v/>
      </c>
      <c r="R203" s="208">
        <f>MIN(1,MAX(0,(nr_MEndP1-$G203+0.5)/$C$184))-MIN(1,MAX(0,(nr_MStartP1-1-$G203+0.5)/$C$184))</f>
        <v/>
      </c>
      <c r="S203" s="208">
        <f>IF($L$184,$N203*IF($O$184=1,$O203/$F$184,1),"")</f>
        <v/>
      </c>
      <c r="T203" s="208">
        <f>IF(NOT($L$184),"",IF($G203&lt;nr_MStartP,$S203,$T191*(1+IF($G203&lt;nr_MStartP1,$M$184,$N$184))))</f>
        <v/>
      </c>
      <c r="U203" s="208">
        <f>IF($L$184,$T203,$N203)</f>
        <v/>
      </c>
    </row>
    <row r="204">
      <c r="A204" s="145" t="n">
        <v>18</v>
      </c>
      <c r="B204" s="204">
        <f>EDATE($B203,1)</f>
        <v/>
      </c>
      <c r="C204" s="205">
        <f>EOMONTH($B204,0)</f>
        <v/>
      </c>
      <c r="D204" s="201">
        <f>$C204-$B204+1</f>
        <v/>
      </c>
      <c r="E204" s="201">
        <f>MONTH($B204)</f>
        <v/>
      </c>
      <c r="F204" s="235">
        <f>($B204+$C204+1)/2</f>
        <v/>
      </c>
      <c r="G204" s="201">
        <f>YEAR($B204)*12+MONTH($B204)-1</f>
        <v/>
      </c>
      <c r="H204" s="207">
        <f>IF(OR(nr_SeasonOn="OFF",$D$184=0,$E$184=0),1,12*INDEX(se_block,$D$184,$E204)/$E$184)</f>
        <v/>
      </c>
      <c r="I204" s="208">
        <f>EXP(SUMPRODUCT((rl_eff&lt;$B204)*(rl_key=$A$184)*rl_ln1p))</f>
        <v/>
      </c>
      <c r="J204" s="208">
        <f>EXP(SUMPRODUCT((rl_eff&lt;=$C204)*(rl_key=$A$184)*rl_ln1p))</f>
        <v/>
      </c>
      <c r="K204" s="201">
        <f>COUNTIFS(rl_key,$A$184,rl_eff,"&gt;="&amp;$B204,rl_eff,"&lt;="&amp;$C204)</f>
        <v/>
      </c>
      <c r="L204" s="201">
        <f>SUMIFS(rl_daysafter,rl_key,$A$184,rl_effmonth,$B204,rl_first,1)</f>
        <v/>
      </c>
      <c r="M204" s="209">
        <f>IF($K204=0,0,MIN(1,$L204/$D204))</f>
        <v/>
      </c>
      <c r="N204" s="208">
        <f>IF($K204=0,$J204,(1-$M204)*$I204+$M204*$J204)</f>
        <v/>
      </c>
      <c r="O204" s="209">
        <f>IF($F204&lt;$B$185,$E$185+$I$185*($F204-$A$185),IF($F204&lt;$C$185,$F$185+$J$185*($F204-$B$185),$G$185+$K$185*($F204-$C$185)))</f>
        <v/>
      </c>
      <c r="P204" s="208">
        <f>MIN(1,MAX(0,(nr_MEndPm1-$G204+0.5)/$C$184))-MIN(1,MAX(0,(nr_MStartPm1-1-$G204+0.5)/$C$184))</f>
        <v/>
      </c>
      <c r="Q204" s="208">
        <f>MIN(1,MAX(0,(nr_MEndP-$G204+0.5)/$C$184))-MIN(1,MAX(0,(nr_MStartP-1-$G204+0.5)/$C$184))</f>
        <v/>
      </c>
      <c r="R204" s="208">
        <f>MIN(1,MAX(0,(nr_MEndP1-$G204+0.5)/$C$184))-MIN(1,MAX(0,(nr_MStartP1-1-$G204+0.5)/$C$184))</f>
        <v/>
      </c>
      <c r="S204" s="208">
        <f>IF($L$184,$N204*IF($O$184=1,$O204/$F$184,1),"")</f>
        <v/>
      </c>
      <c r="T204" s="208">
        <f>IF(NOT($L$184),"",IF($G204&lt;nr_MStartP,$S204,$T192*(1+IF($G204&lt;nr_MStartP1,$M$184,$N$184))))</f>
        <v/>
      </c>
      <c r="U204" s="208">
        <f>IF($L$184,$T204,$N204)</f>
        <v/>
      </c>
    </row>
    <row r="205">
      <c r="A205" s="145" t="n">
        <v>19</v>
      </c>
      <c r="B205" s="204">
        <f>EDATE($B204,1)</f>
        <v/>
      </c>
      <c r="C205" s="205">
        <f>EOMONTH($B205,0)</f>
        <v/>
      </c>
      <c r="D205" s="201">
        <f>$C205-$B205+1</f>
        <v/>
      </c>
      <c r="E205" s="201">
        <f>MONTH($B205)</f>
        <v/>
      </c>
      <c r="F205" s="235">
        <f>($B205+$C205+1)/2</f>
        <v/>
      </c>
      <c r="G205" s="201">
        <f>YEAR($B205)*12+MONTH($B205)-1</f>
        <v/>
      </c>
      <c r="H205" s="207">
        <f>IF(OR(nr_SeasonOn="OFF",$D$184=0,$E$184=0),1,12*INDEX(se_block,$D$184,$E205)/$E$184)</f>
        <v/>
      </c>
      <c r="I205" s="208">
        <f>EXP(SUMPRODUCT((rl_eff&lt;$B205)*(rl_key=$A$184)*rl_ln1p))</f>
        <v/>
      </c>
      <c r="J205" s="208">
        <f>EXP(SUMPRODUCT((rl_eff&lt;=$C205)*(rl_key=$A$184)*rl_ln1p))</f>
        <v/>
      </c>
      <c r="K205" s="201">
        <f>COUNTIFS(rl_key,$A$184,rl_eff,"&gt;="&amp;$B205,rl_eff,"&lt;="&amp;$C205)</f>
        <v/>
      </c>
      <c r="L205" s="201">
        <f>SUMIFS(rl_daysafter,rl_key,$A$184,rl_effmonth,$B205,rl_first,1)</f>
        <v/>
      </c>
      <c r="M205" s="209">
        <f>IF($K205=0,0,MIN(1,$L205/$D205))</f>
        <v/>
      </c>
      <c r="N205" s="208">
        <f>IF($K205=0,$J205,(1-$M205)*$I205+$M205*$J205)</f>
        <v/>
      </c>
      <c r="O205" s="209">
        <f>IF($F205&lt;$B$185,$E$185+$I$185*($F205-$A$185),IF($F205&lt;$C$185,$F$185+$J$185*($F205-$B$185),$G$185+$K$185*($F205-$C$185)))</f>
        <v/>
      </c>
      <c r="P205" s="208">
        <f>MIN(1,MAX(0,(nr_MEndPm1-$G205+0.5)/$C$184))-MIN(1,MAX(0,(nr_MStartPm1-1-$G205+0.5)/$C$184))</f>
        <v/>
      </c>
      <c r="Q205" s="208">
        <f>MIN(1,MAX(0,(nr_MEndP-$G205+0.5)/$C$184))-MIN(1,MAX(0,(nr_MStartP-1-$G205+0.5)/$C$184))</f>
        <v/>
      </c>
      <c r="R205" s="208">
        <f>MIN(1,MAX(0,(nr_MEndP1-$G205+0.5)/$C$184))-MIN(1,MAX(0,(nr_MStartP1-1-$G205+0.5)/$C$184))</f>
        <v/>
      </c>
      <c r="S205" s="208">
        <f>IF($L$184,$N205*IF($O$184=1,$O205/$F$184,1),"")</f>
        <v/>
      </c>
      <c r="T205" s="208">
        <f>IF(NOT($L$184),"",IF($G205&lt;nr_MStartP,$S205,$T193*(1+IF($G205&lt;nr_MStartP1,$M$184,$N$184))))</f>
        <v/>
      </c>
      <c r="U205" s="208">
        <f>IF($L$184,$T205,$N205)</f>
        <v/>
      </c>
    </row>
    <row r="206">
      <c r="A206" s="145" t="n">
        <v>20</v>
      </c>
      <c r="B206" s="204">
        <f>EDATE($B205,1)</f>
        <v/>
      </c>
      <c r="C206" s="205">
        <f>EOMONTH($B206,0)</f>
        <v/>
      </c>
      <c r="D206" s="201">
        <f>$C206-$B206+1</f>
        <v/>
      </c>
      <c r="E206" s="201">
        <f>MONTH($B206)</f>
        <v/>
      </c>
      <c r="F206" s="235">
        <f>($B206+$C206+1)/2</f>
        <v/>
      </c>
      <c r="G206" s="201">
        <f>YEAR($B206)*12+MONTH($B206)-1</f>
        <v/>
      </c>
      <c r="H206" s="207">
        <f>IF(OR(nr_SeasonOn="OFF",$D$184=0,$E$184=0),1,12*INDEX(se_block,$D$184,$E206)/$E$184)</f>
        <v/>
      </c>
      <c r="I206" s="208">
        <f>EXP(SUMPRODUCT((rl_eff&lt;$B206)*(rl_key=$A$184)*rl_ln1p))</f>
        <v/>
      </c>
      <c r="J206" s="208">
        <f>EXP(SUMPRODUCT((rl_eff&lt;=$C206)*(rl_key=$A$184)*rl_ln1p))</f>
        <v/>
      </c>
      <c r="K206" s="201">
        <f>COUNTIFS(rl_key,$A$184,rl_eff,"&gt;="&amp;$B206,rl_eff,"&lt;="&amp;$C206)</f>
        <v/>
      </c>
      <c r="L206" s="201">
        <f>SUMIFS(rl_daysafter,rl_key,$A$184,rl_effmonth,$B206,rl_first,1)</f>
        <v/>
      </c>
      <c r="M206" s="209">
        <f>IF($K206=0,0,MIN(1,$L206/$D206))</f>
        <v/>
      </c>
      <c r="N206" s="208">
        <f>IF($K206=0,$J206,(1-$M206)*$I206+$M206*$J206)</f>
        <v/>
      </c>
      <c r="O206" s="209">
        <f>IF($F206&lt;$B$185,$E$185+$I$185*($F206-$A$185),IF($F206&lt;$C$185,$F$185+$J$185*($F206-$B$185),$G$185+$K$185*($F206-$C$185)))</f>
        <v/>
      </c>
      <c r="P206" s="208">
        <f>MIN(1,MAX(0,(nr_MEndPm1-$G206+0.5)/$C$184))-MIN(1,MAX(0,(nr_MStartPm1-1-$G206+0.5)/$C$184))</f>
        <v/>
      </c>
      <c r="Q206" s="208">
        <f>MIN(1,MAX(0,(nr_MEndP-$G206+0.5)/$C$184))-MIN(1,MAX(0,(nr_MStartP-1-$G206+0.5)/$C$184))</f>
        <v/>
      </c>
      <c r="R206" s="208">
        <f>MIN(1,MAX(0,(nr_MEndP1-$G206+0.5)/$C$184))-MIN(1,MAX(0,(nr_MStartP1-1-$G206+0.5)/$C$184))</f>
        <v/>
      </c>
      <c r="S206" s="208">
        <f>IF($L$184,$N206*IF($O$184=1,$O206/$F$184,1),"")</f>
        <v/>
      </c>
      <c r="T206" s="208">
        <f>IF(NOT($L$184),"",IF($G206&lt;nr_MStartP,$S206,$T194*(1+IF($G206&lt;nr_MStartP1,$M$184,$N$184))))</f>
        <v/>
      </c>
      <c r="U206" s="208">
        <f>IF($L$184,$T206,$N206)</f>
        <v/>
      </c>
    </row>
    <row r="207">
      <c r="A207" s="145" t="n">
        <v>21</v>
      </c>
      <c r="B207" s="204">
        <f>EDATE($B206,1)</f>
        <v/>
      </c>
      <c r="C207" s="205">
        <f>EOMONTH($B207,0)</f>
        <v/>
      </c>
      <c r="D207" s="201">
        <f>$C207-$B207+1</f>
        <v/>
      </c>
      <c r="E207" s="201">
        <f>MONTH($B207)</f>
        <v/>
      </c>
      <c r="F207" s="235">
        <f>($B207+$C207+1)/2</f>
        <v/>
      </c>
      <c r="G207" s="201">
        <f>YEAR($B207)*12+MONTH($B207)-1</f>
        <v/>
      </c>
      <c r="H207" s="207">
        <f>IF(OR(nr_SeasonOn="OFF",$D$184=0,$E$184=0),1,12*INDEX(se_block,$D$184,$E207)/$E$184)</f>
        <v/>
      </c>
      <c r="I207" s="208">
        <f>EXP(SUMPRODUCT((rl_eff&lt;$B207)*(rl_key=$A$184)*rl_ln1p))</f>
        <v/>
      </c>
      <c r="J207" s="208">
        <f>EXP(SUMPRODUCT((rl_eff&lt;=$C207)*(rl_key=$A$184)*rl_ln1p))</f>
        <v/>
      </c>
      <c r="K207" s="201">
        <f>COUNTIFS(rl_key,$A$184,rl_eff,"&gt;="&amp;$B207,rl_eff,"&lt;="&amp;$C207)</f>
        <v/>
      </c>
      <c r="L207" s="201">
        <f>SUMIFS(rl_daysafter,rl_key,$A$184,rl_effmonth,$B207,rl_first,1)</f>
        <v/>
      </c>
      <c r="M207" s="209">
        <f>IF($K207=0,0,MIN(1,$L207/$D207))</f>
        <v/>
      </c>
      <c r="N207" s="208">
        <f>IF($K207=0,$J207,(1-$M207)*$I207+$M207*$J207)</f>
        <v/>
      </c>
      <c r="O207" s="209">
        <f>IF($F207&lt;$B$185,$E$185+$I$185*($F207-$A$185),IF($F207&lt;$C$185,$F$185+$J$185*($F207-$B$185),$G$185+$K$185*($F207-$C$185)))</f>
        <v/>
      </c>
      <c r="P207" s="208">
        <f>MIN(1,MAX(0,(nr_MEndPm1-$G207+0.5)/$C$184))-MIN(1,MAX(0,(nr_MStartPm1-1-$G207+0.5)/$C$184))</f>
        <v/>
      </c>
      <c r="Q207" s="208">
        <f>MIN(1,MAX(0,(nr_MEndP-$G207+0.5)/$C$184))-MIN(1,MAX(0,(nr_MStartP-1-$G207+0.5)/$C$184))</f>
        <v/>
      </c>
      <c r="R207" s="208">
        <f>MIN(1,MAX(0,(nr_MEndP1-$G207+0.5)/$C$184))-MIN(1,MAX(0,(nr_MStartP1-1-$G207+0.5)/$C$184))</f>
        <v/>
      </c>
      <c r="S207" s="208">
        <f>IF($L$184,$N207*IF($O$184=1,$O207/$F$184,1),"")</f>
        <v/>
      </c>
      <c r="T207" s="208">
        <f>IF(NOT($L$184),"",IF($G207&lt;nr_MStartP,$S207,$T195*(1+IF($G207&lt;nr_MStartP1,$M$184,$N$184))))</f>
        <v/>
      </c>
      <c r="U207" s="208">
        <f>IF($L$184,$T207,$N207)</f>
        <v/>
      </c>
    </row>
    <row r="208">
      <c r="A208" s="145" t="n">
        <v>22</v>
      </c>
      <c r="B208" s="204">
        <f>EDATE($B207,1)</f>
        <v/>
      </c>
      <c r="C208" s="205">
        <f>EOMONTH($B208,0)</f>
        <v/>
      </c>
      <c r="D208" s="201">
        <f>$C208-$B208+1</f>
        <v/>
      </c>
      <c r="E208" s="201">
        <f>MONTH($B208)</f>
        <v/>
      </c>
      <c r="F208" s="235">
        <f>($B208+$C208+1)/2</f>
        <v/>
      </c>
      <c r="G208" s="201">
        <f>YEAR($B208)*12+MONTH($B208)-1</f>
        <v/>
      </c>
      <c r="H208" s="207">
        <f>IF(OR(nr_SeasonOn="OFF",$D$184=0,$E$184=0),1,12*INDEX(se_block,$D$184,$E208)/$E$184)</f>
        <v/>
      </c>
      <c r="I208" s="208">
        <f>EXP(SUMPRODUCT((rl_eff&lt;$B208)*(rl_key=$A$184)*rl_ln1p))</f>
        <v/>
      </c>
      <c r="J208" s="208">
        <f>EXP(SUMPRODUCT((rl_eff&lt;=$C208)*(rl_key=$A$184)*rl_ln1p))</f>
        <v/>
      </c>
      <c r="K208" s="201">
        <f>COUNTIFS(rl_key,$A$184,rl_eff,"&gt;="&amp;$B208,rl_eff,"&lt;="&amp;$C208)</f>
        <v/>
      </c>
      <c r="L208" s="201">
        <f>SUMIFS(rl_daysafter,rl_key,$A$184,rl_effmonth,$B208,rl_first,1)</f>
        <v/>
      </c>
      <c r="M208" s="209">
        <f>IF($K208=0,0,MIN(1,$L208/$D208))</f>
        <v/>
      </c>
      <c r="N208" s="208">
        <f>IF($K208=0,$J208,(1-$M208)*$I208+$M208*$J208)</f>
        <v/>
      </c>
      <c r="O208" s="209">
        <f>IF($F208&lt;$B$185,$E$185+$I$185*($F208-$A$185),IF($F208&lt;$C$185,$F$185+$J$185*($F208-$B$185),$G$185+$K$185*($F208-$C$185)))</f>
        <v/>
      </c>
      <c r="P208" s="208">
        <f>MIN(1,MAX(0,(nr_MEndPm1-$G208+0.5)/$C$184))-MIN(1,MAX(0,(nr_MStartPm1-1-$G208+0.5)/$C$184))</f>
        <v/>
      </c>
      <c r="Q208" s="208">
        <f>MIN(1,MAX(0,(nr_MEndP-$G208+0.5)/$C$184))-MIN(1,MAX(0,(nr_MStartP-1-$G208+0.5)/$C$184))</f>
        <v/>
      </c>
      <c r="R208" s="208">
        <f>MIN(1,MAX(0,(nr_MEndP1-$G208+0.5)/$C$184))-MIN(1,MAX(0,(nr_MStartP1-1-$G208+0.5)/$C$184))</f>
        <v/>
      </c>
      <c r="S208" s="208">
        <f>IF($L$184,$N208*IF($O$184=1,$O208/$F$184,1),"")</f>
        <v/>
      </c>
      <c r="T208" s="208">
        <f>IF(NOT($L$184),"",IF($G208&lt;nr_MStartP,$S208,$T196*(1+IF($G208&lt;nr_MStartP1,$M$184,$N$184))))</f>
        <v/>
      </c>
      <c r="U208" s="208">
        <f>IF($L$184,$T208,$N208)</f>
        <v/>
      </c>
    </row>
    <row r="209">
      <c r="A209" s="145" t="n">
        <v>23</v>
      </c>
      <c r="B209" s="204">
        <f>EDATE($B208,1)</f>
        <v/>
      </c>
      <c r="C209" s="205">
        <f>EOMONTH($B209,0)</f>
        <v/>
      </c>
      <c r="D209" s="201">
        <f>$C209-$B209+1</f>
        <v/>
      </c>
      <c r="E209" s="201">
        <f>MONTH($B209)</f>
        <v/>
      </c>
      <c r="F209" s="235">
        <f>($B209+$C209+1)/2</f>
        <v/>
      </c>
      <c r="G209" s="201">
        <f>YEAR($B209)*12+MONTH($B209)-1</f>
        <v/>
      </c>
      <c r="H209" s="207">
        <f>IF(OR(nr_SeasonOn="OFF",$D$184=0,$E$184=0),1,12*INDEX(se_block,$D$184,$E209)/$E$184)</f>
        <v/>
      </c>
      <c r="I209" s="208">
        <f>EXP(SUMPRODUCT((rl_eff&lt;$B209)*(rl_key=$A$184)*rl_ln1p))</f>
        <v/>
      </c>
      <c r="J209" s="208">
        <f>EXP(SUMPRODUCT((rl_eff&lt;=$C209)*(rl_key=$A$184)*rl_ln1p))</f>
        <v/>
      </c>
      <c r="K209" s="201">
        <f>COUNTIFS(rl_key,$A$184,rl_eff,"&gt;="&amp;$B209,rl_eff,"&lt;="&amp;$C209)</f>
        <v/>
      </c>
      <c r="L209" s="201">
        <f>SUMIFS(rl_daysafter,rl_key,$A$184,rl_effmonth,$B209,rl_first,1)</f>
        <v/>
      </c>
      <c r="M209" s="209">
        <f>IF($K209=0,0,MIN(1,$L209/$D209))</f>
        <v/>
      </c>
      <c r="N209" s="208">
        <f>IF($K209=0,$J209,(1-$M209)*$I209+$M209*$J209)</f>
        <v/>
      </c>
      <c r="O209" s="209">
        <f>IF($F209&lt;$B$185,$E$185+$I$185*($F209-$A$185),IF($F209&lt;$C$185,$F$185+$J$185*($F209-$B$185),$G$185+$K$185*($F209-$C$185)))</f>
        <v/>
      </c>
      <c r="P209" s="208">
        <f>MIN(1,MAX(0,(nr_MEndPm1-$G209+0.5)/$C$184))-MIN(1,MAX(0,(nr_MStartPm1-1-$G209+0.5)/$C$184))</f>
        <v/>
      </c>
      <c r="Q209" s="208">
        <f>MIN(1,MAX(0,(nr_MEndP-$G209+0.5)/$C$184))-MIN(1,MAX(0,(nr_MStartP-1-$G209+0.5)/$C$184))</f>
        <v/>
      </c>
      <c r="R209" s="208">
        <f>MIN(1,MAX(0,(nr_MEndP1-$G209+0.5)/$C$184))-MIN(1,MAX(0,(nr_MStartP1-1-$G209+0.5)/$C$184))</f>
        <v/>
      </c>
      <c r="S209" s="208">
        <f>IF($L$184,$N209*IF($O$184=1,$O209/$F$184,1),"")</f>
        <v/>
      </c>
      <c r="T209" s="208">
        <f>IF(NOT($L$184),"",IF($G209&lt;nr_MStartP,$S209,$T197*(1+IF($G209&lt;nr_MStartP1,$M$184,$N$184))))</f>
        <v/>
      </c>
      <c r="U209" s="208">
        <f>IF($L$184,$T209,$N209)</f>
        <v/>
      </c>
    </row>
    <row r="210">
      <c r="A210" s="145" t="n">
        <v>24</v>
      </c>
      <c r="B210" s="204">
        <f>EDATE($B209,1)</f>
        <v/>
      </c>
      <c r="C210" s="205">
        <f>EOMONTH($B210,0)</f>
        <v/>
      </c>
      <c r="D210" s="201">
        <f>$C210-$B210+1</f>
        <v/>
      </c>
      <c r="E210" s="201">
        <f>MONTH($B210)</f>
        <v/>
      </c>
      <c r="F210" s="235">
        <f>($B210+$C210+1)/2</f>
        <v/>
      </c>
      <c r="G210" s="201">
        <f>YEAR($B210)*12+MONTH($B210)-1</f>
        <v/>
      </c>
      <c r="H210" s="207">
        <f>IF(OR(nr_SeasonOn="OFF",$D$184=0,$E$184=0),1,12*INDEX(se_block,$D$184,$E210)/$E$184)</f>
        <v/>
      </c>
      <c r="I210" s="208">
        <f>EXP(SUMPRODUCT((rl_eff&lt;$B210)*(rl_key=$A$184)*rl_ln1p))</f>
        <v/>
      </c>
      <c r="J210" s="208">
        <f>EXP(SUMPRODUCT((rl_eff&lt;=$C210)*(rl_key=$A$184)*rl_ln1p))</f>
        <v/>
      </c>
      <c r="K210" s="201">
        <f>COUNTIFS(rl_key,$A$184,rl_eff,"&gt;="&amp;$B210,rl_eff,"&lt;="&amp;$C210)</f>
        <v/>
      </c>
      <c r="L210" s="201">
        <f>SUMIFS(rl_daysafter,rl_key,$A$184,rl_effmonth,$B210,rl_first,1)</f>
        <v/>
      </c>
      <c r="M210" s="209">
        <f>IF($K210=0,0,MIN(1,$L210/$D210))</f>
        <v/>
      </c>
      <c r="N210" s="208">
        <f>IF($K210=0,$J210,(1-$M210)*$I210+$M210*$J210)</f>
        <v/>
      </c>
      <c r="O210" s="209">
        <f>IF($F210&lt;$B$185,$E$185+$I$185*($F210-$A$185),IF($F210&lt;$C$185,$F$185+$J$185*($F210-$B$185),$G$185+$K$185*($F210-$C$185)))</f>
        <v/>
      </c>
      <c r="P210" s="208">
        <f>MIN(1,MAX(0,(nr_MEndPm1-$G210+0.5)/$C$184))-MIN(1,MAX(0,(nr_MStartPm1-1-$G210+0.5)/$C$184))</f>
        <v/>
      </c>
      <c r="Q210" s="208">
        <f>MIN(1,MAX(0,(nr_MEndP-$G210+0.5)/$C$184))-MIN(1,MAX(0,(nr_MStartP-1-$G210+0.5)/$C$184))</f>
        <v/>
      </c>
      <c r="R210" s="208">
        <f>MIN(1,MAX(0,(nr_MEndP1-$G210+0.5)/$C$184))-MIN(1,MAX(0,(nr_MStartP1-1-$G210+0.5)/$C$184))</f>
        <v/>
      </c>
      <c r="S210" s="208">
        <f>IF($L$184,$N210*IF($O$184=1,$O210/$F$184,1),"")</f>
        <v/>
      </c>
      <c r="T210" s="208">
        <f>IF(NOT($L$184),"",IF($G210&lt;nr_MStartP,$S210,$T198*(1+IF($G210&lt;nr_MStartP1,$M$184,$N$184))))</f>
        <v/>
      </c>
      <c r="U210" s="208">
        <f>IF($L$184,$T210,$N210)</f>
        <v/>
      </c>
    </row>
    <row r="211">
      <c r="A211" s="145" t="n">
        <v>25</v>
      </c>
      <c r="B211" s="204">
        <f>EDATE($B210,1)</f>
        <v/>
      </c>
      <c r="C211" s="205">
        <f>EOMONTH($B211,0)</f>
        <v/>
      </c>
      <c r="D211" s="201">
        <f>$C211-$B211+1</f>
        <v/>
      </c>
      <c r="E211" s="201">
        <f>MONTH($B211)</f>
        <v/>
      </c>
      <c r="F211" s="235">
        <f>($B211+$C211+1)/2</f>
        <v/>
      </c>
      <c r="G211" s="201">
        <f>YEAR($B211)*12+MONTH($B211)-1</f>
        <v/>
      </c>
      <c r="H211" s="207">
        <f>IF(OR(nr_SeasonOn="OFF",$D$184=0,$E$184=0),1,12*INDEX(se_block,$D$184,$E211)/$E$184)</f>
        <v/>
      </c>
      <c r="I211" s="208">
        <f>EXP(SUMPRODUCT((rl_eff&lt;$B211)*(rl_key=$A$184)*rl_ln1p))</f>
        <v/>
      </c>
      <c r="J211" s="208">
        <f>EXP(SUMPRODUCT((rl_eff&lt;=$C211)*(rl_key=$A$184)*rl_ln1p))</f>
        <v/>
      </c>
      <c r="K211" s="201">
        <f>COUNTIFS(rl_key,$A$184,rl_eff,"&gt;="&amp;$B211,rl_eff,"&lt;="&amp;$C211)</f>
        <v/>
      </c>
      <c r="L211" s="201">
        <f>SUMIFS(rl_daysafter,rl_key,$A$184,rl_effmonth,$B211,rl_first,1)</f>
        <v/>
      </c>
      <c r="M211" s="209">
        <f>IF($K211=0,0,MIN(1,$L211/$D211))</f>
        <v/>
      </c>
      <c r="N211" s="208">
        <f>IF($K211=0,$J211,(1-$M211)*$I211+$M211*$J211)</f>
        <v/>
      </c>
      <c r="O211" s="209">
        <f>IF($F211&lt;$B$185,$E$185+$I$185*($F211-$A$185),IF($F211&lt;$C$185,$F$185+$J$185*($F211-$B$185),$G$185+$K$185*($F211-$C$185)))</f>
        <v/>
      </c>
      <c r="P211" s="208">
        <f>MIN(1,MAX(0,(nr_MEndPm1-$G211+0.5)/$C$184))-MIN(1,MAX(0,(nr_MStartPm1-1-$G211+0.5)/$C$184))</f>
        <v/>
      </c>
      <c r="Q211" s="208">
        <f>MIN(1,MAX(0,(nr_MEndP-$G211+0.5)/$C$184))-MIN(1,MAX(0,(nr_MStartP-1-$G211+0.5)/$C$184))</f>
        <v/>
      </c>
      <c r="R211" s="208">
        <f>MIN(1,MAX(0,(nr_MEndP1-$G211+0.5)/$C$184))-MIN(1,MAX(0,(nr_MStartP1-1-$G211+0.5)/$C$184))</f>
        <v/>
      </c>
      <c r="S211" s="208">
        <f>IF($L$184,$N211*IF($O$184=1,$O211/$F$184,1),"")</f>
        <v/>
      </c>
      <c r="T211" s="208">
        <f>IF(NOT($L$184),"",IF($G211&lt;nr_MStartP,$S211,$T199*(1+IF($G211&lt;nr_MStartP1,$M$184,$N$184))))</f>
        <v/>
      </c>
      <c r="U211" s="208">
        <f>IF($L$184,$T211,$N211)</f>
        <v/>
      </c>
    </row>
    <row r="212">
      <c r="A212" s="145" t="n">
        <v>26</v>
      </c>
      <c r="B212" s="204">
        <f>EDATE($B211,1)</f>
        <v/>
      </c>
      <c r="C212" s="205">
        <f>EOMONTH($B212,0)</f>
        <v/>
      </c>
      <c r="D212" s="201">
        <f>$C212-$B212+1</f>
        <v/>
      </c>
      <c r="E212" s="201">
        <f>MONTH($B212)</f>
        <v/>
      </c>
      <c r="F212" s="235">
        <f>($B212+$C212+1)/2</f>
        <v/>
      </c>
      <c r="G212" s="201">
        <f>YEAR($B212)*12+MONTH($B212)-1</f>
        <v/>
      </c>
      <c r="H212" s="207">
        <f>IF(OR(nr_SeasonOn="OFF",$D$184=0,$E$184=0),1,12*INDEX(se_block,$D$184,$E212)/$E$184)</f>
        <v/>
      </c>
      <c r="I212" s="208">
        <f>EXP(SUMPRODUCT((rl_eff&lt;$B212)*(rl_key=$A$184)*rl_ln1p))</f>
        <v/>
      </c>
      <c r="J212" s="208">
        <f>EXP(SUMPRODUCT((rl_eff&lt;=$C212)*(rl_key=$A$184)*rl_ln1p))</f>
        <v/>
      </c>
      <c r="K212" s="201">
        <f>COUNTIFS(rl_key,$A$184,rl_eff,"&gt;="&amp;$B212,rl_eff,"&lt;="&amp;$C212)</f>
        <v/>
      </c>
      <c r="L212" s="201">
        <f>SUMIFS(rl_daysafter,rl_key,$A$184,rl_effmonth,$B212,rl_first,1)</f>
        <v/>
      </c>
      <c r="M212" s="209">
        <f>IF($K212=0,0,MIN(1,$L212/$D212))</f>
        <v/>
      </c>
      <c r="N212" s="208">
        <f>IF($K212=0,$J212,(1-$M212)*$I212+$M212*$J212)</f>
        <v/>
      </c>
      <c r="O212" s="209">
        <f>IF($F212&lt;$B$185,$E$185+$I$185*($F212-$A$185),IF($F212&lt;$C$185,$F$185+$J$185*($F212-$B$185),$G$185+$K$185*($F212-$C$185)))</f>
        <v/>
      </c>
      <c r="P212" s="208">
        <f>MIN(1,MAX(0,(nr_MEndPm1-$G212+0.5)/$C$184))-MIN(1,MAX(0,(nr_MStartPm1-1-$G212+0.5)/$C$184))</f>
        <v/>
      </c>
      <c r="Q212" s="208">
        <f>MIN(1,MAX(0,(nr_MEndP-$G212+0.5)/$C$184))-MIN(1,MAX(0,(nr_MStartP-1-$G212+0.5)/$C$184))</f>
        <v/>
      </c>
      <c r="R212" s="208">
        <f>MIN(1,MAX(0,(nr_MEndP1-$G212+0.5)/$C$184))-MIN(1,MAX(0,(nr_MStartP1-1-$G212+0.5)/$C$184))</f>
        <v/>
      </c>
      <c r="S212" s="208">
        <f>IF($L$184,$N212*IF($O$184=1,$O212/$F$184,1),"")</f>
        <v/>
      </c>
      <c r="T212" s="208">
        <f>IF(NOT($L$184),"",IF($G212&lt;nr_MStartP,$S212,$T200*(1+IF($G212&lt;nr_MStartP1,$M$184,$N$184))))</f>
        <v/>
      </c>
      <c r="U212" s="208">
        <f>IF($L$184,$T212,$N212)</f>
        <v/>
      </c>
    </row>
    <row r="213">
      <c r="A213" s="145" t="n">
        <v>27</v>
      </c>
      <c r="B213" s="204">
        <f>EDATE($B212,1)</f>
        <v/>
      </c>
      <c r="C213" s="205">
        <f>EOMONTH($B213,0)</f>
        <v/>
      </c>
      <c r="D213" s="201">
        <f>$C213-$B213+1</f>
        <v/>
      </c>
      <c r="E213" s="201">
        <f>MONTH($B213)</f>
        <v/>
      </c>
      <c r="F213" s="235">
        <f>($B213+$C213+1)/2</f>
        <v/>
      </c>
      <c r="G213" s="201">
        <f>YEAR($B213)*12+MONTH($B213)-1</f>
        <v/>
      </c>
      <c r="H213" s="207">
        <f>IF(OR(nr_SeasonOn="OFF",$D$184=0,$E$184=0),1,12*INDEX(se_block,$D$184,$E213)/$E$184)</f>
        <v/>
      </c>
      <c r="I213" s="208">
        <f>EXP(SUMPRODUCT((rl_eff&lt;$B213)*(rl_key=$A$184)*rl_ln1p))</f>
        <v/>
      </c>
      <c r="J213" s="208">
        <f>EXP(SUMPRODUCT((rl_eff&lt;=$C213)*(rl_key=$A$184)*rl_ln1p))</f>
        <v/>
      </c>
      <c r="K213" s="201">
        <f>COUNTIFS(rl_key,$A$184,rl_eff,"&gt;="&amp;$B213,rl_eff,"&lt;="&amp;$C213)</f>
        <v/>
      </c>
      <c r="L213" s="201">
        <f>SUMIFS(rl_daysafter,rl_key,$A$184,rl_effmonth,$B213,rl_first,1)</f>
        <v/>
      </c>
      <c r="M213" s="209">
        <f>IF($K213=0,0,MIN(1,$L213/$D213))</f>
        <v/>
      </c>
      <c r="N213" s="208">
        <f>IF($K213=0,$J213,(1-$M213)*$I213+$M213*$J213)</f>
        <v/>
      </c>
      <c r="O213" s="209">
        <f>IF($F213&lt;$B$185,$E$185+$I$185*($F213-$A$185),IF($F213&lt;$C$185,$F$185+$J$185*($F213-$B$185),$G$185+$K$185*($F213-$C$185)))</f>
        <v/>
      </c>
      <c r="P213" s="208">
        <f>MIN(1,MAX(0,(nr_MEndPm1-$G213+0.5)/$C$184))-MIN(1,MAX(0,(nr_MStartPm1-1-$G213+0.5)/$C$184))</f>
        <v/>
      </c>
      <c r="Q213" s="208">
        <f>MIN(1,MAX(0,(nr_MEndP-$G213+0.5)/$C$184))-MIN(1,MAX(0,(nr_MStartP-1-$G213+0.5)/$C$184))</f>
        <v/>
      </c>
      <c r="R213" s="208">
        <f>MIN(1,MAX(0,(nr_MEndP1-$G213+0.5)/$C$184))-MIN(1,MAX(0,(nr_MStartP1-1-$G213+0.5)/$C$184))</f>
        <v/>
      </c>
      <c r="S213" s="208">
        <f>IF($L$184,$N213*IF($O$184=1,$O213/$F$184,1),"")</f>
        <v/>
      </c>
      <c r="T213" s="208">
        <f>IF(NOT($L$184),"",IF($G213&lt;nr_MStartP,$S213,$T201*(1+IF($G213&lt;nr_MStartP1,$M$184,$N$184))))</f>
        <v/>
      </c>
      <c r="U213" s="208">
        <f>IF($L$184,$T213,$N213)</f>
        <v/>
      </c>
    </row>
    <row r="214">
      <c r="A214" s="145" t="n">
        <v>28</v>
      </c>
      <c r="B214" s="204">
        <f>EDATE($B213,1)</f>
        <v/>
      </c>
      <c r="C214" s="205">
        <f>EOMONTH($B214,0)</f>
        <v/>
      </c>
      <c r="D214" s="201">
        <f>$C214-$B214+1</f>
        <v/>
      </c>
      <c r="E214" s="201">
        <f>MONTH($B214)</f>
        <v/>
      </c>
      <c r="F214" s="235">
        <f>($B214+$C214+1)/2</f>
        <v/>
      </c>
      <c r="G214" s="201">
        <f>YEAR($B214)*12+MONTH($B214)-1</f>
        <v/>
      </c>
      <c r="H214" s="207">
        <f>IF(OR(nr_SeasonOn="OFF",$D$184=0,$E$184=0),1,12*INDEX(se_block,$D$184,$E214)/$E$184)</f>
        <v/>
      </c>
      <c r="I214" s="208">
        <f>EXP(SUMPRODUCT((rl_eff&lt;$B214)*(rl_key=$A$184)*rl_ln1p))</f>
        <v/>
      </c>
      <c r="J214" s="208">
        <f>EXP(SUMPRODUCT((rl_eff&lt;=$C214)*(rl_key=$A$184)*rl_ln1p))</f>
        <v/>
      </c>
      <c r="K214" s="201">
        <f>COUNTIFS(rl_key,$A$184,rl_eff,"&gt;="&amp;$B214,rl_eff,"&lt;="&amp;$C214)</f>
        <v/>
      </c>
      <c r="L214" s="201">
        <f>SUMIFS(rl_daysafter,rl_key,$A$184,rl_effmonth,$B214,rl_first,1)</f>
        <v/>
      </c>
      <c r="M214" s="209">
        <f>IF($K214=0,0,MIN(1,$L214/$D214))</f>
        <v/>
      </c>
      <c r="N214" s="208">
        <f>IF($K214=0,$J214,(1-$M214)*$I214+$M214*$J214)</f>
        <v/>
      </c>
      <c r="O214" s="209">
        <f>IF($F214&lt;$B$185,$E$185+$I$185*($F214-$A$185),IF($F214&lt;$C$185,$F$185+$J$185*($F214-$B$185),$G$185+$K$185*($F214-$C$185)))</f>
        <v/>
      </c>
      <c r="P214" s="208">
        <f>MIN(1,MAX(0,(nr_MEndPm1-$G214+0.5)/$C$184))-MIN(1,MAX(0,(nr_MStartPm1-1-$G214+0.5)/$C$184))</f>
        <v/>
      </c>
      <c r="Q214" s="208">
        <f>MIN(1,MAX(0,(nr_MEndP-$G214+0.5)/$C$184))-MIN(1,MAX(0,(nr_MStartP-1-$G214+0.5)/$C$184))</f>
        <v/>
      </c>
      <c r="R214" s="208">
        <f>MIN(1,MAX(0,(nr_MEndP1-$G214+0.5)/$C$184))-MIN(1,MAX(0,(nr_MStartP1-1-$G214+0.5)/$C$184))</f>
        <v/>
      </c>
      <c r="S214" s="208">
        <f>IF($L$184,$N214*IF($O$184=1,$O214/$F$184,1),"")</f>
        <v/>
      </c>
      <c r="T214" s="208">
        <f>IF(NOT($L$184),"",IF($G214&lt;nr_MStartP,$S214,$T202*(1+IF($G214&lt;nr_MStartP1,$M$184,$N$184))))</f>
        <v/>
      </c>
      <c r="U214" s="208">
        <f>IF($L$184,$T214,$N214)</f>
        <v/>
      </c>
    </row>
    <row r="215">
      <c r="A215" s="145" t="n">
        <v>29</v>
      </c>
      <c r="B215" s="204">
        <f>EDATE($B214,1)</f>
        <v/>
      </c>
      <c r="C215" s="205">
        <f>EOMONTH($B215,0)</f>
        <v/>
      </c>
      <c r="D215" s="201">
        <f>$C215-$B215+1</f>
        <v/>
      </c>
      <c r="E215" s="201">
        <f>MONTH($B215)</f>
        <v/>
      </c>
      <c r="F215" s="235">
        <f>($B215+$C215+1)/2</f>
        <v/>
      </c>
      <c r="G215" s="201">
        <f>YEAR($B215)*12+MONTH($B215)-1</f>
        <v/>
      </c>
      <c r="H215" s="207">
        <f>IF(OR(nr_SeasonOn="OFF",$D$184=0,$E$184=0),1,12*INDEX(se_block,$D$184,$E215)/$E$184)</f>
        <v/>
      </c>
      <c r="I215" s="208">
        <f>EXP(SUMPRODUCT((rl_eff&lt;$B215)*(rl_key=$A$184)*rl_ln1p))</f>
        <v/>
      </c>
      <c r="J215" s="208">
        <f>EXP(SUMPRODUCT((rl_eff&lt;=$C215)*(rl_key=$A$184)*rl_ln1p))</f>
        <v/>
      </c>
      <c r="K215" s="201">
        <f>COUNTIFS(rl_key,$A$184,rl_eff,"&gt;="&amp;$B215,rl_eff,"&lt;="&amp;$C215)</f>
        <v/>
      </c>
      <c r="L215" s="201">
        <f>SUMIFS(rl_daysafter,rl_key,$A$184,rl_effmonth,$B215,rl_first,1)</f>
        <v/>
      </c>
      <c r="M215" s="209">
        <f>IF($K215=0,0,MIN(1,$L215/$D215))</f>
        <v/>
      </c>
      <c r="N215" s="208">
        <f>IF($K215=0,$J215,(1-$M215)*$I215+$M215*$J215)</f>
        <v/>
      </c>
      <c r="O215" s="209">
        <f>IF($F215&lt;$B$185,$E$185+$I$185*($F215-$A$185),IF($F215&lt;$C$185,$F$185+$J$185*($F215-$B$185),$G$185+$K$185*($F215-$C$185)))</f>
        <v/>
      </c>
      <c r="P215" s="208">
        <f>MIN(1,MAX(0,(nr_MEndPm1-$G215+0.5)/$C$184))-MIN(1,MAX(0,(nr_MStartPm1-1-$G215+0.5)/$C$184))</f>
        <v/>
      </c>
      <c r="Q215" s="208">
        <f>MIN(1,MAX(0,(nr_MEndP-$G215+0.5)/$C$184))-MIN(1,MAX(0,(nr_MStartP-1-$G215+0.5)/$C$184))</f>
        <v/>
      </c>
      <c r="R215" s="208">
        <f>MIN(1,MAX(0,(nr_MEndP1-$G215+0.5)/$C$184))-MIN(1,MAX(0,(nr_MStartP1-1-$G215+0.5)/$C$184))</f>
        <v/>
      </c>
      <c r="S215" s="208">
        <f>IF($L$184,$N215*IF($O$184=1,$O215/$F$184,1),"")</f>
        <v/>
      </c>
      <c r="T215" s="208">
        <f>IF(NOT($L$184),"",IF($G215&lt;nr_MStartP,$S215,$T203*(1+IF($G215&lt;nr_MStartP1,$M$184,$N$184))))</f>
        <v/>
      </c>
      <c r="U215" s="208">
        <f>IF($L$184,$T215,$N215)</f>
        <v/>
      </c>
    </row>
    <row r="216">
      <c r="A216" s="145" t="n">
        <v>30</v>
      </c>
      <c r="B216" s="204">
        <f>EDATE($B215,1)</f>
        <v/>
      </c>
      <c r="C216" s="205">
        <f>EOMONTH($B216,0)</f>
        <v/>
      </c>
      <c r="D216" s="201">
        <f>$C216-$B216+1</f>
        <v/>
      </c>
      <c r="E216" s="201">
        <f>MONTH($B216)</f>
        <v/>
      </c>
      <c r="F216" s="235">
        <f>($B216+$C216+1)/2</f>
        <v/>
      </c>
      <c r="G216" s="201">
        <f>YEAR($B216)*12+MONTH($B216)-1</f>
        <v/>
      </c>
      <c r="H216" s="207">
        <f>IF(OR(nr_SeasonOn="OFF",$D$184=0,$E$184=0),1,12*INDEX(se_block,$D$184,$E216)/$E$184)</f>
        <v/>
      </c>
      <c r="I216" s="208">
        <f>EXP(SUMPRODUCT((rl_eff&lt;$B216)*(rl_key=$A$184)*rl_ln1p))</f>
        <v/>
      </c>
      <c r="J216" s="208">
        <f>EXP(SUMPRODUCT((rl_eff&lt;=$C216)*(rl_key=$A$184)*rl_ln1p))</f>
        <v/>
      </c>
      <c r="K216" s="201">
        <f>COUNTIFS(rl_key,$A$184,rl_eff,"&gt;="&amp;$B216,rl_eff,"&lt;="&amp;$C216)</f>
        <v/>
      </c>
      <c r="L216" s="201">
        <f>SUMIFS(rl_daysafter,rl_key,$A$184,rl_effmonth,$B216,rl_first,1)</f>
        <v/>
      </c>
      <c r="M216" s="209">
        <f>IF($K216=0,0,MIN(1,$L216/$D216))</f>
        <v/>
      </c>
      <c r="N216" s="208">
        <f>IF($K216=0,$J216,(1-$M216)*$I216+$M216*$J216)</f>
        <v/>
      </c>
      <c r="O216" s="209">
        <f>IF($F216&lt;$B$185,$E$185+$I$185*($F216-$A$185),IF($F216&lt;$C$185,$F$185+$J$185*($F216-$B$185),$G$185+$K$185*($F216-$C$185)))</f>
        <v/>
      </c>
      <c r="P216" s="208">
        <f>MIN(1,MAX(0,(nr_MEndPm1-$G216+0.5)/$C$184))-MIN(1,MAX(0,(nr_MStartPm1-1-$G216+0.5)/$C$184))</f>
        <v/>
      </c>
      <c r="Q216" s="208">
        <f>MIN(1,MAX(0,(nr_MEndP-$G216+0.5)/$C$184))-MIN(1,MAX(0,(nr_MStartP-1-$G216+0.5)/$C$184))</f>
        <v/>
      </c>
      <c r="R216" s="208">
        <f>MIN(1,MAX(0,(nr_MEndP1-$G216+0.5)/$C$184))-MIN(1,MAX(0,(nr_MStartP1-1-$G216+0.5)/$C$184))</f>
        <v/>
      </c>
      <c r="S216" s="208">
        <f>IF($L$184,$N216*IF($O$184=1,$O216/$F$184,1),"")</f>
        <v/>
      </c>
      <c r="T216" s="208">
        <f>IF(NOT($L$184),"",IF($G216&lt;nr_MStartP,$S216,$T204*(1+IF($G216&lt;nr_MStartP1,$M$184,$N$184))))</f>
        <v/>
      </c>
      <c r="U216" s="208">
        <f>IF($L$184,$T216,$N216)</f>
        <v/>
      </c>
    </row>
    <row r="217">
      <c r="A217" s="145" t="n">
        <v>31</v>
      </c>
      <c r="B217" s="204">
        <f>EDATE($B216,1)</f>
        <v/>
      </c>
      <c r="C217" s="205">
        <f>EOMONTH($B217,0)</f>
        <v/>
      </c>
      <c r="D217" s="201">
        <f>$C217-$B217+1</f>
        <v/>
      </c>
      <c r="E217" s="201">
        <f>MONTH($B217)</f>
        <v/>
      </c>
      <c r="F217" s="235">
        <f>($B217+$C217+1)/2</f>
        <v/>
      </c>
      <c r="G217" s="201">
        <f>YEAR($B217)*12+MONTH($B217)-1</f>
        <v/>
      </c>
      <c r="H217" s="207">
        <f>IF(OR(nr_SeasonOn="OFF",$D$184=0,$E$184=0),1,12*INDEX(se_block,$D$184,$E217)/$E$184)</f>
        <v/>
      </c>
      <c r="I217" s="208">
        <f>EXP(SUMPRODUCT((rl_eff&lt;$B217)*(rl_key=$A$184)*rl_ln1p))</f>
        <v/>
      </c>
      <c r="J217" s="208">
        <f>EXP(SUMPRODUCT((rl_eff&lt;=$C217)*(rl_key=$A$184)*rl_ln1p))</f>
        <v/>
      </c>
      <c r="K217" s="201">
        <f>COUNTIFS(rl_key,$A$184,rl_eff,"&gt;="&amp;$B217,rl_eff,"&lt;="&amp;$C217)</f>
        <v/>
      </c>
      <c r="L217" s="201">
        <f>SUMIFS(rl_daysafter,rl_key,$A$184,rl_effmonth,$B217,rl_first,1)</f>
        <v/>
      </c>
      <c r="M217" s="209">
        <f>IF($K217=0,0,MIN(1,$L217/$D217))</f>
        <v/>
      </c>
      <c r="N217" s="208">
        <f>IF($K217=0,$J217,(1-$M217)*$I217+$M217*$J217)</f>
        <v/>
      </c>
      <c r="O217" s="209">
        <f>IF($F217&lt;$B$185,$E$185+$I$185*($F217-$A$185),IF($F217&lt;$C$185,$F$185+$J$185*($F217-$B$185),$G$185+$K$185*($F217-$C$185)))</f>
        <v/>
      </c>
      <c r="P217" s="208">
        <f>MIN(1,MAX(0,(nr_MEndPm1-$G217+0.5)/$C$184))-MIN(1,MAX(0,(nr_MStartPm1-1-$G217+0.5)/$C$184))</f>
        <v/>
      </c>
      <c r="Q217" s="208">
        <f>MIN(1,MAX(0,(nr_MEndP-$G217+0.5)/$C$184))-MIN(1,MAX(0,(nr_MStartP-1-$G217+0.5)/$C$184))</f>
        <v/>
      </c>
      <c r="R217" s="208">
        <f>MIN(1,MAX(0,(nr_MEndP1-$G217+0.5)/$C$184))-MIN(1,MAX(0,(nr_MStartP1-1-$G217+0.5)/$C$184))</f>
        <v/>
      </c>
      <c r="S217" s="208">
        <f>IF($L$184,$N217*IF($O$184=1,$O217/$F$184,1),"")</f>
        <v/>
      </c>
      <c r="T217" s="208">
        <f>IF(NOT($L$184),"",IF($G217&lt;nr_MStartP,$S217,$T205*(1+IF($G217&lt;nr_MStartP1,$M$184,$N$184))))</f>
        <v/>
      </c>
      <c r="U217" s="208">
        <f>IF($L$184,$T217,$N217)</f>
        <v/>
      </c>
    </row>
    <row r="218">
      <c r="A218" s="145" t="n">
        <v>32</v>
      </c>
      <c r="B218" s="204">
        <f>EDATE($B217,1)</f>
        <v/>
      </c>
      <c r="C218" s="205">
        <f>EOMONTH($B218,0)</f>
        <v/>
      </c>
      <c r="D218" s="201">
        <f>$C218-$B218+1</f>
        <v/>
      </c>
      <c r="E218" s="201">
        <f>MONTH($B218)</f>
        <v/>
      </c>
      <c r="F218" s="235">
        <f>($B218+$C218+1)/2</f>
        <v/>
      </c>
      <c r="G218" s="201">
        <f>YEAR($B218)*12+MONTH($B218)-1</f>
        <v/>
      </c>
      <c r="H218" s="207">
        <f>IF(OR(nr_SeasonOn="OFF",$D$184=0,$E$184=0),1,12*INDEX(se_block,$D$184,$E218)/$E$184)</f>
        <v/>
      </c>
      <c r="I218" s="208">
        <f>EXP(SUMPRODUCT((rl_eff&lt;$B218)*(rl_key=$A$184)*rl_ln1p))</f>
        <v/>
      </c>
      <c r="J218" s="208">
        <f>EXP(SUMPRODUCT((rl_eff&lt;=$C218)*(rl_key=$A$184)*rl_ln1p))</f>
        <v/>
      </c>
      <c r="K218" s="201">
        <f>COUNTIFS(rl_key,$A$184,rl_eff,"&gt;="&amp;$B218,rl_eff,"&lt;="&amp;$C218)</f>
        <v/>
      </c>
      <c r="L218" s="201">
        <f>SUMIFS(rl_daysafter,rl_key,$A$184,rl_effmonth,$B218,rl_first,1)</f>
        <v/>
      </c>
      <c r="M218" s="209">
        <f>IF($K218=0,0,MIN(1,$L218/$D218))</f>
        <v/>
      </c>
      <c r="N218" s="208">
        <f>IF($K218=0,$J218,(1-$M218)*$I218+$M218*$J218)</f>
        <v/>
      </c>
      <c r="O218" s="209">
        <f>IF($F218&lt;$B$185,$E$185+$I$185*($F218-$A$185),IF($F218&lt;$C$185,$F$185+$J$185*($F218-$B$185),$G$185+$K$185*($F218-$C$185)))</f>
        <v/>
      </c>
      <c r="P218" s="208">
        <f>MIN(1,MAX(0,(nr_MEndPm1-$G218+0.5)/$C$184))-MIN(1,MAX(0,(nr_MStartPm1-1-$G218+0.5)/$C$184))</f>
        <v/>
      </c>
      <c r="Q218" s="208">
        <f>MIN(1,MAX(0,(nr_MEndP-$G218+0.5)/$C$184))-MIN(1,MAX(0,(nr_MStartP-1-$G218+0.5)/$C$184))</f>
        <v/>
      </c>
      <c r="R218" s="208">
        <f>MIN(1,MAX(0,(nr_MEndP1-$G218+0.5)/$C$184))-MIN(1,MAX(0,(nr_MStartP1-1-$G218+0.5)/$C$184))</f>
        <v/>
      </c>
      <c r="S218" s="208">
        <f>IF($L$184,$N218*IF($O$184=1,$O218/$F$184,1),"")</f>
        <v/>
      </c>
      <c r="T218" s="208">
        <f>IF(NOT($L$184),"",IF($G218&lt;nr_MStartP,$S218,$T206*(1+IF($G218&lt;nr_MStartP1,$M$184,$N$184))))</f>
        <v/>
      </c>
      <c r="U218" s="208">
        <f>IF($L$184,$T218,$N218)</f>
        <v/>
      </c>
    </row>
    <row r="219">
      <c r="A219" s="145" t="n">
        <v>33</v>
      </c>
      <c r="B219" s="204">
        <f>EDATE($B218,1)</f>
        <v/>
      </c>
      <c r="C219" s="205">
        <f>EOMONTH($B219,0)</f>
        <v/>
      </c>
      <c r="D219" s="201">
        <f>$C219-$B219+1</f>
        <v/>
      </c>
      <c r="E219" s="201">
        <f>MONTH($B219)</f>
        <v/>
      </c>
      <c r="F219" s="235">
        <f>($B219+$C219+1)/2</f>
        <v/>
      </c>
      <c r="G219" s="201">
        <f>YEAR($B219)*12+MONTH($B219)-1</f>
        <v/>
      </c>
      <c r="H219" s="207">
        <f>IF(OR(nr_SeasonOn="OFF",$D$184=0,$E$184=0),1,12*INDEX(se_block,$D$184,$E219)/$E$184)</f>
        <v/>
      </c>
      <c r="I219" s="208">
        <f>EXP(SUMPRODUCT((rl_eff&lt;$B219)*(rl_key=$A$184)*rl_ln1p))</f>
        <v/>
      </c>
      <c r="J219" s="208">
        <f>EXP(SUMPRODUCT((rl_eff&lt;=$C219)*(rl_key=$A$184)*rl_ln1p))</f>
        <v/>
      </c>
      <c r="K219" s="201">
        <f>COUNTIFS(rl_key,$A$184,rl_eff,"&gt;="&amp;$B219,rl_eff,"&lt;="&amp;$C219)</f>
        <v/>
      </c>
      <c r="L219" s="201">
        <f>SUMIFS(rl_daysafter,rl_key,$A$184,rl_effmonth,$B219,rl_first,1)</f>
        <v/>
      </c>
      <c r="M219" s="209">
        <f>IF($K219=0,0,MIN(1,$L219/$D219))</f>
        <v/>
      </c>
      <c r="N219" s="208">
        <f>IF($K219=0,$J219,(1-$M219)*$I219+$M219*$J219)</f>
        <v/>
      </c>
      <c r="O219" s="209">
        <f>IF($F219&lt;$B$185,$E$185+$I$185*($F219-$A$185),IF($F219&lt;$C$185,$F$185+$J$185*($F219-$B$185),$G$185+$K$185*($F219-$C$185)))</f>
        <v/>
      </c>
      <c r="P219" s="208">
        <f>MIN(1,MAX(0,(nr_MEndPm1-$G219+0.5)/$C$184))-MIN(1,MAX(0,(nr_MStartPm1-1-$G219+0.5)/$C$184))</f>
        <v/>
      </c>
      <c r="Q219" s="208">
        <f>MIN(1,MAX(0,(nr_MEndP-$G219+0.5)/$C$184))-MIN(1,MAX(0,(nr_MStartP-1-$G219+0.5)/$C$184))</f>
        <v/>
      </c>
      <c r="R219" s="208">
        <f>MIN(1,MAX(0,(nr_MEndP1-$G219+0.5)/$C$184))-MIN(1,MAX(0,(nr_MStartP1-1-$G219+0.5)/$C$184))</f>
        <v/>
      </c>
      <c r="S219" s="208">
        <f>IF($L$184,$N219*IF($O$184=1,$O219/$F$184,1),"")</f>
        <v/>
      </c>
      <c r="T219" s="208">
        <f>IF(NOT($L$184),"",IF($G219&lt;nr_MStartP,$S219,$T207*(1+IF($G219&lt;nr_MStartP1,$M$184,$N$184))))</f>
        <v/>
      </c>
      <c r="U219" s="208">
        <f>IF($L$184,$T219,$N219)</f>
        <v/>
      </c>
    </row>
    <row r="220">
      <c r="A220" s="145" t="n">
        <v>34</v>
      </c>
      <c r="B220" s="204">
        <f>EDATE($B219,1)</f>
        <v/>
      </c>
      <c r="C220" s="205">
        <f>EOMONTH($B220,0)</f>
        <v/>
      </c>
      <c r="D220" s="201">
        <f>$C220-$B220+1</f>
        <v/>
      </c>
      <c r="E220" s="201">
        <f>MONTH($B220)</f>
        <v/>
      </c>
      <c r="F220" s="235">
        <f>($B220+$C220+1)/2</f>
        <v/>
      </c>
      <c r="G220" s="201">
        <f>YEAR($B220)*12+MONTH($B220)-1</f>
        <v/>
      </c>
      <c r="H220" s="207">
        <f>IF(OR(nr_SeasonOn="OFF",$D$184=0,$E$184=0),1,12*INDEX(se_block,$D$184,$E220)/$E$184)</f>
        <v/>
      </c>
      <c r="I220" s="208">
        <f>EXP(SUMPRODUCT((rl_eff&lt;$B220)*(rl_key=$A$184)*rl_ln1p))</f>
        <v/>
      </c>
      <c r="J220" s="208">
        <f>EXP(SUMPRODUCT((rl_eff&lt;=$C220)*(rl_key=$A$184)*rl_ln1p))</f>
        <v/>
      </c>
      <c r="K220" s="201">
        <f>COUNTIFS(rl_key,$A$184,rl_eff,"&gt;="&amp;$B220,rl_eff,"&lt;="&amp;$C220)</f>
        <v/>
      </c>
      <c r="L220" s="201">
        <f>SUMIFS(rl_daysafter,rl_key,$A$184,rl_effmonth,$B220,rl_first,1)</f>
        <v/>
      </c>
      <c r="M220" s="209">
        <f>IF($K220=0,0,MIN(1,$L220/$D220))</f>
        <v/>
      </c>
      <c r="N220" s="208">
        <f>IF($K220=0,$J220,(1-$M220)*$I220+$M220*$J220)</f>
        <v/>
      </c>
      <c r="O220" s="209">
        <f>IF($F220&lt;$B$185,$E$185+$I$185*($F220-$A$185),IF($F220&lt;$C$185,$F$185+$J$185*($F220-$B$185),$G$185+$K$185*($F220-$C$185)))</f>
        <v/>
      </c>
      <c r="P220" s="208">
        <f>MIN(1,MAX(0,(nr_MEndPm1-$G220+0.5)/$C$184))-MIN(1,MAX(0,(nr_MStartPm1-1-$G220+0.5)/$C$184))</f>
        <v/>
      </c>
      <c r="Q220" s="208">
        <f>MIN(1,MAX(0,(nr_MEndP-$G220+0.5)/$C$184))-MIN(1,MAX(0,(nr_MStartP-1-$G220+0.5)/$C$184))</f>
        <v/>
      </c>
      <c r="R220" s="208">
        <f>MIN(1,MAX(0,(nr_MEndP1-$G220+0.5)/$C$184))-MIN(1,MAX(0,(nr_MStartP1-1-$G220+0.5)/$C$184))</f>
        <v/>
      </c>
      <c r="S220" s="208">
        <f>IF($L$184,$N220*IF($O$184=1,$O220/$F$184,1),"")</f>
        <v/>
      </c>
      <c r="T220" s="208">
        <f>IF(NOT($L$184),"",IF($G220&lt;nr_MStartP,$S220,$T208*(1+IF($G220&lt;nr_MStartP1,$M$184,$N$184))))</f>
        <v/>
      </c>
      <c r="U220" s="208">
        <f>IF($L$184,$T220,$N220)</f>
        <v/>
      </c>
    </row>
    <row r="221">
      <c r="A221" s="145" t="n">
        <v>35</v>
      </c>
      <c r="B221" s="204">
        <f>EDATE($B220,1)</f>
        <v/>
      </c>
      <c r="C221" s="205">
        <f>EOMONTH($B221,0)</f>
        <v/>
      </c>
      <c r="D221" s="201">
        <f>$C221-$B221+1</f>
        <v/>
      </c>
      <c r="E221" s="201">
        <f>MONTH($B221)</f>
        <v/>
      </c>
      <c r="F221" s="235">
        <f>($B221+$C221+1)/2</f>
        <v/>
      </c>
      <c r="G221" s="201">
        <f>YEAR($B221)*12+MONTH($B221)-1</f>
        <v/>
      </c>
      <c r="H221" s="207">
        <f>IF(OR(nr_SeasonOn="OFF",$D$184=0,$E$184=0),1,12*INDEX(se_block,$D$184,$E221)/$E$184)</f>
        <v/>
      </c>
      <c r="I221" s="208">
        <f>EXP(SUMPRODUCT((rl_eff&lt;$B221)*(rl_key=$A$184)*rl_ln1p))</f>
        <v/>
      </c>
      <c r="J221" s="208">
        <f>EXP(SUMPRODUCT((rl_eff&lt;=$C221)*(rl_key=$A$184)*rl_ln1p))</f>
        <v/>
      </c>
      <c r="K221" s="201">
        <f>COUNTIFS(rl_key,$A$184,rl_eff,"&gt;="&amp;$B221,rl_eff,"&lt;="&amp;$C221)</f>
        <v/>
      </c>
      <c r="L221" s="201">
        <f>SUMIFS(rl_daysafter,rl_key,$A$184,rl_effmonth,$B221,rl_first,1)</f>
        <v/>
      </c>
      <c r="M221" s="209">
        <f>IF($K221=0,0,MIN(1,$L221/$D221))</f>
        <v/>
      </c>
      <c r="N221" s="208">
        <f>IF($K221=0,$J221,(1-$M221)*$I221+$M221*$J221)</f>
        <v/>
      </c>
      <c r="O221" s="209">
        <f>IF($F221&lt;$B$185,$E$185+$I$185*($F221-$A$185),IF($F221&lt;$C$185,$F$185+$J$185*($F221-$B$185),$G$185+$K$185*($F221-$C$185)))</f>
        <v/>
      </c>
      <c r="P221" s="208">
        <f>MIN(1,MAX(0,(nr_MEndPm1-$G221+0.5)/$C$184))-MIN(1,MAX(0,(nr_MStartPm1-1-$G221+0.5)/$C$184))</f>
        <v/>
      </c>
      <c r="Q221" s="208">
        <f>MIN(1,MAX(0,(nr_MEndP-$G221+0.5)/$C$184))-MIN(1,MAX(0,(nr_MStartP-1-$G221+0.5)/$C$184))</f>
        <v/>
      </c>
      <c r="R221" s="208">
        <f>MIN(1,MAX(0,(nr_MEndP1-$G221+0.5)/$C$184))-MIN(1,MAX(0,(nr_MStartP1-1-$G221+0.5)/$C$184))</f>
        <v/>
      </c>
      <c r="S221" s="208">
        <f>IF($L$184,$N221*IF($O$184=1,$O221/$F$184,1),"")</f>
        <v/>
      </c>
      <c r="T221" s="208">
        <f>IF(NOT($L$184),"",IF($G221&lt;nr_MStartP,$S221,$T209*(1+IF($G221&lt;nr_MStartP1,$M$184,$N$184))))</f>
        <v/>
      </c>
      <c r="U221" s="208">
        <f>IF($L$184,$T221,$N221)</f>
        <v/>
      </c>
    </row>
    <row r="222">
      <c r="A222" s="145" t="n">
        <v>36</v>
      </c>
      <c r="B222" s="204">
        <f>EDATE($B221,1)</f>
        <v/>
      </c>
      <c r="C222" s="205">
        <f>EOMONTH($B222,0)</f>
        <v/>
      </c>
      <c r="D222" s="201">
        <f>$C222-$B222+1</f>
        <v/>
      </c>
      <c r="E222" s="201">
        <f>MONTH($B222)</f>
        <v/>
      </c>
      <c r="F222" s="235">
        <f>($B222+$C222+1)/2</f>
        <v/>
      </c>
      <c r="G222" s="201">
        <f>YEAR($B222)*12+MONTH($B222)-1</f>
        <v/>
      </c>
      <c r="H222" s="207">
        <f>IF(OR(nr_SeasonOn="OFF",$D$184=0,$E$184=0),1,12*INDEX(se_block,$D$184,$E222)/$E$184)</f>
        <v/>
      </c>
      <c r="I222" s="208">
        <f>EXP(SUMPRODUCT((rl_eff&lt;$B222)*(rl_key=$A$184)*rl_ln1p))</f>
        <v/>
      </c>
      <c r="J222" s="208">
        <f>EXP(SUMPRODUCT((rl_eff&lt;=$C222)*(rl_key=$A$184)*rl_ln1p))</f>
        <v/>
      </c>
      <c r="K222" s="201">
        <f>COUNTIFS(rl_key,$A$184,rl_eff,"&gt;="&amp;$B222,rl_eff,"&lt;="&amp;$C222)</f>
        <v/>
      </c>
      <c r="L222" s="201">
        <f>SUMIFS(rl_daysafter,rl_key,$A$184,rl_effmonth,$B222,rl_first,1)</f>
        <v/>
      </c>
      <c r="M222" s="209">
        <f>IF($K222=0,0,MIN(1,$L222/$D222))</f>
        <v/>
      </c>
      <c r="N222" s="208">
        <f>IF($K222=0,$J222,(1-$M222)*$I222+$M222*$J222)</f>
        <v/>
      </c>
      <c r="O222" s="209">
        <f>IF($F222&lt;$B$185,$E$185+$I$185*($F222-$A$185),IF($F222&lt;$C$185,$F$185+$J$185*($F222-$B$185),$G$185+$K$185*($F222-$C$185)))</f>
        <v/>
      </c>
      <c r="P222" s="208">
        <f>MIN(1,MAX(0,(nr_MEndPm1-$G222+0.5)/$C$184))-MIN(1,MAX(0,(nr_MStartPm1-1-$G222+0.5)/$C$184))</f>
        <v/>
      </c>
      <c r="Q222" s="208">
        <f>MIN(1,MAX(0,(nr_MEndP-$G222+0.5)/$C$184))-MIN(1,MAX(0,(nr_MStartP-1-$G222+0.5)/$C$184))</f>
        <v/>
      </c>
      <c r="R222" s="208">
        <f>MIN(1,MAX(0,(nr_MEndP1-$G222+0.5)/$C$184))-MIN(1,MAX(0,(nr_MStartP1-1-$G222+0.5)/$C$184))</f>
        <v/>
      </c>
      <c r="S222" s="208">
        <f>IF($L$184,$N222*IF($O$184=1,$O222/$F$184,1),"")</f>
        <v/>
      </c>
      <c r="T222" s="208">
        <f>IF(NOT($L$184),"",IF($G222&lt;nr_MStartP,$S222,$T210*(1+IF($G222&lt;nr_MStartP1,$M$184,$N$184))))</f>
        <v/>
      </c>
      <c r="U222" s="208">
        <f>IF($L$184,$T222,$N222)</f>
        <v/>
      </c>
    </row>
    <row r="223">
      <c r="A223" s="145" t="n">
        <v>37</v>
      </c>
      <c r="B223" s="204">
        <f>EDATE($B222,1)</f>
        <v/>
      </c>
      <c r="C223" s="205">
        <f>EOMONTH($B223,0)</f>
        <v/>
      </c>
      <c r="D223" s="201">
        <f>$C223-$B223+1</f>
        <v/>
      </c>
      <c r="E223" s="201">
        <f>MONTH($B223)</f>
        <v/>
      </c>
      <c r="F223" s="235">
        <f>($B223+$C223+1)/2</f>
        <v/>
      </c>
      <c r="G223" s="201">
        <f>YEAR($B223)*12+MONTH($B223)-1</f>
        <v/>
      </c>
      <c r="H223" s="207">
        <f>IF(OR(nr_SeasonOn="OFF",$D$184=0,$E$184=0),1,12*INDEX(se_block,$D$184,$E223)/$E$184)</f>
        <v/>
      </c>
      <c r="I223" s="208">
        <f>EXP(SUMPRODUCT((rl_eff&lt;$B223)*(rl_key=$A$184)*rl_ln1p))</f>
        <v/>
      </c>
      <c r="J223" s="208">
        <f>EXP(SUMPRODUCT((rl_eff&lt;=$C223)*(rl_key=$A$184)*rl_ln1p))</f>
        <v/>
      </c>
      <c r="K223" s="201">
        <f>COUNTIFS(rl_key,$A$184,rl_eff,"&gt;="&amp;$B223,rl_eff,"&lt;="&amp;$C223)</f>
        <v/>
      </c>
      <c r="L223" s="201">
        <f>SUMIFS(rl_daysafter,rl_key,$A$184,rl_effmonth,$B223,rl_first,1)</f>
        <v/>
      </c>
      <c r="M223" s="209">
        <f>IF($K223=0,0,MIN(1,$L223/$D223))</f>
        <v/>
      </c>
      <c r="N223" s="208">
        <f>IF($K223=0,$J223,(1-$M223)*$I223+$M223*$J223)</f>
        <v/>
      </c>
      <c r="O223" s="209">
        <f>IF($F223&lt;$B$185,$E$185+$I$185*($F223-$A$185),IF($F223&lt;$C$185,$F$185+$J$185*($F223-$B$185),$G$185+$K$185*($F223-$C$185)))</f>
        <v/>
      </c>
      <c r="P223" s="208">
        <f>MIN(1,MAX(0,(nr_MEndPm1-$G223+0.5)/$C$184))-MIN(1,MAX(0,(nr_MStartPm1-1-$G223+0.5)/$C$184))</f>
        <v/>
      </c>
      <c r="Q223" s="208">
        <f>MIN(1,MAX(0,(nr_MEndP-$G223+0.5)/$C$184))-MIN(1,MAX(0,(nr_MStartP-1-$G223+0.5)/$C$184))</f>
        <v/>
      </c>
      <c r="R223" s="208">
        <f>MIN(1,MAX(0,(nr_MEndP1-$G223+0.5)/$C$184))-MIN(1,MAX(0,(nr_MStartP1-1-$G223+0.5)/$C$184))</f>
        <v/>
      </c>
      <c r="S223" s="208">
        <f>IF($L$184,$N223*IF($O$184=1,$O223/$F$184,1),"")</f>
        <v/>
      </c>
      <c r="T223" s="208">
        <f>IF(NOT($L$184),"",IF($G223&lt;nr_MStartP,$S223,$T211*(1+IF($G223&lt;nr_MStartP1,$M$184,$N$184))))</f>
        <v/>
      </c>
      <c r="U223" s="208">
        <f>IF($L$184,$T223,$N223)</f>
        <v/>
      </c>
    </row>
    <row r="224">
      <c r="A224" s="145" t="n">
        <v>38</v>
      </c>
      <c r="B224" s="204">
        <f>EDATE($B223,1)</f>
        <v/>
      </c>
      <c r="C224" s="205">
        <f>EOMONTH($B224,0)</f>
        <v/>
      </c>
      <c r="D224" s="201">
        <f>$C224-$B224+1</f>
        <v/>
      </c>
      <c r="E224" s="201">
        <f>MONTH($B224)</f>
        <v/>
      </c>
      <c r="F224" s="235">
        <f>($B224+$C224+1)/2</f>
        <v/>
      </c>
      <c r="G224" s="201">
        <f>YEAR($B224)*12+MONTH($B224)-1</f>
        <v/>
      </c>
      <c r="H224" s="207">
        <f>IF(OR(nr_SeasonOn="OFF",$D$184=0,$E$184=0),1,12*INDEX(se_block,$D$184,$E224)/$E$184)</f>
        <v/>
      </c>
      <c r="I224" s="208">
        <f>EXP(SUMPRODUCT((rl_eff&lt;$B224)*(rl_key=$A$184)*rl_ln1p))</f>
        <v/>
      </c>
      <c r="J224" s="208">
        <f>EXP(SUMPRODUCT((rl_eff&lt;=$C224)*(rl_key=$A$184)*rl_ln1p))</f>
        <v/>
      </c>
      <c r="K224" s="201">
        <f>COUNTIFS(rl_key,$A$184,rl_eff,"&gt;="&amp;$B224,rl_eff,"&lt;="&amp;$C224)</f>
        <v/>
      </c>
      <c r="L224" s="201">
        <f>SUMIFS(rl_daysafter,rl_key,$A$184,rl_effmonth,$B224,rl_first,1)</f>
        <v/>
      </c>
      <c r="M224" s="209">
        <f>IF($K224=0,0,MIN(1,$L224/$D224))</f>
        <v/>
      </c>
      <c r="N224" s="208">
        <f>IF($K224=0,$J224,(1-$M224)*$I224+$M224*$J224)</f>
        <v/>
      </c>
      <c r="O224" s="209">
        <f>IF($F224&lt;$B$185,$E$185+$I$185*($F224-$A$185),IF($F224&lt;$C$185,$F$185+$J$185*($F224-$B$185),$G$185+$K$185*($F224-$C$185)))</f>
        <v/>
      </c>
      <c r="P224" s="208">
        <f>MIN(1,MAX(0,(nr_MEndPm1-$G224+0.5)/$C$184))-MIN(1,MAX(0,(nr_MStartPm1-1-$G224+0.5)/$C$184))</f>
        <v/>
      </c>
      <c r="Q224" s="208">
        <f>MIN(1,MAX(0,(nr_MEndP-$G224+0.5)/$C$184))-MIN(1,MAX(0,(nr_MStartP-1-$G224+0.5)/$C$184))</f>
        <v/>
      </c>
      <c r="R224" s="208">
        <f>MIN(1,MAX(0,(nr_MEndP1-$G224+0.5)/$C$184))-MIN(1,MAX(0,(nr_MStartP1-1-$G224+0.5)/$C$184))</f>
        <v/>
      </c>
      <c r="S224" s="208">
        <f>IF($L$184,$N224*IF($O$184=1,$O224/$F$184,1),"")</f>
        <v/>
      </c>
      <c r="T224" s="208">
        <f>IF(NOT($L$184),"",IF($G224&lt;nr_MStartP,$S224,$T212*(1+IF($G224&lt;nr_MStartP1,$M$184,$N$184))))</f>
        <v/>
      </c>
      <c r="U224" s="208">
        <f>IF($L$184,$T224,$N224)</f>
        <v/>
      </c>
    </row>
    <row r="225">
      <c r="A225" s="145" t="n">
        <v>39</v>
      </c>
      <c r="B225" s="204">
        <f>EDATE($B224,1)</f>
        <v/>
      </c>
      <c r="C225" s="205">
        <f>EOMONTH($B225,0)</f>
        <v/>
      </c>
      <c r="D225" s="201">
        <f>$C225-$B225+1</f>
        <v/>
      </c>
      <c r="E225" s="201">
        <f>MONTH($B225)</f>
        <v/>
      </c>
      <c r="F225" s="235">
        <f>($B225+$C225+1)/2</f>
        <v/>
      </c>
      <c r="G225" s="201">
        <f>YEAR($B225)*12+MONTH($B225)-1</f>
        <v/>
      </c>
      <c r="H225" s="207">
        <f>IF(OR(nr_SeasonOn="OFF",$D$184=0,$E$184=0),1,12*INDEX(se_block,$D$184,$E225)/$E$184)</f>
        <v/>
      </c>
      <c r="I225" s="208">
        <f>EXP(SUMPRODUCT((rl_eff&lt;$B225)*(rl_key=$A$184)*rl_ln1p))</f>
        <v/>
      </c>
      <c r="J225" s="208">
        <f>EXP(SUMPRODUCT((rl_eff&lt;=$C225)*(rl_key=$A$184)*rl_ln1p))</f>
        <v/>
      </c>
      <c r="K225" s="201">
        <f>COUNTIFS(rl_key,$A$184,rl_eff,"&gt;="&amp;$B225,rl_eff,"&lt;="&amp;$C225)</f>
        <v/>
      </c>
      <c r="L225" s="201">
        <f>SUMIFS(rl_daysafter,rl_key,$A$184,rl_effmonth,$B225,rl_first,1)</f>
        <v/>
      </c>
      <c r="M225" s="209">
        <f>IF($K225=0,0,MIN(1,$L225/$D225))</f>
        <v/>
      </c>
      <c r="N225" s="208">
        <f>IF($K225=0,$J225,(1-$M225)*$I225+$M225*$J225)</f>
        <v/>
      </c>
      <c r="O225" s="209">
        <f>IF($F225&lt;$B$185,$E$185+$I$185*($F225-$A$185),IF($F225&lt;$C$185,$F$185+$J$185*($F225-$B$185),$G$185+$K$185*($F225-$C$185)))</f>
        <v/>
      </c>
      <c r="P225" s="208">
        <f>MIN(1,MAX(0,(nr_MEndPm1-$G225+0.5)/$C$184))-MIN(1,MAX(0,(nr_MStartPm1-1-$G225+0.5)/$C$184))</f>
        <v/>
      </c>
      <c r="Q225" s="208">
        <f>MIN(1,MAX(0,(nr_MEndP-$G225+0.5)/$C$184))-MIN(1,MAX(0,(nr_MStartP-1-$G225+0.5)/$C$184))</f>
        <v/>
      </c>
      <c r="R225" s="208">
        <f>MIN(1,MAX(0,(nr_MEndP1-$G225+0.5)/$C$184))-MIN(1,MAX(0,(nr_MStartP1-1-$G225+0.5)/$C$184))</f>
        <v/>
      </c>
      <c r="S225" s="208">
        <f>IF($L$184,$N225*IF($O$184=1,$O225/$F$184,1),"")</f>
        <v/>
      </c>
      <c r="T225" s="208">
        <f>IF(NOT($L$184),"",IF($G225&lt;nr_MStartP,$S225,$T213*(1+IF($G225&lt;nr_MStartP1,$M$184,$N$184))))</f>
        <v/>
      </c>
      <c r="U225" s="208">
        <f>IF($L$184,$T225,$N225)</f>
        <v/>
      </c>
    </row>
    <row r="226">
      <c r="A226" s="145" t="n">
        <v>40</v>
      </c>
      <c r="B226" s="204">
        <f>EDATE($B225,1)</f>
        <v/>
      </c>
      <c r="C226" s="205">
        <f>EOMONTH($B226,0)</f>
        <v/>
      </c>
      <c r="D226" s="201">
        <f>$C226-$B226+1</f>
        <v/>
      </c>
      <c r="E226" s="201">
        <f>MONTH($B226)</f>
        <v/>
      </c>
      <c r="F226" s="235">
        <f>($B226+$C226+1)/2</f>
        <v/>
      </c>
      <c r="G226" s="201">
        <f>YEAR($B226)*12+MONTH($B226)-1</f>
        <v/>
      </c>
      <c r="H226" s="207">
        <f>IF(OR(nr_SeasonOn="OFF",$D$184=0,$E$184=0),1,12*INDEX(se_block,$D$184,$E226)/$E$184)</f>
        <v/>
      </c>
      <c r="I226" s="208">
        <f>EXP(SUMPRODUCT((rl_eff&lt;$B226)*(rl_key=$A$184)*rl_ln1p))</f>
        <v/>
      </c>
      <c r="J226" s="208">
        <f>EXP(SUMPRODUCT((rl_eff&lt;=$C226)*(rl_key=$A$184)*rl_ln1p))</f>
        <v/>
      </c>
      <c r="K226" s="201">
        <f>COUNTIFS(rl_key,$A$184,rl_eff,"&gt;="&amp;$B226,rl_eff,"&lt;="&amp;$C226)</f>
        <v/>
      </c>
      <c r="L226" s="201">
        <f>SUMIFS(rl_daysafter,rl_key,$A$184,rl_effmonth,$B226,rl_first,1)</f>
        <v/>
      </c>
      <c r="M226" s="209">
        <f>IF($K226=0,0,MIN(1,$L226/$D226))</f>
        <v/>
      </c>
      <c r="N226" s="208">
        <f>IF($K226=0,$J226,(1-$M226)*$I226+$M226*$J226)</f>
        <v/>
      </c>
      <c r="O226" s="209">
        <f>IF($F226&lt;$B$185,$E$185+$I$185*($F226-$A$185),IF($F226&lt;$C$185,$F$185+$J$185*($F226-$B$185),$G$185+$K$185*($F226-$C$185)))</f>
        <v/>
      </c>
      <c r="P226" s="208">
        <f>MIN(1,MAX(0,(nr_MEndPm1-$G226+0.5)/$C$184))-MIN(1,MAX(0,(nr_MStartPm1-1-$G226+0.5)/$C$184))</f>
        <v/>
      </c>
      <c r="Q226" s="208">
        <f>MIN(1,MAX(0,(nr_MEndP-$G226+0.5)/$C$184))-MIN(1,MAX(0,(nr_MStartP-1-$G226+0.5)/$C$184))</f>
        <v/>
      </c>
      <c r="R226" s="208">
        <f>MIN(1,MAX(0,(nr_MEndP1-$G226+0.5)/$C$184))-MIN(1,MAX(0,(nr_MStartP1-1-$G226+0.5)/$C$184))</f>
        <v/>
      </c>
      <c r="S226" s="208">
        <f>IF($L$184,$N226*IF($O$184=1,$O226/$F$184,1),"")</f>
        <v/>
      </c>
      <c r="T226" s="208">
        <f>IF(NOT($L$184),"",IF($G226&lt;nr_MStartP,$S226,$T214*(1+IF($G226&lt;nr_MStartP1,$M$184,$N$184))))</f>
        <v/>
      </c>
      <c r="U226" s="208">
        <f>IF($L$184,$T226,$N226)</f>
        <v/>
      </c>
    </row>
    <row r="227">
      <c r="A227" s="145" t="n">
        <v>41</v>
      </c>
      <c r="B227" s="204">
        <f>EDATE($B226,1)</f>
        <v/>
      </c>
      <c r="C227" s="205">
        <f>EOMONTH($B227,0)</f>
        <v/>
      </c>
      <c r="D227" s="201">
        <f>$C227-$B227+1</f>
        <v/>
      </c>
      <c r="E227" s="201">
        <f>MONTH($B227)</f>
        <v/>
      </c>
      <c r="F227" s="235">
        <f>($B227+$C227+1)/2</f>
        <v/>
      </c>
      <c r="G227" s="201">
        <f>YEAR($B227)*12+MONTH($B227)-1</f>
        <v/>
      </c>
      <c r="H227" s="207">
        <f>IF(OR(nr_SeasonOn="OFF",$D$184=0,$E$184=0),1,12*INDEX(se_block,$D$184,$E227)/$E$184)</f>
        <v/>
      </c>
      <c r="I227" s="208">
        <f>EXP(SUMPRODUCT((rl_eff&lt;$B227)*(rl_key=$A$184)*rl_ln1p))</f>
        <v/>
      </c>
      <c r="J227" s="208">
        <f>EXP(SUMPRODUCT((rl_eff&lt;=$C227)*(rl_key=$A$184)*rl_ln1p))</f>
        <v/>
      </c>
      <c r="K227" s="201">
        <f>COUNTIFS(rl_key,$A$184,rl_eff,"&gt;="&amp;$B227,rl_eff,"&lt;="&amp;$C227)</f>
        <v/>
      </c>
      <c r="L227" s="201">
        <f>SUMIFS(rl_daysafter,rl_key,$A$184,rl_effmonth,$B227,rl_first,1)</f>
        <v/>
      </c>
      <c r="M227" s="209">
        <f>IF($K227=0,0,MIN(1,$L227/$D227))</f>
        <v/>
      </c>
      <c r="N227" s="208">
        <f>IF($K227=0,$J227,(1-$M227)*$I227+$M227*$J227)</f>
        <v/>
      </c>
      <c r="O227" s="209">
        <f>IF($F227&lt;$B$185,$E$185+$I$185*($F227-$A$185),IF($F227&lt;$C$185,$F$185+$J$185*($F227-$B$185),$G$185+$K$185*($F227-$C$185)))</f>
        <v/>
      </c>
      <c r="P227" s="208">
        <f>MIN(1,MAX(0,(nr_MEndPm1-$G227+0.5)/$C$184))-MIN(1,MAX(0,(nr_MStartPm1-1-$G227+0.5)/$C$184))</f>
        <v/>
      </c>
      <c r="Q227" s="208">
        <f>MIN(1,MAX(0,(nr_MEndP-$G227+0.5)/$C$184))-MIN(1,MAX(0,(nr_MStartP-1-$G227+0.5)/$C$184))</f>
        <v/>
      </c>
      <c r="R227" s="208">
        <f>MIN(1,MAX(0,(nr_MEndP1-$G227+0.5)/$C$184))-MIN(1,MAX(0,(nr_MStartP1-1-$G227+0.5)/$C$184))</f>
        <v/>
      </c>
      <c r="S227" s="208">
        <f>IF($L$184,$N227*IF($O$184=1,$O227/$F$184,1),"")</f>
        <v/>
      </c>
      <c r="T227" s="208">
        <f>IF(NOT($L$184),"",IF($G227&lt;nr_MStartP,$S227,$T215*(1+IF($G227&lt;nr_MStartP1,$M$184,$N$184))))</f>
        <v/>
      </c>
      <c r="U227" s="208">
        <f>IF($L$184,$T227,$N227)</f>
        <v/>
      </c>
    </row>
    <row r="228">
      <c r="A228" s="145" t="n">
        <v>42</v>
      </c>
      <c r="B228" s="204">
        <f>EDATE($B227,1)</f>
        <v/>
      </c>
      <c r="C228" s="205">
        <f>EOMONTH($B228,0)</f>
        <v/>
      </c>
      <c r="D228" s="201">
        <f>$C228-$B228+1</f>
        <v/>
      </c>
      <c r="E228" s="201">
        <f>MONTH($B228)</f>
        <v/>
      </c>
      <c r="F228" s="235">
        <f>($B228+$C228+1)/2</f>
        <v/>
      </c>
      <c r="G228" s="201">
        <f>YEAR($B228)*12+MONTH($B228)-1</f>
        <v/>
      </c>
      <c r="H228" s="207">
        <f>IF(OR(nr_SeasonOn="OFF",$D$184=0,$E$184=0),1,12*INDEX(se_block,$D$184,$E228)/$E$184)</f>
        <v/>
      </c>
      <c r="I228" s="208">
        <f>EXP(SUMPRODUCT((rl_eff&lt;$B228)*(rl_key=$A$184)*rl_ln1p))</f>
        <v/>
      </c>
      <c r="J228" s="208">
        <f>EXP(SUMPRODUCT((rl_eff&lt;=$C228)*(rl_key=$A$184)*rl_ln1p))</f>
        <v/>
      </c>
      <c r="K228" s="201">
        <f>COUNTIFS(rl_key,$A$184,rl_eff,"&gt;="&amp;$B228,rl_eff,"&lt;="&amp;$C228)</f>
        <v/>
      </c>
      <c r="L228" s="201">
        <f>SUMIFS(rl_daysafter,rl_key,$A$184,rl_effmonth,$B228,rl_first,1)</f>
        <v/>
      </c>
      <c r="M228" s="209">
        <f>IF($K228=0,0,MIN(1,$L228/$D228))</f>
        <v/>
      </c>
      <c r="N228" s="208">
        <f>IF($K228=0,$J228,(1-$M228)*$I228+$M228*$J228)</f>
        <v/>
      </c>
      <c r="O228" s="209">
        <f>IF($F228&lt;$B$185,$E$185+$I$185*($F228-$A$185),IF($F228&lt;$C$185,$F$185+$J$185*($F228-$B$185),$G$185+$K$185*($F228-$C$185)))</f>
        <v/>
      </c>
      <c r="P228" s="208">
        <f>MIN(1,MAX(0,(nr_MEndPm1-$G228+0.5)/$C$184))-MIN(1,MAX(0,(nr_MStartPm1-1-$G228+0.5)/$C$184))</f>
        <v/>
      </c>
      <c r="Q228" s="208">
        <f>MIN(1,MAX(0,(nr_MEndP-$G228+0.5)/$C$184))-MIN(1,MAX(0,(nr_MStartP-1-$G228+0.5)/$C$184))</f>
        <v/>
      </c>
      <c r="R228" s="208">
        <f>MIN(1,MAX(0,(nr_MEndP1-$G228+0.5)/$C$184))-MIN(1,MAX(0,(nr_MStartP1-1-$G228+0.5)/$C$184))</f>
        <v/>
      </c>
      <c r="S228" s="208">
        <f>IF($L$184,$N228*IF($O$184=1,$O228/$F$184,1),"")</f>
        <v/>
      </c>
      <c r="T228" s="208">
        <f>IF(NOT($L$184),"",IF($G228&lt;nr_MStartP,$S228,$T216*(1+IF($G228&lt;nr_MStartP1,$M$184,$N$184))))</f>
        <v/>
      </c>
      <c r="U228" s="208">
        <f>IF($L$184,$T228,$N228)</f>
        <v/>
      </c>
    </row>
    <row r="229">
      <c r="A229" s="145" t="n">
        <v>43</v>
      </c>
      <c r="B229" s="204">
        <f>EDATE($B228,1)</f>
        <v/>
      </c>
      <c r="C229" s="205">
        <f>EOMONTH($B229,0)</f>
        <v/>
      </c>
      <c r="D229" s="201">
        <f>$C229-$B229+1</f>
        <v/>
      </c>
      <c r="E229" s="201">
        <f>MONTH($B229)</f>
        <v/>
      </c>
      <c r="F229" s="235">
        <f>($B229+$C229+1)/2</f>
        <v/>
      </c>
      <c r="G229" s="201">
        <f>YEAR($B229)*12+MONTH($B229)-1</f>
        <v/>
      </c>
      <c r="H229" s="207">
        <f>IF(OR(nr_SeasonOn="OFF",$D$184=0,$E$184=0),1,12*INDEX(se_block,$D$184,$E229)/$E$184)</f>
        <v/>
      </c>
      <c r="I229" s="208">
        <f>EXP(SUMPRODUCT((rl_eff&lt;$B229)*(rl_key=$A$184)*rl_ln1p))</f>
        <v/>
      </c>
      <c r="J229" s="208">
        <f>EXP(SUMPRODUCT((rl_eff&lt;=$C229)*(rl_key=$A$184)*rl_ln1p))</f>
        <v/>
      </c>
      <c r="K229" s="201">
        <f>COUNTIFS(rl_key,$A$184,rl_eff,"&gt;="&amp;$B229,rl_eff,"&lt;="&amp;$C229)</f>
        <v/>
      </c>
      <c r="L229" s="201">
        <f>SUMIFS(rl_daysafter,rl_key,$A$184,rl_effmonth,$B229,rl_first,1)</f>
        <v/>
      </c>
      <c r="M229" s="209">
        <f>IF($K229=0,0,MIN(1,$L229/$D229))</f>
        <v/>
      </c>
      <c r="N229" s="208">
        <f>IF($K229=0,$J229,(1-$M229)*$I229+$M229*$J229)</f>
        <v/>
      </c>
      <c r="O229" s="209">
        <f>IF($F229&lt;$B$185,$E$185+$I$185*($F229-$A$185),IF($F229&lt;$C$185,$F$185+$J$185*($F229-$B$185),$G$185+$K$185*($F229-$C$185)))</f>
        <v/>
      </c>
      <c r="P229" s="208">
        <f>MIN(1,MAX(0,(nr_MEndPm1-$G229+0.5)/$C$184))-MIN(1,MAX(0,(nr_MStartPm1-1-$G229+0.5)/$C$184))</f>
        <v/>
      </c>
      <c r="Q229" s="208">
        <f>MIN(1,MAX(0,(nr_MEndP-$G229+0.5)/$C$184))-MIN(1,MAX(0,(nr_MStartP-1-$G229+0.5)/$C$184))</f>
        <v/>
      </c>
      <c r="R229" s="208">
        <f>MIN(1,MAX(0,(nr_MEndP1-$G229+0.5)/$C$184))-MIN(1,MAX(0,(nr_MStartP1-1-$G229+0.5)/$C$184))</f>
        <v/>
      </c>
      <c r="S229" s="208">
        <f>IF($L$184,$N229*IF($O$184=1,$O229/$F$184,1),"")</f>
        <v/>
      </c>
      <c r="T229" s="208">
        <f>IF(NOT($L$184),"",IF($G229&lt;nr_MStartP,$S229,$T217*(1+IF($G229&lt;nr_MStartP1,$M$184,$N$184))))</f>
        <v/>
      </c>
      <c r="U229" s="208">
        <f>IF($L$184,$T229,$N229)</f>
        <v/>
      </c>
    </row>
    <row r="230">
      <c r="A230" s="145" t="n">
        <v>44</v>
      </c>
      <c r="B230" s="204">
        <f>EDATE($B229,1)</f>
        <v/>
      </c>
      <c r="C230" s="205">
        <f>EOMONTH($B230,0)</f>
        <v/>
      </c>
      <c r="D230" s="201">
        <f>$C230-$B230+1</f>
        <v/>
      </c>
      <c r="E230" s="201">
        <f>MONTH($B230)</f>
        <v/>
      </c>
      <c r="F230" s="235">
        <f>($B230+$C230+1)/2</f>
        <v/>
      </c>
      <c r="G230" s="201">
        <f>YEAR($B230)*12+MONTH($B230)-1</f>
        <v/>
      </c>
      <c r="H230" s="207">
        <f>IF(OR(nr_SeasonOn="OFF",$D$184=0,$E$184=0),1,12*INDEX(se_block,$D$184,$E230)/$E$184)</f>
        <v/>
      </c>
      <c r="I230" s="208">
        <f>EXP(SUMPRODUCT((rl_eff&lt;$B230)*(rl_key=$A$184)*rl_ln1p))</f>
        <v/>
      </c>
      <c r="J230" s="208">
        <f>EXP(SUMPRODUCT((rl_eff&lt;=$C230)*(rl_key=$A$184)*rl_ln1p))</f>
        <v/>
      </c>
      <c r="K230" s="201">
        <f>COUNTIFS(rl_key,$A$184,rl_eff,"&gt;="&amp;$B230,rl_eff,"&lt;="&amp;$C230)</f>
        <v/>
      </c>
      <c r="L230" s="201">
        <f>SUMIFS(rl_daysafter,rl_key,$A$184,rl_effmonth,$B230,rl_first,1)</f>
        <v/>
      </c>
      <c r="M230" s="209">
        <f>IF($K230=0,0,MIN(1,$L230/$D230))</f>
        <v/>
      </c>
      <c r="N230" s="208">
        <f>IF($K230=0,$J230,(1-$M230)*$I230+$M230*$J230)</f>
        <v/>
      </c>
      <c r="O230" s="209">
        <f>IF($F230&lt;$B$185,$E$185+$I$185*($F230-$A$185),IF($F230&lt;$C$185,$F$185+$J$185*($F230-$B$185),$G$185+$K$185*($F230-$C$185)))</f>
        <v/>
      </c>
      <c r="P230" s="208">
        <f>MIN(1,MAX(0,(nr_MEndPm1-$G230+0.5)/$C$184))-MIN(1,MAX(0,(nr_MStartPm1-1-$G230+0.5)/$C$184))</f>
        <v/>
      </c>
      <c r="Q230" s="208">
        <f>MIN(1,MAX(0,(nr_MEndP-$G230+0.5)/$C$184))-MIN(1,MAX(0,(nr_MStartP-1-$G230+0.5)/$C$184))</f>
        <v/>
      </c>
      <c r="R230" s="208">
        <f>MIN(1,MAX(0,(nr_MEndP1-$G230+0.5)/$C$184))-MIN(1,MAX(0,(nr_MStartP1-1-$G230+0.5)/$C$184))</f>
        <v/>
      </c>
      <c r="S230" s="208">
        <f>IF($L$184,$N230*IF($O$184=1,$O230/$F$184,1),"")</f>
        <v/>
      </c>
      <c r="T230" s="208">
        <f>IF(NOT($L$184),"",IF($G230&lt;nr_MStartP,$S230,$T218*(1+IF($G230&lt;nr_MStartP1,$M$184,$N$184))))</f>
        <v/>
      </c>
      <c r="U230" s="208">
        <f>IF($L$184,$T230,$N230)</f>
        <v/>
      </c>
    </row>
    <row r="231">
      <c r="A231" s="145" t="n">
        <v>45</v>
      </c>
      <c r="B231" s="204">
        <f>EDATE($B230,1)</f>
        <v/>
      </c>
      <c r="C231" s="205">
        <f>EOMONTH($B231,0)</f>
        <v/>
      </c>
      <c r="D231" s="201">
        <f>$C231-$B231+1</f>
        <v/>
      </c>
      <c r="E231" s="201">
        <f>MONTH($B231)</f>
        <v/>
      </c>
      <c r="F231" s="235">
        <f>($B231+$C231+1)/2</f>
        <v/>
      </c>
      <c r="G231" s="201">
        <f>YEAR($B231)*12+MONTH($B231)-1</f>
        <v/>
      </c>
      <c r="H231" s="207">
        <f>IF(OR(nr_SeasonOn="OFF",$D$184=0,$E$184=0),1,12*INDEX(se_block,$D$184,$E231)/$E$184)</f>
        <v/>
      </c>
      <c r="I231" s="208">
        <f>EXP(SUMPRODUCT((rl_eff&lt;$B231)*(rl_key=$A$184)*rl_ln1p))</f>
        <v/>
      </c>
      <c r="J231" s="208">
        <f>EXP(SUMPRODUCT((rl_eff&lt;=$C231)*(rl_key=$A$184)*rl_ln1p))</f>
        <v/>
      </c>
      <c r="K231" s="201">
        <f>COUNTIFS(rl_key,$A$184,rl_eff,"&gt;="&amp;$B231,rl_eff,"&lt;="&amp;$C231)</f>
        <v/>
      </c>
      <c r="L231" s="201">
        <f>SUMIFS(rl_daysafter,rl_key,$A$184,rl_effmonth,$B231,rl_first,1)</f>
        <v/>
      </c>
      <c r="M231" s="209">
        <f>IF($K231=0,0,MIN(1,$L231/$D231))</f>
        <v/>
      </c>
      <c r="N231" s="208">
        <f>IF($K231=0,$J231,(1-$M231)*$I231+$M231*$J231)</f>
        <v/>
      </c>
      <c r="O231" s="209">
        <f>IF($F231&lt;$B$185,$E$185+$I$185*($F231-$A$185),IF($F231&lt;$C$185,$F$185+$J$185*($F231-$B$185),$G$185+$K$185*($F231-$C$185)))</f>
        <v/>
      </c>
      <c r="P231" s="208">
        <f>MIN(1,MAX(0,(nr_MEndPm1-$G231+0.5)/$C$184))-MIN(1,MAX(0,(nr_MStartPm1-1-$G231+0.5)/$C$184))</f>
        <v/>
      </c>
      <c r="Q231" s="208">
        <f>MIN(1,MAX(0,(nr_MEndP-$G231+0.5)/$C$184))-MIN(1,MAX(0,(nr_MStartP-1-$G231+0.5)/$C$184))</f>
        <v/>
      </c>
      <c r="R231" s="208">
        <f>MIN(1,MAX(0,(nr_MEndP1-$G231+0.5)/$C$184))-MIN(1,MAX(0,(nr_MStartP1-1-$G231+0.5)/$C$184))</f>
        <v/>
      </c>
      <c r="S231" s="208">
        <f>IF($L$184,$N231*IF($O$184=1,$O231/$F$184,1),"")</f>
        <v/>
      </c>
      <c r="T231" s="208">
        <f>IF(NOT($L$184),"",IF($G231&lt;nr_MStartP,$S231,$T219*(1+IF($G231&lt;nr_MStartP1,$M$184,$N$184))))</f>
        <v/>
      </c>
      <c r="U231" s="208">
        <f>IF($L$184,$T231,$N231)</f>
        <v/>
      </c>
    </row>
    <row r="232">
      <c r="A232" s="145" t="n">
        <v>46</v>
      </c>
      <c r="B232" s="204">
        <f>EDATE($B231,1)</f>
        <v/>
      </c>
      <c r="C232" s="205">
        <f>EOMONTH($B232,0)</f>
        <v/>
      </c>
      <c r="D232" s="201">
        <f>$C232-$B232+1</f>
        <v/>
      </c>
      <c r="E232" s="201">
        <f>MONTH($B232)</f>
        <v/>
      </c>
      <c r="F232" s="235">
        <f>($B232+$C232+1)/2</f>
        <v/>
      </c>
      <c r="G232" s="201">
        <f>YEAR($B232)*12+MONTH($B232)-1</f>
        <v/>
      </c>
      <c r="H232" s="207">
        <f>IF(OR(nr_SeasonOn="OFF",$D$184=0,$E$184=0),1,12*INDEX(se_block,$D$184,$E232)/$E$184)</f>
        <v/>
      </c>
      <c r="I232" s="208">
        <f>EXP(SUMPRODUCT((rl_eff&lt;$B232)*(rl_key=$A$184)*rl_ln1p))</f>
        <v/>
      </c>
      <c r="J232" s="208">
        <f>EXP(SUMPRODUCT((rl_eff&lt;=$C232)*(rl_key=$A$184)*rl_ln1p))</f>
        <v/>
      </c>
      <c r="K232" s="201">
        <f>COUNTIFS(rl_key,$A$184,rl_eff,"&gt;="&amp;$B232,rl_eff,"&lt;="&amp;$C232)</f>
        <v/>
      </c>
      <c r="L232" s="201">
        <f>SUMIFS(rl_daysafter,rl_key,$A$184,rl_effmonth,$B232,rl_first,1)</f>
        <v/>
      </c>
      <c r="M232" s="209">
        <f>IF($K232=0,0,MIN(1,$L232/$D232))</f>
        <v/>
      </c>
      <c r="N232" s="208">
        <f>IF($K232=0,$J232,(1-$M232)*$I232+$M232*$J232)</f>
        <v/>
      </c>
      <c r="O232" s="209">
        <f>IF($F232&lt;$B$185,$E$185+$I$185*($F232-$A$185),IF($F232&lt;$C$185,$F$185+$J$185*($F232-$B$185),$G$185+$K$185*($F232-$C$185)))</f>
        <v/>
      </c>
      <c r="P232" s="208">
        <f>MIN(1,MAX(0,(nr_MEndPm1-$G232+0.5)/$C$184))-MIN(1,MAX(0,(nr_MStartPm1-1-$G232+0.5)/$C$184))</f>
        <v/>
      </c>
      <c r="Q232" s="208">
        <f>MIN(1,MAX(0,(nr_MEndP-$G232+0.5)/$C$184))-MIN(1,MAX(0,(nr_MStartP-1-$G232+0.5)/$C$184))</f>
        <v/>
      </c>
      <c r="R232" s="208">
        <f>MIN(1,MAX(0,(nr_MEndP1-$G232+0.5)/$C$184))-MIN(1,MAX(0,(nr_MStartP1-1-$G232+0.5)/$C$184))</f>
        <v/>
      </c>
      <c r="S232" s="208">
        <f>IF($L$184,$N232*IF($O$184=1,$O232/$F$184,1),"")</f>
        <v/>
      </c>
      <c r="T232" s="208">
        <f>IF(NOT($L$184),"",IF($G232&lt;nr_MStartP,$S232,$T220*(1+IF($G232&lt;nr_MStartP1,$M$184,$N$184))))</f>
        <v/>
      </c>
      <c r="U232" s="208">
        <f>IF($L$184,$T232,$N232)</f>
        <v/>
      </c>
    </row>
    <row r="233">
      <c r="A233" s="145" t="n">
        <v>47</v>
      </c>
      <c r="B233" s="204">
        <f>EDATE($B232,1)</f>
        <v/>
      </c>
      <c r="C233" s="205">
        <f>EOMONTH($B233,0)</f>
        <v/>
      </c>
      <c r="D233" s="201">
        <f>$C233-$B233+1</f>
        <v/>
      </c>
      <c r="E233" s="201">
        <f>MONTH($B233)</f>
        <v/>
      </c>
      <c r="F233" s="235">
        <f>($B233+$C233+1)/2</f>
        <v/>
      </c>
      <c r="G233" s="201">
        <f>YEAR($B233)*12+MONTH($B233)-1</f>
        <v/>
      </c>
      <c r="H233" s="207">
        <f>IF(OR(nr_SeasonOn="OFF",$D$184=0,$E$184=0),1,12*INDEX(se_block,$D$184,$E233)/$E$184)</f>
        <v/>
      </c>
      <c r="I233" s="208">
        <f>EXP(SUMPRODUCT((rl_eff&lt;$B233)*(rl_key=$A$184)*rl_ln1p))</f>
        <v/>
      </c>
      <c r="J233" s="208">
        <f>EXP(SUMPRODUCT((rl_eff&lt;=$C233)*(rl_key=$A$184)*rl_ln1p))</f>
        <v/>
      </c>
      <c r="K233" s="201">
        <f>COUNTIFS(rl_key,$A$184,rl_eff,"&gt;="&amp;$B233,rl_eff,"&lt;="&amp;$C233)</f>
        <v/>
      </c>
      <c r="L233" s="201">
        <f>SUMIFS(rl_daysafter,rl_key,$A$184,rl_effmonth,$B233,rl_first,1)</f>
        <v/>
      </c>
      <c r="M233" s="209">
        <f>IF($K233=0,0,MIN(1,$L233/$D233))</f>
        <v/>
      </c>
      <c r="N233" s="208">
        <f>IF($K233=0,$J233,(1-$M233)*$I233+$M233*$J233)</f>
        <v/>
      </c>
      <c r="O233" s="209">
        <f>IF($F233&lt;$B$185,$E$185+$I$185*($F233-$A$185),IF($F233&lt;$C$185,$F$185+$J$185*($F233-$B$185),$G$185+$K$185*($F233-$C$185)))</f>
        <v/>
      </c>
      <c r="P233" s="208">
        <f>MIN(1,MAX(0,(nr_MEndPm1-$G233+0.5)/$C$184))-MIN(1,MAX(0,(nr_MStartPm1-1-$G233+0.5)/$C$184))</f>
        <v/>
      </c>
      <c r="Q233" s="208">
        <f>MIN(1,MAX(0,(nr_MEndP-$G233+0.5)/$C$184))-MIN(1,MAX(0,(nr_MStartP-1-$G233+0.5)/$C$184))</f>
        <v/>
      </c>
      <c r="R233" s="208">
        <f>MIN(1,MAX(0,(nr_MEndP1-$G233+0.5)/$C$184))-MIN(1,MAX(0,(nr_MStartP1-1-$G233+0.5)/$C$184))</f>
        <v/>
      </c>
      <c r="S233" s="208">
        <f>IF($L$184,$N233*IF($O$184=1,$O233/$F$184,1),"")</f>
        <v/>
      </c>
      <c r="T233" s="208">
        <f>IF(NOT($L$184),"",IF($G233&lt;nr_MStartP,$S233,$T221*(1+IF($G233&lt;nr_MStartP1,$M$184,$N$184))))</f>
        <v/>
      </c>
      <c r="U233" s="208">
        <f>IF($L$184,$T233,$N233)</f>
        <v/>
      </c>
    </row>
    <row r="234">
      <c r="A234" s="145" t="n">
        <v>48</v>
      </c>
      <c r="B234" s="204">
        <f>EDATE($B233,1)</f>
        <v/>
      </c>
      <c r="C234" s="205">
        <f>EOMONTH($B234,0)</f>
        <v/>
      </c>
      <c r="D234" s="201">
        <f>$C234-$B234+1</f>
        <v/>
      </c>
      <c r="E234" s="201">
        <f>MONTH($B234)</f>
        <v/>
      </c>
      <c r="F234" s="235">
        <f>($B234+$C234+1)/2</f>
        <v/>
      </c>
      <c r="G234" s="201">
        <f>YEAR($B234)*12+MONTH($B234)-1</f>
        <v/>
      </c>
      <c r="H234" s="207">
        <f>IF(OR(nr_SeasonOn="OFF",$D$184=0,$E$184=0),1,12*INDEX(se_block,$D$184,$E234)/$E$184)</f>
        <v/>
      </c>
      <c r="I234" s="208">
        <f>EXP(SUMPRODUCT((rl_eff&lt;$B234)*(rl_key=$A$184)*rl_ln1p))</f>
        <v/>
      </c>
      <c r="J234" s="208">
        <f>EXP(SUMPRODUCT((rl_eff&lt;=$C234)*(rl_key=$A$184)*rl_ln1p))</f>
        <v/>
      </c>
      <c r="K234" s="201">
        <f>COUNTIFS(rl_key,$A$184,rl_eff,"&gt;="&amp;$B234,rl_eff,"&lt;="&amp;$C234)</f>
        <v/>
      </c>
      <c r="L234" s="201">
        <f>SUMIFS(rl_daysafter,rl_key,$A$184,rl_effmonth,$B234,rl_first,1)</f>
        <v/>
      </c>
      <c r="M234" s="209">
        <f>IF($K234=0,0,MIN(1,$L234/$D234))</f>
        <v/>
      </c>
      <c r="N234" s="208">
        <f>IF($K234=0,$J234,(1-$M234)*$I234+$M234*$J234)</f>
        <v/>
      </c>
      <c r="O234" s="209">
        <f>IF($F234&lt;$B$185,$E$185+$I$185*($F234-$A$185),IF($F234&lt;$C$185,$F$185+$J$185*($F234-$B$185),$G$185+$K$185*($F234-$C$185)))</f>
        <v/>
      </c>
      <c r="P234" s="208">
        <f>MIN(1,MAX(0,(nr_MEndPm1-$G234+0.5)/$C$184))-MIN(1,MAX(0,(nr_MStartPm1-1-$G234+0.5)/$C$184))</f>
        <v/>
      </c>
      <c r="Q234" s="208">
        <f>MIN(1,MAX(0,(nr_MEndP-$G234+0.5)/$C$184))-MIN(1,MAX(0,(nr_MStartP-1-$G234+0.5)/$C$184))</f>
        <v/>
      </c>
      <c r="R234" s="208">
        <f>MIN(1,MAX(0,(nr_MEndP1-$G234+0.5)/$C$184))-MIN(1,MAX(0,(nr_MStartP1-1-$G234+0.5)/$C$184))</f>
        <v/>
      </c>
      <c r="S234" s="208">
        <f>IF($L$184,$N234*IF($O$184=1,$O234/$F$184,1),"")</f>
        <v/>
      </c>
      <c r="T234" s="208">
        <f>IF(NOT($L$184),"",IF($G234&lt;nr_MStartP,$S234,$T222*(1+IF($G234&lt;nr_MStartP1,$M$184,$N$184))))</f>
        <v/>
      </c>
      <c r="U234" s="208">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184">
        <f>SUMPRODUCT($H$187:$H$234,$Q$187:$Q$234,$O$187:$O$234)/SUMPRODUCT($H$187:$H$234,$Q$187:$Q$234)</f>
        <v/>
      </c>
      <c r="G235" s="184">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184">
        <f>IF(N(INDEX(lr_mind,4))=0,1,INDEX(lr_mind,4))</f>
        <v/>
      </c>
      <c r="G238" s="184">
        <f>IF(N(INDEX(lr_m0,4))=0,1,INDEX(lr_m0,4))</f>
        <v/>
      </c>
      <c r="H238" s="73">
        <f>IF(N(INDEX(lr_m0asof,4))=0,DATE(nr_PlanYear-1,10,1),INDEX(lr_m0asof,4))</f>
        <v/>
      </c>
      <c r="I238" s="184">
        <f>IF(N(INDEX(lr_m1,4))=0,1,INDEX(lr_m1,4))</f>
        <v/>
      </c>
      <c r="J238" s="184">
        <f>INDEX(lr_mprior,4)</f>
        <v/>
      </c>
      <c r="K238" s="184">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145" t="n">
        <v>1</v>
      </c>
      <c r="B241" s="204">
        <f>DATE(nr_PlanYear-2,1,1)</f>
        <v/>
      </c>
      <c r="C241" s="205">
        <f>EOMONTH($B241,0)</f>
        <v/>
      </c>
      <c r="D241" s="201">
        <f>$C241-$B241+1</f>
        <v/>
      </c>
      <c r="E241" s="201">
        <f>MONTH($B241)</f>
        <v/>
      </c>
      <c r="F241" s="235">
        <f>($B241+$C241+1)/2</f>
        <v/>
      </c>
      <c r="G241" s="201">
        <f>YEAR($B241)*12+MONTH($B241)-1</f>
        <v/>
      </c>
      <c r="H241" s="207">
        <f>IF(OR(nr_SeasonOn="OFF",$D$238=0,$E$238=0),1,12*INDEX(se_block,$D$238,$E241)/$E$238)</f>
        <v/>
      </c>
      <c r="I241" s="208">
        <f>EXP(SUMPRODUCT((rl_eff&lt;$B241)*(rl_key=$A$238)*rl_ln1p))</f>
        <v/>
      </c>
      <c r="J241" s="208">
        <f>EXP(SUMPRODUCT((rl_eff&lt;=$C241)*(rl_key=$A$238)*rl_ln1p))</f>
        <v/>
      </c>
      <c r="K241" s="201">
        <f>COUNTIFS(rl_key,$A$238,rl_eff,"&gt;="&amp;$B241,rl_eff,"&lt;="&amp;$C241)</f>
        <v/>
      </c>
      <c r="L241" s="201">
        <f>SUMIFS(rl_daysafter,rl_key,$A$238,rl_effmonth,$B241,rl_first,1)</f>
        <v/>
      </c>
      <c r="M241" s="209">
        <f>IF($K241=0,0,MIN(1,$L241/$D241))</f>
        <v/>
      </c>
      <c r="N241" s="208">
        <f>IF($K241=0,$J241,(1-$M241)*$I241+$M241*$J241)</f>
        <v/>
      </c>
      <c r="O241" s="209">
        <f>IF($F241&lt;$B$239,$E$239+$I$239*($F241-$A$239),IF($F241&lt;$C$239,$F$239+$J$239*($F241-$B$239),$G$239+$K$239*($F241-$C$239)))</f>
        <v/>
      </c>
      <c r="P241" s="208">
        <f>MIN(1,MAX(0,(nr_MEndPm1-$G241+0.5)/$C$238))-MIN(1,MAX(0,(nr_MStartPm1-1-$G241+0.5)/$C$238))</f>
        <v/>
      </c>
      <c r="Q241" s="208">
        <f>MIN(1,MAX(0,(nr_MEndP-$G241+0.5)/$C$238))-MIN(1,MAX(0,(nr_MStartP-1-$G241+0.5)/$C$238))</f>
        <v/>
      </c>
      <c r="R241" s="208">
        <f>MIN(1,MAX(0,(nr_MEndP1-$G241+0.5)/$C$238))-MIN(1,MAX(0,(nr_MStartP1-1-$G241+0.5)/$C$238))</f>
        <v/>
      </c>
      <c r="S241" s="208">
        <f>IF($L$238,$N241*IF($O$238=1,$O241/$F$238,1),"")</f>
        <v/>
      </c>
      <c r="T241" s="208">
        <f>IF(NOT($L$238),"",IF($G241&lt;nr_MStartP,$S241,$T229*(1+IF($G241&lt;nr_MStartP1,$M$238,$N$238))))</f>
        <v/>
      </c>
      <c r="U241" s="208">
        <f>IF($L$238,$T241,$N241)</f>
        <v/>
      </c>
    </row>
    <row r="242">
      <c r="A242" s="145" t="n">
        <v>2</v>
      </c>
      <c r="B242" s="204">
        <f>EDATE($B241,1)</f>
        <v/>
      </c>
      <c r="C242" s="205">
        <f>EOMONTH($B242,0)</f>
        <v/>
      </c>
      <c r="D242" s="201">
        <f>$C242-$B242+1</f>
        <v/>
      </c>
      <c r="E242" s="201">
        <f>MONTH($B242)</f>
        <v/>
      </c>
      <c r="F242" s="235">
        <f>($B242+$C242+1)/2</f>
        <v/>
      </c>
      <c r="G242" s="201">
        <f>YEAR($B242)*12+MONTH($B242)-1</f>
        <v/>
      </c>
      <c r="H242" s="207">
        <f>IF(OR(nr_SeasonOn="OFF",$D$238=0,$E$238=0),1,12*INDEX(se_block,$D$238,$E242)/$E$238)</f>
        <v/>
      </c>
      <c r="I242" s="208">
        <f>EXP(SUMPRODUCT((rl_eff&lt;$B242)*(rl_key=$A$238)*rl_ln1p))</f>
        <v/>
      </c>
      <c r="J242" s="208">
        <f>EXP(SUMPRODUCT((rl_eff&lt;=$C242)*(rl_key=$A$238)*rl_ln1p))</f>
        <v/>
      </c>
      <c r="K242" s="201">
        <f>COUNTIFS(rl_key,$A$238,rl_eff,"&gt;="&amp;$B242,rl_eff,"&lt;="&amp;$C242)</f>
        <v/>
      </c>
      <c r="L242" s="201">
        <f>SUMIFS(rl_daysafter,rl_key,$A$238,rl_effmonth,$B242,rl_first,1)</f>
        <v/>
      </c>
      <c r="M242" s="209">
        <f>IF($K242=0,0,MIN(1,$L242/$D242))</f>
        <v/>
      </c>
      <c r="N242" s="208">
        <f>IF($K242=0,$J242,(1-$M242)*$I242+$M242*$J242)</f>
        <v/>
      </c>
      <c r="O242" s="209">
        <f>IF($F242&lt;$B$239,$E$239+$I$239*($F242-$A$239),IF($F242&lt;$C$239,$F$239+$J$239*($F242-$B$239),$G$239+$K$239*($F242-$C$239)))</f>
        <v/>
      </c>
      <c r="P242" s="208">
        <f>MIN(1,MAX(0,(nr_MEndPm1-$G242+0.5)/$C$238))-MIN(1,MAX(0,(nr_MStartPm1-1-$G242+0.5)/$C$238))</f>
        <v/>
      </c>
      <c r="Q242" s="208">
        <f>MIN(1,MAX(0,(nr_MEndP-$G242+0.5)/$C$238))-MIN(1,MAX(0,(nr_MStartP-1-$G242+0.5)/$C$238))</f>
        <v/>
      </c>
      <c r="R242" s="208">
        <f>MIN(1,MAX(0,(nr_MEndP1-$G242+0.5)/$C$238))-MIN(1,MAX(0,(nr_MStartP1-1-$G242+0.5)/$C$238))</f>
        <v/>
      </c>
      <c r="S242" s="208">
        <f>IF($L$238,$N242*IF($O$238=1,$O242/$F$238,1),"")</f>
        <v/>
      </c>
      <c r="T242" s="208">
        <f>IF(NOT($L$238),"",IF($G242&lt;nr_MStartP,$S242,$T230*(1+IF($G242&lt;nr_MStartP1,$M$238,$N$238))))</f>
        <v/>
      </c>
      <c r="U242" s="208">
        <f>IF($L$238,$T242,$N242)</f>
        <v/>
      </c>
    </row>
    <row r="243">
      <c r="A243" s="145" t="n">
        <v>3</v>
      </c>
      <c r="B243" s="204">
        <f>EDATE($B242,1)</f>
        <v/>
      </c>
      <c r="C243" s="205">
        <f>EOMONTH($B243,0)</f>
        <v/>
      </c>
      <c r="D243" s="201">
        <f>$C243-$B243+1</f>
        <v/>
      </c>
      <c r="E243" s="201">
        <f>MONTH($B243)</f>
        <v/>
      </c>
      <c r="F243" s="235">
        <f>($B243+$C243+1)/2</f>
        <v/>
      </c>
      <c r="G243" s="201">
        <f>YEAR($B243)*12+MONTH($B243)-1</f>
        <v/>
      </c>
      <c r="H243" s="207">
        <f>IF(OR(nr_SeasonOn="OFF",$D$238=0,$E$238=0),1,12*INDEX(se_block,$D$238,$E243)/$E$238)</f>
        <v/>
      </c>
      <c r="I243" s="208">
        <f>EXP(SUMPRODUCT((rl_eff&lt;$B243)*(rl_key=$A$238)*rl_ln1p))</f>
        <v/>
      </c>
      <c r="J243" s="208">
        <f>EXP(SUMPRODUCT((rl_eff&lt;=$C243)*(rl_key=$A$238)*rl_ln1p))</f>
        <v/>
      </c>
      <c r="K243" s="201">
        <f>COUNTIFS(rl_key,$A$238,rl_eff,"&gt;="&amp;$B243,rl_eff,"&lt;="&amp;$C243)</f>
        <v/>
      </c>
      <c r="L243" s="201">
        <f>SUMIFS(rl_daysafter,rl_key,$A$238,rl_effmonth,$B243,rl_first,1)</f>
        <v/>
      </c>
      <c r="M243" s="209">
        <f>IF($K243=0,0,MIN(1,$L243/$D243))</f>
        <v/>
      </c>
      <c r="N243" s="208">
        <f>IF($K243=0,$J243,(1-$M243)*$I243+$M243*$J243)</f>
        <v/>
      </c>
      <c r="O243" s="209">
        <f>IF($F243&lt;$B$239,$E$239+$I$239*($F243-$A$239),IF($F243&lt;$C$239,$F$239+$J$239*($F243-$B$239),$G$239+$K$239*($F243-$C$239)))</f>
        <v/>
      </c>
      <c r="P243" s="208">
        <f>MIN(1,MAX(0,(nr_MEndPm1-$G243+0.5)/$C$238))-MIN(1,MAX(0,(nr_MStartPm1-1-$G243+0.5)/$C$238))</f>
        <v/>
      </c>
      <c r="Q243" s="208">
        <f>MIN(1,MAX(0,(nr_MEndP-$G243+0.5)/$C$238))-MIN(1,MAX(0,(nr_MStartP-1-$G243+0.5)/$C$238))</f>
        <v/>
      </c>
      <c r="R243" s="208">
        <f>MIN(1,MAX(0,(nr_MEndP1-$G243+0.5)/$C$238))-MIN(1,MAX(0,(nr_MStartP1-1-$G243+0.5)/$C$238))</f>
        <v/>
      </c>
      <c r="S243" s="208">
        <f>IF($L$238,$N243*IF($O$238=1,$O243/$F$238,1),"")</f>
        <v/>
      </c>
      <c r="T243" s="208">
        <f>IF(NOT($L$238),"",IF($G243&lt;nr_MStartP,$S243,$T231*(1+IF($G243&lt;nr_MStartP1,$M$238,$N$238))))</f>
        <v/>
      </c>
      <c r="U243" s="208">
        <f>IF($L$238,$T243,$N243)</f>
        <v/>
      </c>
    </row>
    <row r="244">
      <c r="A244" s="145" t="n">
        <v>4</v>
      </c>
      <c r="B244" s="204">
        <f>EDATE($B243,1)</f>
        <v/>
      </c>
      <c r="C244" s="205">
        <f>EOMONTH($B244,0)</f>
        <v/>
      </c>
      <c r="D244" s="201">
        <f>$C244-$B244+1</f>
        <v/>
      </c>
      <c r="E244" s="201">
        <f>MONTH($B244)</f>
        <v/>
      </c>
      <c r="F244" s="235">
        <f>($B244+$C244+1)/2</f>
        <v/>
      </c>
      <c r="G244" s="201">
        <f>YEAR($B244)*12+MONTH($B244)-1</f>
        <v/>
      </c>
      <c r="H244" s="207">
        <f>IF(OR(nr_SeasonOn="OFF",$D$238=0,$E$238=0),1,12*INDEX(se_block,$D$238,$E244)/$E$238)</f>
        <v/>
      </c>
      <c r="I244" s="208">
        <f>EXP(SUMPRODUCT((rl_eff&lt;$B244)*(rl_key=$A$238)*rl_ln1p))</f>
        <v/>
      </c>
      <c r="J244" s="208">
        <f>EXP(SUMPRODUCT((rl_eff&lt;=$C244)*(rl_key=$A$238)*rl_ln1p))</f>
        <v/>
      </c>
      <c r="K244" s="201">
        <f>COUNTIFS(rl_key,$A$238,rl_eff,"&gt;="&amp;$B244,rl_eff,"&lt;="&amp;$C244)</f>
        <v/>
      </c>
      <c r="L244" s="201">
        <f>SUMIFS(rl_daysafter,rl_key,$A$238,rl_effmonth,$B244,rl_first,1)</f>
        <v/>
      </c>
      <c r="M244" s="209">
        <f>IF($K244=0,0,MIN(1,$L244/$D244))</f>
        <v/>
      </c>
      <c r="N244" s="208">
        <f>IF($K244=0,$J244,(1-$M244)*$I244+$M244*$J244)</f>
        <v/>
      </c>
      <c r="O244" s="209">
        <f>IF($F244&lt;$B$239,$E$239+$I$239*($F244-$A$239),IF($F244&lt;$C$239,$F$239+$J$239*($F244-$B$239),$G$239+$K$239*($F244-$C$239)))</f>
        <v/>
      </c>
      <c r="P244" s="208">
        <f>MIN(1,MAX(0,(nr_MEndPm1-$G244+0.5)/$C$238))-MIN(1,MAX(0,(nr_MStartPm1-1-$G244+0.5)/$C$238))</f>
        <v/>
      </c>
      <c r="Q244" s="208">
        <f>MIN(1,MAX(0,(nr_MEndP-$G244+0.5)/$C$238))-MIN(1,MAX(0,(nr_MStartP-1-$G244+0.5)/$C$238))</f>
        <v/>
      </c>
      <c r="R244" s="208">
        <f>MIN(1,MAX(0,(nr_MEndP1-$G244+0.5)/$C$238))-MIN(1,MAX(0,(nr_MStartP1-1-$G244+0.5)/$C$238))</f>
        <v/>
      </c>
      <c r="S244" s="208">
        <f>IF($L$238,$N244*IF($O$238=1,$O244/$F$238,1),"")</f>
        <v/>
      </c>
      <c r="T244" s="208">
        <f>IF(NOT($L$238),"",IF($G244&lt;nr_MStartP,$S244,$T232*(1+IF($G244&lt;nr_MStartP1,$M$238,$N$238))))</f>
        <v/>
      </c>
      <c r="U244" s="208">
        <f>IF($L$238,$T244,$N244)</f>
        <v/>
      </c>
    </row>
    <row r="245">
      <c r="A245" s="145" t="n">
        <v>5</v>
      </c>
      <c r="B245" s="204">
        <f>EDATE($B244,1)</f>
        <v/>
      </c>
      <c r="C245" s="205">
        <f>EOMONTH($B245,0)</f>
        <v/>
      </c>
      <c r="D245" s="201">
        <f>$C245-$B245+1</f>
        <v/>
      </c>
      <c r="E245" s="201">
        <f>MONTH($B245)</f>
        <v/>
      </c>
      <c r="F245" s="235">
        <f>($B245+$C245+1)/2</f>
        <v/>
      </c>
      <c r="G245" s="201">
        <f>YEAR($B245)*12+MONTH($B245)-1</f>
        <v/>
      </c>
      <c r="H245" s="207">
        <f>IF(OR(nr_SeasonOn="OFF",$D$238=0,$E$238=0),1,12*INDEX(se_block,$D$238,$E245)/$E$238)</f>
        <v/>
      </c>
      <c r="I245" s="208">
        <f>EXP(SUMPRODUCT((rl_eff&lt;$B245)*(rl_key=$A$238)*rl_ln1p))</f>
        <v/>
      </c>
      <c r="J245" s="208">
        <f>EXP(SUMPRODUCT((rl_eff&lt;=$C245)*(rl_key=$A$238)*rl_ln1p))</f>
        <v/>
      </c>
      <c r="K245" s="201">
        <f>COUNTIFS(rl_key,$A$238,rl_eff,"&gt;="&amp;$B245,rl_eff,"&lt;="&amp;$C245)</f>
        <v/>
      </c>
      <c r="L245" s="201">
        <f>SUMIFS(rl_daysafter,rl_key,$A$238,rl_effmonth,$B245,rl_first,1)</f>
        <v/>
      </c>
      <c r="M245" s="209">
        <f>IF($K245=0,0,MIN(1,$L245/$D245))</f>
        <v/>
      </c>
      <c r="N245" s="208">
        <f>IF($K245=0,$J245,(1-$M245)*$I245+$M245*$J245)</f>
        <v/>
      </c>
      <c r="O245" s="209">
        <f>IF($F245&lt;$B$239,$E$239+$I$239*($F245-$A$239),IF($F245&lt;$C$239,$F$239+$J$239*($F245-$B$239),$G$239+$K$239*($F245-$C$239)))</f>
        <v/>
      </c>
      <c r="P245" s="208">
        <f>MIN(1,MAX(0,(nr_MEndPm1-$G245+0.5)/$C$238))-MIN(1,MAX(0,(nr_MStartPm1-1-$G245+0.5)/$C$238))</f>
        <v/>
      </c>
      <c r="Q245" s="208">
        <f>MIN(1,MAX(0,(nr_MEndP-$G245+0.5)/$C$238))-MIN(1,MAX(0,(nr_MStartP-1-$G245+0.5)/$C$238))</f>
        <v/>
      </c>
      <c r="R245" s="208">
        <f>MIN(1,MAX(0,(nr_MEndP1-$G245+0.5)/$C$238))-MIN(1,MAX(0,(nr_MStartP1-1-$G245+0.5)/$C$238))</f>
        <v/>
      </c>
      <c r="S245" s="208">
        <f>IF($L$238,$N245*IF($O$238=1,$O245/$F$238,1),"")</f>
        <v/>
      </c>
      <c r="T245" s="208">
        <f>IF(NOT($L$238),"",IF($G245&lt;nr_MStartP,$S245,$T233*(1+IF($G245&lt;nr_MStartP1,$M$238,$N$238))))</f>
        <v/>
      </c>
      <c r="U245" s="208">
        <f>IF($L$238,$T245,$N245)</f>
        <v/>
      </c>
    </row>
    <row r="246">
      <c r="A246" s="145" t="n">
        <v>6</v>
      </c>
      <c r="B246" s="204">
        <f>EDATE($B245,1)</f>
        <v/>
      </c>
      <c r="C246" s="205">
        <f>EOMONTH($B246,0)</f>
        <v/>
      </c>
      <c r="D246" s="201">
        <f>$C246-$B246+1</f>
        <v/>
      </c>
      <c r="E246" s="201">
        <f>MONTH($B246)</f>
        <v/>
      </c>
      <c r="F246" s="235">
        <f>($B246+$C246+1)/2</f>
        <v/>
      </c>
      <c r="G246" s="201">
        <f>YEAR($B246)*12+MONTH($B246)-1</f>
        <v/>
      </c>
      <c r="H246" s="207">
        <f>IF(OR(nr_SeasonOn="OFF",$D$238=0,$E$238=0),1,12*INDEX(se_block,$D$238,$E246)/$E$238)</f>
        <v/>
      </c>
      <c r="I246" s="208">
        <f>EXP(SUMPRODUCT((rl_eff&lt;$B246)*(rl_key=$A$238)*rl_ln1p))</f>
        <v/>
      </c>
      <c r="J246" s="208">
        <f>EXP(SUMPRODUCT((rl_eff&lt;=$C246)*(rl_key=$A$238)*rl_ln1p))</f>
        <v/>
      </c>
      <c r="K246" s="201">
        <f>COUNTIFS(rl_key,$A$238,rl_eff,"&gt;="&amp;$B246,rl_eff,"&lt;="&amp;$C246)</f>
        <v/>
      </c>
      <c r="L246" s="201">
        <f>SUMIFS(rl_daysafter,rl_key,$A$238,rl_effmonth,$B246,rl_first,1)</f>
        <v/>
      </c>
      <c r="M246" s="209">
        <f>IF($K246=0,0,MIN(1,$L246/$D246))</f>
        <v/>
      </c>
      <c r="N246" s="208">
        <f>IF($K246=0,$J246,(1-$M246)*$I246+$M246*$J246)</f>
        <v/>
      </c>
      <c r="O246" s="209">
        <f>IF($F246&lt;$B$239,$E$239+$I$239*($F246-$A$239),IF($F246&lt;$C$239,$F$239+$J$239*($F246-$B$239),$G$239+$K$239*($F246-$C$239)))</f>
        <v/>
      </c>
      <c r="P246" s="208">
        <f>MIN(1,MAX(0,(nr_MEndPm1-$G246+0.5)/$C$238))-MIN(1,MAX(0,(nr_MStartPm1-1-$G246+0.5)/$C$238))</f>
        <v/>
      </c>
      <c r="Q246" s="208">
        <f>MIN(1,MAX(0,(nr_MEndP-$G246+0.5)/$C$238))-MIN(1,MAX(0,(nr_MStartP-1-$G246+0.5)/$C$238))</f>
        <v/>
      </c>
      <c r="R246" s="208">
        <f>MIN(1,MAX(0,(nr_MEndP1-$G246+0.5)/$C$238))-MIN(1,MAX(0,(nr_MStartP1-1-$G246+0.5)/$C$238))</f>
        <v/>
      </c>
      <c r="S246" s="208">
        <f>IF($L$238,$N246*IF($O$238=1,$O246/$F$238,1),"")</f>
        <v/>
      </c>
      <c r="T246" s="208">
        <f>IF(NOT($L$238),"",IF($G246&lt;nr_MStartP,$S246,$T234*(1+IF($G246&lt;nr_MStartP1,$M$238,$N$238))))</f>
        <v/>
      </c>
      <c r="U246" s="208">
        <f>IF($L$238,$T246,$N246)</f>
        <v/>
      </c>
    </row>
    <row r="247">
      <c r="A247" s="145" t="n">
        <v>7</v>
      </c>
      <c r="B247" s="204">
        <f>EDATE($B246,1)</f>
        <v/>
      </c>
      <c r="C247" s="205">
        <f>EOMONTH($B247,0)</f>
        <v/>
      </c>
      <c r="D247" s="201">
        <f>$C247-$B247+1</f>
        <v/>
      </c>
      <c r="E247" s="201">
        <f>MONTH($B247)</f>
        <v/>
      </c>
      <c r="F247" s="235">
        <f>($B247+$C247+1)/2</f>
        <v/>
      </c>
      <c r="G247" s="201">
        <f>YEAR($B247)*12+MONTH($B247)-1</f>
        <v/>
      </c>
      <c r="H247" s="207">
        <f>IF(OR(nr_SeasonOn="OFF",$D$238=0,$E$238=0),1,12*INDEX(se_block,$D$238,$E247)/$E$238)</f>
        <v/>
      </c>
      <c r="I247" s="208">
        <f>EXP(SUMPRODUCT((rl_eff&lt;$B247)*(rl_key=$A$238)*rl_ln1p))</f>
        <v/>
      </c>
      <c r="J247" s="208">
        <f>EXP(SUMPRODUCT((rl_eff&lt;=$C247)*(rl_key=$A$238)*rl_ln1p))</f>
        <v/>
      </c>
      <c r="K247" s="201">
        <f>COUNTIFS(rl_key,$A$238,rl_eff,"&gt;="&amp;$B247,rl_eff,"&lt;="&amp;$C247)</f>
        <v/>
      </c>
      <c r="L247" s="201">
        <f>SUMIFS(rl_daysafter,rl_key,$A$238,rl_effmonth,$B247,rl_first,1)</f>
        <v/>
      </c>
      <c r="M247" s="209">
        <f>IF($K247=0,0,MIN(1,$L247/$D247))</f>
        <v/>
      </c>
      <c r="N247" s="208">
        <f>IF($K247=0,$J247,(1-$M247)*$I247+$M247*$J247)</f>
        <v/>
      </c>
      <c r="O247" s="209">
        <f>IF($F247&lt;$B$239,$E$239+$I$239*($F247-$A$239),IF($F247&lt;$C$239,$F$239+$J$239*($F247-$B$239),$G$239+$K$239*($F247-$C$239)))</f>
        <v/>
      </c>
      <c r="P247" s="208">
        <f>MIN(1,MAX(0,(nr_MEndPm1-$G247+0.5)/$C$238))-MIN(1,MAX(0,(nr_MStartPm1-1-$G247+0.5)/$C$238))</f>
        <v/>
      </c>
      <c r="Q247" s="208">
        <f>MIN(1,MAX(0,(nr_MEndP-$G247+0.5)/$C$238))-MIN(1,MAX(0,(nr_MStartP-1-$G247+0.5)/$C$238))</f>
        <v/>
      </c>
      <c r="R247" s="208">
        <f>MIN(1,MAX(0,(nr_MEndP1-$G247+0.5)/$C$238))-MIN(1,MAX(0,(nr_MStartP1-1-$G247+0.5)/$C$238))</f>
        <v/>
      </c>
      <c r="S247" s="208">
        <f>IF($L$238,$N247*IF($O$238=1,$O247/$F$238,1),"")</f>
        <v/>
      </c>
      <c r="T247" s="208">
        <f>IF(NOT($L$238),"",IF($G247&lt;nr_MStartP,$S247,$T235*(1+IF($G247&lt;nr_MStartP1,$M$238,$N$238))))</f>
        <v/>
      </c>
      <c r="U247" s="208">
        <f>IF($L$238,$T247,$N247)</f>
        <v/>
      </c>
    </row>
    <row r="248">
      <c r="A248" s="145" t="n">
        <v>8</v>
      </c>
      <c r="B248" s="204">
        <f>EDATE($B247,1)</f>
        <v/>
      </c>
      <c r="C248" s="205">
        <f>EOMONTH($B248,0)</f>
        <v/>
      </c>
      <c r="D248" s="201">
        <f>$C248-$B248+1</f>
        <v/>
      </c>
      <c r="E248" s="201">
        <f>MONTH($B248)</f>
        <v/>
      </c>
      <c r="F248" s="235">
        <f>($B248+$C248+1)/2</f>
        <v/>
      </c>
      <c r="G248" s="201">
        <f>YEAR($B248)*12+MONTH($B248)-1</f>
        <v/>
      </c>
      <c r="H248" s="207">
        <f>IF(OR(nr_SeasonOn="OFF",$D$238=0,$E$238=0),1,12*INDEX(se_block,$D$238,$E248)/$E$238)</f>
        <v/>
      </c>
      <c r="I248" s="208">
        <f>EXP(SUMPRODUCT((rl_eff&lt;$B248)*(rl_key=$A$238)*rl_ln1p))</f>
        <v/>
      </c>
      <c r="J248" s="208">
        <f>EXP(SUMPRODUCT((rl_eff&lt;=$C248)*(rl_key=$A$238)*rl_ln1p))</f>
        <v/>
      </c>
      <c r="K248" s="201">
        <f>COUNTIFS(rl_key,$A$238,rl_eff,"&gt;="&amp;$B248,rl_eff,"&lt;="&amp;$C248)</f>
        <v/>
      </c>
      <c r="L248" s="201">
        <f>SUMIFS(rl_daysafter,rl_key,$A$238,rl_effmonth,$B248,rl_first,1)</f>
        <v/>
      </c>
      <c r="M248" s="209">
        <f>IF($K248=0,0,MIN(1,$L248/$D248))</f>
        <v/>
      </c>
      <c r="N248" s="208">
        <f>IF($K248=0,$J248,(1-$M248)*$I248+$M248*$J248)</f>
        <v/>
      </c>
      <c r="O248" s="209">
        <f>IF($F248&lt;$B$239,$E$239+$I$239*($F248-$A$239),IF($F248&lt;$C$239,$F$239+$J$239*($F248-$B$239),$G$239+$K$239*($F248-$C$239)))</f>
        <v/>
      </c>
      <c r="P248" s="208">
        <f>MIN(1,MAX(0,(nr_MEndPm1-$G248+0.5)/$C$238))-MIN(1,MAX(0,(nr_MStartPm1-1-$G248+0.5)/$C$238))</f>
        <v/>
      </c>
      <c r="Q248" s="208">
        <f>MIN(1,MAX(0,(nr_MEndP-$G248+0.5)/$C$238))-MIN(1,MAX(0,(nr_MStartP-1-$G248+0.5)/$C$238))</f>
        <v/>
      </c>
      <c r="R248" s="208">
        <f>MIN(1,MAX(0,(nr_MEndP1-$G248+0.5)/$C$238))-MIN(1,MAX(0,(nr_MStartP1-1-$G248+0.5)/$C$238))</f>
        <v/>
      </c>
      <c r="S248" s="208">
        <f>IF($L$238,$N248*IF($O$238=1,$O248/$F$238,1),"")</f>
        <v/>
      </c>
      <c r="T248" s="208">
        <f>IF(NOT($L$238),"",IF($G248&lt;nr_MStartP,$S248,$T236*(1+IF($G248&lt;nr_MStartP1,$M$238,$N$238))))</f>
        <v/>
      </c>
      <c r="U248" s="208">
        <f>IF($L$238,$T248,$N248)</f>
        <v/>
      </c>
    </row>
    <row r="249">
      <c r="A249" s="145" t="n">
        <v>9</v>
      </c>
      <c r="B249" s="204">
        <f>EDATE($B248,1)</f>
        <v/>
      </c>
      <c r="C249" s="205">
        <f>EOMONTH($B249,0)</f>
        <v/>
      </c>
      <c r="D249" s="201">
        <f>$C249-$B249+1</f>
        <v/>
      </c>
      <c r="E249" s="201">
        <f>MONTH($B249)</f>
        <v/>
      </c>
      <c r="F249" s="235">
        <f>($B249+$C249+1)/2</f>
        <v/>
      </c>
      <c r="G249" s="201">
        <f>YEAR($B249)*12+MONTH($B249)-1</f>
        <v/>
      </c>
      <c r="H249" s="207">
        <f>IF(OR(nr_SeasonOn="OFF",$D$238=0,$E$238=0),1,12*INDEX(se_block,$D$238,$E249)/$E$238)</f>
        <v/>
      </c>
      <c r="I249" s="208">
        <f>EXP(SUMPRODUCT((rl_eff&lt;$B249)*(rl_key=$A$238)*rl_ln1p))</f>
        <v/>
      </c>
      <c r="J249" s="208">
        <f>EXP(SUMPRODUCT((rl_eff&lt;=$C249)*(rl_key=$A$238)*rl_ln1p))</f>
        <v/>
      </c>
      <c r="K249" s="201">
        <f>COUNTIFS(rl_key,$A$238,rl_eff,"&gt;="&amp;$B249,rl_eff,"&lt;="&amp;$C249)</f>
        <v/>
      </c>
      <c r="L249" s="201">
        <f>SUMIFS(rl_daysafter,rl_key,$A$238,rl_effmonth,$B249,rl_first,1)</f>
        <v/>
      </c>
      <c r="M249" s="209">
        <f>IF($K249=0,0,MIN(1,$L249/$D249))</f>
        <v/>
      </c>
      <c r="N249" s="208">
        <f>IF($K249=0,$J249,(1-$M249)*$I249+$M249*$J249)</f>
        <v/>
      </c>
      <c r="O249" s="209">
        <f>IF($F249&lt;$B$239,$E$239+$I$239*($F249-$A$239),IF($F249&lt;$C$239,$F$239+$J$239*($F249-$B$239),$G$239+$K$239*($F249-$C$239)))</f>
        <v/>
      </c>
      <c r="P249" s="208">
        <f>MIN(1,MAX(0,(nr_MEndPm1-$G249+0.5)/$C$238))-MIN(1,MAX(0,(nr_MStartPm1-1-$G249+0.5)/$C$238))</f>
        <v/>
      </c>
      <c r="Q249" s="208">
        <f>MIN(1,MAX(0,(nr_MEndP-$G249+0.5)/$C$238))-MIN(1,MAX(0,(nr_MStartP-1-$G249+0.5)/$C$238))</f>
        <v/>
      </c>
      <c r="R249" s="208">
        <f>MIN(1,MAX(0,(nr_MEndP1-$G249+0.5)/$C$238))-MIN(1,MAX(0,(nr_MStartP1-1-$G249+0.5)/$C$238))</f>
        <v/>
      </c>
      <c r="S249" s="208">
        <f>IF($L$238,$N249*IF($O$238=1,$O249/$F$238,1),"")</f>
        <v/>
      </c>
      <c r="T249" s="208">
        <f>IF(NOT($L$238),"",IF($G249&lt;nr_MStartP,$S249,$T237*(1+IF($G249&lt;nr_MStartP1,$M$238,$N$238))))</f>
        <v/>
      </c>
      <c r="U249" s="208">
        <f>IF($L$238,$T249,$N249)</f>
        <v/>
      </c>
    </row>
    <row r="250">
      <c r="A250" s="145" t="n">
        <v>10</v>
      </c>
      <c r="B250" s="204">
        <f>EDATE($B249,1)</f>
        <v/>
      </c>
      <c r="C250" s="205">
        <f>EOMONTH($B250,0)</f>
        <v/>
      </c>
      <c r="D250" s="201">
        <f>$C250-$B250+1</f>
        <v/>
      </c>
      <c r="E250" s="201">
        <f>MONTH($B250)</f>
        <v/>
      </c>
      <c r="F250" s="235">
        <f>($B250+$C250+1)/2</f>
        <v/>
      </c>
      <c r="G250" s="201">
        <f>YEAR($B250)*12+MONTH($B250)-1</f>
        <v/>
      </c>
      <c r="H250" s="207">
        <f>IF(OR(nr_SeasonOn="OFF",$D$238=0,$E$238=0),1,12*INDEX(se_block,$D$238,$E250)/$E$238)</f>
        <v/>
      </c>
      <c r="I250" s="208">
        <f>EXP(SUMPRODUCT((rl_eff&lt;$B250)*(rl_key=$A$238)*rl_ln1p))</f>
        <v/>
      </c>
      <c r="J250" s="208">
        <f>EXP(SUMPRODUCT((rl_eff&lt;=$C250)*(rl_key=$A$238)*rl_ln1p))</f>
        <v/>
      </c>
      <c r="K250" s="201">
        <f>COUNTIFS(rl_key,$A$238,rl_eff,"&gt;="&amp;$B250,rl_eff,"&lt;="&amp;$C250)</f>
        <v/>
      </c>
      <c r="L250" s="201">
        <f>SUMIFS(rl_daysafter,rl_key,$A$238,rl_effmonth,$B250,rl_first,1)</f>
        <v/>
      </c>
      <c r="M250" s="209">
        <f>IF($K250=0,0,MIN(1,$L250/$D250))</f>
        <v/>
      </c>
      <c r="N250" s="208">
        <f>IF($K250=0,$J250,(1-$M250)*$I250+$M250*$J250)</f>
        <v/>
      </c>
      <c r="O250" s="209">
        <f>IF($F250&lt;$B$239,$E$239+$I$239*($F250-$A$239),IF($F250&lt;$C$239,$F$239+$J$239*($F250-$B$239),$G$239+$K$239*($F250-$C$239)))</f>
        <v/>
      </c>
      <c r="P250" s="208">
        <f>MIN(1,MAX(0,(nr_MEndPm1-$G250+0.5)/$C$238))-MIN(1,MAX(0,(nr_MStartPm1-1-$G250+0.5)/$C$238))</f>
        <v/>
      </c>
      <c r="Q250" s="208">
        <f>MIN(1,MAX(0,(nr_MEndP-$G250+0.5)/$C$238))-MIN(1,MAX(0,(nr_MStartP-1-$G250+0.5)/$C$238))</f>
        <v/>
      </c>
      <c r="R250" s="208">
        <f>MIN(1,MAX(0,(nr_MEndP1-$G250+0.5)/$C$238))-MIN(1,MAX(0,(nr_MStartP1-1-$G250+0.5)/$C$238))</f>
        <v/>
      </c>
      <c r="S250" s="208">
        <f>IF($L$238,$N250*IF($O$238=1,$O250/$F$238,1),"")</f>
        <v/>
      </c>
      <c r="T250" s="208">
        <f>IF(NOT($L$238),"",IF($G250&lt;nr_MStartP,$S250,$T238*(1+IF($G250&lt;nr_MStartP1,$M$238,$N$238))))</f>
        <v/>
      </c>
      <c r="U250" s="208">
        <f>IF($L$238,$T250,$N250)</f>
        <v/>
      </c>
    </row>
    <row r="251">
      <c r="A251" s="145" t="n">
        <v>11</v>
      </c>
      <c r="B251" s="204">
        <f>EDATE($B250,1)</f>
        <v/>
      </c>
      <c r="C251" s="205">
        <f>EOMONTH($B251,0)</f>
        <v/>
      </c>
      <c r="D251" s="201">
        <f>$C251-$B251+1</f>
        <v/>
      </c>
      <c r="E251" s="201">
        <f>MONTH($B251)</f>
        <v/>
      </c>
      <c r="F251" s="235">
        <f>($B251+$C251+1)/2</f>
        <v/>
      </c>
      <c r="G251" s="201">
        <f>YEAR($B251)*12+MONTH($B251)-1</f>
        <v/>
      </c>
      <c r="H251" s="207">
        <f>IF(OR(nr_SeasonOn="OFF",$D$238=0,$E$238=0),1,12*INDEX(se_block,$D$238,$E251)/$E$238)</f>
        <v/>
      </c>
      <c r="I251" s="208">
        <f>EXP(SUMPRODUCT((rl_eff&lt;$B251)*(rl_key=$A$238)*rl_ln1p))</f>
        <v/>
      </c>
      <c r="J251" s="208">
        <f>EXP(SUMPRODUCT((rl_eff&lt;=$C251)*(rl_key=$A$238)*rl_ln1p))</f>
        <v/>
      </c>
      <c r="K251" s="201">
        <f>COUNTIFS(rl_key,$A$238,rl_eff,"&gt;="&amp;$B251,rl_eff,"&lt;="&amp;$C251)</f>
        <v/>
      </c>
      <c r="L251" s="201">
        <f>SUMIFS(rl_daysafter,rl_key,$A$238,rl_effmonth,$B251,rl_first,1)</f>
        <v/>
      </c>
      <c r="M251" s="209">
        <f>IF($K251=0,0,MIN(1,$L251/$D251))</f>
        <v/>
      </c>
      <c r="N251" s="208">
        <f>IF($K251=0,$J251,(1-$M251)*$I251+$M251*$J251)</f>
        <v/>
      </c>
      <c r="O251" s="209">
        <f>IF($F251&lt;$B$239,$E$239+$I$239*($F251-$A$239),IF($F251&lt;$C$239,$F$239+$J$239*($F251-$B$239),$G$239+$K$239*($F251-$C$239)))</f>
        <v/>
      </c>
      <c r="P251" s="208">
        <f>MIN(1,MAX(0,(nr_MEndPm1-$G251+0.5)/$C$238))-MIN(1,MAX(0,(nr_MStartPm1-1-$G251+0.5)/$C$238))</f>
        <v/>
      </c>
      <c r="Q251" s="208">
        <f>MIN(1,MAX(0,(nr_MEndP-$G251+0.5)/$C$238))-MIN(1,MAX(0,(nr_MStartP-1-$G251+0.5)/$C$238))</f>
        <v/>
      </c>
      <c r="R251" s="208">
        <f>MIN(1,MAX(0,(nr_MEndP1-$G251+0.5)/$C$238))-MIN(1,MAX(0,(nr_MStartP1-1-$G251+0.5)/$C$238))</f>
        <v/>
      </c>
      <c r="S251" s="208">
        <f>IF($L$238,$N251*IF($O$238=1,$O251/$F$238,1),"")</f>
        <v/>
      </c>
      <c r="T251" s="208">
        <f>IF(NOT($L$238),"",IF($G251&lt;nr_MStartP,$S251,$T239*(1+IF($G251&lt;nr_MStartP1,$M$238,$N$238))))</f>
        <v/>
      </c>
      <c r="U251" s="208">
        <f>IF($L$238,$T251,$N251)</f>
        <v/>
      </c>
    </row>
    <row r="252">
      <c r="A252" s="145" t="n">
        <v>12</v>
      </c>
      <c r="B252" s="204">
        <f>EDATE($B251,1)</f>
        <v/>
      </c>
      <c r="C252" s="205">
        <f>EOMONTH($B252,0)</f>
        <v/>
      </c>
      <c r="D252" s="201">
        <f>$C252-$B252+1</f>
        <v/>
      </c>
      <c r="E252" s="201">
        <f>MONTH($B252)</f>
        <v/>
      </c>
      <c r="F252" s="235">
        <f>($B252+$C252+1)/2</f>
        <v/>
      </c>
      <c r="G252" s="201">
        <f>YEAR($B252)*12+MONTH($B252)-1</f>
        <v/>
      </c>
      <c r="H252" s="207">
        <f>IF(OR(nr_SeasonOn="OFF",$D$238=0,$E$238=0),1,12*INDEX(se_block,$D$238,$E252)/$E$238)</f>
        <v/>
      </c>
      <c r="I252" s="208">
        <f>EXP(SUMPRODUCT((rl_eff&lt;$B252)*(rl_key=$A$238)*rl_ln1p))</f>
        <v/>
      </c>
      <c r="J252" s="208">
        <f>EXP(SUMPRODUCT((rl_eff&lt;=$C252)*(rl_key=$A$238)*rl_ln1p))</f>
        <v/>
      </c>
      <c r="K252" s="201">
        <f>COUNTIFS(rl_key,$A$238,rl_eff,"&gt;="&amp;$B252,rl_eff,"&lt;="&amp;$C252)</f>
        <v/>
      </c>
      <c r="L252" s="201">
        <f>SUMIFS(rl_daysafter,rl_key,$A$238,rl_effmonth,$B252,rl_first,1)</f>
        <v/>
      </c>
      <c r="M252" s="209">
        <f>IF($K252=0,0,MIN(1,$L252/$D252))</f>
        <v/>
      </c>
      <c r="N252" s="208">
        <f>IF($K252=0,$J252,(1-$M252)*$I252+$M252*$J252)</f>
        <v/>
      </c>
      <c r="O252" s="209">
        <f>IF($F252&lt;$B$239,$E$239+$I$239*($F252-$A$239),IF($F252&lt;$C$239,$F$239+$J$239*($F252-$B$239),$G$239+$K$239*($F252-$C$239)))</f>
        <v/>
      </c>
      <c r="P252" s="208">
        <f>MIN(1,MAX(0,(nr_MEndPm1-$G252+0.5)/$C$238))-MIN(1,MAX(0,(nr_MStartPm1-1-$G252+0.5)/$C$238))</f>
        <v/>
      </c>
      <c r="Q252" s="208">
        <f>MIN(1,MAX(0,(nr_MEndP-$G252+0.5)/$C$238))-MIN(1,MAX(0,(nr_MStartP-1-$G252+0.5)/$C$238))</f>
        <v/>
      </c>
      <c r="R252" s="208">
        <f>MIN(1,MAX(0,(nr_MEndP1-$G252+0.5)/$C$238))-MIN(1,MAX(0,(nr_MStartP1-1-$G252+0.5)/$C$238))</f>
        <v/>
      </c>
      <c r="S252" s="208">
        <f>IF($L$238,$N252*IF($O$238=1,$O252/$F$238,1),"")</f>
        <v/>
      </c>
      <c r="T252" s="208">
        <f>IF(NOT($L$238),"",IF($G252&lt;nr_MStartP,$S252,$T240*(1+IF($G252&lt;nr_MStartP1,$M$238,$N$238))))</f>
        <v/>
      </c>
      <c r="U252" s="208">
        <f>IF($L$238,$T252,$N252)</f>
        <v/>
      </c>
    </row>
    <row r="253">
      <c r="A253" s="145" t="n">
        <v>13</v>
      </c>
      <c r="B253" s="204">
        <f>EDATE($B252,1)</f>
        <v/>
      </c>
      <c r="C253" s="205">
        <f>EOMONTH($B253,0)</f>
        <v/>
      </c>
      <c r="D253" s="201">
        <f>$C253-$B253+1</f>
        <v/>
      </c>
      <c r="E253" s="201">
        <f>MONTH($B253)</f>
        <v/>
      </c>
      <c r="F253" s="235">
        <f>($B253+$C253+1)/2</f>
        <v/>
      </c>
      <c r="G253" s="201">
        <f>YEAR($B253)*12+MONTH($B253)-1</f>
        <v/>
      </c>
      <c r="H253" s="207">
        <f>IF(OR(nr_SeasonOn="OFF",$D$238=0,$E$238=0),1,12*INDEX(se_block,$D$238,$E253)/$E$238)</f>
        <v/>
      </c>
      <c r="I253" s="208">
        <f>EXP(SUMPRODUCT((rl_eff&lt;$B253)*(rl_key=$A$238)*rl_ln1p))</f>
        <v/>
      </c>
      <c r="J253" s="208">
        <f>EXP(SUMPRODUCT((rl_eff&lt;=$C253)*(rl_key=$A$238)*rl_ln1p))</f>
        <v/>
      </c>
      <c r="K253" s="201">
        <f>COUNTIFS(rl_key,$A$238,rl_eff,"&gt;="&amp;$B253,rl_eff,"&lt;="&amp;$C253)</f>
        <v/>
      </c>
      <c r="L253" s="201">
        <f>SUMIFS(rl_daysafter,rl_key,$A$238,rl_effmonth,$B253,rl_first,1)</f>
        <v/>
      </c>
      <c r="M253" s="209">
        <f>IF($K253=0,0,MIN(1,$L253/$D253))</f>
        <v/>
      </c>
      <c r="N253" s="208">
        <f>IF($K253=0,$J253,(1-$M253)*$I253+$M253*$J253)</f>
        <v/>
      </c>
      <c r="O253" s="209">
        <f>IF($F253&lt;$B$239,$E$239+$I$239*($F253-$A$239),IF($F253&lt;$C$239,$F$239+$J$239*($F253-$B$239),$G$239+$K$239*($F253-$C$239)))</f>
        <v/>
      </c>
      <c r="P253" s="208">
        <f>MIN(1,MAX(0,(nr_MEndPm1-$G253+0.5)/$C$238))-MIN(1,MAX(0,(nr_MStartPm1-1-$G253+0.5)/$C$238))</f>
        <v/>
      </c>
      <c r="Q253" s="208">
        <f>MIN(1,MAX(0,(nr_MEndP-$G253+0.5)/$C$238))-MIN(1,MAX(0,(nr_MStartP-1-$G253+0.5)/$C$238))</f>
        <v/>
      </c>
      <c r="R253" s="208">
        <f>MIN(1,MAX(0,(nr_MEndP1-$G253+0.5)/$C$238))-MIN(1,MAX(0,(nr_MStartP1-1-$G253+0.5)/$C$238))</f>
        <v/>
      </c>
      <c r="S253" s="208">
        <f>IF($L$238,$N253*IF($O$238=1,$O253/$F$238,1),"")</f>
        <v/>
      </c>
      <c r="T253" s="208">
        <f>IF(NOT($L$238),"",IF($G253&lt;nr_MStartP,$S253,$T241*(1+IF($G253&lt;nr_MStartP1,$M$238,$N$238))))</f>
        <v/>
      </c>
      <c r="U253" s="208">
        <f>IF($L$238,$T253,$N253)</f>
        <v/>
      </c>
    </row>
    <row r="254">
      <c r="A254" s="145" t="n">
        <v>14</v>
      </c>
      <c r="B254" s="204">
        <f>EDATE($B253,1)</f>
        <v/>
      </c>
      <c r="C254" s="205">
        <f>EOMONTH($B254,0)</f>
        <v/>
      </c>
      <c r="D254" s="201">
        <f>$C254-$B254+1</f>
        <v/>
      </c>
      <c r="E254" s="201">
        <f>MONTH($B254)</f>
        <v/>
      </c>
      <c r="F254" s="235">
        <f>($B254+$C254+1)/2</f>
        <v/>
      </c>
      <c r="G254" s="201">
        <f>YEAR($B254)*12+MONTH($B254)-1</f>
        <v/>
      </c>
      <c r="H254" s="207">
        <f>IF(OR(nr_SeasonOn="OFF",$D$238=0,$E$238=0),1,12*INDEX(se_block,$D$238,$E254)/$E$238)</f>
        <v/>
      </c>
      <c r="I254" s="208">
        <f>EXP(SUMPRODUCT((rl_eff&lt;$B254)*(rl_key=$A$238)*rl_ln1p))</f>
        <v/>
      </c>
      <c r="J254" s="208">
        <f>EXP(SUMPRODUCT((rl_eff&lt;=$C254)*(rl_key=$A$238)*rl_ln1p))</f>
        <v/>
      </c>
      <c r="K254" s="201">
        <f>COUNTIFS(rl_key,$A$238,rl_eff,"&gt;="&amp;$B254,rl_eff,"&lt;="&amp;$C254)</f>
        <v/>
      </c>
      <c r="L254" s="201">
        <f>SUMIFS(rl_daysafter,rl_key,$A$238,rl_effmonth,$B254,rl_first,1)</f>
        <v/>
      </c>
      <c r="M254" s="209">
        <f>IF($K254=0,0,MIN(1,$L254/$D254))</f>
        <v/>
      </c>
      <c r="N254" s="208">
        <f>IF($K254=0,$J254,(1-$M254)*$I254+$M254*$J254)</f>
        <v/>
      </c>
      <c r="O254" s="209">
        <f>IF($F254&lt;$B$239,$E$239+$I$239*($F254-$A$239),IF($F254&lt;$C$239,$F$239+$J$239*($F254-$B$239),$G$239+$K$239*($F254-$C$239)))</f>
        <v/>
      </c>
      <c r="P254" s="208">
        <f>MIN(1,MAX(0,(nr_MEndPm1-$G254+0.5)/$C$238))-MIN(1,MAX(0,(nr_MStartPm1-1-$G254+0.5)/$C$238))</f>
        <v/>
      </c>
      <c r="Q254" s="208">
        <f>MIN(1,MAX(0,(nr_MEndP-$G254+0.5)/$C$238))-MIN(1,MAX(0,(nr_MStartP-1-$G254+0.5)/$C$238))</f>
        <v/>
      </c>
      <c r="R254" s="208">
        <f>MIN(1,MAX(0,(nr_MEndP1-$G254+0.5)/$C$238))-MIN(1,MAX(0,(nr_MStartP1-1-$G254+0.5)/$C$238))</f>
        <v/>
      </c>
      <c r="S254" s="208">
        <f>IF($L$238,$N254*IF($O$238=1,$O254/$F$238,1),"")</f>
        <v/>
      </c>
      <c r="T254" s="208">
        <f>IF(NOT($L$238),"",IF($G254&lt;nr_MStartP,$S254,$T242*(1+IF($G254&lt;nr_MStartP1,$M$238,$N$238))))</f>
        <v/>
      </c>
      <c r="U254" s="208">
        <f>IF($L$238,$T254,$N254)</f>
        <v/>
      </c>
    </row>
    <row r="255">
      <c r="A255" s="145" t="n">
        <v>15</v>
      </c>
      <c r="B255" s="204">
        <f>EDATE($B254,1)</f>
        <v/>
      </c>
      <c r="C255" s="205">
        <f>EOMONTH($B255,0)</f>
        <v/>
      </c>
      <c r="D255" s="201">
        <f>$C255-$B255+1</f>
        <v/>
      </c>
      <c r="E255" s="201">
        <f>MONTH($B255)</f>
        <v/>
      </c>
      <c r="F255" s="235">
        <f>($B255+$C255+1)/2</f>
        <v/>
      </c>
      <c r="G255" s="201">
        <f>YEAR($B255)*12+MONTH($B255)-1</f>
        <v/>
      </c>
      <c r="H255" s="207">
        <f>IF(OR(nr_SeasonOn="OFF",$D$238=0,$E$238=0),1,12*INDEX(se_block,$D$238,$E255)/$E$238)</f>
        <v/>
      </c>
      <c r="I255" s="208">
        <f>EXP(SUMPRODUCT((rl_eff&lt;$B255)*(rl_key=$A$238)*rl_ln1p))</f>
        <v/>
      </c>
      <c r="J255" s="208">
        <f>EXP(SUMPRODUCT((rl_eff&lt;=$C255)*(rl_key=$A$238)*rl_ln1p))</f>
        <v/>
      </c>
      <c r="K255" s="201">
        <f>COUNTIFS(rl_key,$A$238,rl_eff,"&gt;="&amp;$B255,rl_eff,"&lt;="&amp;$C255)</f>
        <v/>
      </c>
      <c r="L255" s="201">
        <f>SUMIFS(rl_daysafter,rl_key,$A$238,rl_effmonth,$B255,rl_first,1)</f>
        <v/>
      </c>
      <c r="M255" s="209">
        <f>IF($K255=0,0,MIN(1,$L255/$D255))</f>
        <v/>
      </c>
      <c r="N255" s="208">
        <f>IF($K255=0,$J255,(1-$M255)*$I255+$M255*$J255)</f>
        <v/>
      </c>
      <c r="O255" s="209">
        <f>IF($F255&lt;$B$239,$E$239+$I$239*($F255-$A$239),IF($F255&lt;$C$239,$F$239+$J$239*($F255-$B$239),$G$239+$K$239*($F255-$C$239)))</f>
        <v/>
      </c>
      <c r="P255" s="208">
        <f>MIN(1,MAX(0,(nr_MEndPm1-$G255+0.5)/$C$238))-MIN(1,MAX(0,(nr_MStartPm1-1-$G255+0.5)/$C$238))</f>
        <v/>
      </c>
      <c r="Q255" s="208">
        <f>MIN(1,MAX(0,(nr_MEndP-$G255+0.5)/$C$238))-MIN(1,MAX(0,(nr_MStartP-1-$G255+0.5)/$C$238))</f>
        <v/>
      </c>
      <c r="R255" s="208">
        <f>MIN(1,MAX(0,(nr_MEndP1-$G255+0.5)/$C$238))-MIN(1,MAX(0,(nr_MStartP1-1-$G255+0.5)/$C$238))</f>
        <v/>
      </c>
      <c r="S255" s="208">
        <f>IF($L$238,$N255*IF($O$238=1,$O255/$F$238,1),"")</f>
        <v/>
      </c>
      <c r="T255" s="208">
        <f>IF(NOT($L$238),"",IF($G255&lt;nr_MStartP,$S255,$T243*(1+IF($G255&lt;nr_MStartP1,$M$238,$N$238))))</f>
        <v/>
      </c>
      <c r="U255" s="208">
        <f>IF($L$238,$T255,$N255)</f>
        <v/>
      </c>
    </row>
    <row r="256">
      <c r="A256" s="145" t="n">
        <v>16</v>
      </c>
      <c r="B256" s="204">
        <f>EDATE($B255,1)</f>
        <v/>
      </c>
      <c r="C256" s="205">
        <f>EOMONTH($B256,0)</f>
        <v/>
      </c>
      <c r="D256" s="201">
        <f>$C256-$B256+1</f>
        <v/>
      </c>
      <c r="E256" s="201">
        <f>MONTH($B256)</f>
        <v/>
      </c>
      <c r="F256" s="235">
        <f>($B256+$C256+1)/2</f>
        <v/>
      </c>
      <c r="G256" s="201">
        <f>YEAR($B256)*12+MONTH($B256)-1</f>
        <v/>
      </c>
      <c r="H256" s="207">
        <f>IF(OR(nr_SeasonOn="OFF",$D$238=0,$E$238=0),1,12*INDEX(se_block,$D$238,$E256)/$E$238)</f>
        <v/>
      </c>
      <c r="I256" s="208">
        <f>EXP(SUMPRODUCT((rl_eff&lt;$B256)*(rl_key=$A$238)*rl_ln1p))</f>
        <v/>
      </c>
      <c r="J256" s="208">
        <f>EXP(SUMPRODUCT((rl_eff&lt;=$C256)*(rl_key=$A$238)*rl_ln1p))</f>
        <v/>
      </c>
      <c r="K256" s="201">
        <f>COUNTIFS(rl_key,$A$238,rl_eff,"&gt;="&amp;$B256,rl_eff,"&lt;="&amp;$C256)</f>
        <v/>
      </c>
      <c r="L256" s="201">
        <f>SUMIFS(rl_daysafter,rl_key,$A$238,rl_effmonth,$B256,rl_first,1)</f>
        <v/>
      </c>
      <c r="M256" s="209">
        <f>IF($K256=0,0,MIN(1,$L256/$D256))</f>
        <v/>
      </c>
      <c r="N256" s="208">
        <f>IF($K256=0,$J256,(1-$M256)*$I256+$M256*$J256)</f>
        <v/>
      </c>
      <c r="O256" s="209">
        <f>IF($F256&lt;$B$239,$E$239+$I$239*($F256-$A$239),IF($F256&lt;$C$239,$F$239+$J$239*($F256-$B$239),$G$239+$K$239*($F256-$C$239)))</f>
        <v/>
      </c>
      <c r="P256" s="208">
        <f>MIN(1,MAX(0,(nr_MEndPm1-$G256+0.5)/$C$238))-MIN(1,MAX(0,(nr_MStartPm1-1-$G256+0.5)/$C$238))</f>
        <v/>
      </c>
      <c r="Q256" s="208">
        <f>MIN(1,MAX(0,(nr_MEndP-$G256+0.5)/$C$238))-MIN(1,MAX(0,(nr_MStartP-1-$G256+0.5)/$C$238))</f>
        <v/>
      </c>
      <c r="R256" s="208">
        <f>MIN(1,MAX(0,(nr_MEndP1-$G256+0.5)/$C$238))-MIN(1,MAX(0,(nr_MStartP1-1-$G256+0.5)/$C$238))</f>
        <v/>
      </c>
      <c r="S256" s="208">
        <f>IF($L$238,$N256*IF($O$238=1,$O256/$F$238,1),"")</f>
        <v/>
      </c>
      <c r="T256" s="208">
        <f>IF(NOT($L$238),"",IF($G256&lt;nr_MStartP,$S256,$T244*(1+IF($G256&lt;nr_MStartP1,$M$238,$N$238))))</f>
        <v/>
      </c>
      <c r="U256" s="208">
        <f>IF($L$238,$T256,$N256)</f>
        <v/>
      </c>
    </row>
    <row r="257">
      <c r="A257" s="145" t="n">
        <v>17</v>
      </c>
      <c r="B257" s="204">
        <f>EDATE($B256,1)</f>
        <v/>
      </c>
      <c r="C257" s="205">
        <f>EOMONTH($B257,0)</f>
        <v/>
      </c>
      <c r="D257" s="201">
        <f>$C257-$B257+1</f>
        <v/>
      </c>
      <c r="E257" s="201">
        <f>MONTH($B257)</f>
        <v/>
      </c>
      <c r="F257" s="235">
        <f>($B257+$C257+1)/2</f>
        <v/>
      </c>
      <c r="G257" s="201">
        <f>YEAR($B257)*12+MONTH($B257)-1</f>
        <v/>
      </c>
      <c r="H257" s="207">
        <f>IF(OR(nr_SeasonOn="OFF",$D$238=0,$E$238=0),1,12*INDEX(se_block,$D$238,$E257)/$E$238)</f>
        <v/>
      </c>
      <c r="I257" s="208">
        <f>EXP(SUMPRODUCT((rl_eff&lt;$B257)*(rl_key=$A$238)*rl_ln1p))</f>
        <v/>
      </c>
      <c r="J257" s="208">
        <f>EXP(SUMPRODUCT((rl_eff&lt;=$C257)*(rl_key=$A$238)*rl_ln1p))</f>
        <v/>
      </c>
      <c r="K257" s="201">
        <f>COUNTIFS(rl_key,$A$238,rl_eff,"&gt;="&amp;$B257,rl_eff,"&lt;="&amp;$C257)</f>
        <v/>
      </c>
      <c r="L257" s="201">
        <f>SUMIFS(rl_daysafter,rl_key,$A$238,rl_effmonth,$B257,rl_first,1)</f>
        <v/>
      </c>
      <c r="M257" s="209">
        <f>IF($K257=0,0,MIN(1,$L257/$D257))</f>
        <v/>
      </c>
      <c r="N257" s="208">
        <f>IF($K257=0,$J257,(1-$M257)*$I257+$M257*$J257)</f>
        <v/>
      </c>
      <c r="O257" s="209">
        <f>IF($F257&lt;$B$239,$E$239+$I$239*($F257-$A$239),IF($F257&lt;$C$239,$F$239+$J$239*($F257-$B$239),$G$239+$K$239*($F257-$C$239)))</f>
        <v/>
      </c>
      <c r="P257" s="208">
        <f>MIN(1,MAX(0,(nr_MEndPm1-$G257+0.5)/$C$238))-MIN(1,MAX(0,(nr_MStartPm1-1-$G257+0.5)/$C$238))</f>
        <v/>
      </c>
      <c r="Q257" s="208">
        <f>MIN(1,MAX(0,(nr_MEndP-$G257+0.5)/$C$238))-MIN(1,MAX(0,(nr_MStartP-1-$G257+0.5)/$C$238))</f>
        <v/>
      </c>
      <c r="R257" s="208">
        <f>MIN(1,MAX(0,(nr_MEndP1-$G257+0.5)/$C$238))-MIN(1,MAX(0,(nr_MStartP1-1-$G257+0.5)/$C$238))</f>
        <v/>
      </c>
      <c r="S257" s="208">
        <f>IF($L$238,$N257*IF($O$238=1,$O257/$F$238,1),"")</f>
        <v/>
      </c>
      <c r="T257" s="208">
        <f>IF(NOT($L$238),"",IF($G257&lt;nr_MStartP,$S257,$T245*(1+IF($G257&lt;nr_MStartP1,$M$238,$N$238))))</f>
        <v/>
      </c>
      <c r="U257" s="208">
        <f>IF($L$238,$T257,$N257)</f>
        <v/>
      </c>
    </row>
    <row r="258">
      <c r="A258" s="145" t="n">
        <v>18</v>
      </c>
      <c r="B258" s="204">
        <f>EDATE($B257,1)</f>
        <v/>
      </c>
      <c r="C258" s="205">
        <f>EOMONTH($B258,0)</f>
        <v/>
      </c>
      <c r="D258" s="201">
        <f>$C258-$B258+1</f>
        <v/>
      </c>
      <c r="E258" s="201">
        <f>MONTH($B258)</f>
        <v/>
      </c>
      <c r="F258" s="235">
        <f>($B258+$C258+1)/2</f>
        <v/>
      </c>
      <c r="G258" s="201">
        <f>YEAR($B258)*12+MONTH($B258)-1</f>
        <v/>
      </c>
      <c r="H258" s="207">
        <f>IF(OR(nr_SeasonOn="OFF",$D$238=0,$E$238=0),1,12*INDEX(se_block,$D$238,$E258)/$E$238)</f>
        <v/>
      </c>
      <c r="I258" s="208">
        <f>EXP(SUMPRODUCT((rl_eff&lt;$B258)*(rl_key=$A$238)*rl_ln1p))</f>
        <v/>
      </c>
      <c r="J258" s="208">
        <f>EXP(SUMPRODUCT((rl_eff&lt;=$C258)*(rl_key=$A$238)*rl_ln1p))</f>
        <v/>
      </c>
      <c r="K258" s="201">
        <f>COUNTIFS(rl_key,$A$238,rl_eff,"&gt;="&amp;$B258,rl_eff,"&lt;="&amp;$C258)</f>
        <v/>
      </c>
      <c r="L258" s="201">
        <f>SUMIFS(rl_daysafter,rl_key,$A$238,rl_effmonth,$B258,rl_first,1)</f>
        <v/>
      </c>
      <c r="M258" s="209">
        <f>IF($K258=0,0,MIN(1,$L258/$D258))</f>
        <v/>
      </c>
      <c r="N258" s="208">
        <f>IF($K258=0,$J258,(1-$M258)*$I258+$M258*$J258)</f>
        <v/>
      </c>
      <c r="O258" s="209">
        <f>IF($F258&lt;$B$239,$E$239+$I$239*($F258-$A$239),IF($F258&lt;$C$239,$F$239+$J$239*($F258-$B$239),$G$239+$K$239*($F258-$C$239)))</f>
        <v/>
      </c>
      <c r="P258" s="208">
        <f>MIN(1,MAX(0,(nr_MEndPm1-$G258+0.5)/$C$238))-MIN(1,MAX(0,(nr_MStartPm1-1-$G258+0.5)/$C$238))</f>
        <v/>
      </c>
      <c r="Q258" s="208">
        <f>MIN(1,MAX(0,(nr_MEndP-$G258+0.5)/$C$238))-MIN(1,MAX(0,(nr_MStartP-1-$G258+0.5)/$C$238))</f>
        <v/>
      </c>
      <c r="R258" s="208">
        <f>MIN(1,MAX(0,(nr_MEndP1-$G258+0.5)/$C$238))-MIN(1,MAX(0,(nr_MStartP1-1-$G258+0.5)/$C$238))</f>
        <v/>
      </c>
      <c r="S258" s="208">
        <f>IF($L$238,$N258*IF($O$238=1,$O258/$F$238,1),"")</f>
        <v/>
      </c>
      <c r="T258" s="208">
        <f>IF(NOT($L$238),"",IF($G258&lt;nr_MStartP,$S258,$T246*(1+IF($G258&lt;nr_MStartP1,$M$238,$N$238))))</f>
        <v/>
      </c>
      <c r="U258" s="208">
        <f>IF($L$238,$T258,$N258)</f>
        <v/>
      </c>
    </row>
    <row r="259">
      <c r="A259" s="145" t="n">
        <v>19</v>
      </c>
      <c r="B259" s="204">
        <f>EDATE($B258,1)</f>
        <v/>
      </c>
      <c r="C259" s="205">
        <f>EOMONTH($B259,0)</f>
        <v/>
      </c>
      <c r="D259" s="201">
        <f>$C259-$B259+1</f>
        <v/>
      </c>
      <c r="E259" s="201">
        <f>MONTH($B259)</f>
        <v/>
      </c>
      <c r="F259" s="235">
        <f>($B259+$C259+1)/2</f>
        <v/>
      </c>
      <c r="G259" s="201">
        <f>YEAR($B259)*12+MONTH($B259)-1</f>
        <v/>
      </c>
      <c r="H259" s="207">
        <f>IF(OR(nr_SeasonOn="OFF",$D$238=0,$E$238=0),1,12*INDEX(se_block,$D$238,$E259)/$E$238)</f>
        <v/>
      </c>
      <c r="I259" s="208">
        <f>EXP(SUMPRODUCT((rl_eff&lt;$B259)*(rl_key=$A$238)*rl_ln1p))</f>
        <v/>
      </c>
      <c r="J259" s="208">
        <f>EXP(SUMPRODUCT((rl_eff&lt;=$C259)*(rl_key=$A$238)*rl_ln1p))</f>
        <v/>
      </c>
      <c r="K259" s="201">
        <f>COUNTIFS(rl_key,$A$238,rl_eff,"&gt;="&amp;$B259,rl_eff,"&lt;="&amp;$C259)</f>
        <v/>
      </c>
      <c r="L259" s="201">
        <f>SUMIFS(rl_daysafter,rl_key,$A$238,rl_effmonth,$B259,rl_first,1)</f>
        <v/>
      </c>
      <c r="M259" s="209">
        <f>IF($K259=0,0,MIN(1,$L259/$D259))</f>
        <v/>
      </c>
      <c r="N259" s="208">
        <f>IF($K259=0,$J259,(1-$M259)*$I259+$M259*$J259)</f>
        <v/>
      </c>
      <c r="O259" s="209">
        <f>IF($F259&lt;$B$239,$E$239+$I$239*($F259-$A$239),IF($F259&lt;$C$239,$F$239+$J$239*($F259-$B$239),$G$239+$K$239*($F259-$C$239)))</f>
        <v/>
      </c>
      <c r="P259" s="208">
        <f>MIN(1,MAX(0,(nr_MEndPm1-$G259+0.5)/$C$238))-MIN(1,MAX(0,(nr_MStartPm1-1-$G259+0.5)/$C$238))</f>
        <v/>
      </c>
      <c r="Q259" s="208">
        <f>MIN(1,MAX(0,(nr_MEndP-$G259+0.5)/$C$238))-MIN(1,MAX(0,(nr_MStartP-1-$G259+0.5)/$C$238))</f>
        <v/>
      </c>
      <c r="R259" s="208">
        <f>MIN(1,MAX(0,(nr_MEndP1-$G259+0.5)/$C$238))-MIN(1,MAX(0,(nr_MStartP1-1-$G259+0.5)/$C$238))</f>
        <v/>
      </c>
      <c r="S259" s="208">
        <f>IF($L$238,$N259*IF($O$238=1,$O259/$F$238,1),"")</f>
        <v/>
      </c>
      <c r="T259" s="208">
        <f>IF(NOT($L$238),"",IF($G259&lt;nr_MStartP,$S259,$T247*(1+IF($G259&lt;nr_MStartP1,$M$238,$N$238))))</f>
        <v/>
      </c>
      <c r="U259" s="208">
        <f>IF($L$238,$T259,$N259)</f>
        <v/>
      </c>
    </row>
    <row r="260">
      <c r="A260" s="145" t="n">
        <v>20</v>
      </c>
      <c r="B260" s="204">
        <f>EDATE($B259,1)</f>
        <v/>
      </c>
      <c r="C260" s="205">
        <f>EOMONTH($B260,0)</f>
        <v/>
      </c>
      <c r="D260" s="201">
        <f>$C260-$B260+1</f>
        <v/>
      </c>
      <c r="E260" s="201">
        <f>MONTH($B260)</f>
        <v/>
      </c>
      <c r="F260" s="235">
        <f>($B260+$C260+1)/2</f>
        <v/>
      </c>
      <c r="G260" s="201">
        <f>YEAR($B260)*12+MONTH($B260)-1</f>
        <v/>
      </c>
      <c r="H260" s="207">
        <f>IF(OR(nr_SeasonOn="OFF",$D$238=0,$E$238=0),1,12*INDEX(se_block,$D$238,$E260)/$E$238)</f>
        <v/>
      </c>
      <c r="I260" s="208">
        <f>EXP(SUMPRODUCT((rl_eff&lt;$B260)*(rl_key=$A$238)*rl_ln1p))</f>
        <v/>
      </c>
      <c r="J260" s="208">
        <f>EXP(SUMPRODUCT((rl_eff&lt;=$C260)*(rl_key=$A$238)*rl_ln1p))</f>
        <v/>
      </c>
      <c r="K260" s="201">
        <f>COUNTIFS(rl_key,$A$238,rl_eff,"&gt;="&amp;$B260,rl_eff,"&lt;="&amp;$C260)</f>
        <v/>
      </c>
      <c r="L260" s="201">
        <f>SUMIFS(rl_daysafter,rl_key,$A$238,rl_effmonth,$B260,rl_first,1)</f>
        <v/>
      </c>
      <c r="M260" s="209">
        <f>IF($K260=0,0,MIN(1,$L260/$D260))</f>
        <v/>
      </c>
      <c r="N260" s="208">
        <f>IF($K260=0,$J260,(1-$M260)*$I260+$M260*$J260)</f>
        <v/>
      </c>
      <c r="O260" s="209">
        <f>IF($F260&lt;$B$239,$E$239+$I$239*($F260-$A$239),IF($F260&lt;$C$239,$F$239+$J$239*($F260-$B$239),$G$239+$K$239*($F260-$C$239)))</f>
        <v/>
      </c>
      <c r="P260" s="208">
        <f>MIN(1,MAX(0,(nr_MEndPm1-$G260+0.5)/$C$238))-MIN(1,MAX(0,(nr_MStartPm1-1-$G260+0.5)/$C$238))</f>
        <v/>
      </c>
      <c r="Q260" s="208">
        <f>MIN(1,MAX(0,(nr_MEndP-$G260+0.5)/$C$238))-MIN(1,MAX(0,(nr_MStartP-1-$G260+0.5)/$C$238))</f>
        <v/>
      </c>
      <c r="R260" s="208">
        <f>MIN(1,MAX(0,(nr_MEndP1-$G260+0.5)/$C$238))-MIN(1,MAX(0,(nr_MStartP1-1-$G260+0.5)/$C$238))</f>
        <v/>
      </c>
      <c r="S260" s="208">
        <f>IF($L$238,$N260*IF($O$238=1,$O260/$F$238,1),"")</f>
        <v/>
      </c>
      <c r="T260" s="208">
        <f>IF(NOT($L$238),"",IF($G260&lt;nr_MStartP,$S260,$T248*(1+IF($G260&lt;nr_MStartP1,$M$238,$N$238))))</f>
        <v/>
      </c>
      <c r="U260" s="208">
        <f>IF($L$238,$T260,$N260)</f>
        <v/>
      </c>
    </row>
    <row r="261">
      <c r="A261" s="145" t="n">
        <v>21</v>
      </c>
      <c r="B261" s="204">
        <f>EDATE($B260,1)</f>
        <v/>
      </c>
      <c r="C261" s="205">
        <f>EOMONTH($B261,0)</f>
        <v/>
      </c>
      <c r="D261" s="201">
        <f>$C261-$B261+1</f>
        <v/>
      </c>
      <c r="E261" s="201">
        <f>MONTH($B261)</f>
        <v/>
      </c>
      <c r="F261" s="235">
        <f>($B261+$C261+1)/2</f>
        <v/>
      </c>
      <c r="G261" s="201">
        <f>YEAR($B261)*12+MONTH($B261)-1</f>
        <v/>
      </c>
      <c r="H261" s="207">
        <f>IF(OR(nr_SeasonOn="OFF",$D$238=0,$E$238=0),1,12*INDEX(se_block,$D$238,$E261)/$E$238)</f>
        <v/>
      </c>
      <c r="I261" s="208">
        <f>EXP(SUMPRODUCT((rl_eff&lt;$B261)*(rl_key=$A$238)*rl_ln1p))</f>
        <v/>
      </c>
      <c r="J261" s="208">
        <f>EXP(SUMPRODUCT((rl_eff&lt;=$C261)*(rl_key=$A$238)*rl_ln1p))</f>
        <v/>
      </c>
      <c r="K261" s="201">
        <f>COUNTIFS(rl_key,$A$238,rl_eff,"&gt;="&amp;$B261,rl_eff,"&lt;="&amp;$C261)</f>
        <v/>
      </c>
      <c r="L261" s="201">
        <f>SUMIFS(rl_daysafter,rl_key,$A$238,rl_effmonth,$B261,rl_first,1)</f>
        <v/>
      </c>
      <c r="M261" s="209">
        <f>IF($K261=0,0,MIN(1,$L261/$D261))</f>
        <v/>
      </c>
      <c r="N261" s="208">
        <f>IF($K261=0,$J261,(1-$M261)*$I261+$M261*$J261)</f>
        <v/>
      </c>
      <c r="O261" s="209">
        <f>IF($F261&lt;$B$239,$E$239+$I$239*($F261-$A$239),IF($F261&lt;$C$239,$F$239+$J$239*($F261-$B$239),$G$239+$K$239*($F261-$C$239)))</f>
        <v/>
      </c>
      <c r="P261" s="208">
        <f>MIN(1,MAX(0,(nr_MEndPm1-$G261+0.5)/$C$238))-MIN(1,MAX(0,(nr_MStartPm1-1-$G261+0.5)/$C$238))</f>
        <v/>
      </c>
      <c r="Q261" s="208">
        <f>MIN(1,MAX(0,(nr_MEndP-$G261+0.5)/$C$238))-MIN(1,MAX(0,(nr_MStartP-1-$G261+0.5)/$C$238))</f>
        <v/>
      </c>
      <c r="R261" s="208">
        <f>MIN(1,MAX(0,(nr_MEndP1-$G261+0.5)/$C$238))-MIN(1,MAX(0,(nr_MStartP1-1-$G261+0.5)/$C$238))</f>
        <v/>
      </c>
      <c r="S261" s="208">
        <f>IF($L$238,$N261*IF($O$238=1,$O261/$F$238,1),"")</f>
        <v/>
      </c>
      <c r="T261" s="208">
        <f>IF(NOT($L$238),"",IF($G261&lt;nr_MStartP,$S261,$T249*(1+IF($G261&lt;nr_MStartP1,$M$238,$N$238))))</f>
        <v/>
      </c>
      <c r="U261" s="208">
        <f>IF($L$238,$T261,$N261)</f>
        <v/>
      </c>
    </row>
    <row r="262">
      <c r="A262" s="145" t="n">
        <v>22</v>
      </c>
      <c r="B262" s="204">
        <f>EDATE($B261,1)</f>
        <v/>
      </c>
      <c r="C262" s="205">
        <f>EOMONTH($B262,0)</f>
        <v/>
      </c>
      <c r="D262" s="201">
        <f>$C262-$B262+1</f>
        <v/>
      </c>
      <c r="E262" s="201">
        <f>MONTH($B262)</f>
        <v/>
      </c>
      <c r="F262" s="235">
        <f>($B262+$C262+1)/2</f>
        <v/>
      </c>
      <c r="G262" s="201">
        <f>YEAR($B262)*12+MONTH($B262)-1</f>
        <v/>
      </c>
      <c r="H262" s="207">
        <f>IF(OR(nr_SeasonOn="OFF",$D$238=0,$E$238=0),1,12*INDEX(se_block,$D$238,$E262)/$E$238)</f>
        <v/>
      </c>
      <c r="I262" s="208">
        <f>EXP(SUMPRODUCT((rl_eff&lt;$B262)*(rl_key=$A$238)*rl_ln1p))</f>
        <v/>
      </c>
      <c r="J262" s="208">
        <f>EXP(SUMPRODUCT((rl_eff&lt;=$C262)*(rl_key=$A$238)*rl_ln1p))</f>
        <v/>
      </c>
      <c r="K262" s="201">
        <f>COUNTIFS(rl_key,$A$238,rl_eff,"&gt;="&amp;$B262,rl_eff,"&lt;="&amp;$C262)</f>
        <v/>
      </c>
      <c r="L262" s="201">
        <f>SUMIFS(rl_daysafter,rl_key,$A$238,rl_effmonth,$B262,rl_first,1)</f>
        <v/>
      </c>
      <c r="M262" s="209">
        <f>IF($K262=0,0,MIN(1,$L262/$D262))</f>
        <v/>
      </c>
      <c r="N262" s="208">
        <f>IF($K262=0,$J262,(1-$M262)*$I262+$M262*$J262)</f>
        <v/>
      </c>
      <c r="O262" s="209">
        <f>IF($F262&lt;$B$239,$E$239+$I$239*($F262-$A$239),IF($F262&lt;$C$239,$F$239+$J$239*($F262-$B$239),$G$239+$K$239*($F262-$C$239)))</f>
        <v/>
      </c>
      <c r="P262" s="208">
        <f>MIN(1,MAX(0,(nr_MEndPm1-$G262+0.5)/$C$238))-MIN(1,MAX(0,(nr_MStartPm1-1-$G262+0.5)/$C$238))</f>
        <v/>
      </c>
      <c r="Q262" s="208">
        <f>MIN(1,MAX(0,(nr_MEndP-$G262+0.5)/$C$238))-MIN(1,MAX(0,(nr_MStartP-1-$G262+0.5)/$C$238))</f>
        <v/>
      </c>
      <c r="R262" s="208">
        <f>MIN(1,MAX(0,(nr_MEndP1-$G262+0.5)/$C$238))-MIN(1,MAX(0,(nr_MStartP1-1-$G262+0.5)/$C$238))</f>
        <v/>
      </c>
      <c r="S262" s="208">
        <f>IF($L$238,$N262*IF($O$238=1,$O262/$F$238,1),"")</f>
        <v/>
      </c>
      <c r="T262" s="208">
        <f>IF(NOT($L$238),"",IF($G262&lt;nr_MStartP,$S262,$T250*(1+IF($G262&lt;nr_MStartP1,$M$238,$N$238))))</f>
        <v/>
      </c>
      <c r="U262" s="208">
        <f>IF($L$238,$T262,$N262)</f>
        <v/>
      </c>
    </row>
    <row r="263">
      <c r="A263" s="145" t="n">
        <v>23</v>
      </c>
      <c r="B263" s="204">
        <f>EDATE($B262,1)</f>
        <v/>
      </c>
      <c r="C263" s="205">
        <f>EOMONTH($B263,0)</f>
        <v/>
      </c>
      <c r="D263" s="201">
        <f>$C263-$B263+1</f>
        <v/>
      </c>
      <c r="E263" s="201">
        <f>MONTH($B263)</f>
        <v/>
      </c>
      <c r="F263" s="235">
        <f>($B263+$C263+1)/2</f>
        <v/>
      </c>
      <c r="G263" s="201">
        <f>YEAR($B263)*12+MONTH($B263)-1</f>
        <v/>
      </c>
      <c r="H263" s="207">
        <f>IF(OR(nr_SeasonOn="OFF",$D$238=0,$E$238=0),1,12*INDEX(se_block,$D$238,$E263)/$E$238)</f>
        <v/>
      </c>
      <c r="I263" s="208">
        <f>EXP(SUMPRODUCT((rl_eff&lt;$B263)*(rl_key=$A$238)*rl_ln1p))</f>
        <v/>
      </c>
      <c r="J263" s="208">
        <f>EXP(SUMPRODUCT((rl_eff&lt;=$C263)*(rl_key=$A$238)*rl_ln1p))</f>
        <v/>
      </c>
      <c r="K263" s="201">
        <f>COUNTIFS(rl_key,$A$238,rl_eff,"&gt;="&amp;$B263,rl_eff,"&lt;="&amp;$C263)</f>
        <v/>
      </c>
      <c r="L263" s="201">
        <f>SUMIFS(rl_daysafter,rl_key,$A$238,rl_effmonth,$B263,rl_first,1)</f>
        <v/>
      </c>
      <c r="M263" s="209">
        <f>IF($K263=0,0,MIN(1,$L263/$D263))</f>
        <v/>
      </c>
      <c r="N263" s="208">
        <f>IF($K263=0,$J263,(1-$M263)*$I263+$M263*$J263)</f>
        <v/>
      </c>
      <c r="O263" s="209">
        <f>IF($F263&lt;$B$239,$E$239+$I$239*($F263-$A$239),IF($F263&lt;$C$239,$F$239+$J$239*($F263-$B$239),$G$239+$K$239*($F263-$C$239)))</f>
        <v/>
      </c>
      <c r="P263" s="208">
        <f>MIN(1,MAX(0,(nr_MEndPm1-$G263+0.5)/$C$238))-MIN(1,MAX(0,(nr_MStartPm1-1-$G263+0.5)/$C$238))</f>
        <v/>
      </c>
      <c r="Q263" s="208">
        <f>MIN(1,MAX(0,(nr_MEndP-$G263+0.5)/$C$238))-MIN(1,MAX(0,(nr_MStartP-1-$G263+0.5)/$C$238))</f>
        <v/>
      </c>
      <c r="R263" s="208">
        <f>MIN(1,MAX(0,(nr_MEndP1-$G263+0.5)/$C$238))-MIN(1,MAX(0,(nr_MStartP1-1-$G263+0.5)/$C$238))</f>
        <v/>
      </c>
      <c r="S263" s="208">
        <f>IF($L$238,$N263*IF($O$238=1,$O263/$F$238,1),"")</f>
        <v/>
      </c>
      <c r="T263" s="208">
        <f>IF(NOT($L$238),"",IF($G263&lt;nr_MStartP,$S263,$T251*(1+IF($G263&lt;nr_MStartP1,$M$238,$N$238))))</f>
        <v/>
      </c>
      <c r="U263" s="208">
        <f>IF($L$238,$T263,$N263)</f>
        <v/>
      </c>
    </row>
    <row r="264">
      <c r="A264" s="145" t="n">
        <v>24</v>
      </c>
      <c r="B264" s="204">
        <f>EDATE($B263,1)</f>
        <v/>
      </c>
      <c r="C264" s="205">
        <f>EOMONTH($B264,0)</f>
        <v/>
      </c>
      <c r="D264" s="201">
        <f>$C264-$B264+1</f>
        <v/>
      </c>
      <c r="E264" s="201">
        <f>MONTH($B264)</f>
        <v/>
      </c>
      <c r="F264" s="235">
        <f>($B264+$C264+1)/2</f>
        <v/>
      </c>
      <c r="G264" s="201">
        <f>YEAR($B264)*12+MONTH($B264)-1</f>
        <v/>
      </c>
      <c r="H264" s="207">
        <f>IF(OR(nr_SeasonOn="OFF",$D$238=0,$E$238=0),1,12*INDEX(se_block,$D$238,$E264)/$E$238)</f>
        <v/>
      </c>
      <c r="I264" s="208">
        <f>EXP(SUMPRODUCT((rl_eff&lt;$B264)*(rl_key=$A$238)*rl_ln1p))</f>
        <v/>
      </c>
      <c r="J264" s="208">
        <f>EXP(SUMPRODUCT((rl_eff&lt;=$C264)*(rl_key=$A$238)*rl_ln1p))</f>
        <v/>
      </c>
      <c r="K264" s="201">
        <f>COUNTIFS(rl_key,$A$238,rl_eff,"&gt;="&amp;$B264,rl_eff,"&lt;="&amp;$C264)</f>
        <v/>
      </c>
      <c r="L264" s="201">
        <f>SUMIFS(rl_daysafter,rl_key,$A$238,rl_effmonth,$B264,rl_first,1)</f>
        <v/>
      </c>
      <c r="M264" s="209">
        <f>IF($K264=0,0,MIN(1,$L264/$D264))</f>
        <v/>
      </c>
      <c r="N264" s="208">
        <f>IF($K264=0,$J264,(1-$M264)*$I264+$M264*$J264)</f>
        <v/>
      </c>
      <c r="O264" s="209">
        <f>IF($F264&lt;$B$239,$E$239+$I$239*($F264-$A$239),IF($F264&lt;$C$239,$F$239+$J$239*($F264-$B$239),$G$239+$K$239*($F264-$C$239)))</f>
        <v/>
      </c>
      <c r="P264" s="208">
        <f>MIN(1,MAX(0,(nr_MEndPm1-$G264+0.5)/$C$238))-MIN(1,MAX(0,(nr_MStartPm1-1-$G264+0.5)/$C$238))</f>
        <v/>
      </c>
      <c r="Q264" s="208">
        <f>MIN(1,MAX(0,(nr_MEndP-$G264+0.5)/$C$238))-MIN(1,MAX(0,(nr_MStartP-1-$G264+0.5)/$C$238))</f>
        <v/>
      </c>
      <c r="R264" s="208">
        <f>MIN(1,MAX(0,(nr_MEndP1-$G264+0.5)/$C$238))-MIN(1,MAX(0,(nr_MStartP1-1-$G264+0.5)/$C$238))</f>
        <v/>
      </c>
      <c r="S264" s="208">
        <f>IF($L$238,$N264*IF($O$238=1,$O264/$F$238,1),"")</f>
        <v/>
      </c>
      <c r="T264" s="208">
        <f>IF(NOT($L$238),"",IF($G264&lt;nr_MStartP,$S264,$T252*(1+IF($G264&lt;nr_MStartP1,$M$238,$N$238))))</f>
        <v/>
      </c>
      <c r="U264" s="208">
        <f>IF($L$238,$T264,$N264)</f>
        <v/>
      </c>
    </row>
    <row r="265">
      <c r="A265" s="145" t="n">
        <v>25</v>
      </c>
      <c r="B265" s="204">
        <f>EDATE($B264,1)</f>
        <v/>
      </c>
      <c r="C265" s="205">
        <f>EOMONTH($B265,0)</f>
        <v/>
      </c>
      <c r="D265" s="201">
        <f>$C265-$B265+1</f>
        <v/>
      </c>
      <c r="E265" s="201">
        <f>MONTH($B265)</f>
        <v/>
      </c>
      <c r="F265" s="235">
        <f>($B265+$C265+1)/2</f>
        <v/>
      </c>
      <c r="G265" s="201">
        <f>YEAR($B265)*12+MONTH($B265)-1</f>
        <v/>
      </c>
      <c r="H265" s="207">
        <f>IF(OR(nr_SeasonOn="OFF",$D$238=0,$E$238=0),1,12*INDEX(se_block,$D$238,$E265)/$E$238)</f>
        <v/>
      </c>
      <c r="I265" s="208">
        <f>EXP(SUMPRODUCT((rl_eff&lt;$B265)*(rl_key=$A$238)*rl_ln1p))</f>
        <v/>
      </c>
      <c r="J265" s="208">
        <f>EXP(SUMPRODUCT((rl_eff&lt;=$C265)*(rl_key=$A$238)*rl_ln1p))</f>
        <v/>
      </c>
      <c r="K265" s="201">
        <f>COUNTIFS(rl_key,$A$238,rl_eff,"&gt;="&amp;$B265,rl_eff,"&lt;="&amp;$C265)</f>
        <v/>
      </c>
      <c r="L265" s="201">
        <f>SUMIFS(rl_daysafter,rl_key,$A$238,rl_effmonth,$B265,rl_first,1)</f>
        <v/>
      </c>
      <c r="M265" s="209">
        <f>IF($K265=0,0,MIN(1,$L265/$D265))</f>
        <v/>
      </c>
      <c r="N265" s="208">
        <f>IF($K265=0,$J265,(1-$M265)*$I265+$M265*$J265)</f>
        <v/>
      </c>
      <c r="O265" s="209">
        <f>IF($F265&lt;$B$239,$E$239+$I$239*($F265-$A$239),IF($F265&lt;$C$239,$F$239+$J$239*($F265-$B$239),$G$239+$K$239*($F265-$C$239)))</f>
        <v/>
      </c>
      <c r="P265" s="208">
        <f>MIN(1,MAX(0,(nr_MEndPm1-$G265+0.5)/$C$238))-MIN(1,MAX(0,(nr_MStartPm1-1-$G265+0.5)/$C$238))</f>
        <v/>
      </c>
      <c r="Q265" s="208">
        <f>MIN(1,MAX(0,(nr_MEndP-$G265+0.5)/$C$238))-MIN(1,MAX(0,(nr_MStartP-1-$G265+0.5)/$C$238))</f>
        <v/>
      </c>
      <c r="R265" s="208">
        <f>MIN(1,MAX(0,(nr_MEndP1-$G265+0.5)/$C$238))-MIN(1,MAX(0,(nr_MStartP1-1-$G265+0.5)/$C$238))</f>
        <v/>
      </c>
      <c r="S265" s="208">
        <f>IF($L$238,$N265*IF($O$238=1,$O265/$F$238,1),"")</f>
        <v/>
      </c>
      <c r="T265" s="208">
        <f>IF(NOT($L$238),"",IF($G265&lt;nr_MStartP,$S265,$T253*(1+IF($G265&lt;nr_MStartP1,$M$238,$N$238))))</f>
        <v/>
      </c>
      <c r="U265" s="208">
        <f>IF($L$238,$T265,$N265)</f>
        <v/>
      </c>
    </row>
    <row r="266">
      <c r="A266" s="145" t="n">
        <v>26</v>
      </c>
      <c r="B266" s="204">
        <f>EDATE($B265,1)</f>
        <v/>
      </c>
      <c r="C266" s="205">
        <f>EOMONTH($B266,0)</f>
        <v/>
      </c>
      <c r="D266" s="201">
        <f>$C266-$B266+1</f>
        <v/>
      </c>
      <c r="E266" s="201">
        <f>MONTH($B266)</f>
        <v/>
      </c>
      <c r="F266" s="235">
        <f>($B266+$C266+1)/2</f>
        <v/>
      </c>
      <c r="G266" s="201">
        <f>YEAR($B266)*12+MONTH($B266)-1</f>
        <v/>
      </c>
      <c r="H266" s="207">
        <f>IF(OR(nr_SeasonOn="OFF",$D$238=0,$E$238=0),1,12*INDEX(se_block,$D$238,$E266)/$E$238)</f>
        <v/>
      </c>
      <c r="I266" s="208">
        <f>EXP(SUMPRODUCT((rl_eff&lt;$B266)*(rl_key=$A$238)*rl_ln1p))</f>
        <v/>
      </c>
      <c r="J266" s="208">
        <f>EXP(SUMPRODUCT((rl_eff&lt;=$C266)*(rl_key=$A$238)*rl_ln1p))</f>
        <v/>
      </c>
      <c r="K266" s="201">
        <f>COUNTIFS(rl_key,$A$238,rl_eff,"&gt;="&amp;$B266,rl_eff,"&lt;="&amp;$C266)</f>
        <v/>
      </c>
      <c r="L266" s="201">
        <f>SUMIFS(rl_daysafter,rl_key,$A$238,rl_effmonth,$B266,rl_first,1)</f>
        <v/>
      </c>
      <c r="M266" s="209">
        <f>IF($K266=0,0,MIN(1,$L266/$D266))</f>
        <v/>
      </c>
      <c r="N266" s="208">
        <f>IF($K266=0,$J266,(1-$M266)*$I266+$M266*$J266)</f>
        <v/>
      </c>
      <c r="O266" s="209">
        <f>IF($F266&lt;$B$239,$E$239+$I$239*($F266-$A$239),IF($F266&lt;$C$239,$F$239+$J$239*($F266-$B$239),$G$239+$K$239*($F266-$C$239)))</f>
        <v/>
      </c>
      <c r="P266" s="208">
        <f>MIN(1,MAX(0,(nr_MEndPm1-$G266+0.5)/$C$238))-MIN(1,MAX(0,(nr_MStartPm1-1-$G266+0.5)/$C$238))</f>
        <v/>
      </c>
      <c r="Q266" s="208">
        <f>MIN(1,MAX(0,(nr_MEndP-$G266+0.5)/$C$238))-MIN(1,MAX(0,(nr_MStartP-1-$G266+0.5)/$C$238))</f>
        <v/>
      </c>
      <c r="R266" s="208">
        <f>MIN(1,MAX(0,(nr_MEndP1-$G266+0.5)/$C$238))-MIN(1,MAX(0,(nr_MStartP1-1-$G266+0.5)/$C$238))</f>
        <v/>
      </c>
      <c r="S266" s="208">
        <f>IF($L$238,$N266*IF($O$238=1,$O266/$F$238,1),"")</f>
        <v/>
      </c>
      <c r="T266" s="208">
        <f>IF(NOT($L$238),"",IF($G266&lt;nr_MStartP,$S266,$T254*(1+IF($G266&lt;nr_MStartP1,$M$238,$N$238))))</f>
        <v/>
      </c>
      <c r="U266" s="208">
        <f>IF($L$238,$T266,$N266)</f>
        <v/>
      </c>
    </row>
    <row r="267">
      <c r="A267" s="145" t="n">
        <v>27</v>
      </c>
      <c r="B267" s="204">
        <f>EDATE($B266,1)</f>
        <v/>
      </c>
      <c r="C267" s="205">
        <f>EOMONTH($B267,0)</f>
        <v/>
      </c>
      <c r="D267" s="201">
        <f>$C267-$B267+1</f>
        <v/>
      </c>
      <c r="E267" s="201">
        <f>MONTH($B267)</f>
        <v/>
      </c>
      <c r="F267" s="235">
        <f>($B267+$C267+1)/2</f>
        <v/>
      </c>
      <c r="G267" s="201">
        <f>YEAR($B267)*12+MONTH($B267)-1</f>
        <v/>
      </c>
      <c r="H267" s="207">
        <f>IF(OR(nr_SeasonOn="OFF",$D$238=0,$E$238=0),1,12*INDEX(se_block,$D$238,$E267)/$E$238)</f>
        <v/>
      </c>
      <c r="I267" s="208">
        <f>EXP(SUMPRODUCT((rl_eff&lt;$B267)*(rl_key=$A$238)*rl_ln1p))</f>
        <v/>
      </c>
      <c r="J267" s="208">
        <f>EXP(SUMPRODUCT((rl_eff&lt;=$C267)*(rl_key=$A$238)*rl_ln1p))</f>
        <v/>
      </c>
      <c r="K267" s="201">
        <f>COUNTIFS(rl_key,$A$238,rl_eff,"&gt;="&amp;$B267,rl_eff,"&lt;="&amp;$C267)</f>
        <v/>
      </c>
      <c r="L267" s="201">
        <f>SUMIFS(rl_daysafter,rl_key,$A$238,rl_effmonth,$B267,rl_first,1)</f>
        <v/>
      </c>
      <c r="M267" s="209">
        <f>IF($K267=0,0,MIN(1,$L267/$D267))</f>
        <v/>
      </c>
      <c r="N267" s="208">
        <f>IF($K267=0,$J267,(1-$M267)*$I267+$M267*$J267)</f>
        <v/>
      </c>
      <c r="O267" s="209">
        <f>IF($F267&lt;$B$239,$E$239+$I$239*($F267-$A$239),IF($F267&lt;$C$239,$F$239+$J$239*($F267-$B$239),$G$239+$K$239*($F267-$C$239)))</f>
        <v/>
      </c>
      <c r="P267" s="208">
        <f>MIN(1,MAX(0,(nr_MEndPm1-$G267+0.5)/$C$238))-MIN(1,MAX(0,(nr_MStartPm1-1-$G267+0.5)/$C$238))</f>
        <v/>
      </c>
      <c r="Q267" s="208">
        <f>MIN(1,MAX(0,(nr_MEndP-$G267+0.5)/$C$238))-MIN(1,MAX(0,(nr_MStartP-1-$G267+0.5)/$C$238))</f>
        <v/>
      </c>
      <c r="R267" s="208">
        <f>MIN(1,MAX(0,(nr_MEndP1-$G267+0.5)/$C$238))-MIN(1,MAX(0,(nr_MStartP1-1-$G267+0.5)/$C$238))</f>
        <v/>
      </c>
      <c r="S267" s="208">
        <f>IF($L$238,$N267*IF($O$238=1,$O267/$F$238,1),"")</f>
        <v/>
      </c>
      <c r="T267" s="208">
        <f>IF(NOT($L$238),"",IF($G267&lt;nr_MStartP,$S267,$T255*(1+IF($G267&lt;nr_MStartP1,$M$238,$N$238))))</f>
        <v/>
      </c>
      <c r="U267" s="208">
        <f>IF($L$238,$T267,$N267)</f>
        <v/>
      </c>
    </row>
    <row r="268">
      <c r="A268" s="145" t="n">
        <v>28</v>
      </c>
      <c r="B268" s="204">
        <f>EDATE($B267,1)</f>
        <v/>
      </c>
      <c r="C268" s="205">
        <f>EOMONTH($B268,0)</f>
        <v/>
      </c>
      <c r="D268" s="201">
        <f>$C268-$B268+1</f>
        <v/>
      </c>
      <c r="E268" s="201">
        <f>MONTH($B268)</f>
        <v/>
      </c>
      <c r="F268" s="235">
        <f>($B268+$C268+1)/2</f>
        <v/>
      </c>
      <c r="G268" s="201">
        <f>YEAR($B268)*12+MONTH($B268)-1</f>
        <v/>
      </c>
      <c r="H268" s="207">
        <f>IF(OR(nr_SeasonOn="OFF",$D$238=0,$E$238=0),1,12*INDEX(se_block,$D$238,$E268)/$E$238)</f>
        <v/>
      </c>
      <c r="I268" s="208">
        <f>EXP(SUMPRODUCT((rl_eff&lt;$B268)*(rl_key=$A$238)*rl_ln1p))</f>
        <v/>
      </c>
      <c r="J268" s="208">
        <f>EXP(SUMPRODUCT((rl_eff&lt;=$C268)*(rl_key=$A$238)*rl_ln1p))</f>
        <v/>
      </c>
      <c r="K268" s="201">
        <f>COUNTIFS(rl_key,$A$238,rl_eff,"&gt;="&amp;$B268,rl_eff,"&lt;="&amp;$C268)</f>
        <v/>
      </c>
      <c r="L268" s="201">
        <f>SUMIFS(rl_daysafter,rl_key,$A$238,rl_effmonth,$B268,rl_first,1)</f>
        <v/>
      </c>
      <c r="M268" s="209">
        <f>IF($K268=0,0,MIN(1,$L268/$D268))</f>
        <v/>
      </c>
      <c r="N268" s="208">
        <f>IF($K268=0,$J268,(1-$M268)*$I268+$M268*$J268)</f>
        <v/>
      </c>
      <c r="O268" s="209">
        <f>IF($F268&lt;$B$239,$E$239+$I$239*($F268-$A$239),IF($F268&lt;$C$239,$F$239+$J$239*($F268-$B$239),$G$239+$K$239*($F268-$C$239)))</f>
        <v/>
      </c>
      <c r="P268" s="208">
        <f>MIN(1,MAX(0,(nr_MEndPm1-$G268+0.5)/$C$238))-MIN(1,MAX(0,(nr_MStartPm1-1-$G268+0.5)/$C$238))</f>
        <v/>
      </c>
      <c r="Q268" s="208">
        <f>MIN(1,MAX(0,(nr_MEndP-$G268+0.5)/$C$238))-MIN(1,MAX(0,(nr_MStartP-1-$G268+0.5)/$C$238))</f>
        <v/>
      </c>
      <c r="R268" s="208">
        <f>MIN(1,MAX(0,(nr_MEndP1-$G268+0.5)/$C$238))-MIN(1,MAX(0,(nr_MStartP1-1-$G268+0.5)/$C$238))</f>
        <v/>
      </c>
      <c r="S268" s="208">
        <f>IF($L$238,$N268*IF($O$238=1,$O268/$F$238,1),"")</f>
        <v/>
      </c>
      <c r="T268" s="208">
        <f>IF(NOT($L$238),"",IF($G268&lt;nr_MStartP,$S268,$T256*(1+IF($G268&lt;nr_MStartP1,$M$238,$N$238))))</f>
        <v/>
      </c>
      <c r="U268" s="208">
        <f>IF($L$238,$T268,$N268)</f>
        <v/>
      </c>
    </row>
    <row r="269">
      <c r="A269" s="145" t="n">
        <v>29</v>
      </c>
      <c r="B269" s="204">
        <f>EDATE($B268,1)</f>
        <v/>
      </c>
      <c r="C269" s="205">
        <f>EOMONTH($B269,0)</f>
        <v/>
      </c>
      <c r="D269" s="201">
        <f>$C269-$B269+1</f>
        <v/>
      </c>
      <c r="E269" s="201">
        <f>MONTH($B269)</f>
        <v/>
      </c>
      <c r="F269" s="235">
        <f>($B269+$C269+1)/2</f>
        <v/>
      </c>
      <c r="G269" s="201">
        <f>YEAR($B269)*12+MONTH($B269)-1</f>
        <v/>
      </c>
      <c r="H269" s="207">
        <f>IF(OR(nr_SeasonOn="OFF",$D$238=0,$E$238=0),1,12*INDEX(se_block,$D$238,$E269)/$E$238)</f>
        <v/>
      </c>
      <c r="I269" s="208">
        <f>EXP(SUMPRODUCT((rl_eff&lt;$B269)*(rl_key=$A$238)*rl_ln1p))</f>
        <v/>
      </c>
      <c r="J269" s="208">
        <f>EXP(SUMPRODUCT((rl_eff&lt;=$C269)*(rl_key=$A$238)*rl_ln1p))</f>
        <v/>
      </c>
      <c r="K269" s="201">
        <f>COUNTIFS(rl_key,$A$238,rl_eff,"&gt;="&amp;$B269,rl_eff,"&lt;="&amp;$C269)</f>
        <v/>
      </c>
      <c r="L269" s="201">
        <f>SUMIFS(rl_daysafter,rl_key,$A$238,rl_effmonth,$B269,rl_first,1)</f>
        <v/>
      </c>
      <c r="M269" s="209">
        <f>IF($K269=0,0,MIN(1,$L269/$D269))</f>
        <v/>
      </c>
      <c r="N269" s="208">
        <f>IF($K269=0,$J269,(1-$M269)*$I269+$M269*$J269)</f>
        <v/>
      </c>
      <c r="O269" s="209">
        <f>IF($F269&lt;$B$239,$E$239+$I$239*($F269-$A$239),IF($F269&lt;$C$239,$F$239+$J$239*($F269-$B$239),$G$239+$K$239*($F269-$C$239)))</f>
        <v/>
      </c>
      <c r="P269" s="208">
        <f>MIN(1,MAX(0,(nr_MEndPm1-$G269+0.5)/$C$238))-MIN(1,MAX(0,(nr_MStartPm1-1-$G269+0.5)/$C$238))</f>
        <v/>
      </c>
      <c r="Q269" s="208">
        <f>MIN(1,MAX(0,(nr_MEndP-$G269+0.5)/$C$238))-MIN(1,MAX(0,(nr_MStartP-1-$G269+0.5)/$C$238))</f>
        <v/>
      </c>
      <c r="R269" s="208">
        <f>MIN(1,MAX(0,(nr_MEndP1-$G269+0.5)/$C$238))-MIN(1,MAX(0,(nr_MStartP1-1-$G269+0.5)/$C$238))</f>
        <v/>
      </c>
      <c r="S269" s="208">
        <f>IF($L$238,$N269*IF($O$238=1,$O269/$F$238,1),"")</f>
        <v/>
      </c>
      <c r="T269" s="208">
        <f>IF(NOT($L$238),"",IF($G269&lt;nr_MStartP,$S269,$T257*(1+IF($G269&lt;nr_MStartP1,$M$238,$N$238))))</f>
        <v/>
      </c>
      <c r="U269" s="208">
        <f>IF($L$238,$T269,$N269)</f>
        <v/>
      </c>
    </row>
    <row r="270">
      <c r="A270" s="145" t="n">
        <v>30</v>
      </c>
      <c r="B270" s="204">
        <f>EDATE($B269,1)</f>
        <v/>
      </c>
      <c r="C270" s="205">
        <f>EOMONTH($B270,0)</f>
        <v/>
      </c>
      <c r="D270" s="201">
        <f>$C270-$B270+1</f>
        <v/>
      </c>
      <c r="E270" s="201">
        <f>MONTH($B270)</f>
        <v/>
      </c>
      <c r="F270" s="235">
        <f>($B270+$C270+1)/2</f>
        <v/>
      </c>
      <c r="G270" s="201">
        <f>YEAR($B270)*12+MONTH($B270)-1</f>
        <v/>
      </c>
      <c r="H270" s="207">
        <f>IF(OR(nr_SeasonOn="OFF",$D$238=0,$E$238=0),1,12*INDEX(se_block,$D$238,$E270)/$E$238)</f>
        <v/>
      </c>
      <c r="I270" s="208">
        <f>EXP(SUMPRODUCT((rl_eff&lt;$B270)*(rl_key=$A$238)*rl_ln1p))</f>
        <v/>
      </c>
      <c r="J270" s="208">
        <f>EXP(SUMPRODUCT((rl_eff&lt;=$C270)*(rl_key=$A$238)*rl_ln1p))</f>
        <v/>
      </c>
      <c r="K270" s="201">
        <f>COUNTIFS(rl_key,$A$238,rl_eff,"&gt;="&amp;$B270,rl_eff,"&lt;="&amp;$C270)</f>
        <v/>
      </c>
      <c r="L270" s="201">
        <f>SUMIFS(rl_daysafter,rl_key,$A$238,rl_effmonth,$B270,rl_first,1)</f>
        <v/>
      </c>
      <c r="M270" s="209">
        <f>IF($K270=0,0,MIN(1,$L270/$D270))</f>
        <v/>
      </c>
      <c r="N270" s="208">
        <f>IF($K270=0,$J270,(1-$M270)*$I270+$M270*$J270)</f>
        <v/>
      </c>
      <c r="O270" s="209">
        <f>IF($F270&lt;$B$239,$E$239+$I$239*($F270-$A$239),IF($F270&lt;$C$239,$F$239+$J$239*($F270-$B$239),$G$239+$K$239*($F270-$C$239)))</f>
        <v/>
      </c>
      <c r="P270" s="208">
        <f>MIN(1,MAX(0,(nr_MEndPm1-$G270+0.5)/$C$238))-MIN(1,MAX(0,(nr_MStartPm1-1-$G270+0.5)/$C$238))</f>
        <v/>
      </c>
      <c r="Q270" s="208">
        <f>MIN(1,MAX(0,(nr_MEndP-$G270+0.5)/$C$238))-MIN(1,MAX(0,(nr_MStartP-1-$G270+0.5)/$C$238))</f>
        <v/>
      </c>
      <c r="R270" s="208">
        <f>MIN(1,MAX(0,(nr_MEndP1-$G270+0.5)/$C$238))-MIN(1,MAX(0,(nr_MStartP1-1-$G270+0.5)/$C$238))</f>
        <v/>
      </c>
      <c r="S270" s="208">
        <f>IF($L$238,$N270*IF($O$238=1,$O270/$F$238,1),"")</f>
        <v/>
      </c>
      <c r="T270" s="208">
        <f>IF(NOT($L$238),"",IF($G270&lt;nr_MStartP,$S270,$T258*(1+IF($G270&lt;nr_MStartP1,$M$238,$N$238))))</f>
        <v/>
      </c>
      <c r="U270" s="208">
        <f>IF($L$238,$T270,$N270)</f>
        <v/>
      </c>
    </row>
    <row r="271">
      <c r="A271" s="145" t="n">
        <v>31</v>
      </c>
      <c r="B271" s="204">
        <f>EDATE($B270,1)</f>
        <v/>
      </c>
      <c r="C271" s="205">
        <f>EOMONTH($B271,0)</f>
        <v/>
      </c>
      <c r="D271" s="201">
        <f>$C271-$B271+1</f>
        <v/>
      </c>
      <c r="E271" s="201">
        <f>MONTH($B271)</f>
        <v/>
      </c>
      <c r="F271" s="235">
        <f>($B271+$C271+1)/2</f>
        <v/>
      </c>
      <c r="G271" s="201">
        <f>YEAR($B271)*12+MONTH($B271)-1</f>
        <v/>
      </c>
      <c r="H271" s="207">
        <f>IF(OR(nr_SeasonOn="OFF",$D$238=0,$E$238=0),1,12*INDEX(se_block,$D$238,$E271)/$E$238)</f>
        <v/>
      </c>
      <c r="I271" s="208">
        <f>EXP(SUMPRODUCT((rl_eff&lt;$B271)*(rl_key=$A$238)*rl_ln1p))</f>
        <v/>
      </c>
      <c r="J271" s="208">
        <f>EXP(SUMPRODUCT((rl_eff&lt;=$C271)*(rl_key=$A$238)*rl_ln1p))</f>
        <v/>
      </c>
      <c r="K271" s="201">
        <f>COUNTIFS(rl_key,$A$238,rl_eff,"&gt;="&amp;$B271,rl_eff,"&lt;="&amp;$C271)</f>
        <v/>
      </c>
      <c r="L271" s="201">
        <f>SUMIFS(rl_daysafter,rl_key,$A$238,rl_effmonth,$B271,rl_first,1)</f>
        <v/>
      </c>
      <c r="M271" s="209">
        <f>IF($K271=0,0,MIN(1,$L271/$D271))</f>
        <v/>
      </c>
      <c r="N271" s="208">
        <f>IF($K271=0,$J271,(1-$M271)*$I271+$M271*$J271)</f>
        <v/>
      </c>
      <c r="O271" s="209">
        <f>IF($F271&lt;$B$239,$E$239+$I$239*($F271-$A$239),IF($F271&lt;$C$239,$F$239+$J$239*($F271-$B$239),$G$239+$K$239*($F271-$C$239)))</f>
        <v/>
      </c>
      <c r="P271" s="208">
        <f>MIN(1,MAX(0,(nr_MEndPm1-$G271+0.5)/$C$238))-MIN(1,MAX(0,(nr_MStartPm1-1-$G271+0.5)/$C$238))</f>
        <v/>
      </c>
      <c r="Q271" s="208">
        <f>MIN(1,MAX(0,(nr_MEndP-$G271+0.5)/$C$238))-MIN(1,MAX(0,(nr_MStartP-1-$G271+0.5)/$C$238))</f>
        <v/>
      </c>
      <c r="R271" s="208">
        <f>MIN(1,MAX(0,(nr_MEndP1-$G271+0.5)/$C$238))-MIN(1,MAX(0,(nr_MStartP1-1-$G271+0.5)/$C$238))</f>
        <v/>
      </c>
      <c r="S271" s="208">
        <f>IF($L$238,$N271*IF($O$238=1,$O271/$F$238,1),"")</f>
        <v/>
      </c>
      <c r="T271" s="208">
        <f>IF(NOT($L$238),"",IF($G271&lt;nr_MStartP,$S271,$T259*(1+IF($G271&lt;nr_MStartP1,$M$238,$N$238))))</f>
        <v/>
      </c>
      <c r="U271" s="208">
        <f>IF($L$238,$T271,$N271)</f>
        <v/>
      </c>
    </row>
    <row r="272">
      <c r="A272" s="145" t="n">
        <v>32</v>
      </c>
      <c r="B272" s="204">
        <f>EDATE($B271,1)</f>
        <v/>
      </c>
      <c r="C272" s="205">
        <f>EOMONTH($B272,0)</f>
        <v/>
      </c>
      <c r="D272" s="201">
        <f>$C272-$B272+1</f>
        <v/>
      </c>
      <c r="E272" s="201">
        <f>MONTH($B272)</f>
        <v/>
      </c>
      <c r="F272" s="235">
        <f>($B272+$C272+1)/2</f>
        <v/>
      </c>
      <c r="G272" s="201">
        <f>YEAR($B272)*12+MONTH($B272)-1</f>
        <v/>
      </c>
      <c r="H272" s="207">
        <f>IF(OR(nr_SeasonOn="OFF",$D$238=0,$E$238=0),1,12*INDEX(se_block,$D$238,$E272)/$E$238)</f>
        <v/>
      </c>
      <c r="I272" s="208">
        <f>EXP(SUMPRODUCT((rl_eff&lt;$B272)*(rl_key=$A$238)*rl_ln1p))</f>
        <v/>
      </c>
      <c r="J272" s="208">
        <f>EXP(SUMPRODUCT((rl_eff&lt;=$C272)*(rl_key=$A$238)*rl_ln1p))</f>
        <v/>
      </c>
      <c r="K272" s="201">
        <f>COUNTIFS(rl_key,$A$238,rl_eff,"&gt;="&amp;$B272,rl_eff,"&lt;="&amp;$C272)</f>
        <v/>
      </c>
      <c r="L272" s="201">
        <f>SUMIFS(rl_daysafter,rl_key,$A$238,rl_effmonth,$B272,rl_first,1)</f>
        <v/>
      </c>
      <c r="M272" s="209">
        <f>IF($K272=0,0,MIN(1,$L272/$D272))</f>
        <v/>
      </c>
      <c r="N272" s="208">
        <f>IF($K272=0,$J272,(1-$M272)*$I272+$M272*$J272)</f>
        <v/>
      </c>
      <c r="O272" s="209">
        <f>IF($F272&lt;$B$239,$E$239+$I$239*($F272-$A$239),IF($F272&lt;$C$239,$F$239+$J$239*($F272-$B$239),$G$239+$K$239*($F272-$C$239)))</f>
        <v/>
      </c>
      <c r="P272" s="208">
        <f>MIN(1,MAX(0,(nr_MEndPm1-$G272+0.5)/$C$238))-MIN(1,MAX(0,(nr_MStartPm1-1-$G272+0.5)/$C$238))</f>
        <v/>
      </c>
      <c r="Q272" s="208">
        <f>MIN(1,MAX(0,(nr_MEndP-$G272+0.5)/$C$238))-MIN(1,MAX(0,(nr_MStartP-1-$G272+0.5)/$C$238))</f>
        <v/>
      </c>
      <c r="R272" s="208">
        <f>MIN(1,MAX(0,(nr_MEndP1-$G272+0.5)/$C$238))-MIN(1,MAX(0,(nr_MStartP1-1-$G272+0.5)/$C$238))</f>
        <v/>
      </c>
      <c r="S272" s="208">
        <f>IF($L$238,$N272*IF($O$238=1,$O272/$F$238,1),"")</f>
        <v/>
      </c>
      <c r="T272" s="208">
        <f>IF(NOT($L$238),"",IF($G272&lt;nr_MStartP,$S272,$T260*(1+IF($G272&lt;nr_MStartP1,$M$238,$N$238))))</f>
        <v/>
      </c>
      <c r="U272" s="208">
        <f>IF($L$238,$T272,$N272)</f>
        <v/>
      </c>
    </row>
    <row r="273">
      <c r="A273" s="145" t="n">
        <v>33</v>
      </c>
      <c r="B273" s="204">
        <f>EDATE($B272,1)</f>
        <v/>
      </c>
      <c r="C273" s="205">
        <f>EOMONTH($B273,0)</f>
        <v/>
      </c>
      <c r="D273" s="201">
        <f>$C273-$B273+1</f>
        <v/>
      </c>
      <c r="E273" s="201">
        <f>MONTH($B273)</f>
        <v/>
      </c>
      <c r="F273" s="235">
        <f>($B273+$C273+1)/2</f>
        <v/>
      </c>
      <c r="G273" s="201">
        <f>YEAR($B273)*12+MONTH($B273)-1</f>
        <v/>
      </c>
      <c r="H273" s="207">
        <f>IF(OR(nr_SeasonOn="OFF",$D$238=0,$E$238=0),1,12*INDEX(se_block,$D$238,$E273)/$E$238)</f>
        <v/>
      </c>
      <c r="I273" s="208">
        <f>EXP(SUMPRODUCT((rl_eff&lt;$B273)*(rl_key=$A$238)*rl_ln1p))</f>
        <v/>
      </c>
      <c r="J273" s="208">
        <f>EXP(SUMPRODUCT((rl_eff&lt;=$C273)*(rl_key=$A$238)*rl_ln1p))</f>
        <v/>
      </c>
      <c r="K273" s="201">
        <f>COUNTIFS(rl_key,$A$238,rl_eff,"&gt;="&amp;$B273,rl_eff,"&lt;="&amp;$C273)</f>
        <v/>
      </c>
      <c r="L273" s="201">
        <f>SUMIFS(rl_daysafter,rl_key,$A$238,rl_effmonth,$B273,rl_first,1)</f>
        <v/>
      </c>
      <c r="M273" s="209">
        <f>IF($K273=0,0,MIN(1,$L273/$D273))</f>
        <v/>
      </c>
      <c r="N273" s="208">
        <f>IF($K273=0,$J273,(1-$M273)*$I273+$M273*$J273)</f>
        <v/>
      </c>
      <c r="O273" s="209">
        <f>IF($F273&lt;$B$239,$E$239+$I$239*($F273-$A$239),IF($F273&lt;$C$239,$F$239+$J$239*($F273-$B$239),$G$239+$K$239*($F273-$C$239)))</f>
        <v/>
      </c>
      <c r="P273" s="208">
        <f>MIN(1,MAX(0,(nr_MEndPm1-$G273+0.5)/$C$238))-MIN(1,MAX(0,(nr_MStartPm1-1-$G273+0.5)/$C$238))</f>
        <v/>
      </c>
      <c r="Q273" s="208">
        <f>MIN(1,MAX(0,(nr_MEndP-$G273+0.5)/$C$238))-MIN(1,MAX(0,(nr_MStartP-1-$G273+0.5)/$C$238))</f>
        <v/>
      </c>
      <c r="R273" s="208">
        <f>MIN(1,MAX(0,(nr_MEndP1-$G273+0.5)/$C$238))-MIN(1,MAX(0,(nr_MStartP1-1-$G273+0.5)/$C$238))</f>
        <v/>
      </c>
      <c r="S273" s="208">
        <f>IF($L$238,$N273*IF($O$238=1,$O273/$F$238,1),"")</f>
        <v/>
      </c>
      <c r="T273" s="208">
        <f>IF(NOT($L$238),"",IF($G273&lt;nr_MStartP,$S273,$T261*(1+IF($G273&lt;nr_MStartP1,$M$238,$N$238))))</f>
        <v/>
      </c>
      <c r="U273" s="208">
        <f>IF($L$238,$T273,$N273)</f>
        <v/>
      </c>
    </row>
    <row r="274">
      <c r="A274" s="145" t="n">
        <v>34</v>
      </c>
      <c r="B274" s="204">
        <f>EDATE($B273,1)</f>
        <v/>
      </c>
      <c r="C274" s="205">
        <f>EOMONTH($B274,0)</f>
        <v/>
      </c>
      <c r="D274" s="201">
        <f>$C274-$B274+1</f>
        <v/>
      </c>
      <c r="E274" s="201">
        <f>MONTH($B274)</f>
        <v/>
      </c>
      <c r="F274" s="235">
        <f>($B274+$C274+1)/2</f>
        <v/>
      </c>
      <c r="G274" s="201">
        <f>YEAR($B274)*12+MONTH($B274)-1</f>
        <v/>
      </c>
      <c r="H274" s="207">
        <f>IF(OR(nr_SeasonOn="OFF",$D$238=0,$E$238=0),1,12*INDEX(se_block,$D$238,$E274)/$E$238)</f>
        <v/>
      </c>
      <c r="I274" s="208">
        <f>EXP(SUMPRODUCT((rl_eff&lt;$B274)*(rl_key=$A$238)*rl_ln1p))</f>
        <v/>
      </c>
      <c r="J274" s="208">
        <f>EXP(SUMPRODUCT((rl_eff&lt;=$C274)*(rl_key=$A$238)*rl_ln1p))</f>
        <v/>
      </c>
      <c r="K274" s="201">
        <f>COUNTIFS(rl_key,$A$238,rl_eff,"&gt;="&amp;$B274,rl_eff,"&lt;="&amp;$C274)</f>
        <v/>
      </c>
      <c r="L274" s="201">
        <f>SUMIFS(rl_daysafter,rl_key,$A$238,rl_effmonth,$B274,rl_first,1)</f>
        <v/>
      </c>
      <c r="M274" s="209">
        <f>IF($K274=0,0,MIN(1,$L274/$D274))</f>
        <v/>
      </c>
      <c r="N274" s="208">
        <f>IF($K274=0,$J274,(1-$M274)*$I274+$M274*$J274)</f>
        <v/>
      </c>
      <c r="O274" s="209">
        <f>IF($F274&lt;$B$239,$E$239+$I$239*($F274-$A$239),IF($F274&lt;$C$239,$F$239+$J$239*($F274-$B$239),$G$239+$K$239*($F274-$C$239)))</f>
        <v/>
      </c>
      <c r="P274" s="208">
        <f>MIN(1,MAX(0,(nr_MEndPm1-$G274+0.5)/$C$238))-MIN(1,MAX(0,(nr_MStartPm1-1-$G274+0.5)/$C$238))</f>
        <v/>
      </c>
      <c r="Q274" s="208">
        <f>MIN(1,MAX(0,(nr_MEndP-$G274+0.5)/$C$238))-MIN(1,MAX(0,(nr_MStartP-1-$G274+0.5)/$C$238))</f>
        <v/>
      </c>
      <c r="R274" s="208">
        <f>MIN(1,MAX(0,(nr_MEndP1-$G274+0.5)/$C$238))-MIN(1,MAX(0,(nr_MStartP1-1-$G274+0.5)/$C$238))</f>
        <v/>
      </c>
      <c r="S274" s="208">
        <f>IF($L$238,$N274*IF($O$238=1,$O274/$F$238,1),"")</f>
        <v/>
      </c>
      <c r="T274" s="208">
        <f>IF(NOT($L$238),"",IF($G274&lt;nr_MStartP,$S274,$T262*(1+IF($G274&lt;nr_MStartP1,$M$238,$N$238))))</f>
        <v/>
      </c>
      <c r="U274" s="208">
        <f>IF($L$238,$T274,$N274)</f>
        <v/>
      </c>
    </row>
    <row r="275">
      <c r="A275" s="145" t="n">
        <v>35</v>
      </c>
      <c r="B275" s="204">
        <f>EDATE($B274,1)</f>
        <v/>
      </c>
      <c r="C275" s="205">
        <f>EOMONTH($B275,0)</f>
        <v/>
      </c>
      <c r="D275" s="201">
        <f>$C275-$B275+1</f>
        <v/>
      </c>
      <c r="E275" s="201">
        <f>MONTH($B275)</f>
        <v/>
      </c>
      <c r="F275" s="235">
        <f>($B275+$C275+1)/2</f>
        <v/>
      </c>
      <c r="G275" s="201">
        <f>YEAR($B275)*12+MONTH($B275)-1</f>
        <v/>
      </c>
      <c r="H275" s="207">
        <f>IF(OR(nr_SeasonOn="OFF",$D$238=0,$E$238=0),1,12*INDEX(se_block,$D$238,$E275)/$E$238)</f>
        <v/>
      </c>
      <c r="I275" s="208">
        <f>EXP(SUMPRODUCT((rl_eff&lt;$B275)*(rl_key=$A$238)*rl_ln1p))</f>
        <v/>
      </c>
      <c r="J275" s="208">
        <f>EXP(SUMPRODUCT((rl_eff&lt;=$C275)*(rl_key=$A$238)*rl_ln1p))</f>
        <v/>
      </c>
      <c r="K275" s="201">
        <f>COUNTIFS(rl_key,$A$238,rl_eff,"&gt;="&amp;$B275,rl_eff,"&lt;="&amp;$C275)</f>
        <v/>
      </c>
      <c r="L275" s="201">
        <f>SUMIFS(rl_daysafter,rl_key,$A$238,rl_effmonth,$B275,rl_first,1)</f>
        <v/>
      </c>
      <c r="M275" s="209">
        <f>IF($K275=0,0,MIN(1,$L275/$D275))</f>
        <v/>
      </c>
      <c r="N275" s="208">
        <f>IF($K275=0,$J275,(1-$M275)*$I275+$M275*$J275)</f>
        <v/>
      </c>
      <c r="O275" s="209">
        <f>IF($F275&lt;$B$239,$E$239+$I$239*($F275-$A$239),IF($F275&lt;$C$239,$F$239+$J$239*($F275-$B$239),$G$239+$K$239*($F275-$C$239)))</f>
        <v/>
      </c>
      <c r="P275" s="208">
        <f>MIN(1,MAX(0,(nr_MEndPm1-$G275+0.5)/$C$238))-MIN(1,MAX(0,(nr_MStartPm1-1-$G275+0.5)/$C$238))</f>
        <v/>
      </c>
      <c r="Q275" s="208">
        <f>MIN(1,MAX(0,(nr_MEndP-$G275+0.5)/$C$238))-MIN(1,MAX(0,(nr_MStartP-1-$G275+0.5)/$C$238))</f>
        <v/>
      </c>
      <c r="R275" s="208">
        <f>MIN(1,MAX(0,(nr_MEndP1-$G275+0.5)/$C$238))-MIN(1,MAX(0,(nr_MStartP1-1-$G275+0.5)/$C$238))</f>
        <v/>
      </c>
      <c r="S275" s="208">
        <f>IF($L$238,$N275*IF($O$238=1,$O275/$F$238,1),"")</f>
        <v/>
      </c>
      <c r="T275" s="208">
        <f>IF(NOT($L$238),"",IF($G275&lt;nr_MStartP,$S275,$T263*(1+IF($G275&lt;nr_MStartP1,$M$238,$N$238))))</f>
        <v/>
      </c>
      <c r="U275" s="208">
        <f>IF($L$238,$T275,$N275)</f>
        <v/>
      </c>
    </row>
    <row r="276">
      <c r="A276" s="145" t="n">
        <v>36</v>
      </c>
      <c r="B276" s="204">
        <f>EDATE($B275,1)</f>
        <v/>
      </c>
      <c r="C276" s="205">
        <f>EOMONTH($B276,0)</f>
        <v/>
      </c>
      <c r="D276" s="201">
        <f>$C276-$B276+1</f>
        <v/>
      </c>
      <c r="E276" s="201">
        <f>MONTH($B276)</f>
        <v/>
      </c>
      <c r="F276" s="235">
        <f>($B276+$C276+1)/2</f>
        <v/>
      </c>
      <c r="G276" s="201">
        <f>YEAR($B276)*12+MONTH($B276)-1</f>
        <v/>
      </c>
      <c r="H276" s="207">
        <f>IF(OR(nr_SeasonOn="OFF",$D$238=0,$E$238=0),1,12*INDEX(se_block,$D$238,$E276)/$E$238)</f>
        <v/>
      </c>
      <c r="I276" s="208">
        <f>EXP(SUMPRODUCT((rl_eff&lt;$B276)*(rl_key=$A$238)*rl_ln1p))</f>
        <v/>
      </c>
      <c r="J276" s="208">
        <f>EXP(SUMPRODUCT((rl_eff&lt;=$C276)*(rl_key=$A$238)*rl_ln1p))</f>
        <v/>
      </c>
      <c r="K276" s="201">
        <f>COUNTIFS(rl_key,$A$238,rl_eff,"&gt;="&amp;$B276,rl_eff,"&lt;="&amp;$C276)</f>
        <v/>
      </c>
      <c r="L276" s="201">
        <f>SUMIFS(rl_daysafter,rl_key,$A$238,rl_effmonth,$B276,rl_first,1)</f>
        <v/>
      </c>
      <c r="M276" s="209">
        <f>IF($K276=0,0,MIN(1,$L276/$D276))</f>
        <v/>
      </c>
      <c r="N276" s="208">
        <f>IF($K276=0,$J276,(1-$M276)*$I276+$M276*$J276)</f>
        <v/>
      </c>
      <c r="O276" s="209">
        <f>IF($F276&lt;$B$239,$E$239+$I$239*($F276-$A$239),IF($F276&lt;$C$239,$F$239+$J$239*($F276-$B$239),$G$239+$K$239*($F276-$C$239)))</f>
        <v/>
      </c>
      <c r="P276" s="208">
        <f>MIN(1,MAX(0,(nr_MEndPm1-$G276+0.5)/$C$238))-MIN(1,MAX(0,(nr_MStartPm1-1-$G276+0.5)/$C$238))</f>
        <v/>
      </c>
      <c r="Q276" s="208">
        <f>MIN(1,MAX(0,(nr_MEndP-$G276+0.5)/$C$238))-MIN(1,MAX(0,(nr_MStartP-1-$G276+0.5)/$C$238))</f>
        <v/>
      </c>
      <c r="R276" s="208">
        <f>MIN(1,MAX(0,(nr_MEndP1-$G276+0.5)/$C$238))-MIN(1,MAX(0,(nr_MStartP1-1-$G276+0.5)/$C$238))</f>
        <v/>
      </c>
      <c r="S276" s="208">
        <f>IF($L$238,$N276*IF($O$238=1,$O276/$F$238,1),"")</f>
        <v/>
      </c>
      <c r="T276" s="208">
        <f>IF(NOT($L$238),"",IF($G276&lt;nr_MStartP,$S276,$T264*(1+IF($G276&lt;nr_MStartP1,$M$238,$N$238))))</f>
        <v/>
      </c>
      <c r="U276" s="208">
        <f>IF($L$238,$T276,$N276)</f>
        <v/>
      </c>
    </row>
    <row r="277">
      <c r="A277" s="145" t="n">
        <v>37</v>
      </c>
      <c r="B277" s="204">
        <f>EDATE($B276,1)</f>
        <v/>
      </c>
      <c r="C277" s="205">
        <f>EOMONTH($B277,0)</f>
        <v/>
      </c>
      <c r="D277" s="201">
        <f>$C277-$B277+1</f>
        <v/>
      </c>
      <c r="E277" s="201">
        <f>MONTH($B277)</f>
        <v/>
      </c>
      <c r="F277" s="235">
        <f>($B277+$C277+1)/2</f>
        <v/>
      </c>
      <c r="G277" s="201">
        <f>YEAR($B277)*12+MONTH($B277)-1</f>
        <v/>
      </c>
      <c r="H277" s="207">
        <f>IF(OR(nr_SeasonOn="OFF",$D$238=0,$E$238=0),1,12*INDEX(se_block,$D$238,$E277)/$E$238)</f>
        <v/>
      </c>
      <c r="I277" s="208">
        <f>EXP(SUMPRODUCT((rl_eff&lt;$B277)*(rl_key=$A$238)*rl_ln1p))</f>
        <v/>
      </c>
      <c r="J277" s="208">
        <f>EXP(SUMPRODUCT((rl_eff&lt;=$C277)*(rl_key=$A$238)*rl_ln1p))</f>
        <v/>
      </c>
      <c r="K277" s="201">
        <f>COUNTIFS(rl_key,$A$238,rl_eff,"&gt;="&amp;$B277,rl_eff,"&lt;="&amp;$C277)</f>
        <v/>
      </c>
      <c r="L277" s="201">
        <f>SUMIFS(rl_daysafter,rl_key,$A$238,rl_effmonth,$B277,rl_first,1)</f>
        <v/>
      </c>
      <c r="M277" s="209">
        <f>IF($K277=0,0,MIN(1,$L277/$D277))</f>
        <v/>
      </c>
      <c r="N277" s="208">
        <f>IF($K277=0,$J277,(1-$M277)*$I277+$M277*$J277)</f>
        <v/>
      </c>
      <c r="O277" s="209">
        <f>IF($F277&lt;$B$239,$E$239+$I$239*($F277-$A$239),IF($F277&lt;$C$239,$F$239+$J$239*($F277-$B$239),$G$239+$K$239*($F277-$C$239)))</f>
        <v/>
      </c>
      <c r="P277" s="208">
        <f>MIN(1,MAX(0,(nr_MEndPm1-$G277+0.5)/$C$238))-MIN(1,MAX(0,(nr_MStartPm1-1-$G277+0.5)/$C$238))</f>
        <v/>
      </c>
      <c r="Q277" s="208">
        <f>MIN(1,MAX(0,(nr_MEndP-$G277+0.5)/$C$238))-MIN(1,MAX(0,(nr_MStartP-1-$G277+0.5)/$C$238))</f>
        <v/>
      </c>
      <c r="R277" s="208">
        <f>MIN(1,MAX(0,(nr_MEndP1-$G277+0.5)/$C$238))-MIN(1,MAX(0,(nr_MStartP1-1-$G277+0.5)/$C$238))</f>
        <v/>
      </c>
      <c r="S277" s="208">
        <f>IF($L$238,$N277*IF($O$238=1,$O277/$F$238,1),"")</f>
        <v/>
      </c>
      <c r="T277" s="208">
        <f>IF(NOT($L$238),"",IF($G277&lt;nr_MStartP,$S277,$T265*(1+IF($G277&lt;nr_MStartP1,$M$238,$N$238))))</f>
        <v/>
      </c>
      <c r="U277" s="208">
        <f>IF($L$238,$T277,$N277)</f>
        <v/>
      </c>
    </row>
    <row r="278">
      <c r="A278" s="145" t="n">
        <v>38</v>
      </c>
      <c r="B278" s="204">
        <f>EDATE($B277,1)</f>
        <v/>
      </c>
      <c r="C278" s="205">
        <f>EOMONTH($B278,0)</f>
        <v/>
      </c>
      <c r="D278" s="201">
        <f>$C278-$B278+1</f>
        <v/>
      </c>
      <c r="E278" s="201">
        <f>MONTH($B278)</f>
        <v/>
      </c>
      <c r="F278" s="235">
        <f>($B278+$C278+1)/2</f>
        <v/>
      </c>
      <c r="G278" s="201">
        <f>YEAR($B278)*12+MONTH($B278)-1</f>
        <v/>
      </c>
      <c r="H278" s="207">
        <f>IF(OR(nr_SeasonOn="OFF",$D$238=0,$E$238=0),1,12*INDEX(se_block,$D$238,$E278)/$E$238)</f>
        <v/>
      </c>
      <c r="I278" s="208">
        <f>EXP(SUMPRODUCT((rl_eff&lt;$B278)*(rl_key=$A$238)*rl_ln1p))</f>
        <v/>
      </c>
      <c r="J278" s="208">
        <f>EXP(SUMPRODUCT((rl_eff&lt;=$C278)*(rl_key=$A$238)*rl_ln1p))</f>
        <v/>
      </c>
      <c r="K278" s="201">
        <f>COUNTIFS(rl_key,$A$238,rl_eff,"&gt;="&amp;$B278,rl_eff,"&lt;="&amp;$C278)</f>
        <v/>
      </c>
      <c r="L278" s="201">
        <f>SUMIFS(rl_daysafter,rl_key,$A$238,rl_effmonth,$B278,rl_first,1)</f>
        <v/>
      </c>
      <c r="M278" s="209">
        <f>IF($K278=0,0,MIN(1,$L278/$D278))</f>
        <v/>
      </c>
      <c r="N278" s="208">
        <f>IF($K278=0,$J278,(1-$M278)*$I278+$M278*$J278)</f>
        <v/>
      </c>
      <c r="O278" s="209">
        <f>IF($F278&lt;$B$239,$E$239+$I$239*($F278-$A$239),IF($F278&lt;$C$239,$F$239+$J$239*($F278-$B$239),$G$239+$K$239*($F278-$C$239)))</f>
        <v/>
      </c>
      <c r="P278" s="208">
        <f>MIN(1,MAX(0,(nr_MEndPm1-$G278+0.5)/$C$238))-MIN(1,MAX(0,(nr_MStartPm1-1-$G278+0.5)/$C$238))</f>
        <v/>
      </c>
      <c r="Q278" s="208">
        <f>MIN(1,MAX(0,(nr_MEndP-$G278+0.5)/$C$238))-MIN(1,MAX(0,(nr_MStartP-1-$G278+0.5)/$C$238))</f>
        <v/>
      </c>
      <c r="R278" s="208">
        <f>MIN(1,MAX(0,(nr_MEndP1-$G278+0.5)/$C$238))-MIN(1,MAX(0,(nr_MStartP1-1-$G278+0.5)/$C$238))</f>
        <v/>
      </c>
      <c r="S278" s="208">
        <f>IF($L$238,$N278*IF($O$238=1,$O278/$F$238,1),"")</f>
        <v/>
      </c>
      <c r="T278" s="208">
        <f>IF(NOT($L$238),"",IF($G278&lt;nr_MStartP,$S278,$T266*(1+IF($G278&lt;nr_MStartP1,$M$238,$N$238))))</f>
        <v/>
      </c>
      <c r="U278" s="208">
        <f>IF($L$238,$T278,$N278)</f>
        <v/>
      </c>
    </row>
    <row r="279">
      <c r="A279" s="145" t="n">
        <v>39</v>
      </c>
      <c r="B279" s="204">
        <f>EDATE($B278,1)</f>
        <v/>
      </c>
      <c r="C279" s="205">
        <f>EOMONTH($B279,0)</f>
        <v/>
      </c>
      <c r="D279" s="201">
        <f>$C279-$B279+1</f>
        <v/>
      </c>
      <c r="E279" s="201">
        <f>MONTH($B279)</f>
        <v/>
      </c>
      <c r="F279" s="235">
        <f>($B279+$C279+1)/2</f>
        <v/>
      </c>
      <c r="G279" s="201">
        <f>YEAR($B279)*12+MONTH($B279)-1</f>
        <v/>
      </c>
      <c r="H279" s="207">
        <f>IF(OR(nr_SeasonOn="OFF",$D$238=0,$E$238=0),1,12*INDEX(se_block,$D$238,$E279)/$E$238)</f>
        <v/>
      </c>
      <c r="I279" s="208">
        <f>EXP(SUMPRODUCT((rl_eff&lt;$B279)*(rl_key=$A$238)*rl_ln1p))</f>
        <v/>
      </c>
      <c r="J279" s="208">
        <f>EXP(SUMPRODUCT((rl_eff&lt;=$C279)*(rl_key=$A$238)*rl_ln1p))</f>
        <v/>
      </c>
      <c r="K279" s="201">
        <f>COUNTIFS(rl_key,$A$238,rl_eff,"&gt;="&amp;$B279,rl_eff,"&lt;="&amp;$C279)</f>
        <v/>
      </c>
      <c r="L279" s="201">
        <f>SUMIFS(rl_daysafter,rl_key,$A$238,rl_effmonth,$B279,rl_first,1)</f>
        <v/>
      </c>
      <c r="M279" s="209">
        <f>IF($K279=0,0,MIN(1,$L279/$D279))</f>
        <v/>
      </c>
      <c r="N279" s="208">
        <f>IF($K279=0,$J279,(1-$M279)*$I279+$M279*$J279)</f>
        <v/>
      </c>
      <c r="O279" s="209">
        <f>IF($F279&lt;$B$239,$E$239+$I$239*($F279-$A$239),IF($F279&lt;$C$239,$F$239+$J$239*($F279-$B$239),$G$239+$K$239*($F279-$C$239)))</f>
        <v/>
      </c>
      <c r="P279" s="208">
        <f>MIN(1,MAX(0,(nr_MEndPm1-$G279+0.5)/$C$238))-MIN(1,MAX(0,(nr_MStartPm1-1-$G279+0.5)/$C$238))</f>
        <v/>
      </c>
      <c r="Q279" s="208">
        <f>MIN(1,MAX(0,(nr_MEndP-$G279+0.5)/$C$238))-MIN(1,MAX(0,(nr_MStartP-1-$G279+0.5)/$C$238))</f>
        <v/>
      </c>
      <c r="R279" s="208">
        <f>MIN(1,MAX(0,(nr_MEndP1-$G279+0.5)/$C$238))-MIN(1,MAX(0,(nr_MStartP1-1-$G279+0.5)/$C$238))</f>
        <v/>
      </c>
      <c r="S279" s="208">
        <f>IF($L$238,$N279*IF($O$238=1,$O279/$F$238,1),"")</f>
        <v/>
      </c>
      <c r="T279" s="208">
        <f>IF(NOT($L$238),"",IF($G279&lt;nr_MStartP,$S279,$T267*(1+IF($G279&lt;nr_MStartP1,$M$238,$N$238))))</f>
        <v/>
      </c>
      <c r="U279" s="208">
        <f>IF($L$238,$T279,$N279)</f>
        <v/>
      </c>
    </row>
    <row r="280">
      <c r="A280" s="145" t="n">
        <v>40</v>
      </c>
      <c r="B280" s="204">
        <f>EDATE($B279,1)</f>
        <v/>
      </c>
      <c r="C280" s="205">
        <f>EOMONTH($B280,0)</f>
        <v/>
      </c>
      <c r="D280" s="201">
        <f>$C280-$B280+1</f>
        <v/>
      </c>
      <c r="E280" s="201">
        <f>MONTH($B280)</f>
        <v/>
      </c>
      <c r="F280" s="235">
        <f>($B280+$C280+1)/2</f>
        <v/>
      </c>
      <c r="G280" s="201">
        <f>YEAR($B280)*12+MONTH($B280)-1</f>
        <v/>
      </c>
      <c r="H280" s="207">
        <f>IF(OR(nr_SeasonOn="OFF",$D$238=0,$E$238=0),1,12*INDEX(se_block,$D$238,$E280)/$E$238)</f>
        <v/>
      </c>
      <c r="I280" s="208">
        <f>EXP(SUMPRODUCT((rl_eff&lt;$B280)*(rl_key=$A$238)*rl_ln1p))</f>
        <v/>
      </c>
      <c r="J280" s="208">
        <f>EXP(SUMPRODUCT((rl_eff&lt;=$C280)*(rl_key=$A$238)*rl_ln1p))</f>
        <v/>
      </c>
      <c r="K280" s="201">
        <f>COUNTIFS(rl_key,$A$238,rl_eff,"&gt;="&amp;$B280,rl_eff,"&lt;="&amp;$C280)</f>
        <v/>
      </c>
      <c r="L280" s="201">
        <f>SUMIFS(rl_daysafter,rl_key,$A$238,rl_effmonth,$B280,rl_first,1)</f>
        <v/>
      </c>
      <c r="M280" s="209">
        <f>IF($K280=0,0,MIN(1,$L280/$D280))</f>
        <v/>
      </c>
      <c r="N280" s="208">
        <f>IF($K280=0,$J280,(1-$M280)*$I280+$M280*$J280)</f>
        <v/>
      </c>
      <c r="O280" s="209">
        <f>IF($F280&lt;$B$239,$E$239+$I$239*($F280-$A$239),IF($F280&lt;$C$239,$F$239+$J$239*($F280-$B$239),$G$239+$K$239*($F280-$C$239)))</f>
        <v/>
      </c>
      <c r="P280" s="208">
        <f>MIN(1,MAX(0,(nr_MEndPm1-$G280+0.5)/$C$238))-MIN(1,MAX(0,(nr_MStartPm1-1-$G280+0.5)/$C$238))</f>
        <v/>
      </c>
      <c r="Q280" s="208">
        <f>MIN(1,MAX(0,(nr_MEndP-$G280+0.5)/$C$238))-MIN(1,MAX(0,(nr_MStartP-1-$G280+0.5)/$C$238))</f>
        <v/>
      </c>
      <c r="R280" s="208">
        <f>MIN(1,MAX(0,(nr_MEndP1-$G280+0.5)/$C$238))-MIN(1,MAX(0,(nr_MStartP1-1-$G280+0.5)/$C$238))</f>
        <v/>
      </c>
      <c r="S280" s="208">
        <f>IF($L$238,$N280*IF($O$238=1,$O280/$F$238,1),"")</f>
        <v/>
      </c>
      <c r="T280" s="208">
        <f>IF(NOT($L$238),"",IF($G280&lt;nr_MStartP,$S280,$T268*(1+IF($G280&lt;nr_MStartP1,$M$238,$N$238))))</f>
        <v/>
      </c>
      <c r="U280" s="208">
        <f>IF($L$238,$T280,$N280)</f>
        <v/>
      </c>
    </row>
    <row r="281">
      <c r="A281" s="145" t="n">
        <v>41</v>
      </c>
      <c r="B281" s="204">
        <f>EDATE($B280,1)</f>
        <v/>
      </c>
      <c r="C281" s="205">
        <f>EOMONTH($B281,0)</f>
        <v/>
      </c>
      <c r="D281" s="201">
        <f>$C281-$B281+1</f>
        <v/>
      </c>
      <c r="E281" s="201">
        <f>MONTH($B281)</f>
        <v/>
      </c>
      <c r="F281" s="235">
        <f>($B281+$C281+1)/2</f>
        <v/>
      </c>
      <c r="G281" s="201">
        <f>YEAR($B281)*12+MONTH($B281)-1</f>
        <v/>
      </c>
      <c r="H281" s="207">
        <f>IF(OR(nr_SeasonOn="OFF",$D$238=0,$E$238=0),1,12*INDEX(se_block,$D$238,$E281)/$E$238)</f>
        <v/>
      </c>
      <c r="I281" s="208">
        <f>EXP(SUMPRODUCT((rl_eff&lt;$B281)*(rl_key=$A$238)*rl_ln1p))</f>
        <v/>
      </c>
      <c r="J281" s="208">
        <f>EXP(SUMPRODUCT((rl_eff&lt;=$C281)*(rl_key=$A$238)*rl_ln1p))</f>
        <v/>
      </c>
      <c r="K281" s="201">
        <f>COUNTIFS(rl_key,$A$238,rl_eff,"&gt;="&amp;$B281,rl_eff,"&lt;="&amp;$C281)</f>
        <v/>
      </c>
      <c r="L281" s="201">
        <f>SUMIFS(rl_daysafter,rl_key,$A$238,rl_effmonth,$B281,rl_first,1)</f>
        <v/>
      </c>
      <c r="M281" s="209">
        <f>IF($K281=0,0,MIN(1,$L281/$D281))</f>
        <v/>
      </c>
      <c r="N281" s="208">
        <f>IF($K281=0,$J281,(1-$M281)*$I281+$M281*$J281)</f>
        <v/>
      </c>
      <c r="O281" s="209">
        <f>IF($F281&lt;$B$239,$E$239+$I$239*($F281-$A$239),IF($F281&lt;$C$239,$F$239+$J$239*($F281-$B$239),$G$239+$K$239*($F281-$C$239)))</f>
        <v/>
      </c>
      <c r="P281" s="208">
        <f>MIN(1,MAX(0,(nr_MEndPm1-$G281+0.5)/$C$238))-MIN(1,MAX(0,(nr_MStartPm1-1-$G281+0.5)/$C$238))</f>
        <v/>
      </c>
      <c r="Q281" s="208">
        <f>MIN(1,MAX(0,(nr_MEndP-$G281+0.5)/$C$238))-MIN(1,MAX(0,(nr_MStartP-1-$G281+0.5)/$C$238))</f>
        <v/>
      </c>
      <c r="R281" s="208">
        <f>MIN(1,MAX(0,(nr_MEndP1-$G281+0.5)/$C$238))-MIN(1,MAX(0,(nr_MStartP1-1-$G281+0.5)/$C$238))</f>
        <v/>
      </c>
      <c r="S281" s="208">
        <f>IF($L$238,$N281*IF($O$238=1,$O281/$F$238,1),"")</f>
        <v/>
      </c>
      <c r="T281" s="208">
        <f>IF(NOT($L$238),"",IF($G281&lt;nr_MStartP,$S281,$T269*(1+IF($G281&lt;nr_MStartP1,$M$238,$N$238))))</f>
        <v/>
      </c>
      <c r="U281" s="208">
        <f>IF($L$238,$T281,$N281)</f>
        <v/>
      </c>
    </row>
    <row r="282">
      <c r="A282" s="145" t="n">
        <v>42</v>
      </c>
      <c r="B282" s="204">
        <f>EDATE($B281,1)</f>
        <v/>
      </c>
      <c r="C282" s="205">
        <f>EOMONTH($B282,0)</f>
        <v/>
      </c>
      <c r="D282" s="201">
        <f>$C282-$B282+1</f>
        <v/>
      </c>
      <c r="E282" s="201">
        <f>MONTH($B282)</f>
        <v/>
      </c>
      <c r="F282" s="235">
        <f>($B282+$C282+1)/2</f>
        <v/>
      </c>
      <c r="G282" s="201">
        <f>YEAR($B282)*12+MONTH($B282)-1</f>
        <v/>
      </c>
      <c r="H282" s="207">
        <f>IF(OR(nr_SeasonOn="OFF",$D$238=0,$E$238=0),1,12*INDEX(se_block,$D$238,$E282)/$E$238)</f>
        <v/>
      </c>
      <c r="I282" s="208">
        <f>EXP(SUMPRODUCT((rl_eff&lt;$B282)*(rl_key=$A$238)*rl_ln1p))</f>
        <v/>
      </c>
      <c r="J282" s="208">
        <f>EXP(SUMPRODUCT((rl_eff&lt;=$C282)*(rl_key=$A$238)*rl_ln1p))</f>
        <v/>
      </c>
      <c r="K282" s="201">
        <f>COUNTIFS(rl_key,$A$238,rl_eff,"&gt;="&amp;$B282,rl_eff,"&lt;="&amp;$C282)</f>
        <v/>
      </c>
      <c r="L282" s="201">
        <f>SUMIFS(rl_daysafter,rl_key,$A$238,rl_effmonth,$B282,rl_first,1)</f>
        <v/>
      </c>
      <c r="M282" s="209">
        <f>IF($K282=0,0,MIN(1,$L282/$D282))</f>
        <v/>
      </c>
      <c r="N282" s="208">
        <f>IF($K282=0,$J282,(1-$M282)*$I282+$M282*$J282)</f>
        <v/>
      </c>
      <c r="O282" s="209">
        <f>IF($F282&lt;$B$239,$E$239+$I$239*($F282-$A$239),IF($F282&lt;$C$239,$F$239+$J$239*($F282-$B$239),$G$239+$K$239*($F282-$C$239)))</f>
        <v/>
      </c>
      <c r="P282" s="208">
        <f>MIN(1,MAX(0,(nr_MEndPm1-$G282+0.5)/$C$238))-MIN(1,MAX(0,(nr_MStartPm1-1-$G282+0.5)/$C$238))</f>
        <v/>
      </c>
      <c r="Q282" s="208">
        <f>MIN(1,MAX(0,(nr_MEndP-$G282+0.5)/$C$238))-MIN(1,MAX(0,(nr_MStartP-1-$G282+0.5)/$C$238))</f>
        <v/>
      </c>
      <c r="R282" s="208">
        <f>MIN(1,MAX(0,(nr_MEndP1-$G282+0.5)/$C$238))-MIN(1,MAX(0,(nr_MStartP1-1-$G282+0.5)/$C$238))</f>
        <v/>
      </c>
      <c r="S282" s="208">
        <f>IF($L$238,$N282*IF($O$238=1,$O282/$F$238,1),"")</f>
        <v/>
      </c>
      <c r="T282" s="208">
        <f>IF(NOT($L$238),"",IF($G282&lt;nr_MStartP,$S282,$T270*(1+IF($G282&lt;nr_MStartP1,$M$238,$N$238))))</f>
        <v/>
      </c>
      <c r="U282" s="208">
        <f>IF($L$238,$T282,$N282)</f>
        <v/>
      </c>
    </row>
    <row r="283">
      <c r="A283" s="145" t="n">
        <v>43</v>
      </c>
      <c r="B283" s="204">
        <f>EDATE($B282,1)</f>
        <v/>
      </c>
      <c r="C283" s="205">
        <f>EOMONTH($B283,0)</f>
        <v/>
      </c>
      <c r="D283" s="201">
        <f>$C283-$B283+1</f>
        <v/>
      </c>
      <c r="E283" s="201">
        <f>MONTH($B283)</f>
        <v/>
      </c>
      <c r="F283" s="235">
        <f>($B283+$C283+1)/2</f>
        <v/>
      </c>
      <c r="G283" s="201">
        <f>YEAR($B283)*12+MONTH($B283)-1</f>
        <v/>
      </c>
      <c r="H283" s="207">
        <f>IF(OR(nr_SeasonOn="OFF",$D$238=0,$E$238=0),1,12*INDEX(se_block,$D$238,$E283)/$E$238)</f>
        <v/>
      </c>
      <c r="I283" s="208">
        <f>EXP(SUMPRODUCT((rl_eff&lt;$B283)*(rl_key=$A$238)*rl_ln1p))</f>
        <v/>
      </c>
      <c r="J283" s="208">
        <f>EXP(SUMPRODUCT((rl_eff&lt;=$C283)*(rl_key=$A$238)*rl_ln1p))</f>
        <v/>
      </c>
      <c r="K283" s="201">
        <f>COUNTIFS(rl_key,$A$238,rl_eff,"&gt;="&amp;$B283,rl_eff,"&lt;="&amp;$C283)</f>
        <v/>
      </c>
      <c r="L283" s="201">
        <f>SUMIFS(rl_daysafter,rl_key,$A$238,rl_effmonth,$B283,rl_first,1)</f>
        <v/>
      </c>
      <c r="M283" s="209">
        <f>IF($K283=0,0,MIN(1,$L283/$D283))</f>
        <v/>
      </c>
      <c r="N283" s="208">
        <f>IF($K283=0,$J283,(1-$M283)*$I283+$M283*$J283)</f>
        <v/>
      </c>
      <c r="O283" s="209">
        <f>IF($F283&lt;$B$239,$E$239+$I$239*($F283-$A$239),IF($F283&lt;$C$239,$F$239+$J$239*($F283-$B$239),$G$239+$K$239*($F283-$C$239)))</f>
        <v/>
      </c>
      <c r="P283" s="208">
        <f>MIN(1,MAX(0,(nr_MEndPm1-$G283+0.5)/$C$238))-MIN(1,MAX(0,(nr_MStartPm1-1-$G283+0.5)/$C$238))</f>
        <v/>
      </c>
      <c r="Q283" s="208">
        <f>MIN(1,MAX(0,(nr_MEndP-$G283+0.5)/$C$238))-MIN(1,MAX(0,(nr_MStartP-1-$G283+0.5)/$C$238))</f>
        <v/>
      </c>
      <c r="R283" s="208">
        <f>MIN(1,MAX(0,(nr_MEndP1-$G283+0.5)/$C$238))-MIN(1,MAX(0,(nr_MStartP1-1-$G283+0.5)/$C$238))</f>
        <v/>
      </c>
      <c r="S283" s="208">
        <f>IF($L$238,$N283*IF($O$238=1,$O283/$F$238,1),"")</f>
        <v/>
      </c>
      <c r="T283" s="208">
        <f>IF(NOT($L$238),"",IF($G283&lt;nr_MStartP,$S283,$T271*(1+IF($G283&lt;nr_MStartP1,$M$238,$N$238))))</f>
        <v/>
      </c>
      <c r="U283" s="208">
        <f>IF($L$238,$T283,$N283)</f>
        <v/>
      </c>
    </row>
    <row r="284">
      <c r="A284" s="145" t="n">
        <v>44</v>
      </c>
      <c r="B284" s="204">
        <f>EDATE($B283,1)</f>
        <v/>
      </c>
      <c r="C284" s="205">
        <f>EOMONTH($B284,0)</f>
        <v/>
      </c>
      <c r="D284" s="201">
        <f>$C284-$B284+1</f>
        <v/>
      </c>
      <c r="E284" s="201">
        <f>MONTH($B284)</f>
        <v/>
      </c>
      <c r="F284" s="235">
        <f>($B284+$C284+1)/2</f>
        <v/>
      </c>
      <c r="G284" s="201">
        <f>YEAR($B284)*12+MONTH($B284)-1</f>
        <v/>
      </c>
      <c r="H284" s="207">
        <f>IF(OR(nr_SeasonOn="OFF",$D$238=0,$E$238=0),1,12*INDEX(se_block,$D$238,$E284)/$E$238)</f>
        <v/>
      </c>
      <c r="I284" s="208">
        <f>EXP(SUMPRODUCT((rl_eff&lt;$B284)*(rl_key=$A$238)*rl_ln1p))</f>
        <v/>
      </c>
      <c r="J284" s="208">
        <f>EXP(SUMPRODUCT((rl_eff&lt;=$C284)*(rl_key=$A$238)*rl_ln1p))</f>
        <v/>
      </c>
      <c r="K284" s="201">
        <f>COUNTIFS(rl_key,$A$238,rl_eff,"&gt;="&amp;$B284,rl_eff,"&lt;="&amp;$C284)</f>
        <v/>
      </c>
      <c r="L284" s="201">
        <f>SUMIFS(rl_daysafter,rl_key,$A$238,rl_effmonth,$B284,rl_first,1)</f>
        <v/>
      </c>
      <c r="M284" s="209">
        <f>IF($K284=0,0,MIN(1,$L284/$D284))</f>
        <v/>
      </c>
      <c r="N284" s="208">
        <f>IF($K284=0,$J284,(1-$M284)*$I284+$M284*$J284)</f>
        <v/>
      </c>
      <c r="O284" s="209">
        <f>IF($F284&lt;$B$239,$E$239+$I$239*($F284-$A$239),IF($F284&lt;$C$239,$F$239+$J$239*($F284-$B$239),$G$239+$K$239*($F284-$C$239)))</f>
        <v/>
      </c>
      <c r="P284" s="208">
        <f>MIN(1,MAX(0,(nr_MEndPm1-$G284+0.5)/$C$238))-MIN(1,MAX(0,(nr_MStartPm1-1-$G284+0.5)/$C$238))</f>
        <v/>
      </c>
      <c r="Q284" s="208">
        <f>MIN(1,MAX(0,(nr_MEndP-$G284+0.5)/$C$238))-MIN(1,MAX(0,(nr_MStartP-1-$G284+0.5)/$C$238))</f>
        <v/>
      </c>
      <c r="R284" s="208">
        <f>MIN(1,MAX(0,(nr_MEndP1-$G284+0.5)/$C$238))-MIN(1,MAX(0,(nr_MStartP1-1-$G284+0.5)/$C$238))</f>
        <v/>
      </c>
      <c r="S284" s="208">
        <f>IF($L$238,$N284*IF($O$238=1,$O284/$F$238,1),"")</f>
        <v/>
      </c>
      <c r="T284" s="208">
        <f>IF(NOT($L$238),"",IF($G284&lt;nr_MStartP,$S284,$T272*(1+IF($G284&lt;nr_MStartP1,$M$238,$N$238))))</f>
        <v/>
      </c>
      <c r="U284" s="208">
        <f>IF($L$238,$T284,$N284)</f>
        <v/>
      </c>
    </row>
    <row r="285">
      <c r="A285" s="145" t="n">
        <v>45</v>
      </c>
      <c r="B285" s="204">
        <f>EDATE($B284,1)</f>
        <v/>
      </c>
      <c r="C285" s="205">
        <f>EOMONTH($B285,0)</f>
        <v/>
      </c>
      <c r="D285" s="201">
        <f>$C285-$B285+1</f>
        <v/>
      </c>
      <c r="E285" s="201">
        <f>MONTH($B285)</f>
        <v/>
      </c>
      <c r="F285" s="235">
        <f>($B285+$C285+1)/2</f>
        <v/>
      </c>
      <c r="G285" s="201">
        <f>YEAR($B285)*12+MONTH($B285)-1</f>
        <v/>
      </c>
      <c r="H285" s="207">
        <f>IF(OR(nr_SeasonOn="OFF",$D$238=0,$E$238=0),1,12*INDEX(se_block,$D$238,$E285)/$E$238)</f>
        <v/>
      </c>
      <c r="I285" s="208">
        <f>EXP(SUMPRODUCT((rl_eff&lt;$B285)*(rl_key=$A$238)*rl_ln1p))</f>
        <v/>
      </c>
      <c r="J285" s="208">
        <f>EXP(SUMPRODUCT((rl_eff&lt;=$C285)*(rl_key=$A$238)*rl_ln1p))</f>
        <v/>
      </c>
      <c r="K285" s="201">
        <f>COUNTIFS(rl_key,$A$238,rl_eff,"&gt;="&amp;$B285,rl_eff,"&lt;="&amp;$C285)</f>
        <v/>
      </c>
      <c r="L285" s="201">
        <f>SUMIFS(rl_daysafter,rl_key,$A$238,rl_effmonth,$B285,rl_first,1)</f>
        <v/>
      </c>
      <c r="M285" s="209">
        <f>IF($K285=0,0,MIN(1,$L285/$D285))</f>
        <v/>
      </c>
      <c r="N285" s="208">
        <f>IF($K285=0,$J285,(1-$M285)*$I285+$M285*$J285)</f>
        <v/>
      </c>
      <c r="O285" s="209">
        <f>IF($F285&lt;$B$239,$E$239+$I$239*($F285-$A$239),IF($F285&lt;$C$239,$F$239+$J$239*($F285-$B$239),$G$239+$K$239*($F285-$C$239)))</f>
        <v/>
      </c>
      <c r="P285" s="208">
        <f>MIN(1,MAX(0,(nr_MEndPm1-$G285+0.5)/$C$238))-MIN(1,MAX(0,(nr_MStartPm1-1-$G285+0.5)/$C$238))</f>
        <v/>
      </c>
      <c r="Q285" s="208">
        <f>MIN(1,MAX(0,(nr_MEndP-$G285+0.5)/$C$238))-MIN(1,MAX(0,(nr_MStartP-1-$G285+0.5)/$C$238))</f>
        <v/>
      </c>
      <c r="R285" s="208">
        <f>MIN(1,MAX(0,(nr_MEndP1-$G285+0.5)/$C$238))-MIN(1,MAX(0,(nr_MStartP1-1-$G285+0.5)/$C$238))</f>
        <v/>
      </c>
      <c r="S285" s="208">
        <f>IF($L$238,$N285*IF($O$238=1,$O285/$F$238,1),"")</f>
        <v/>
      </c>
      <c r="T285" s="208">
        <f>IF(NOT($L$238),"",IF($G285&lt;nr_MStartP,$S285,$T273*(1+IF($G285&lt;nr_MStartP1,$M$238,$N$238))))</f>
        <v/>
      </c>
      <c r="U285" s="208">
        <f>IF($L$238,$T285,$N285)</f>
        <v/>
      </c>
    </row>
    <row r="286">
      <c r="A286" s="145" t="n">
        <v>46</v>
      </c>
      <c r="B286" s="204">
        <f>EDATE($B285,1)</f>
        <v/>
      </c>
      <c r="C286" s="205">
        <f>EOMONTH($B286,0)</f>
        <v/>
      </c>
      <c r="D286" s="201">
        <f>$C286-$B286+1</f>
        <v/>
      </c>
      <c r="E286" s="201">
        <f>MONTH($B286)</f>
        <v/>
      </c>
      <c r="F286" s="235">
        <f>($B286+$C286+1)/2</f>
        <v/>
      </c>
      <c r="G286" s="201">
        <f>YEAR($B286)*12+MONTH($B286)-1</f>
        <v/>
      </c>
      <c r="H286" s="207">
        <f>IF(OR(nr_SeasonOn="OFF",$D$238=0,$E$238=0),1,12*INDEX(se_block,$D$238,$E286)/$E$238)</f>
        <v/>
      </c>
      <c r="I286" s="208">
        <f>EXP(SUMPRODUCT((rl_eff&lt;$B286)*(rl_key=$A$238)*rl_ln1p))</f>
        <v/>
      </c>
      <c r="J286" s="208">
        <f>EXP(SUMPRODUCT((rl_eff&lt;=$C286)*(rl_key=$A$238)*rl_ln1p))</f>
        <v/>
      </c>
      <c r="K286" s="201">
        <f>COUNTIFS(rl_key,$A$238,rl_eff,"&gt;="&amp;$B286,rl_eff,"&lt;="&amp;$C286)</f>
        <v/>
      </c>
      <c r="L286" s="201">
        <f>SUMIFS(rl_daysafter,rl_key,$A$238,rl_effmonth,$B286,rl_first,1)</f>
        <v/>
      </c>
      <c r="M286" s="209">
        <f>IF($K286=0,0,MIN(1,$L286/$D286))</f>
        <v/>
      </c>
      <c r="N286" s="208">
        <f>IF($K286=0,$J286,(1-$M286)*$I286+$M286*$J286)</f>
        <v/>
      </c>
      <c r="O286" s="209">
        <f>IF($F286&lt;$B$239,$E$239+$I$239*($F286-$A$239),IF($F286&lt;$C$239,$F$239+$J$239*($F286-$B$239),$G$239+$K$239*($F286-$C$239)))</f>
        <v/>
      </c>
      <c r="P286" s="208">
        <f>MIN(1,MAX(0,(nr_MEndPm1-$G286+0.5)/$C$238))-MIN(1,MAX(0,(nr_MStartPm1-1-$G286+0.5)/$C$238))</f>
        <v/>
      </c>
      <c r="Q286" s="208">
        <f>MIN(1,MAX(0,(nr_MEndP-$G286+0.5)/$C$238))-MIN(1,MAX(0,(nr_MStartP-1-$G286+0.5)/$C$238))</f>
        <v/>
      </c>
      <c r="R286" s="208">
        <f>MIN(1,MAX(0,(nr_MEndP1-$G286+0.5)/$C$238))-MIN(1,MAX(0,(nr_MStartP1-1-$G286+0.5)/$C$238))</f>
        <v/>
      </c>
      <c r="S286" s="208">
        <f>IF($L$238,$N286*IF($O$238=1,$O286/$F$238,1),"")</f>
        <v/>
      </c>
      <c r="T286" s="208">
        <f>IF(NOT($L$238),"",IF($G286&lt;nr_MStartP,$S286,$T274*(1+IF($G286&lt;nr_MStartP1,$M$238,$N$238))))</f>
        <v/>
      </c>
      <c r="U286" s="208">
        <f>IF($L$238,$T286,$N286)</f>
        <v/>
      </c>
    </row>
    <row r="287">
      <c r="A287" s="145" t="n">
        <v>47</v>
      </c>
      <c r="B287" s="204">
        <f>EDATE($B286,1)</f>
        <v/>
      </c>
      <c r="C287" s="205">
        <f>EOMONTH($B287,0)</f>
        <v/>
      </c>
      <c r="D287" s="201">
        <f>$C287-$B287+1</f>
        <v/>
      </c>
      <c r="E287" s="201">
        <f>MONTH($B287)</f>
        <v/>
      </c>
      <c r="F287" s="235">
        <f>($B287+$C287+1)/2</f>
        <v/>
      </c>
      <c r="G287" s="201">
        <f>YEAR($B287)*12+MONTH($B287)-1</f>
        <v/>
      </c>
      <c r="H287" s="207">
        <f>IF(OR(nr_SeasonOn="OFF",$D$238=0,$E$238=0),1,12*INDEX(se_block,$D$238,$E287)/$E$238)</f>
        <v/>
      </c>
      <c r="I287" s="208">
        <f>EXP(SUMPRODUCT((rl_eff&lt;$B287)*(rl_key=$A$238)*rl_ln1p))</f>
        <v/>
      </c>
      <c r="J287" s="208">
        <f>EXP(SUMPRODUCT((rl_eff&lt;=$C287)*(rl_key=$A$238)*rl_ln1p))</f>
        <v/>
      </c>
      <c r="K287" s="201">
        <f>COUNTIFS(rl_key,$A$238,rl_eff,"&gt;="&amp;$B287,rl_eff,"&lt;="&amp;$C287)</f>
        <v/>
      </c>
      <c r="L287" s="201">
        <f>SUMIFS(rl_daysafter,rl_key,$A$238,rl_effmonth,$B287,rl_first,1)</f>
        <v/>
      </c>
      <c r="M287" s="209">
        <f>IF($K287=0,0,MIN(1,$L287/$D287))</f>
        <v/>
      </c>
      <c r="N287" s="208">
        <f>IF($K287=0,$J287,(1-$M287)*$I287+$M287*$J287)</f>
        <v/>
      </c>
      <c r="O287" s="209">
        <f>IF($F287&lt;$B$239,$E$239+$I$239*($F287-$A$239),IF($F287&lt;$C$239,$F$239+$J$239*($F287-$B$239),$G$239+$K$239*($F287-$C$239)))</f>
        <v/>
      </c>
      <c r="P287" s="208">
        <f>MIN(1,MAX(0,(nr_MEndPm1-$G287+0.5)/$C$238))-MIN(1,MAX(0,(nr_MStartPm1-1-$G287+0.5)/$C$238))</f>
        <v/>
      </c>
      <c r="Q287" s="208">
        <f>MIN(1,MAX(0,(nr_MEndP-$G287+0.5)/$C$238))-MIN(1,MAX(0,(nr_MStartP-1-$G287+0.5)/$C$238))</f>
        <v/>
      </c>
      <c r="R287" s="208">
        <f>MIN(1,MAX(0,(nr_MEndP1-$G287+0.5)/$C$238))-MIN(1,MAX(0,(nr_MStartP1-1-$G287+0.5)/$C$238))</f>
        <v/>
      </c>
      <c r="S287" s="208">
        <f>IF($L$238,$N287*IF($O$238=1,$O287/$F$238,1),"")</f>
        <v/>
      </c>
      <c r="T287" s="208">
        <f>IF(NOT($L$238),"",IF($G287&lt;nr_MStartP,$S287,$T275*(1+IF($G287&lt;nr_MStartP1,$M$238,$N$238))))</f>
        <v/>
      </c>
      <c r="U287" s="208">
        <f>IF($L$238,$T287,$N287)</f>
        <v/>
      </c>
    </row>
    <row r="288">
      <c r="A288" s="145" t="n">
        <v>48</v>
      </c>
      <c r="B288" s="204">
        <f>EDATE($B287,1)</f>
        <v/>
      </c>
      <c r="C288" s="205">
        <f>EOMONTH($B288,0)</f>
        <v/>
      </c>
      <c r="D288" s="201">
        <f>$C288-$B288+1</f>
        <v/>
      </c>
      <c r="E288" s="201">
        <f>MONTH($B288)</f>
        <v/>
      </c>
      <c r="F288" s="235">
        <f>($B288+$C288+1)/2</f>
        <v/>
      </c>
      <c r="G288" s="201">
        <f>YEAR($B288)*12+MONTH($B288)-1</f>
        <v/>
      </c>
      <c r="H288" s="207">
        <f>IF(OR(nr_SeasonOn="OFF",$D$238=0,$E$238=0),1,12*INDEX(se_block,$D$238,$E288)/$E$238)</f>
        <v/>
      </c>
      <c r="I288" s="208">
        <f>EXP(SUMPRODUCT((rl_eff&lt;$B288)*(rl_key=$A$238)*rl_ln1p))</f>
        <v/>
      </c>
      <c r="J288" s="208">
        <f>EXP(SUMPRODUCT((rl_eff&lt;=$C288)*(rl_key=$A$238)*rl_ln1p))</f>
        <v/>
      </c>
      <c r="K288" s="201">
        <f>COUNTIFS(rl_key,$A$238,rl_eff,"&gt;="&amp;$B288,rl_eff,"&lt;="&amp;$C288)</f>
        <v/>
      </c>
      <c r="L288" s="201">
        <f>SUMIFS(rl_daysafter,rl_key,$A$238,rl_effmonth,$B288,rl_first,1)</f>
        <v/>
      </c>
      <c r="M288" s="209">
        <f>IF($K288=0,0,MIN(1,$L288/$D288))</f>
        <v/>
      </c>
      <c r="N288" s="208">
        <f>IF($K288=0,$J288,(1-$M288)*$I288+$M288*$J288)</f>
        <v/>
      </c>
      <c r="O288" s="209">
        <f>IF($F288&lt;$B$239,$E$239+$I$239*($F288-$A$239),IF($F288&lt;$C$239,$F$239+$J$239*($F288-$B$239),$G$239+$K$239*($F288-$C$239)))</f>
        <v/>
      </c>
      <c r="P288" s="208">
        <f>MIN(1,MAX(0,(nr_MEndPm1-$G288+0.5)/$C$238))-MIN(1,MAX(0,(nr_MStartPm1-1-$G288+0.5)/$C$238))</f>
        <v/>
      </c>
      <c r="Q288" s="208">
        <f>MIN(1,MAX(0,(nr_MEndP-$G288+0.5)/$C$238))-MIN(1,MAX(0,(nr_MStartP-1-$G288+0.5)/$C$238))</f>
        <v/>
      </c>
      <c r="R288" s="208">
        <f>MIN(1,MAX(0,(nr_MEndP1-$G288+0.5)/$C$238))-MIN(1,MAX(0,(nr_MStartP1-1-$G288+0.5)/$C$238))</f>
        <v/>
      </c>
      <c r="S288" s="208">
        <f>IF($L$238,$N288*IF($O$238=1,$O288/$F$238,1),"")</f>
        <v/>
      </c>
      <c r="T288" s="208">
        <f>IF(NOT($L$238),"",IF($G288&lt;nr_MStartP,$S288,$T276*(1+IF($G288&lt;nr_MStartP1,$M$238,$N$238))))</f>
        <v/>
      </c>
      <c r="U288" s="208">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184">
        <f>SUMPRODUCT($H$241:$H$288,$Q$241:$Q$288,$O$241:$O$288)/SUMPRODUCT($H$241:$H$288,$Q$241:$Q$288)</f>
        <v/>
      </c>
      <c r="G289" s="184">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184">
        <f>IF(N(INDEX(lr_mind,5))=0,1,INDEX(lr_mind,5))</f>
        <v/>
      </c>
      <c r="G292" s="184">
        <f>IF(N(INDEX(lr_m0,5))=0,1,INDEX(lr_m0,5))</f>
        <v/>
      </c>
      <c r="H292" s="73">
        <f>IF(N(INDEX(lr_m0asof,5))=0,DATE(nr_PlanYear-1,10,1),INDEX(lr_m0asof,5))</f>
        <v/>
      </c>
      <c r="I292" s="184">
        <f>IF(N(INDEX(lr_m1,5))=0,1,INDEX(lr_m1,5))</f>
        <v/>
      </c>
      <c r="J292" s="184">
        <f>INDEX(lr_mprior,5)</f>
        <v/>
      </c>
      <c r="K292" s="184">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145" t="n">
        <v>1</v>
      </c>
      <c r="B295" s="204">
        <f>DATE(nr_PlanYear-2,1,1)</f>
        <v/>
      </c>
      <c r="C295" s="205">
        <f>EOMONTH($B295,0)</f>
        <v/>
      </c>
      <c r="D295" s="201">
        <f>$C295-$B295+1</f>
        <v/>
      </c>
      <c r="E295" s="201">
        <f>MONTH($B295)</f>
        <v/>
      </c>
      <c r="F295" s="235">
        <f>($B295+$C295+1)/2</f>
        <v/>
      </c>
      <c r="G295" s="201">
        <f>YEAR($B295)*12+MONTH($B295)-1</f>
        <v/>
      </c>
      <c r="H295" s="207">
        <f>IF(OR(nr_SeasonOn="OFF",$D$292=0,$E$292=0),1,12*INDEX(se_block,$D$292,$E295)/$E$292)</f>
        <v/>
      </c>
      <c r="I295" s="208">
        <f>EXP(SUMPRODUCT((rl_eff&lt;$B295)*(rl_key=$A$292)*rl_ln1p))</f>
        <v/>
      </c>
      <c r="J295" s="208">
        <f>EXP(SUMPRODUCT((rl_eff&lt;=$C295)*(rl_key=$A$292)*rl_ln1p))</f>
        <v/>
      </c>
      <c r="K295" s="201">
        <f>COUNTIFS(rl_key,$A$292,rl_eff,"&gt;="&amp;$B295,rl_eff,"&lt;="&amp;$C295)</f>
        <v/>
      </c>
      <c r="L295" s="201">
        <f>SUMIFS(rl_daysafter,rl_key,$A$292,rl_effmonth,$B295,rl_first,1)</f>
        <v/>
      </c>
      <c r="M295" s="209">
        <f>IF($K295=0,0,MIN(1,$L295/$D295))</f>
        <v/>
      </c>
      <c r="N295" s="208">
        <f>IF($K295=0,$J295,(1-$M295)*$I295+$M295*$J295)</f>
        <v/>
      </c>
      <c r="O295" s="209">
        <f>IF($F295&lt;$B$293,$E$293+$I$293*($F295-$A$293),IF($F295&lt;$C$293,$F$293+$J$293*($F295-$B$293),$G$293+$K$293*($F295-$C$293)))</f>
        <v/>
      </c>
      <c r="P295" s="208">
        <f>MIN(1,MAX(0,(nr_MEndPm1-$G295+0.5)/$C$292))-MIN(1,MAX(0,(nr_MStartPm1-1-$G295+0.5)/$C$292))</f>
        <v/>
      </c>
      <c r="Q295" s="208">
        <f>MIN(1,MAX(0,(nr_MEndP-$G295+0.5)/$C$292))-MIN(1,MAX(0,(nr_MStartP-1-$G295+0.5)/$C$292))</f>
        <v/>
      </c>
      <c r="R295" s="208">
        <f>MIN(1,MAX(0,(nr_MEndP1-$G295+0.5)/$C$292))-MIN(1,MAX(0,(nr_MStartP1-1-$G295+0.5)/$C$292))</f>
        <v/>
      </c>
      <c r="S295" s="208">
        <f>IF($L$292,$N295*IF($O$292=1,$O295/$F$292,1),"")</f>
        <v/>
      </c>
      <c r="T295" s="208">
        <f>IF(NOT($L$292),"",IF($G295&lt;nr_MStartP,$S295,$T283*(1+IF($G295&lt;nr_MStartP1,$M$292,$N$292))))</f>
        <v/>
      </c>
      <c r="U295" s="208">
        <f>IF($L$292,$T295,$N295)</f>
        <v/>
      </c>
    </row>
    <row r="296">
      <c r="A296" s="145" t="n">
        <v>2</v>
      </c>
      <c r="B296" s="204">
        <f>EDATE($B295,1)</f>
        <v/>
      </c>
      <c r="C296" s="205">
        <f>EOMONTH($B296,0)</f>
        <v/>
      </c>
      <c r="D296" s="201">
        <f>$C296-$B296+1</f>
        <v/>
      </c>
      <c r="E296" s="201">
        <f>MONTH($B296)</f>
        <v/>
      </c>
      <c r="F296" s="235">
        <f>($B296+$C296+1)/2</f>
        <v/>
      </c>
      <c r="G296" s="201">
        <f>YEAR($B296)*12+MONTH($B296)-1</f>
        <v/>
      </c>
      <c r="H296" s="207">
        <f>IF(OR(nr_SeasonOn="OFF",$D$292=0,$E$292=0),1,12*INDEX(se_block,$D$292,$E296)/$E$292)</f>
        <v/>
      </c>
      <c r="I296" s="208">
        <f>EXP(SUMPRODUCT((rl_eff&lt;$B296)*(rl_key=$A$292)*rl_ln1p))</f>
        <v/>
      </c>
      <c r="J296" s="208">
        <f>EXP(SUMPRODUCT((rl_eff&lt;=$C296)*(rl_key=$A$292)*rl_ln1p))</f>
        <v/>
      </c>
      <c r="K296" s="201">
        <f>COUNTIFS(rl_key,$A$292,rl_eff,"&gt;="&amp;$B296,rl_eff,"&lt;="&amp;$C296)</f>
        <v/>
      </c>
      <c r="L296" s="201">
        <f>SUMIFS(rl_daysafter,rl_key,$A$292,rl_effmonth,$B296,rl_first,1)</f>
        <v/>
      </c>
      <c r="M296" s="209">
        <f>IF($K296=0,0,MIN(1,$L296/$D296))</f>
        <v/>
      </c>
      <c r="N296" s="208">
        <f>IF($K296=0,$J296,(1-$M296)*$I296+$M296*$J296)</f>
        <v/>
      </c>
      <c r="O296" s="209">
        <f>IF($F296&lt;$B$293,$E$293+$I$293*($F296-$A$293),IF($F296&lt;$C$293,$F$293+$J$293*($F296-$B$293),$G$293+$K$293*($F296-$C$293)))</f>
        <v/>
      </c>
      <c r="P296" s="208">
        <f>MIN(1,MAX(0,(nr_MEndPm1-$G296+0.5)/$C$292))-MIN(1,MAX(0,(nr_MStartPm1-1-$G296+0.5)/$C$292))</f>
        <v/>
      </c>
      <c r="Q296" s="208">
        <f>MIN(1,MAX(0,(nr_MEndP-$G296+0.5)/$C$292))-MIN(1,MAX(0,(nr_MStartP-1-$G296+0.5)/$C$292))</f>
        <v/>
      </c>
      <c r="R296" s="208">
        <f>MIN(1,MAX(0,(nr_MEndP1-$G296+0.5)/$C$292))-MIN(1,MAX(0,(nr_MStartP1-1-$G296+0.5)/$C$292))</f>
        <v/>
      </c>
      <c r="S296" s="208">
        <f>IF($L$292,$N296*IF($O$292=1,$O296/$F$292,1),"")</f>
        <v/>
      </c>
      <c r="T296" s="208">
        <f>IF(NOT($L$292),"",IF($G296&lt;nr_MStartP,$S296,$T284*(1+IF($G296&lt;nr_MStartP1,$M$292,$N$292))))</f>
        <v/>
      </c>
      <c r="U296" s="208">
        <f>IF($L$292,$T296,$N296)</f>
        <v/>
      </c>
    </row>
    <row r="297">
      <c r="A297" s="145" t="n">
        <v>3</v>
      </c>
      <c r="B297" s="204">
        <f>EDATE($B296,1)</f>
        <v/>
      </c>
      <c r="C297" s="205">
        <f>EOMONTH($B297,0)</f>
        <v/>
      </c>
      <c r="D297" s="201">
        <f>$C297-$B297+1</f>
        <v/>
      </c>
      <c r="E297" s="201">
        <f>MONTH($B297)</f>
        <v/>
      </c>
      <c r="F297" s="235">
        <f>($B297+$C297+1)/2</f>
        <v/>
      </c>
      <c r="G297" s="201">
        <f>YEAR($B297)*12+MONTH($B297)-1</f>
        <v/>
      </c>
      <c r="H297" s="207">
        <f>IF(OR(nr_SeasonOn="OFF",$D$292=0,$E$292=0),1,12*INDEX(se_block,$D$292,$E297)/$E$292)</f>
        <v/>
      </c>
      <c r="I297" s="208">
        <f>EXP(SUMPRODUCT((rl_eff&lt;$B297)*(rl_key=$A$292)*rl_ln1p))</f>
        <v/>
      </c>
      <c r="J297" s="208">
        <f>EXP(SUMPRODUCT((rl_eff&lt;=$C297)*(rl_key=$A$292)*rl_ln1p))</f>
        <v/>
      </c>
      <c r="K297" s="201">
        <f>COUNTIFS(rl_key,$A$292,rl_eff,"&gt;="&amp;$B297,rl_eff,"&lt;="&amp;$C297)</f>
        <v/>
      </c>
      <c r="L297" s="201">
        <f>SUMIFS(rl_daysafter,rl_key,$A$292,rl_effmonth,$B297,rl_first,1)</f>
        <v/>
      </c>
      <c r="M297" s="209">
        <f>IF($K297=0,0,MIN(1,$L297/$D297))</f>
        <v/>
      </c>
      <c r="N297" s="208">
        <f>IF($K297=0,$J297,(1-$M297)*$I297+$M297*$J297)</f>
        <v/>
      </c>
      <c r="O297" s="209">
        <f>IF($F297&lt;$B$293,$E$293+$I$293*($F297-$A$293),IF($F297&lt;$C$293,$F$293+$J$293*($F297-$B$293),$G$293+$K$293*($F297-$C$293)))</f>
        <v/>
      </c>
      <c r="P297" s="208">
        <f>MIN(1,MAX(0,(nr_MEndPm1-$G297+0.5)/$C$292))-MIN(1,MAX(0,(nr_MStartPm1-1-$G297+0.5)/$C$292))</f>
        <v/>
      </c>
      <c r="Q297" s="208">
        <f>MIN(1,MAX(0,(nr_MEndP-$G297+0.5)/$C$292))-MIN(1,MAX(0,(nr_MStartP-1-$G297+0.5)/$C$292))</f>
        <v/>
      </c>
      <c r="R297" s="208">
        <f>MIN(1,MAX(0,(nr_MEndP1-$G297+0.5)/$C$292))-MIN(1,MAX(0,(nr_MStartP1-1-$G297+0.5)/$C$292))</f>
        <v/>
      </c>
      <c r="S297" s="208">
        <f>IF($L$292,$N297*IF($O$292=1,$O297/$F$292,1),"")</f>
        <v/>
      </c>
      <c r="T297" s="208">
        <f>IF(NOT($L$292),"",IF($G297&lt;nr_MStartP,$S297,$T285*(1+IF($G297&lt;nr_MStartP1,$M$292,$N$292))))</f>
        <v/>
      </c>
      <c r="U297" s="208">
        <f>IF($L$292,$T297,$N297)</f>
        <v/>
      </c>
    </row>
    <row r="298">
      <c r="A298" s="145" t="n">
        <v>4</v>
      </c>
      <c r="B298" s="204">
        <f>EDATE($B297,1)</f>
        <v/>
      </c>
      <c r="C298" s="205">
        <f>EOMONTH($B298,0)</f>
        <v/>
      </c>
      <c r="D298" s="201">
        <f>$C298-$B298+1</f>
        <v/>
      </c>
      <c r="E298" s="201">
        <f>MONTH($B298)</f>
        <v/>
      </c>
      <c r="F298" s="235">
        <f>($B298+$C298+1)/2</f>
        <v/>
      </c>
      <c r="G298" s="201">
        <f>YEAR($B298)*12+MONTH($B298)-1</f>
        <v/>
      </c>
      <c r="H298" s="207">
        <f>IF(OR(nr_SeasonOn="OFF",$D$292=0,$E$292=0),1,12*INDEX(se_block,$D$292,$E298)/$E$292)</f>
        <v/>
      </c>
      <c r="I298" s="208">
        <f>EXP(SUMPRODUCT((rl_eff&lt;$B298)*(rl_key=$A$292)*rl_ln1p))</f>
        <v/>
      </c>
      <c r="J298" s="208">
        <f>EXP(SUMPRODUCT((rl_eff&lt;=$C298)*(rl_key=$A$292)*rl_ln1p))</f>
        <v/>
      </c>
      <c r="K298" s="201">
        <f>COUNTIFS(rl_key,$A$292,rl_eff,"&gt;="&amp;$B298,rl_eff,"&lt;="&amp;$C298)</f>
        <v/>
      </c>
      <c r="L298" s="201">
        <f>SUMIFS(rl_daysafter,rl_key,$A$292,rl_effmonth,$B298,rl_first,1)</f>
        <v/>
      </c>
      <c r="M298" s="209">
        <f>IF($K298=0,0,MIN(1,$L298/$D298))</f>
        <v/>
      </c>
      <c r="N298" s="208">
        <f>IF($K298=0,$J298,(1-$M298)*$I298+$M298*$J298)</f>
        <v/>
      </c>
      <c r="O298" s="209">
        <f>IF($F298&lt;$B$293,$E$293+$I$293*($F298-$A$293),IF($F298&lt;$C$293,$F$293+$J$293*($F298-$B$293),$G$293+$K$293*($F298-$C$293)))</f>
        <v/>
      </c>
      <c r="P298" s="208">
        <f>MIN(1,MAX(0,(nr_MEndPm1-$G298+0.5)/$C$292))-MIN(1,MAX(0,(nr_MStartPm1-1-$G298+0.5)/$C$292))</f>
        <v/>
      </c>
      <c r="Q298" s="208">
        <f>MIN(1,MAX(0,(nr_MEndP-$G298+0.5)/$C$292))-MIN(1,MAX(0,(nr_MStartP-1-$G298+0.5)/$C$292))</f>
        <v/>
      </c>
      <c r="R298" s="208">
        <f>MIN(1,MAX(0,(nr_MEndP1-$G298+0.5)/$C$292))-MIN(1,MAX(0,(nr_MStartP1-1-$G298+0.5)/$C$292))</f>
        <v/>
      </c>
      <c r="S298" s="208">
        <f>IF($L$292,$N298*IF($O$292=1,$O298/$F$292,1),"")</f>
        <v/>
      </c>
      <c r="T298" s="208">
        <f>IF(NOT($L$292),"",IF($G298&lt;nr_MStartP,$S298,$T286*(1+IF($G298&lt;nr_MStartP1,$M$292,$N$292))))</f>
        <v/>
      </c>
      <c r="U298" s="208">
        <f>IF($L$292,$T298,$N298)</f>
        <v/>
      </c>
    </row>
    <row r="299">
      <c r="A299" s="145" t="n">
        <v>5</v>
      </c>
      <c r="B299" s="204">
        <f>EDATE($B298,1)</f>
        <v/>
      </c>
      <c r="C299" s="205">
        <f>EOMONTH($B299,0)</f>
        <v/>
      </c>
      <c r="D299" s="201">
        <f>$C299-$B299+1</f>
        <v/>
      </c>
      <c r="E299" s="201">
        <f>MONTH($B299)</f>
        <v/>
      </c>
      <c r="F299" s="235">
        <f>($B299+$C299+1)/2</f>
        <v/>
      </c>
      <c r="G299" s="201">
        <f>YEAR($B299)*12+MONTH($B299)-1</f>
        <v/>
      </c>
      <c r="H299" s="207">
        <f>IF(OR(nr_SeasonOn="OFF",$D$292=0,$E$292=0),1,12*INDEX(se_block,$D$292,$E299)/$E$292)</f>
        <v/>
      </c>
      <c r="I299" s="208">
        <f>EXP(SUMPRODUCT((rl_eff&lt;$B299)*(rl_key=$A$292)*rl_ln1p))</f>
        <v/>
      </c>
      <c r="J299" s="208">
        <f>EXP(SUMPRODUCT((rl_eff&lt;=$C299)*(rl_key=$A$292)*rl_ln1p))</f>
        <v/>
      </c>
      <c r="K299" s="201">
        <f>COUNTIFS(rl_key,$A$292,rl_eff,"&gt;="&amp;$B299,rl_eff,"&lt;="&amp;$C299)</f>
        <v/>
      </c>
      <c r="L299" s="201">
        <f>SUMIFS(rl_daysafter,rl_key,$A$292,rl_effmonth,$B299,rl_first,1)</f>
        <v/>
      </c>
      <c r="M299" s="209">
        <f>IF($K299=0,0,MIN(1,$L299/$D299))</f>
        <v/>
      </c>
      <c r="N299" s="208">
        <f>IF($K299=0,$J299,(1-$M299)*$I299+$M299*$J299)</f>
        <v/>
      </c>
      <c r="O299" s="209">
        <f>IF($F299&lt;$B$293,$E$293+$I$293*($F299-$A$293),IF($F299&lt;$C$293,$F$293+$J$293*($F299-$B$293),$G$293+$K$293*($F299-$C$293)))</f>
        <v/>
      </c>
      <c r="P299" s="208">
        <f>MIN(1,MAX(0,(nr_MEndPm1-$G299+0.5)/$C$292))-MIN(1,MAX(0,(nr_MStartPm1-1-$G299+0.5)/$C$292))</f>
        <v/>
      </c>
      <c r="Q299" s="208">
        <f>MIN(1,MAX(0,(nr_MEndP-$G299+0.5)/$C$292))-MIN(1,MAX(0,(nr_MStartP-1-$G299+0.5)/$C$292))</f>
        <v/>
      </c>
      <c r="R299" s="208">
        <f>MIN(1,MAX(0,(nr_MEndP1-$G299+0.5)/$C$292))-MIN(1,MAX(0,(nr_MStartP1-1-$G299+0.5)/$C$292))</f>
        <v/>
      </c>
      <c r="S299" s="208">
        <f>IF($L$292,$N299*IF($O$292=1,$O299/$F$292,1),"")</f>
        <v/>
      </c>
      <c r="T299" s="208">
        <f>IF(NOT($L$292),"",IF($G299&lt;nr_MStartP,$S299,$T287*(1+IF($G299&lt;nr_MStartP1,$M$292,$N$292))))</f>
        <v/>
      </c>
      <c r="U299" s="208">
        <f>IF($L$292,$T299,$N299)</f>
        <v/>
      </c>
    </row>
    <row r="300">
      <c r="A300" s="145" t="n">
        <v>6</v>
      </c>
      <c r="B300" s="204">
        <f>EDATE($B299,1)</f>
        <v/>
      </c>
      <c r="C300" s="205">
        <f>EOMONTH($B300,0)</f>
        <v/>
      </c>
      <c r="D300" s="201">
        <f>$C300-$B300+1</f>
        <v/>
      </c>
      <c r="E300" s="201">
        <f>MONTH($B300)</f>
        <v/>
      </c>
      <c r="F300" s="235">
        <f>($B300+$C300+1)/2</f>
        <v/>
      </c>
      <c r="G300" s="201">
        <f>YEAR($B300)*12+MONTH($B300)-1</f>
        <v/>
      </c>
      <c r="H300" s="207">
        <f>IF(OR(nr_SeasonOn="OFF",$D$292=0,$E$292=0),1,12*INDEX(se_block,$D$292,$E300)/$E$292)</f>
        <v/>
      </c>
      <c r="I300" s="208">
        <f>EXP(SUMPRODUCT((rl_eff&lt;$B300)*(rl_key=$A$292)*rl_ln1p))</f>
        <v/>
      </c>
      <c r="J300" s="208">
        <f>EXP(SUMPRODUCT((rl_eff&lt;=$C300)*(rl_key=$A$292)*rl_ln1p))</f>
        <v/>
      </c>
      <c r="K300" s="201">
        <f>COUNTIFS(rl_key,$A$292,rl_eff,"&gt;="&amp;$B300,rl_eff,"&lt;="&amp;$C300)</f>
        <v/>
      </c>
      <c r="L300" s="201">
        <f>SUMIFS(rl_daysafter,rl_key,$A$292,rl_effmonth,$B300,rl_first,1)</f>
        <v/>
      </c>
      <c r="M300" s="209">
        <f>IF($K300=0,0,MIN(1,$L300/$D300))</f>
        <v/>
      </c>
      <c r="N300" s="208">
        <f>IF($K300=0,$J300,(1-$M300)*$I300+$M300*$J300)</f>
        <v/>
      </c>
      <c r="O300" s="209">
        <f>IF($F300&lt;$B$293,$E$293+$I$293*($F300-$A$293),IF($F300&lt;$C$293,$F$293+$J$293*($F300-$B$293),$G$293+$K$293*($F300-$C$293)))</f>
        <v/>
      </c>
      <c r="P300" s="208">
        <f>MIN(1,MAX(0,(nr_MEndPm1-$G300+0.5)/$C$292))-MIN(1,MAX(0,(nr_MStartPm1-1-$G300+0.5)/$C$292))</f>
        <v/>
      </c>
      <c r="Q300" s="208">
        <f>MIN(1,MAX(0,(nr_MEndP-$G300+0.5)/$C$292))-MIN(1,MAX(0,(nr_MStartP-1-$G300+0.5)/$C$292))</f>
        <v/>
      </c>
      <c r="R300" s="208">
        <f>MIN(1,MAX(0,(nr_MEndP1-$G300+0.5)/$C$292))-MIN(1,MAX(0,(nr_MStartP1-1-$G300+0.5)/$C$292))</f>
        <v/>
      </c>
      <c r="S300" s="208">
        <f>IF($L$292,$N300*IF($O$292=1,$O300/$F$292,1),"")</f>
        <v/>
      </c>
      <c r="T300" s="208">
        <f>IF(NOT($L$292),"",IF($G300&lt;nr_MStartP,$S300,$T288*(1+IF($G300&lt;nr_MStartP1,$M$292,$N$292))))</f>
        <v/>
      </c>
      <c r="U300" s="208">
        <f>IF($L$292,$T300,$N300)</f>
        <v/>
      </c>
    </row>
    <row r="301">
      <c r="A301" s="145" t="n">
        <v>7</v>
      </c>
      <c r="B301" s="204">
        <f>EDATE($B300,1)</f>
        <v/>
      </c>
      <c r="C301" s="205">
        <f>EOMONTH($B301,0)</f>
        <v/>
      </c>
      <c r="D301" s="201">
        <f>$C301-$B301+1</f>
        <v/>
      </c>
      <c r="E301" s="201">
        <f>MONTH($B301)</f>
        <v/>
      </c>
      <c r="F301" s="235">
        <f>($B301+$C301+1)/2</f>
        <v/>
      </c>
      <c r="G301" s="201">
        <f>YEAR($B301)*12+MONTH($B301)-1</f>
        <v/>
      </c>
      <c r="H301" s="207">
        <f>IF(OR(nr_SeasonOn="OFF",$D$292=0,$E$292=0),1,12*INDEX(se_block,$D$292,$E301)/$E$292)</f>
        <v/>
      </c>
      <c r="I301" s="208">
        <f>EXP(SUMPRODUCT((rl_eff&lt;$B301)*(rl_key=$A$292)*rl_ln1p))</f>
        <v/>
      </c>
      <c r="J301" s="208">
        <f>EXP(SUMPRODUCT((rl_eff&lt;=$C301)*(rl_key=$A$292)*rl_ln1p))</f>
        <v/>
      </c>
      <c r="K301" s="201">
        <f>COUNTIFS(rl_key,$A$292,rl_eff,"&gt;="&amp;$B301,rl_eff,"&lt;="&amp;$C301)</f>
        <v/>
      </c>
      <c r="L301" s="201">
        <f>SUMIFS(rl_daysafter,rl_key,$A$292,rl_effmonth,$B301,rl_first,1)</f>
        <v/>
      </c>
      <c r="M301" s="209">
        <f>IF($K301=0,0,MIN(1,$L301/$D301))</f>
        <v/>
      </c>
      <c r="N301" s="208">
        <f>IF($K301=0,$J301,(1-$M301)*$I301+$M301*$J301)</f>
        <v/>
      </c>
      <c r="O301" s="209">
        <f>IF($F301&lt;$B$293,$E$293+$I$293*($F301-$A$293),IF($F301&lt;$C$293,$F$293+$J$293*($F301-$B$293),$G$293+$K$293*($F301-$C$293)))</f>
        <v/>
      </c>
      <c r="P301" s="208">
        <f>MIN(1,MAX(0,(nr_MEndPm1-$G301+0.5)/$C$292))-MIN(1,MAX(0,(nr_MStartPm1-1-$G301+0.5)/$C$292))</f>
        <v/>
      </c>
      <c r="Q301" s="208">
        <f>MIN(1,MAX(0,(nr_MEndP-$G301+0.5)/$C$292))-MIN(1,MAX(0,(nr_MStartP-1-$G301+0.5)/$C$292))</f>
        <v/>
      </c>
      <c r="R301" s="208">
        <f>MIN(1,MAX(0,(nr_MEndP1-$G301+0.5)/$C$292))-MIN(1,MAX(0,(nr_MStartP1-1-$G301+0.5)/$C$292))</f>
        <v/>
      </c>
      <c r="S301" s="208">
        <f>IF($L$292,$N301*IF($O$292=1,$O301/$F$292,1),"")</f>
        <v/>
      </c>
      <c r="T301" s="208">
        <f>IF(NOT($L$292),"",IF($G301&lt;nr_MStartP,$S301,$T289*(1+IF($G301&lt;nr_MStartP1,$M$292,$N$292))))</f>
        <v/>
      </c>
      <c r="U301" s="208">
        <f>IF($L$292,$T301,$N301)</f>
        <v/>
      </c>
    </row>
    <row r="302">
      <c r="A302" s="145" t="n">
        <v>8</v>
      </c>
      <c r="B302" s="204">
        <f>EDATE($B301,1)</f>
        <v/>
      </c>
      <c r="C302" s="205">
        <f>EOMONTH($B302,0)</f>
        <v/>
      </c>
      <c r="D302" s="201">
        <f>$C302-$B302+1</f>
        <v/>
      </c>
      <c r="E302" s="201">
        <f>MONTH($B302)</f>
        <v/>
      </c>
      <c r="F302" s="235">
        <f>($B302+$C302+1)/2</f>
        <v/>
      </c>
      <c r="G302" s="201">
        <f>YEAR($B302)*12+MONTH($B302)-1</f>
        <v/>
      </c>
      <c r="H302" s="207">
        <f>IF(OR(nr_SeasonOn="OFF",$D$292=0,$E$292=0),1,12*INDEX(se_block,$D$292,$E302)/$E$292)</f>
        <v/>
      </c>
      <c r="I302" s="208">
        <f>EXP(SUMPRODUCT((rl_eff&lt;$B302)*(rl_key=$A$292)*rl_ln1p))</f>
        <v/>
      </c>
      <c r="J302" s="208">
        <f>EXP(SUMPRODUCT((rl_eff&lt;=$C302)*(rl_key=$A$292)*rl_ln1p))</f>
        <v/>
      </c>
      <c r="K302" s="201">
        <f>COUNTIFS(rl_key,$A$292,rl_eff,"&gt;="&amp;$B302,rl_eff,"&lt;="&amp;$C302)</f>
        <v/>
      </c>
      <c r="L302" s="201">
        <f>SUMIFS(rl_daysafter,rl_key,$A$292,rl_effmonth,$B302,rl_first,1)</f>
        <v/>
      </c>
      <c r="M302" s="209">
        <f>IF($K302=0,0,MIN(1,$L302/$D302))</f>
        <v/>
      </c>
      <c r="N302" s="208">
        <f>IF($K302=0,$J302,(1-$M302)*$I302+$M302*$J302)</f>
        <v/>
      </c>
      <c r="O302" s="209">
        <f>IF($F302&lt;$B$293,$E$293+$I$293*($F302-$A$293),IF($F302&lt;$C$293,$F$293+$J$293*($F302-$B$293),$G$293+$K$293*($F302-$C$293)))</f>
        <v/>
      </c>
      <c r="P302" s="208">
        <f>MIN(1,MAX(0,(nr_MEndPm1-$G302+0.5)/$C$292))-MIN(1,MAX(0,(nr_MStartPm1-1-$G302+0.5)/$C$292))</f>
        <v/>
      </c>
      <c r="Q302" s="208">
        <f>MIN(1,MAX(0,(nr_MEndP-$G302+0.5)/$C$292))-MIN(1,MAX(0,(nr_MStartP-1-$G302+0.5)/$C$292))</f>
        <v/>
      </c>
      <c r="R302" s="208">
        <f>MIN(1,MAX(0,(nr_MEndP1-$G302+0.5)/$C$292))-MIN(1,MAX(0,(nr_MStartP1-1-$G302+0.5)/$C$292))</f>
        <v/>
      </c>
      <c r="S302" s="208">
        <f>IF($L$292,$N302*IF($O$292=1,$O302/$F$292,1),"")</f>
        <v/>
      </c>
      <c r="T302" s="208">
        <f>IF(NOT($L$292),"",IF($G302&lt;nr_MStartP,$S302,$T290*(1+IF($G302&lt;nr_MStartP1,$M$292,$N$292))))</f>
        <v/>
      </c>
      <c r="U302" s="208">
        <f>IF($L$292,$T302,$N302)</f>
        <v/>
      </c>
    </row>
    <row r="303">
      <c r="A303" s="145" t="n">
        <v>9</v>
      </c>
      <c r="B303" s="204">
        <f>EDATE($B302,1)</f>
        <v/>
      </c>
      <c r="C303" s="205">
        <f>EOMONTH($B303,0)</f>
        <v/>
      </c>
      <c r="D303" s="201">
        <f>$C303-$B303+1</f>
        <v/>
      </c>
      <c r="E303" s="201">
        <f>MONTH($B303)</f>
        <v/>
      </c>
      <c r="F303" s="235">
        <f>($B303+$C303+1)/2</f>
        <v/>
      </c>
      <c r="G303" s="201">
        <f>YEAR($B303)*12+MONTH($B303)-1</f>
        <v/>
      </c>
      <c r="H303" s="207">
        <f>IF(OR(nr_SeasonOn="OFF",$D$292=0,$E$292=0),1,12*INDEX(se_block,$D$292,$E303)/$E$292)</f>
        <v/>
      </c>
      <c r="I303" s="208">
        <f>EXP(SUMPRODUCT((rl_eff&lt;$B303)*(rl_key=$A$292)*rl_ln1p))</f>
        <v/>
      </c>
      <c r="J303" s="208">
        <f>EXP(SUMPRODUCT((rl_eff&lt;=$C303)*(rl_key=$A$292)*rl_ln1p))</f>
        <v/>
      </c>
      <c r="K303" s="201">
        <f>COUNTIFS(rl_key,$A$292,rl_eff,"&gt;="&amp;$B303,rl_eff,"&lt;="&amp;$C303)</f>
        <v/>
      </c>
      <c r="L303" s="201">
        <f>SUMIFS(rl_daysafter,rl_key,$A$292,rl_effmonth,$B303,rl_first,1)</f>
        <v/>
      </c>
      <c r="M303" s="209">
        <f>IF($K303=0,0,MIN(1,$L303/$D303))</f>
        <v/>
      </c>
      <c r="N303" s="208">
        <f>IF($K303=0,$J303,(1-$M303)*$I303+$M303*$J303)</f>
        <v/>
      </c>
      <c r="O303" s="209">
        <f>IF($F303&lt;$B$293,$E$293+$I$293*($F303-$A$293),IF($F303&lt;$C$293,$F$293+$J$293*($F303-$B$293),$G$293+$K$293*($F303-$C$293)))</f>
        <v/>
      </c>
      <c r="P303" s="208">
        <f>MIN(1,MAX(0,(nr_MEndPm1-$G303+0.5)/$C$292))-MIN(1,MAX(0,(nr_MStartPm1-1-$G303+0.5)/$C$292))</f>
        <v/>
      </c>
      <c r="Q303" s="208">
        <f>MIN(1,MAX(0,(nr_MEndP-$G303+0.5)/$C$292))-MIN(1,MAX(0,(nr_MStartP-1-$G303+0.5)/$C$292))</f>
        <v/>
      </c>
      <c r="R303" s="208">
        <f>MIN(1,MAX(0,(nr_MEndP1-$G303+0.5)/$C$292))-MIN(1,MAX(0,(nr_MStartP1-1-$G303+0.5)/$C$292))</f>
        <v/>
      </c>
      <c r="S303" s="208">
        <f>IF($L$292,$N303*IF($O$292=1,$O303/$F$292,1),"")</f>
        <v/>
      </c>
      <c r="T303" s="208">
        <f>IF(NOT($L$292),"",IF($G303&lt;nr_MStartP,$S303,$T291*(1+IF($G303&lt;nr_MStartP1,$M$292,$N$292))))</f>
        <v/>
      </c>
      <c r="U303" s="208">
        <f>IF($L$292,$T303,$N303)</f>
        <v/>
      </c>
    </row>
    <row r="304">
      <c r="A304" s="145" t="n">
        <v>10</v>
      </c>
      <c r="B304" s="204">
        <f>EDATE($B303,1)</f>
        <v/>
      </c>
      <c r="C304" s="205">
        <f>EOMONTH($B304,0)</f>
        <v/>
      </c>
      <c r="D304" s="201">
        <f>$C304-$B304+1</f>
        <v/>
      </c>
      <c r="E304" s="201">
        <f>MONTH($B304)</f>
        <v/>
      </c>
      <c r="F304" s="235">
        <f>($B304+$C304+1)/2</f>
        <v/>
      </c>
      <c r="G304" s="201">
        <f>YEAR($B304)*12+MONTH($B304)-1</f>
        <v/>
      </c>
      <c r="H304" s="207">
        <f>IF(OR(nr_SeasonOn="OFF",$D$292=0,$E$292=0),1,12*INDEX(se_block,$D$292,$E304)/$E$292)</f>
        <v/>
      </c>
      <c r="I304" s="208">
        <f>EXP(SUMPRODUCT((rl_eff&lt;$B304)*(rl_key=$A$292)*rl_ln1p))</f>
        <v/>
      </c>
      <c r="J304" s="208">
        <f>EXP(SUMPRODUCT((rl_eff&lt;=$C304)*(rl_key=$A$292)*rl_ln1p))</f>
        <v/>
      </c>
      <c r="K304" s="201">
        <f>COUNTIFS(rl_key,$A$292,rl_eff,"&gt;="&amp;$B304,rl_eff,"&lt;="&amp;$C304)</f>
        <v/>
      </c>
      <c r="L304" s="201">
        <f>SUMIFS(rl_daysafter,rl_key,$A$292,rl_effmonth,$B304,rl_first,1)</f>
        <v/>
      </c>
      <c r="M304" s="209">
        <f>IF($K304=0,0,MIN(1,$L304/$D304))</f>
        <v/>
      </c>
      <c r="N304" s="208">
        <f>IF($K304=0,$J304,(1-$M304)*$I304+$M304*$J304)</f>
        <v/>
      </c>
      <c r="O304" s="209">
        <f>IF($F304&lt;$B$293,$E$293+$I$293*($F304-$A$293),IF($F304&lt;$C$293,$F$293+$J$293*($F304-$B$293),$G$293+$K$293*($F304-$C$293)))</f>
        <v/>
      </c>
      <c r="P304" s="208">
        <f>MIN(1,MAX(0,(nr_MEndPm1-$G304+0.5)/$C$292))-MIN(1,MAX(0,(nr_MStartPm1-1-$G304+0.5)/$C$292))</f>
        <v/>
      </c>
      <c r="Q304" s="208">
        <f>MIN(1,MAX(0,(nr_MEndP-$G304+0.5)/$C$292))-MIN(1,MAX(0,(nr_MStartP-1-$G304+0.5)/$C$292))</f>
        <v/>
      </c>
      <c r="R304" s="208">
        <f>MIN(1,MAX(0,(nr_MEndP1-$G304+0.5)/$C$292))-MIN(1,MAX(0,(nr_MStartP1-1-$G304+0.5)/$C$292))</f>
        <v/>
      </c>
      <c r="S304" s="208">
        <f>IF($L$292,$N304*IF($O$292=1,$O304/$F$292,1),"")</f>
        <v/>
      </c>
      <c r="T304" s="208">
        <f>IF(NOT($L$292),"",IF($G304&lt;nr_MStartP,$S304,$T292*(1+IF($G304&lt;nr_MStartP1,$M$292,$N$292))))</f>
        <v/>
      </c>
      <c r="U304" s="208">
        <f>IF($L$292,$T304,$N304)</f>
        <v/>
      </c>
    </row>
    <row r="305">
      <c r="A305" s="145" t="n">
        <v>11</v>
      </c>
      <c r="B305" s="204">
        <f>EDATE($B304,1)</f>
        <v/>
      </c>
      <c r="C305" s="205">
        <f>EOMONTH($B305,0)</f>
        <v/>
      </c>
      <c r="D305" s="201">
        <f>$C305-$B305+1</f>
        <v/>
      </c>
      <c r="E305" s="201">
        <f>MONTH($B305)</f>
        <v/>
      </c>
      <c r="F305" s="235">
        <f>($B305+$C305+1)/2</f>
        <v/>
      </c>
      <c r="G305" s="201">
        <f>YEAR($B305)*12+MONTH($B305)-1</f>
        <v/>
      </c>
      <c r="H305" s="207">
        <f>IF(OR(nr_SeasonOn="OFF",$D$292=0,$E$292=0),1,12*INDEX(se_block,$D$292,$E305)/$E$292)</f>
        <v/>
      </c>
      <c r="I305" s="208">
        <f>EXP(SUMPRODUCT((rl_eff&lt;$B305)*(rl_key=$A$292)*rl_ln1p))</f>
        <v/>
      </c>
      <c r="J305" s="208">
        <f>EXP(SUMPRODUCT((rl_eff&lt;=$C305)*(rl_key=$A$292)*rl_ln1p))</f>
        <v/>
      </c>
      <c r="K305" s="201">
        <f>COUNTIFS(rl_key,$A$292,rl_eff,"&gt;="&amp;$B305,rl_eff,"&lt;="&amp;$C305)</f>
        <v/>
      </c>
      <c r="L305" s="201">
        <f>SUMIFS(rl_daysafter,rl_key,$A$292,rl_effmonth,$B305,rl_first,1)</f>
        <v/>
      </c>
      <c r="M305" s="209">
        <f>IF($K305=0,0,MIN(1,$L305/$D305))</f>
        <v/>
      </c>
      <c r="N305" s="208">
        <f>IF($K305=0,$J305,(1-$M305)*$I305+$M305*$J305)</f>
        <v/>
      </c>
      <c r="O305" s="209">
        <f>IF($F305&lt;$B$293,$E$293+$I$293*($F305-$A$293),IF($F305&lt;$C$293,$F$293+$J$293*($F305-$B$293),$G$293+$K$293*($F305-$C$293)))</f>
        <v/>
      </c>
      <c r="P305" s="208">
        <f>MIN(1,MAX(0,(nr_MEndPm1-$G305+0.5)/$C$292))-MIN(1,MAX(0,(nr_MStartPm1-1-$G305+0.5)/$C$292))</f>
        <v/>
      </c>
      <c r="Q305" s="208">
        <f>MIN(1,MAX(0,(nr_MEndP-$G305+0.5)/$C$292))-MIN(1,MAX(0,(nr_MStartP-1-$G305+0.5)/$C$292))</f>
        <v/>
      </c>
      <c r="R305" s="208">
        <f>MIN(1,MAX(0,(nr_MEndP1-$G305+0.5)/$C$292))-MIN(1,MAX(0,(nr_MStartP1-1-$G305+0.5)/$C$292))</f>
        <v/>
      </c>
      <c r="S305" s="208">
        <f>IF($L$292,$N305*IF($O$292=1,$O305/$F$292,1),"")</f>
        <v/>
      </c>
      <c r="T305" s="208">
        <f>IF(NOT($L$292),"",IF($G305&lt;nr_MStartP,$S305,$T293*(1+IF($G305&lt;nr_MStartP1,$M$292,$N$292))))</f>
        <v/>
      </c>
      <c r="U305" s="208">
        <f>IF($L$292,$T305,$N305)</f>
        <v/>
      </c>
    </row>
    <row r="306">
      <c r="A306" s="145" t="n">
        <v>12</v>
      </c>
      <c r="B306" s="204">
        <f>EDATE($B305,1)</f>
        <v/>
      </c>
      <c r="C306" s="205">
        <f>EOMONTH($B306,0)</f>
        <v/>
      </c>
      <c r="D306" s="201">
        <f>$C306-$B306+1</f>
        <v/>
      </c>
      <c r="E306" s="201">
        <f>MONTH($B306)</f>
        <v/>
      </c>
      <c r="F306" s="235">
        <f>($B306+$C306+1)/2</f>
        <v/>
      </c>
      <c r="G306" s="201">
        <f>YEAR($B306)*12+MONTH($B306)-1</f>
        <v/>
      </c>
      <c r="H306" s="207">
        <f>IF(OR(nr_SeasonOn="OFF",$D$292=0,$E$292=0),1,12*INDEX(se_block,$D$292,$E306)/$E$292)</f>
        <v/>
      </c>
      <c r="I306" s="208">
        <f>EXP(SUMPRODUCT((rl_eff&lt;$B306)*(rl_key=$A$292)*rl_ln1p))</f>
        <v/>
      </c>
      <c r="J306" s="208">
        <f>EXP(SUMPRODUCT((rl_eff&lt;=$C306)*(rl_key=$A$292)*rl_ln1p))</f>
        <v/>
      </c>
      <c r="K306" s="201">
        <f>COUNTIFS(rl_key,$A$292,rl_eff,"&gt;="&amp;$B306,rl_eff,"&lt;="&amp;$C306)</f>
        <v/>
      </c>
      <c r="L306" s="201">
        <f>SUMIFS(rl_daysafter,rl_key,$A$292,rl_effmonth,$B306,rl_first,1)</f>
        <v/>
      </c>
      <c r="M306" s="209">
        <f>IF($K306=0,0,MIN(1,$L306/$D306))</f>
        <v/>
      </c>
      <c r="N306" s="208">
        <f>IF($K306=0,$J306,(1-$M306)*$I306+$M306*$J306)</f>
        <v/>
      </c>
      <c r="O306" s="209">
        <f>IF($F306&lt;$B$293,$E$293+$I$293*($F306-$A$293),IF($F306&lt;$C$293,$F$293+$J$293*($F306-$B$293),$G$293+$K$293*($F306-$C$293)))</f>
        <v/>
      </c>
      <c r="P306" s="208">
        <f>MIN(1,MAX(0,(nr_MEndPm1-$G306+0.5)/$C$292))-MIN(1,MAX(0,(nr_MStartPm1-1-$G306+0.5)/$C$292))</f>
        <v/>
      </c>
      <c r="Q306" s="208">
        <f>MIN(1,MAX(0,(nr_MEndP-$G306+0.5)/$C$292))-MIN(1,MAX(0,(nr_MStartP-1-$G306+0.5)/$C$292))</f>
        <v/>
      </c>
      <c r="R306" s="208">
        <f>MIN(1,MAX(0,(nr_MEndP1-$G306+0.5)/$C$292))-MIN(1,MAX(0,(nr_MStartP1-1-$G306+0.5)/$C$292))</f>
        <v/>
      </c>
      <c r="S306" s="208">
        <f>IF($L$292,$N306*IF($O$292=1,$O306/$F$292,1),"")</f>
        <v/>
      </c>
      <c r="T306" s="208">
        <f>IF(NOT($L$292),"",IF($G306&lt;nr_MStartP,$S306,$T294*(1+IF($G306&lt;nr_MStartP1,$M$292,$N$292))))</f>
        <v/>
      </c>
      <c r="U306" s="208">
        <f>IF($L$292,$T306,$N306)</f>
        <v/>
      </c>
    </row>
    <row r="307">
      <c r="A307" s="145" t="n">
        <v>13</v>
      </c>
      <c r="B307" s="204">
        <f>EDATE($B306,1)</f>
        <v/>
      </c>
      <c r="C307" s="205">
        <f>EOMONTH($B307,0)</f>
        <v/>
      </c>
      <c r="D307" s="201">
        <f>$C307-$B307+1</f>
        <v/>
      </c>
      <c r="E307" s="201">
        <f>MONTH($B307)</f>
        <v/>
      </c>
      <c r="F307" s="235">
        <f>($B307+$C307+1)/2</f>
        <v/>
      </c>
      <c r="G307" s="201">
        <f>YEAR($B307)*12+MONTH($B307)-1</f>
        <v/>
      </c>
      <c r="H307" s="207">
        <f>IF(OR(nr_SeasonOn="OFF",$D$292=0,$E$292=0),1,12*INDEX(se_block,$D$292,$E307)/$E$292)</f>
        <v/>
      </c>
      <c r="I307" s="208">
        <f>EXP(SUMPRODUCT((rl_eff&lt;$B307)*(rl_key=$A$292)*rl_ln1p))</f>
        <v/>
      </c>
      <c r="J307" s="208">
        <f>EXP(SUMPRODUCT((rl_eff&lt;=$C307)*(rl_key=$A$292)*rl_ln1p))</f>
        <v/>
      </c>
      <c r="K307" s="201">
        <f>COUNTIFS(rl_key,$A$292,rl_eff,"&gt;="&amp;$B307,rl_eff,"&lt;="&amp;$C307)</f>
        <v/>
      </c>
      <c r="L307" s="201">
        <f>SUMIFS(rl_daysafter,rl_key,$A$292,rl_effmonth,$B307,rl_first,1)</f>
        <v/>
      </c>
      <c r="M307" s="209">
        <f>IF($K307=0,0,MIN(1,$L307/$D307))</f>
        <v/>
      </c>
      <c r="N307" s="208">
        <f>IF($K307=0,$J307,(1-$M307)*$I307+$M307*$J307)</f>
        <v/>
      </c>
      <c r="O307" s="209">
        <f>IF($F307&lt;$B$293,$E$293+$I$293*($F307-$A$293),IF($F307&lt;$C$293,$F$293+$J$293*($F307-$B$293),$G$293+$K$293*($F307-$C$293)))</f>
        <v/>
      </c>
      <c r="P307" s="208">
        <f>MIN(1,MAX(0,(nr_MEndPm1-$G307+0.5)/$C$292))-MIN(1,MAX(0,(nr_MStartPm1-1-$G307+0.5)/$C$292))</f>
        <v/>
      </c>
      <c r="Q307" s="208">
        <f>MIN(1,MAX(0,(nr_MEndP-$G307+0.5)/$C$292))-MIN(1,MAX(0,(nr_MStartP-1-$G307+0.5)/$C$292))</f>
        <v/>
      </c>
      <c r="R307" s="208">
        <f>MIN(1,MAX(0,(nr_MEndP1-$G307+0.5)/$C$292))-MIN(1,MAX(0,(nr_MStartP1-1-$G307+0.5)/$C$292))</f>
        <v/>
      </c>
      <c r="S307" s="208">
        <f>IF($L$292,$N307*IF($O$292=1,$O307/$F$292,1),"")</f>
        <v/>
      </c>
      <c r="T307" s="208">
        <f>IF(NOT($L$292),"",IF($G307&lt;nr_MStartP,$S307,$T295*(1+IF($G307&lt;nr_MStartP1,$M$292,$N$292))))</f>
        <v/>
      </c>
      <c r="U307" s="208">
        <f>IF($L$292,$T307,$N307)</f>
        <v/>
      </c>
    </row>
    <row r="308">
      <c r="A308" s="145" t="n">
        <v>14</v>
      </c>
      <c r="B308" s="204">
        <f>EDATE($B307,1)</f>
        <v/>
      </c>
      <c r="C308" s="205">
        <f>EOMONTH($B308,0)</f>
        <v/>
      </c>
      <c r="D308" s="201">
        <f>$C308-$B308+1</f>
        <v/>
      </c>
      <c r="E308" s="201">
        <f>MONTH($B308)</f>
        <v/>
      </c>
      <c r="F308" s="235">
        <f>($B308+$C308+1)/2</f>
        <v/>
      </c>
      <c r="G308" s="201">
        <f>YEAR($B308)*12+MONTH($B308)-1</f>
        <v/>
      </c>
      <c r="H308" s="207">
        <f>IF(OR(nr_SeasonOn="OFF",$D$292=0,$E$292=0),1,12*INDEX(se_block,$D$292,$E308)/$E$292)</f>
        <v/>
      </c>
      <c r="I308" s="208">
        <f>EXP(SUMPRODUCT((rl_eff&lt;$B308)*(rl_key=$A$292)*rl_ln1p))</f>
        <v/>
      </c>
      <c r="J308" s="208">
        <f>EXP(SUMPRODUCT((rl_eff&lt;=$C308)*(rl_key=$A$292)*rl_ln1p))</f>
        <v/>
      </c>
      <c r="K308" s="201">
        <f>COUNTIFS(rl_key,$A$292,rl_eff,"&gt;="&amp;$B308,rl_eff,"&lt;="&amp;$C308)</f>
        <v/>
      </c>
      <c r="L308" s="201">
        <f>SUMIFS(rl_daysafter,rl_key,$A$292,rl_effmonth,$B308,rl_first,1)</f>
        <v/>
      </c>
      <c r="M308" s="209">
        <f>IF($K308=0,0,MIN(1,$L308/$D308))</f>
        <v/>
      </c>
      <c r="N308" s="208">
        <f>IF($K308=0,$J308,(1-$M308)*$I308+$M308*$J308)</f>
        <v/>
      </c>
      <c r="O308" s="209">
        <f>IF($F308&lt;$B$293,$E$293+$I$293*($F308-$A$293),IF($F308&lt;$C$293,$F$293+$J$293*($F308-$B$293),$G$293+$K$293*($F308-$C$293)))</f>
        <v/>
      </c>
      <c r="P308" s="208">
        <f>MIN(1,MAX(0,(nr_MEndPm1-$G308+0.5)/$C$292))-MIN(1,MAX(0,(nr_MStartPm1-1-$G308+0.5)/$C$292))</f>
        <v/>
      </c>
      <c r="Q308" s="208">
        <f>MIN(1,MAX(0,(nr_MEndP-$G308+0.5)/$C$292))-MIN(1,MAX(0,(nr_MStartP-1-$G308+0.5)/$C$292))</f>
        <v/>
      </c>
      <c r="R308" s="208">
        <f>MIN(1,MAX(0,(nr_MEndP1-$G308+0.5)/$C$292))-MIN(1,MAX(0,(nr_MStartP1-1-$G308+0.5)/$C$292))</f>
        <v/>
      </c>
      <c r="S308" s="208">
        <f>IF($L$292,$N308*IF($O$292=1,$O308/$F$292,1),"")</f>
        <v/>
      </c>
      <c r="T308" s="208">
        <f>IF(NOT($L$292),"",IF($G308&lt;nr_MStartP,$S308,$T296*(1+IF($G308&lt;nr_MStartP1,$M$292,$N$292))))</f>
        <v/>
      </c>
      <c r="U308" s="208">
        <f>IF($L$292,$T308,$N308)</f>
        <v/>
      </c>
    </row>
    <row r="309">
      <c r="A309" s="145" t="n">
        <v>15</v>
      </c>
      <c r="B309" s="204">
        <f>EDATE($B308,1)</f>
        <v/>
      </c>
      <c r="C309" s="205">
        <f>EOMONTH($B309,0)</f>
        <v/>
      </c>
      <c r="D309" s="201">
        <f>$C309-$B309+1</f>
        <v/>
      </c>
      <c r="E309" s="201">
        <f>MONTH($B309)</f>
        <v/>
      </c>
      <c r="F309" s="235">
        <f>($B309+$C309+1)/2</f>
        <v/>
      </c>
      <c r="G309" s="201">
        <f>YEAR($B309)*12+MONTH($B309)-1</f>
        <v/>
      </c>
      <c r="H309" s="207">
        <f>IF(OR(nr_SeasonOn="OFF",$D$292=0,$E$292=0),1,12*INDEX(se_block,$D$292,$E309)/$E$292)</f>
        <v/>
      </c>
      <c r="I309" s="208">
        <f>EXP(SUMPRODUCT((rl_eff&lt;$B309)*(rl_key=$A$292)*rl_ln1p))</f>
        <v/>
      </c>
      <c r="J309" s="208">
        <f>EXP(SUMPRODUCT((rl_eff&lt;=$C309)*(rl_key=$A$292)*rl_ln1p))</f>
        <v/>
      </c>
      <c r="K309" s="201">
        <f>COUNTIFS(rl_key,$A$292,rl_eff,"&gt;="&amp;$B309,rl_eff,"&lt;="&amp;$C309)</f>
        <v/>
      </c>
      <c r="L309" s="201">
        <f>SUMIFS(rl_daysafter,rl_key,$A$292,rl_effmonth,$B309,rl_first,1)</f>
        <v/>
      </c>
      <c r="M309" s="209">
        <f>IF($K309=0,0,MIN(1,$L309/$D309))</f>
        <v/>
      </c>
      <c r="N309" s="208">
        <f>IF($K309=0,$J309,(1-$M309)*$I309+$M309*$J309)</f>
        <v/>
      </c>
      <c r="O309" s="209">
        <f>IF($F309&lt;$B$293,$E$293+$I$293*($F309-$A$293),IF($F309&lt;$C$293,$F$293+$J$293*($F309-$B$293),$G$293+$K$293*($F309-$C$293)))</f>
        <v/>
      </c>
      <c r="P309" s="208">
        <f>MIN(1,MAX(0,(nr_MEndPm1-$G309+0.5)/$C$292))-MIN(1,MAX(0,(nr_MStartPm1-1-$G309+0.5)/$C$292))</f>
        <v/>
      </c>
      <c r="Q309" s="208">
        <f>MIN(1,MAX(0,(nr_MEndP-$G309+0.5)/$C$292))-MIN(1,MAX(0,(nr_MStartP-1-$G309+0.5)/$C$292))</f>
        <v/>
      </c>
      <c r="R309" s="208">
        <f>MIN(1,MAX(0,(nr_MEndP1-$G309+0.5)/$C$292))-MIN(1,MAX(0,(nr_MStartP1-1-$G309+0.5)/$C$292))</f>
        <v/>
      </c>
      <c r="S309" s="208">
        <f>IF($L$292,$N309*IF($O$292=1,$O309/$F$292,1),"")</f>
        <v/>
      </c>
      <c r="T309" s="208">
        <f>IF(NOT($L$292),"",IF($G309&lt;nr_MStartP,$S309,$T297*(1+IF($G309&lt;nr_MStartP1,$M$292,$N$292))))</f>
        <v/>
      </c>
      <c r="U309" s="208">
        <f>IF($L$292,$T309,$N309)</f>
        <v/>
      </c>
    </row>
    <row r="310">
      <c r="A310" s="145" t="n">
        <v>16</v>
      </c>
      <c r="B310" s="204">
        <f>EDATE($B309,1)</f>
        <v/>
      </c>
      <c r="C310" s="205">
        <f>EOMONTH($B310,0)</f>
        <v/>
      </c>
      <c r="D310" s="201">
        <f>$C310-$B310+1</f>
        <v/>
      </c>
      <c r="E310" s="201">
        <f>MONTH($B310)</f>
        <v/>
      </c>
      <c r="F310" s="235">
        <f>($B310+$C310+1)/2</f>
        <v/>
      </c>
      <c r="G310" s="201">
        <f>YEAR($B310)*12+MONTH($B310)-1</f>
        <v/>
      </c>
      <c r="H310" s="207">
        <f>IF(OR(nr_SeasonOn="OFF",$D$292=0,$E$292=0),1,12*INDEX(se_block,$D$292,$E310)/$E$292)</f>
        <v/>
      </c>
      <c r="I310" s="208">
        <f>EXP(SUMPRODUCT((rl_eff&lt;$B310)*(rl_key=$A$292)*rl_ln1p))</f>
        <v/>
      </c>
      <c r="J310" s="208">
        <f>EXP(SUMPRODUCT((rl_eff&lt;=$C310)*(rl_key=$A$292)*rl_ln1p))</f>
        <v/>
      </c>
      <c r="K310" s="201">
        <f>COUNTIFS(rl_key,$A$292,rl_eff,"&gt;="&amp;$B310,rl_eff,"&lt;="&amp;$C310)</f>
        <v/>
      </c>
      <c r="L310" s="201">
        <f>SUMIFS(rl_daysafter,rl_key,$A$292,rl_effmonth,$B310,rl_first,1)</f>
        <v/>
      </c>
      <c r="M310" s="209">
        <f>IF($K310=0,0,MIN(1,$L310/$D310))</f>
        <v/>
      </c>
      <c r="N310" s="208">
        <f>IF($K310=0,$J310,(1-$M310)*$I310+$M310*$J310)</f>
        <v/>
      </c>
      <c r="O310" s="209">
        <f>IF($F310&lt;$B$293,$E$293+$I$293*($F310-$A$293),IF($F310&lt;$C$293,$F$293+$J$293*($F310-$B$293),$G$293+$K$293*($F310-$C$293)))</f>
        <v/>
      </c>
      <c r="P310" s="208">
        <f>MIN(1,MAX(0,(nr_MEndPm1-$G310+0.5)/$C$292))-MIN(1,MAX(0,(nr_MStartPm1-1-$G310+0.5)/$C$292))</f>
        <v/>
      </c>
      <c r="Q310" s="208">
        <f>MIN(1,MAX(0,(nr_MEndP-$G310+0.5)/$C$292))-MIN(1,MAX(0,(nr_MStartP-1-$G310+0.5)/$C$292))</f>
        <v/>
      </c>
      <c r="R310" s="208">
        <f>MIN(1,MAX(0,(nr_MEndP1-$G310+0.5)/$C$292))-MIN(1,MAX(0,(nr_MStartP1-1-$G310+0.5)/$C$292))</f>
        <v/>
      </c>
      <c r="S310" s="208">
        <f>IF($L$292,$N310*IF($O$292=1,$O310/$F$292,1),"")</f>
        <v/>
      </c>
      <c r="T310" s="208">
        <f>IF(NOT($L$292),"",IF($G310&lt;nr_MStartP,$S310,$T298*(1+IF($G310&lt;nr_MStartP1,$M$292,$N$292))))</f>
        <v/>
      </c>
      <c r="U310" s="208">
        <f>IF($L$292,$T310,$N310)</f>
        <v/>
      </c>
    </row>
    <row r="311">
      <c r="A311" s="145" t="n">
        <v>17</v>
      </c>
      <c r="B311" s="204">
        <f>EDATE($B310,1)</f>
        <v/>
      </c>
      <c r="C311" s="205">
        <f>EOMONTH($B311,0)</f>
        <v/>
      </c>
      <c r="D311" s="201">
        <f>$C311-$B311+1</f>
        <v/>
      </c>
      <c r="E311" s="201">
        <f>MONTH($B311)</f>
        <v/>
      </c>
      <c r="F311" s="235">
        <f>($B311+$C311+1)/2</f>
        <v/>
      </c>
      <c r="G311" s="201">
        <f>YEAR($B311)*12+MONTH($B311)-1</f>
        <v/>
      </c>
      <c r="H311" s="207">
        <f>IF(OR(nr_SeasonOn="OFF",$D$292=0,$E$292=0),1,12*INDEX(se_block,$D$292,$E311)/$E$292)</f>
        <v/>
      </c>
      <c r="I311" s="208">
        <f>EXP(SUMPRODUCT((rl_eff&lt;$B311)*(rl_key=$A$292)*rl_ln1p))</f>
        <v/>
      </c>
      <c r="J311" s="208">
        <f>EXP(SUMPRODUCT((rl_eff&lt;=$C311)*(rl_key=$A$292)*rl_ln1p))</f>
        <v/>
      </c>
      <c r="K311" s="201">
        <f>COUNTIFS(rl_key,$A$292,rl_eff,"&gt;="&amp;$B311,rl_eff,"&lt;="&amp;$C311)</f>
        <v/>
      </c>
      <c r="L311" s="201">
        <f>SUMIFS(rl_daysafter,rl_key,$A$292,rl_effmonth,$B311,rl_first,1)</f>
        <v/>
      </c>
      <c r="M311" s="209">
        <f>IF($K311=0,0,MIN(1,$L311/$D311))</f>
        <v/>
      </c>
      <c r="N311" s="208">
        <f>IF($K311=0,$J311,(1-$M311)*$I311+$M311*$J311)</f>
        <v/>
      </c>
      <c r="O311" s="209">
        <f>IF($F311&lt;$B$293,$E$293+$I$293*($F311-$A$293),IF($F311&lt;$C$293,$F$293+$J$293*($F311-$B$293),$G$293+$K$293*($F311-$C$293)))</f>
        <v/>
      </c>
      <c r="P311" s="208">
        <f>MIN(1,MAX(0,(nr_MEndPm1-$G311+0.5)/$C$292))-MIN(1,MAX(0,(nr_MStartPm1-1-$G311+0.5)/$C$292))</f>
        <v/>
      </c>
      <c r="Q311" s="208">
        <f>MIN(1,MAX(0,(nr_MEndP-$G311+0.5)/$C$292))-MIN(1,MAX(0,(nr_MStartP-1-$G311+0.5)/$C$292))</f>
        <v/>
      </c>
      <c r="R311" s="208">
        <f>MIN(1,MAX(0,(nr_MEndP1-$G311+0.5)/$C$292))-MIN(1,MAX(0,(nr_MStartP1-1-$G311+0.5)/$C$292))</f>
        <v/>
      </c>
      <c r="S311" s="208">
        <f>IF($L$292,$N311*IF($O$292=1,$O311/$F$292,1),"")</f>
        <v/>
      </c>
      <c r="T311" s="208">
        <f>IF(NOT($L$292),"",IF($G311&lt;nr_MStartP,$S311,$T299*(1+IF($G311&lt;nr_MStartP1,$M$292,$N$292))))</f>
        <v/>
      </c>
      <c r="U311" s="208">
        <f>IF($L$292,$T311,$N311)</f>
        <v/>
      </c>
    </row>
    <row r="312">
      <c r="A312" s="145" t="n">
        <v>18</v>
      </c>
      <c r="B312" s="204">
        <f>EDATE($B311,1)</f>
        <v/>
      </c>
      <c r="C312" s="205">
        <f>EOMONTH($B312,0)</f>
        <v/>
      </c>
      <c r="D312" s="201">
        <f>$C312-$B312+1</f>
        <v/>
      </c>
      <c r="E312" s="201">
        <f>MONTH($B312)</f>
        <v/>
      </c>
      <c r="F312" s="235">
        <f>($B312+$C312+1)/2</f>
        <v/>
      </c>
      <c r="G312" s="201">
        <f>YEAR($B312)*12+MONTH($B312)-1</f>
        <v/>
      </c>
      <c r="H312" s="207">
        <f>IF(OR(nr_SeasonOn="OFF",$D$292=0,$E$292=0),1,12*INDEX(se_block,$D$292,$E312)/$E$292)</f>
        <v/>
      </c>
      <c r="I312" s="208">
        <f>EXP(SUMPRODUCT((rl_eff&lt;$B312)*(rl_key=$A$292)*rl_ln1p))</f>
        <v/>
      </c>
      <c r="J312" s="208">
        <f>EXP(SUMPRODUCT((rl_eff&lt;=$C312)*(rl_key=$A$292)*rl_ln1p))</f>
        <v/>
      </c>
      <c r="K312" s="201">
        <f>COUNTIFS(rl_key,$A$292,rl_eff,"&gt;="&amp;$B312,rl_eff,"&lt;="&amp;$C312)</f>
        <v/>
      </c>
      <c r="L312" s="201">
        <f>SUMIFS(rl_daysafter,rl_key,$A$292,rl_effmonth,$B312,rl_first,1)</f>
        <v/>
      </c>
      <c r="M312" s="209">
        <f>IF($K312=0,0,MIN(1,$L312/$D312))</f>
        <v/>
      </c>
      <c r="N312" s="208">
        <f>IF($K312=0,$J312,(1-$M312)*$I312+$M312*$J312)</f>
        <v/>
      </c>
      <c r="O312" s="209">
        <f>IF($F312&lt;$B$293,$E$293+$I$293*($F312-$A$293),IF($F312&lt;$C$293,$F$293+$J$293*($F312-$B$293),$G$293+$K$293*($F312-$C$293)))</f>
        <v/>
      </c>
      <c r="P312" s="208">
        <f>MIN(1,MAX(0,(nr_MEndPm1-$G312+0.5)/$C$292))-MIN(1,MAX(0,(nr_MStartPm1-1-$G312+0.5)/$C$292))</f>
        <v/>
      </c>
      <c r="Q312" s="208">
        <f>MIN(1,MAX(0,(nr_MEndP-$G312+0.5)/$C$292))-MIN(1,MAX(0,(nr_MStartP-1-$G312+0.5)/$C$292))</f>
        <v/>
      </c>
      <c r="R312" s="208">
        <f>MIN(1,MAX(0,(nr_MEndP1-$G312+0.5)/$C$292))-MIN(1,MAX(0,(nr_MStartP1-1-$G312+0.5)/$C$292))</f>
        <v/>
      </c>
      <c r="S312" s="208">
        <f>IF($L$292,$N312*IF($O$292=1,$O312/$F$292,1),"")</f>
        <v/>
      </c>
      <c r="T312" s="208">
        <f>IF(NOT($L$292),"",IF($G312&lt;nr_MStartP,$S312,$T300*(1+IF($G312&lt;nr_MStartP1,$M$292,$N$292))))</f>
        <v/>
      </c>
      <c r="U312" s="208">
        <f>IF($L$292,$T312,$N312)</f>
        <v/>
      </c>
    </row>
    <row r="313">
      <c r="A313" s="145" t="n">
        <v>19</v>
      </c>
      <c r="B313" s="204">
        <f>EDATE($B312,1)</f>
        <v/>
      </c>
      <c r="C313" s="205">
        <f>EOMONTH($B313,0)</f>
        <v/>
      </c>
      <c r="D313" s="201">
        <f>$C313-$B313+1</f>
        <v/>
      </c>
      <c r="E313" s="201">
        <f>MONTH($B313)</f>
        <v/>
      </c>
      <c r="F313" s="235">
        <f>($B313+$C313+1)/2</f>
        <v/>
      </c>
      <c r="G313" s="201">
        <f>YEAR($B313)*12+MONTH($B313)-1</f>
        <v/>
      </c>
      <c r="H313" s="207">
        <f>IF(OR(nr_SeasonOn="OFF",$D$292=0,$E$292=0),1,12*INDEX(se_block,$D$292,$E313)/$E$292)</f>
        <v/>
      </c>
      <c r="I313" s="208">
        <f>EXP(SUMPRODUCT((rl_eff&lt;$B313)*(rl_key=$A$292)*rl_ln1p))</f>
        <v/>
      </c>
      <c r="J313" s="208">
        <f>EXP(SUMPRODUCT((rl_eff&lt;=$C313)*(rl_key=$A$292)*rl_ln1p))</f>
        <v/>
      </c>
      <c r="K313" s="201">
        <f>COUNTIFS(rl_key,$A$292,rl_eff,"&gt;="&amp;$B313,rl_eff,"&lt;="&amp;$C313)</f>
        <v/>
      </c>
      <c r="L313" s="201">
        <f>SUMIFS(rl_daysafter,rl_key,$A$292,rl_effmonth,$B313,rl_first,1)</f>
        <v/>
      </c>
      <c r="M313" s="209">
        <f>IF($K313=0,0,MIN(1,$L313/$D313))</f>
        <v/>
      </c>
      <c r="N313" s="208">
        <f>IF($K313=0,$J313,(1-$M313)*$I313+$M313*$J313)</f>
        <v/>
      </c>
      <c r="O313" s="209">
        <f>IF($F313&lt;$B$293,$E$293+$I$293*($F313-$A$293),IF($F313&lt;$C$293,$F$293+$J$293*($F313-$B$293),$G$293+$K$293*($F313-$C$293)))</f>
        <v/>
      </c>
      <c r="P313" s="208">
        <f>MIN(1,MAX(0,(nr_MEndPm1-$G313+0.5)/$C$292))-MIN(1,MAX(0,(nr_MStartPm1-1-$G313+0.5)/$C$292))</f>
        <v/>
      </c>
      <c r="Q313" s="208">
        <f>MIN(1,MAX(0,(nr_MEndP-$G313+0.5)/$C$292))-MIN(1,MAX(0,(nr_MStartP-1-$G313+0.5)/$C$292))</f>
        <v/>
      </c>
      <c r="R313" s="208">
        <f>MIN(1,MAX(0,(nr_MEndP1-$G313+0.5)/$C$292))-MIN(1,MAX(0,(nr_MStartP1-1-$G313+0.5)/$C$292))</f>
        <v/>
      </c>
      <c r="S313" s="208">
        <f>IF($L$292,$N313*IF($O$292=1,$O313/$F$292,1),"")</f>
        <v/>
      </c>
      <c r="T313" s="208">
        <f>IF(NOT($L$292),"",IF($G313&lt;nr_MStartP,$S313,$T301*(1+IF($G313&lt;nr_MStartP1,$M$292,$N$292))))</f>
        <v/>
      </c>
      <c r="U313" s="208">
        <f>IF($L$292,$T313,$N313)</f>
        <v/>
      </c>
    </row>
    <row r="314">
      <c r="A314" s="145" t="n">
        <v>20</v>
      </c>
      <c r="B314" s="204">
        <f>EDATE($B313,1)</f>
        <v/>
      </c>
      <c r="C314" s="205">
        <f>EOMONTH($B314,0)</f>
        <v/>
      </c>
      <c r="D314" s="201">
        <f>$C314-$B314+1</f>
        <v/>
      </c>
      <c r="E314" s="201">
        <f>MONTH($B314)</f>
        <v/>
      </c>
      <c r="F314" s="235">
        <f>($B314+$C314+1)/2</f>
        <v/>
      </c>
      <c r="G314" s="201">
        <f>YEAR($B314)*12+MONTH($B314)-1</f>
        <v/>
      </c>
      <c r="H314" s="207">
        <f>IF(OR(nr_SeasonOn="OFF",$D$292=0,$E$292=0),1,12*INDEX(se_block,$D$292,$E314)/$E$292)</f>
        <v/>
      </c>
      <c r="I314" s="208">
        <f>EXP(SUMPRODUCT((rl_eff&lt;$B314)*(rl_key=$A$292)*rl_ln1p))</f>
        <v/>
      </c>
      <c r="J314" s="208">
        <f>EXP(SUMPRODUCT((rl_eff&lt;=$C314)*(rl_key=$A$292)*rl_ln1p))</f>
        <v/>
      </c>
      <c r="K314" s="201">
        <f>COUNTIFS(rl_key,$A$292,rl_eff,"&gt;="&amp;$B314,rl_eff,"&lt;="&amp;$C314)</f>
        <v/>
      </c>
      <c r="L314" s="201">
        <f>SUMIFS(rl_daysafter,rl_key,$A$292,rl_effmonth,$B314,rl_first,1)</f>
        <v/>
      </c>
      <c r="M314" s="209">
        <f>IF($K314=0,0,MIN(1,$L314/$D314))</f>
        <v/>
      </c>
      <c r="N314" s="208">
        <f>IF($K314=0,$J314,(1-$M314)*$I314+$M314*$J314)</f>
        <v/>
      </c>
      <c r="O314" s="209">
        <f>IF($F314&lt;$B$293,$E$293+$I$293*($F314-$A$293),IF($F314&lt;$C$293,$F$293+$J$293*($F314-$B$293),$G$293+$K$293*($F314-$C$293)))</f>
        <v/>
      </c>
      <c r="P314" s="208">
        <f>MIN(1,MAX(0,(nr_MEndPm1-$G314+0.5)/$C$292))-MIN(1,MAX(0,(nr_MStartPm1-1-$G314+0.5)/$C$292))</f>
        <v/>
      </c>
      <c r="Q314" s="208">
        <f>MIN(1,MAX(0,(nr_MEndP-$G314+0.5)/$C$292))-MIN(1,MAX(0,(nr_MStartP-1-$G314+0.5)/$C$292))</f>
        <v/>
      </c>
      <c r="R314" s="208">
        <f>MIN(1,MAX(0,(nr_MEndP1-$G314+0.5)/$C$292))-MIN(1,MAX(0,(nr_MStartP1-1-$G314+0.5)/$C$292))</f>
        <v/>
      </c>
      <c r="S314" s="208">
        <f>IF($L$292,$N314*IF($O$292=1,$O314/$F$292,1),"")</f>
        <v/>
      </c>
      <c r="T314" s="208">
        <f>IF(NOT($L$292),"",IF($G314&lt;nr_MStartP,$S314,$T302*(1+IF($G314&lt;nr_MStartP1,$M$292,$N$292))))</f>
        <v/>
      </c>
      <c r="U314" s="208">
        <f>IF($L$292,$T314,$N314)</f>
        <v/>
      </c>
    </row>
    <row r="315">
      <c r="A315" s="145" t="n">
        <v>21</v>
      </c>
      <c r="B315" s="204">
        <f>EDATE($B314,1)</f>
        <v/>
      </c>
      <c r="C315" s="205">
        <f>EOMONTH($B315,0)</f>
        <v/>
      </c>
      <c r="D315" s="201">
        <f>$C315-$B315+1</f>
        <v/>
      </c>
      <c r="E315" s="201">
        <f>MONTH($B315)</f>
        <v/>
      </c>
      <c r="F315" s="235">
        <f>($B315+$C315+1)/2</f>
        <v/>
      </c>
      <c r="G315" s="201">
        <f>YEAR($B315)*12+MONTH($B315)-1</f>
        <v/>
      </c>
      <c r="H315" s="207">
        <f>IF(OR(nr_SeasonOn="OFF",$D$292=0,$E$292=0),1,12*INDEX(se_block,$D$292,$E315)/$E$292)</f>
        <v/>
      </c>
      <c r="I315" s="208">
        <f>EXP(SUMPRODUCT((rl_eff&lt;$B315)*(rl_key=$A$292)*rl_ln1p))</f>
        <v/>
      </c>
      <c r="J315" s="208">
        <f>EXP(SUMPRODUCT((rl_eff&lt;=$C315)*(rl_key=$A$292)*rl_ln1p))</f>
        <v/>
      </c>
      <c r="K315" s="201">
        <f>COUNTIFS(rl_key,$A$292,rl_eff,"&gt;="&amp;$B315,rl_eff,"&lt;="&amp;$C315)</f>
        <v/>
      </c>
      <c r="L315" s="201">
        <f>SUMIFS(rl_daysafter,rl_key,$A$292,rl_effmonth,$B315,rl_first,1)</f>
        <v/>
      </c>
      <c r="M315" s="209">
        <f>IF($K315=0,0,MIN(1,$L315/$D315))</f>
        <v/>
      </c>
      <c r="N315" s="208">
        <f>IF($K315=0,$J315,(1-$M315)*$I315+$M315*$J315)</f>
        <v/>
      </c>
      <c r="O315" s="209">
        <f>IF($F315&lt;$B$293,$E$293+$I$293*($F315-$A$293),IF($F315&lt;$C$293,$F$293+$J$293*($F315-$B$293),$G$293+$K$293*($F315-$C$293)))</f>
        <v/>
      </c>
      <c r="P315" s="208">
        <f>MIN(1,MAX(0,(nr_MEndPm1-$G315+0.5)/$C$292))-MIN(1,MAX(0,(nr_MStartPm1-1-$G315+0.5)/$C$292))</f>
        <v/>
      </c>
      <c r="Q315" s="208">
        <f>MIN(1,MAX(0,(nr_MEndP-$G315+0.5)/$C$292))-MIN(1,MAX(0,(nr_MStartP-1-$G315+0.5)/$C$292))</f>
        <v/>
      </c>
      <c r="R315" s="208">
        <f>MIN(1,MAX(0,(nr_MEndP1-$G315+0.5)/$C$292))-MIN(1,MAX(0,(nr_MStartP1-1-$G315+0.5)/$C$292))</f>
        <v/>
      </c>
      <c r="S315" s="208">
        <f>IF($L$292,$N315*IF($O$292=1,$O315/$F$292,1),"")</f>
        <v/>
      </c>
      <c r="T315" s="208">
        <f>IF(NOT($L$292),"",IF($G315&lt;nr_MStartP,$S315,$T303*(1+IF($G315&lt;nr_MStartP1,$M$292,$N$292))))</f>
        <v/>
      </c>
      <c r="U315" s="208">
        <f>IF($L$292,$T315,$N315)</f>
        <v/>
      </c>
    </row>
    <row r="316">
      <c r="A316" s="145" t="n">
        <v>22</v>
      </c>
      <c r="B316" s="204">
        <f>EDATE($B315,1)</f>
        <v/>
      </c>
      <c r="C316" s="205">
        <f>EOMONTH($B316,0)</f>
        <v/>
      </c>
      <c r="D316" s="201">
        <f>$C316-$B316+1</f>
        <v/>
      </c>
      <c r="E316" s="201">
        <f>MONTH($B316)</f>
        <v/>
      </c>
      <c r="F316" s="235">
        <f>($B316+$C316+1)/2</f>
        <v/>
      </c>
      <c r="G316" s="201">
        <f>YEAR($B316)*12+MONTH($B316)-1</f>
        <v/>
      </c>
      <c r="H316" s="207">
        <f>IF(OR(nr_SeasonOn="OFF",$D$292=0,$E$292=0),1,12*INDEX(se_block,$D$292,$E316)/$E$292)</f>
        <v/>
      </c>
      <c r="I316" s="208">
        <f>EXP(SUMPRODUCT((rl_eff&lt;$B316)*(rl_key=$A$292)*rl_ln1p))</f>
        <v/>
      </c>
      <c r="J316" s="208">
        <f>EXP(SUMPRODUCT((rl_eff&lt;=$C316)*(rl_key=$A$292)*rl_ln1p))</f>
        <v/>
      </c>
      <c r="K316" s="201">
        <f>COUNTIFS(rl_key,$A$292,rl_eff,"&gt;="&amp;$B316,rl_eff,"&lt;="&amp;$C316)</f>
        <v/>
      </c>
      <c r="L316" s="201">
        <f>SUMIFS(rl_daysafter,rl_key,$A$292,rl_effmonth,$B316,rl_first,1)</f>
        <v/>
      </c>
      <c r="M316" s="209">
        <f>IF($K316=0,0,MIN(1,$L316/$D316))</f>
        <v/>
      </c>
      <c r="N316" s="208">
        <f>IF($K316=0,$J316,(1-$M316)*$I316+$M316*$J316)</f>
        <v/>
      </c>
      <c r="O316" s="209">
        <f>IF($F316&lt;$B$293,$E$293+$I$293*($F316-$A$293),IF($F316&lt;$C$293,$F$293+$J$293*($F316-$B$293),$G$293+$K$293*($F316-$C$293)))</f>
        <v/>
      </c>
      <c r="P316" s="208">
        <f>MIN(1,MAX(0,(nr_MEndPm1-$G316+0.5)/$C$292))-MIN(1,MAX(0,(nr_MStartPm1-1-$G316+0.5)/$C$292))</f>
        <v/>
      </c>
      <c r="Q316" s="208">
        <f>MIN(1,MAX(0,(nr_MEndP-$G316+0.5)/$C$292))-MIN(1,MAX(0,(nr_MStartP-1-$G316+0.5)/$C$292))</f>
        <v/>
      </c>
      <c r="R316" s="208">
        <f>MIN(1,MAX(0,(nr_MEndP1-$G316+0.5)/$C$292))-MIN(1,MAX(0,(nr_MStartP1-1-$G316+0.5)/$C$292))</f>
        <v/>
      </c>
      <c r="S316" s="208">
        <f>IF($L$292,$N316*IF($O$292=1,$O316/$F$292,1),"")</f>
        <v/>
      </c>
      <c r="T316" s="208">
        <f>IF(NOT($L$292),"",IF($G316&lt;nr_MStartP,$S316,$T304*(1+IF($G316&lt;nr_MStartP1,$M$292,$N$292))))</f>
        <v/>
      </c>
      <c r="U316" s="208">
        <f>IF($L$292,$T316,$N316)</f>
        <v/>
      </c>
    </row>
    <row r="317">
      <c r="A317" s="145" t="n">
        <v>23</v>
      </c>
      <c r="B317" s="204">
        <f>EDATE($B316,1)</f>
        <v/>
      </c>
      <c r="C317" s="205">
        <f>EOMONTH($B317,0)</f>
        <v/>
      </c>
      <c r="D317" s="201">
        <f>$C317-$B317+1</f>
        <v/>
      </c>
      <c r="E317" s="201">
        <f>MONTH($B317)</f>
        <v/>
      </c>
      <c r="F317" s="235">
        <f>($B317+$C317+1)/2</f>
        <v/>
      </c>
      <c r="G317" s="201">
        <f>YEAR($B317)*12+MONTH($B317)-1</f>
        <v/>
      </c>
      <c r="H317" s="207">
        <f>IF(OR(nr_SeasonOn="OFF",$D$292=0,$E$292=0),1,12*INDEX(se_block,$D$292,$E317)/$E$292)</f>
        <v/>
      </c>
      <c r="I317" s="208">
        <f>EXP(SUMPRODUCT((rl_eff&lt;$B317)*(rl_key=$A$292)*rl_ln1p))</f>
        <v/>
      </c>
      <c r="J317" s="208">
        <f>EXP(SUMPRODUCT((rl_eff&lt;=$C317)*(rl_key=$A$292)*rl_ln1p))</f>
        <v/>
      </c>
      <c r="K317" s="201">
        <f>COUNTIFS(rl_key,$A$292,rl_eff,"&gt;="&amp;$B317,rl_eff,"&lt;="&amp;$C317)</f>
        <v/>
      </c>
      <c r="L317" s="201">
        <f>SUMIFS(rl_daysafter,rl_key,$A$292,rl_effmonth,$B317,rl_first,1)</f>
        <v/>
      </c>
      <c r="M317" s="209">
        <f>IF($K317=0,0,MIN(1,$L317/$D317))</f>
        <v/>
      </c>
      <c r="N317" s="208">
        <f>IF($K317=0,$J317,(1-$M317)*$I317+$M317*$J317)</f>
        <v/>
      </c>
      <c r="O317" s="209">
        <f>IF($F317&lt;$B$293,$E$293+$I$293*($F317-$A$293),IF($F317&lt;$C$293,$F$293+$J$293*($F317-$B$293),$G$293+$K$293*($F317-$C$293)))</f>
        <v/>
      </c>
      <c r="P317" s="208">
        <f>MIN(1,MAX(0,(nr_MEndPm1-$G317+0.5)/$C$292))-MIN(1,MAX(0,(nr_MStartPm1-1-$G317+0.5)/$C$292))</f>
        <v/>
      </c>
      <c r="Q317" s="208">
        <f>MIN(1,MAX(0,(nr_MEndP-$G317+0.5)/$C$292))-MIN(1,MAX(0,(nr_MStartP-1-$G317+0.5)/$C$292))</f>
        <v/>
      </c>
      <c r="R317" s="208">
        <f>MIN(1,MAX(0,(nr_MEndP1-$G317+0.5)/$C$292))-MIN(1,MAX(0,(nr_MStartP1-1-$G317+0.5)/$C$292))</f>
        <v/>
      </c>
      <c r="S317" s="208">
        <f>IF($L$292,$N317*IF($O$292=1,$O317/$F$292,1),"")</f>
        <v/>
      </c>
      <c r="T317" s="208">
        <f>IF(NOT($L$292),"",IF($G317&lt;nr_MStartP,$S317,$T305*(1+IF($G317&lt;nr_MStartP1,$M$292,$N$292))))</f>
        <v/>
      </c>
      <c r="U317" s="208">
        <f>IF($L$292,$T317,$N317)</f>
        <v/>
      </c>
    </row>
    <row r="318">
      <c r="A318" s="145" t="n">
        <v>24</v>
      </c>
      <c r="B318" s="204">
        <f>EDATE($B317,1)</f>
        <v/>
      </c>
      <c r="C318" s="205">
        <f>EOMONTH($B318,0)</f>
        <v/>
      </c>
      <c r="D318" s="201">
        <f>$C318-$B318+1</f>
        <v/>
      </c>
      <c r="E318" s="201">
        <f>MONTH($B318)</f>
        <v/>
      </c>
      <c r="F318" s="235">
        <f>($B318+$C318+1)/2</f>
        <v/>
      </c>
      <c r="G318" s="201">
        <f>YEAR($B318)*12+MONTH($B318)-1</f>
        <v/>
      </c>
      <c r="H318" s="207">
        <f>IF(OR(nr_SeasonOn="OFF",$D$292=0,$E$292=0),1,12*INDEX(se_block,$D$292,$E318)/$E$292)</f>
        <v/>
      </c>
      <c r="I318" s="208">
        <f>EXP(SUMPRODUCT((rl_eff&lt;$B318)*(rl_key=$A$292)*rl_ln1p))</f>
        <v/>
      </c>
      <c r="J318" s="208">
        <f>EXP(SUMPRODUCT((rl_eff&lt;=$C318)*(rl_key=$A$292)*rl_ln1p))</f>
        <v/>
      </c>
      <c r="K318" s="201">
        <f>COUNTIFS(rl_key,$A$292,rl_eff,"&gt;="&amp;$B318,rl_eff,"&lt;="&amp;$C318)</f>
        <v/>
      </c>
      <c r="L318" s="201">
        <f>SUMIFS(rl_daysafter,rl_key,$A$292,rl_effmonth,$B318,rl_first,1)</f>
        <v/>
      </c>
      <c r="M318" s="209">
        <f>IF($K318=0,0,MIN(1,$L318/$D318))</f>
        <v/>
      </c>
      <c r="N318" s="208">
        <f>IF($K318=0,$J318,(1-$M318)*$I318+$M318*$J318)</f>
        <v/>
      </c>
      <c r="O318" s="209">
        <f>IF($F318&lt;$B$293,$E$293+$I$293*($F318-$A$293),IF($F318&lt;$C$293,$F$293+$J$293*($F318-$B$293),$G$293+$K$293*($F318-$C$293)))</f>
        <v/>
      </c>
      <c r="P318" s="208">
        <f>MIN(1,MAX(0,(nr_MEndPm1-$G318+0.5)/$C$292))-MIN(1,MAX(0,(nr_MStartPm1-1-$G318+0.5)/$C$292))</f>
        <v/>
      </c>
      <c r="Q318" s="208">
        <f>MIN(1,MAX(0,(nr_MEndP-$G318+0.5)/$C$292))-MIN(1,MAX(0,(nr_MStartP-1-$G318+0.5)/$C$292))</f>
        <v/>
      </c>
      <c r="R318" s="208">
        <f>MIN(1,MAX(0,(nr_MEndP1-$G318+0.5)/$C$292))-MIN(1,MAX(0,(nr_MStartP1-1-$G318+0.5)/$C$292))</f>
        <v/>
      </c>
      <c r="S318" s="208">
        <f>IF($L$292,$N318*IF($O$292=1,$O318/$F$292,1),"")</f>
        <v/>
      </c>
      <c r="T318" s="208">
        <f>IF(NOT($L$292),"",IF($G318&lt;nr_MStartP,$S318,$T306*(1+IF($G318&lt;nr_MStartP1,$M$292,$N$292))))</f>
        <v/>
      </c>
      <c r="U318" s="208">
        <f>IF($L$292,$T318,$N318)</f>
        <v/>
      </c>
    </row>
    <row r="319">
      <c r="A319" s="145" t="n">
        <v>25</v>
      </c>
      <c r="B319" s="204">
        <f>EDATE($B318,1)</f>
        <v/>
      </c>
      <c r="C319" s="205">
        <f>EOMONTH($B319,0)</f>
        <v/>
      </c>
      <c r="D319" s="201">
        <f>$C319-$B319+1</f>
        <v/>
      </c>
      <c r="E319" s="201">
        <f>MONTH($B319)</f>
        <v/>
      </c>
      <c r="F319" s="235">
        <f>($B319+$C319+1)/2</f>
        <v/>
      </c>
      <c r="G319" s="201">
        <f>YEAR($B319)*12+MONTH($B319)-1</f>
        <v/>
      </c>
      <c r="H319" s="207">
        <f>IF(OR(nr_SeasonOn="OFF",$D$292=0,$E$292=0),1,12*INDEX(se_block,$D$292,$E319)/$E$292)</f>
        <v/>
      </c>
      <c r="I319" s="208">
        <f>EXP(SUMPRODUCT((rl_eff&lt;$B319)*(rl_key=$A$292)*rl_ln1p))</f>
        <v/>
      </c>
      <c r="J319" s="208">
        <f>EXP(SUMPRODUCT((rl_eff&lt;=$C319)*(rl_key=$A$292)*rl_ln1p))</f>
        <v/>
      </c>
      <c r="K319" s="201">
        <f>COUNTIFS(rl_key,$A$292,rl_eff,"&gt;="&amp;$B319,rl_eff,"&lt;="&amp;$C319)</f>
        <v/>
      </c>
      <c r="L319" s="201">
        <f>SUMIFS(rl_daysafter,rl_key,$A$292,rl_effmonth,$B319,rl_first,1)</f>
        <v/>
      </c>
      <c r="M319" s="209">
        <f>IF($K319=0,0,MIN(1,$L319/$D319))</f>
        <v/>
      </c>
      <c r="N319" s="208">
        <f>IF($K319=0,$J319,(1-$M319)*$I319+$M319*$J319)</f>
        <v/>
      </c>
      <c r="O319" s="209">
        <f>IF($F319&lt;$B$293,$E$293+$I$293*($F319-$A$293),IF($F319&lt;$C$293,$F$293+$J$293*($F319-$B$293),$G$293+$K$293*($F319-$C$293)))</f>
        <v/>
      </c>
      <c r="P319" s="208">
        <f>MIN(1,MAX(0,(nr_MEndPm1-$G319+0.5)/$C$292))-MIN(1,MAX(0,(nr_MStartPm1-1-$G319+0.5)/$C$292))</f>
        <v/>
      </c>
      <c r="Q319" s="208">
        <f>MIN(1,MAX(0,(nr_MEndP-$G319+0.5)/$C$292))-MIN(1,MAX(0,(nr_MStartP-1-$G319+0.5)/$C$292))</f>
        <v/>
      </c>
      <c r="R319" s="208">
        <f>MIN(1,MAX(0,(nr_MEndP1-$G319+0.5)/$C$292))-MIN(1,MAX(0,(nr_MStartP1-1-$G319+0.5)/$C$292))</f>
        <v/>
      </c>
      <c r="S319" s="208">
        <f>IF($L$292,$N319*IF($O$292=1,$O319/$F$292,1),"")</f>
        <v/>
      </c>
      <c r="T319" s="208">
        <f>IF(NOT($L$292),"",IF($G319&lt;nr_MStartP,$S319,$T307*(1+IF($G319&lt;nr_MStartP1,$M$292,$N$292))))</f>
        <v/>
      </c>
      <c r="U319" s="208">
        <f>IF($L$292,$T319,$N319)</f>
        <v/>
      </c>
    </row>
    <row r="320">
      <c r="A320" s="145" t="n">
        <v>26</v>
      </c>
      <c r="B320" s="204">
        <f>EDATE($B319,1)</f>
        <v/>
      </c>
      <c r="C320" s="205">
        <f>EOMONTH($B320,0)</f>
        <v/>
      </c>
      <c r="D320" s="201">
        <f>$C320-$B320+1</f>
        <v/>
      </c>
      <c r="E320" s="201">
        <f>MONTH($B320)</f>
        <v/>
      </c>
      <c r="F320" s="235">
        <f>($B320+$C320+1)/2</f>
        <v/>
      </c>
      <c r="G320" s="201">
        <f>YEAR($B320)*12+MONTH($B320)-1</f>
        <v/>
      </c>
      <c r="H320" s="207">
        <f>IF(OR(nr_SeasonOn="OFF",$D$292=0,$E$292=0),1,12*INDEX(se_block,$D$292,$E320)/$E$292)</f>
        <v/>
      </c>
      <c r="I320" s="208">
        <f>EXP(SUMPRODUCT((rl_eff&lt;$B320)*(rl_key=$A$292)*rl_ln1p))</f>
        <v/>
      </c>
      <c r="J320" s="208">
        <f>EXP(SUMPRODUCT((rl_eff&lt;=$C320)*(rl_key=$A$292)*rl_ln1p))</f>
        <v/>
      </c>
      <c r="K320" s="201">
        <f>COUNTIFS(rl_key,$A$292,rl_eff,"&gt;="&amp;$B320,rl_eff,"&lt;="&amp;$C320)</f>
        <v/>
      </c>
      <c r="L320" s="201">
        <f>SUMIFS(rl_daysafter,rl_key,$A$292,rl_effmonth,$B320,rl_first,1)</f>
        <v/>
      </c>
      <c r="M320" s="209">
        <f>IF($K320=0,0,MIN(1,$L320/$D320))</f>
        <v/>
      </c>
      <c r="N320" s="208">
        <f>IF($K320=0,$J320,(1-$M320)*$I320+$M320*$J320)</f>
        <v/>
      </c>
      <c r="O320" s="209">
        <f>IF($F320&lt;$B$293,$E$293+$I$293*($F320-$A$293),IF($F320&lt;$C$293,$F$293+$J$293*($F320-$B$293),$G$293+$K$293*($F320-$C$293)))</f>
        <v/>
      </c>
      <c r="P320" s="208">
        <f>MIN(1,MAX(0,(nr_MEndPm1-$G320+0.5)/$C$292))-MIN(1,MAX(0,(nr_MStartPm1-1-$G320+0.5)/$C$292))</f>
        <v/>
      </c>
      <c r="Q320" s="208">
        <f>MIN(1,MAX(0,(nr_MEndP-$G320+0.5)/$C$292))-MIN(1,MAX(0,(nr_MStartP-1-$G320+0.5)/$C$292))</f>
        <v/>
      </c>
      <c r="R320" s="208">
        <f>MIN(1,MAX(0,(nr_MEndP1-$G320+0.5)/$C$292))-MIN(1,MAX(0,(nr_MStartP1-1-$G320+0.5)/$C$292))</f>
        <v/>
      </c>
      <c r="S320" s="208">
        <f>IF($L$292,$N320*IF($O$292=1,$O320/$F$292,1),"")</f>
        <v/>
      </c>
      <c r="T320" s="208">
        <f>IF(NOT($L$292),"",IF($G320&lt;nr_MStartP,$S320,$T308*(1+IF($G320&lt;nr_MStartP1,$M$292,$N$292))))</f>
        <v/>
      </c>
      <c r="U320" s="208">
        <f>IF($L$292,$T320,$N320)</f>
        <v/>
      </c>
    </row>
    <row r="321">
      <c r="A321" s="145" t="n">
        <v>27</v>
      </c>
      <c r="B321" s="204">
        <f>EDATE($B320,1)</f>
        <v/>
      </c>
      <c r="C321" s="205">
        <f>EOMONTH($B321,0)</f>
        <v/>
      </c>
      <c r="D321" s="201">
        <f>$C321-$B321+1</f>
        <v/>
      </c>
      <c r="E321" s="201">
        <f>MONTH($B321)</f>
        <v/>
      </c>
      <c r="F321" s="235">
        <f>($B321+$C321+1)/2</f>
        <v/>
      </c>
      <c r="G321" s="201">
        <f>YEAR($B321)*12+MONTH($B321)-1</f>
        <v/>
      </c>
      <c r="H321" s="207">
        <f>IF(OR(nr_SeasonOn="OFF",$D$292=0,$E$292=0),1,12*INDEX(se_block,$D$292,$E321)/$E$292)</f>
        <v/>
      </c>
      <c r="I321" s="208">
        <f>EXP(SUMPRODUCT((rl_eff&lt;$B321)*(rl_key=$A$292)*rl_ln1p))</f>
        <v/>
      </c>
      <c r="J321" s="208">
        <f>EXP(SUMPRODUCT((rl_eff&lt;=$C321)*(rl_key=$A$292)*rl_ln1p))</f>
        <v/>
      </c>
      <c r="K321" s="201">
        <f>COUNTIFS(rl_key,$A$292,rl_eff,"&gt;="&amp;$B321,rl_eff,"&lt;="&amp;$C321)</f>
        <v/>
      </c>
      <c r="L321" s="201">
        <f>SUMIFS(rl_daysafter,rl_key,$A$292,rl_effmonth,$B321,rl_first,1)</f>
        <v/>
      </c>
      <c r="M321" s="209">
        <f>IF($K321=0,0,MIN(1,$L321/$D321))</f>
        <v/>
      </c>
      <c r="N321" s="208">
        <f>IF($K321=0,$J321,(1-$M321)*$I321+$M321*$J321)</f>
        <v/>
      </c>
      <c r="O321" s="209">
        <f>IF($F321&lt;$B$293,$E$293+$I$293*($F321-$A$293),IF($F321&lt;$C$293,$F$293+$J$293*($F321-$B$293),$G$293+$K$293*($F321-$C$293)))</f>
        <v/>
      </c>
      <c r="P321" s="208">
        <f>MIN(1,MAX(0,(nr_MEndPm1-$G321+0.5)/$C$292))-MIN(1,MAX(0,(nr_MStartPm1-1-$G321+0.5)/$C$292))</f>
        <v/>
      </c>
      <c r="Q321" s="208">
        <f>MIN(1,MAX(0,(nr_MEndP-$G321+0.5)/$C$292))-MIN(1,MAX(0,(nr_MStartP-1-$G321+0.5)/$C$292))</f>
        <v/>
      </c>
      <c r="R321" s="208">
        <f>MIN(1,MAX(0,(nr_MEndP1-$G321+0.5)/$C$292))-MIN(1,MAX(0,(nr_MStartP1-1-$G321+0.5)/$C$292))</f>
        <v/>
      </c>
      <c r="S321" s="208">
        <f>IF($L$292,$N321*IF($O$292=1,$O321/$F$292,1),"")</f>
        <v/>
      </c>
      <c r="T321" s="208">
        <f>IF(NOT($L$292),"",IF($G321&lt;nr_MStartP,$S321,$T309*(1+IF($G321&lt;nr_MStartP1,$M$292,$N$292))))</f>
        <v/>
      </c>
      <c r="U321" s="208">
        <f>IF($L$292,$T321,$N321)</f>
        <v/>
      </c>
    </row>
    <row r="322">
      <c r="A322" s="145" t="n">
        <v>28</v>
      </c>
      <c r="B322" s="204">
        <f>EDATE($B321,1)</f>
        <v/>
      </c>
      <c r="C322" s="205">
        <f>EOMONTH($B322,0)</f>
        <v/>
      </c>
      <c r="D322" s="201">
        <f>$C322-$B322+1</f>
        <v/>
      </c>
      <c r="E322" s="201">
        <f>MONTH($B322)</f>
        <v/>
      </c>
      <c r="F322" s="235">
        <f>($B322+$C322+1)/2</f>
        <v/>
      </c>
      <c r="G322" s="201">
        <f>YEAR($B322)*12+MONTH($B322)-1</f>
        <v/>
      </c>
      <c r="H322" s="207">
        <f>IF(OR(nr_SeasonOn="OFF",$D$292=0,$E$292=0),1,12*INDEX(se_block,$D$292,$E322)/$E$292)</f>
        <v/>
      </c>
      <c r="I322" s="208">
        <f>EXP(SUMPRODUCT((rl_eff&lt;$B322)*(rl_key=$A$292)*rl_ln1p))</f>
        <v/>
      </c>
      <c r="J322" s="208">
        <f>EXP(SUMPRODUCT((rl_eff&lt;=$C322)*(rl_key=$A$292)*rl_ln1p))</f>
        <v/>
      </c>
      <c r="K322" s="201">
        <f>COUNTIFS(rl_key,$A$292,rl_eff,"&gt;="&amp;$B322,rl_eff,"&lt;="&amp;$C322)</f>
        <v/>
      </c>
      <c r="L322" s="201">
        <f>SUMIFS(rl_daysafter,rl_key,$A$292,rl_effmonth,$B322,rl_first,1)</f>
        <v/>
      </c>
      <c r="M322" s="209">
        <f>IF($K322=0,0,MIN(1,$L322/$D322))</f>
        <v/>
      </c>
      <c r="N322" s="208">
        <f>IF($K322=0,$J322,(1-$M322)*$I322+$M322*$J322)</f>
        <v/>
      </c>
      <c r="O322" s="209">
        <f>IF($F322&lt;$B$293,$E$293+$I$293*($F322-$A$293),IF($F322&lt;$C$293,$F$293+$J$293*($F322-$B$293),$G$293+$K$293*($F322-$C$293)))</f>
        <v/>
      </c>
      <c r="P322" s="208">
        <f>MIN(1,MAX(0,(nr_MEndPm1-$G322+0.5)/$C$292))-MIN(1,MAX(0,(nr_MStartPm1-1-$G322+0.5)/$C$292))</f>
        <v/>
      </c>
      <c r="Q322" s="208">
        <f>MIN(1,MAX(0,(nr_MEndP-$G322+0.5)/$C$292))-MIN(1,MAX(0,(nr_MStartP-1-$G322+0.5)/$C$292))</f>
        <v/>
      </c>
      <c r="R322" s="208">
        <f>MIN(1,MAX(0,(nr_MEndP1-$G322+0.5)/$C$292))-MIN(1,MAX(0,(nr_MStartP1-1-$G322+0.5)/$C$292))</f>
        <v/>
      </c>
      <c r="S322" s="208">
        <f>IF($L$292,$N322*IF($O$292=1,$O322/$F$292,1),"")</f>
        <v/>
      </c>
      <c r="T322" s="208">
        <f>IF(NOT($L$292),"",IF($G322&lt;nr_MStartP,$S322,$T310*(1+IF($G322&lt;nr_MStartP1,$M$292,$N$292))))</f>
        <v/>
      </c>
      <c r="U322" s="208">
        <f>IF($L$292,$T322,$N322)</f>
        <v/>
      </c>
    </row>
    <row r="323">
      <c r="A323" s="145" t="n">
        <v>29</v>
      </c>
      <c r="B323" s="204">
        <f>EDATE($B322,1)</f>
        <v/>
      </c>
      <c r="C323" s="205">
        <f>EOMONTH($B323,0)</f>
        <v/>
      </c>
      <c r="D323" s="201">
        <f>$C323-$B323+1</f>
        <v/>
      </c>
      <c r="E323" s="201">
        <f>MONTH($B323)</f>
        <v/>
      </c>
      <c r="F323" s="235">
        <f>($B323+$C323+1)/2</f>
        <v/>
      </c>
      <c r="G323" s="201">
        <f>YEAR($B323)*12+MONTH($B323)-1</f>
        <v/>
      </c>
      <c r="H323" s="207">
        <f>IF(OR(nr_SeasonOn="OFF",$D$292=0,$E$292=0),1,12*INDEX(se_block,$D$292,$E323)/$E$292)</f>
        <v/>
      </c>
      <c r="I323" s="208">
        <f>EXP(SUMPRODUCT((rl_eff&lt;$B323)*(rl_key=$A$292)*rl_ln1p))</f>
        <v/>
      </c>
      <c r="J323" s="208">
        <f>EXP(SUMPRODUCT((rl_eff&lt;=$C323)*(rl_key=$A$292)*rl_ln1p))</f>
        <v/>
      </c>
      <c r="K323" s="201">
        <f>COUNTIFS(rl_key,$A$292,rl_eff,"&gt;="&amp;$B323,rl_eff,"&lt;="&amp;$C323)</f>
        <v/>
      </c>
      <c r="L323" s="201">
        <f>SUMIFS(rl_daysafter,rl_key,$A$292,rl_effmonth,$B323,rl_first,1)</f>
        <v/>
      </c>
      <c r="M323" s="209">
        <f>IF($K323=0,0,MIN(1,$L323/$D323))</f>
        <v/>
      </c>
      <c r="N323" s="208">
        <f>IF($K323=0,$J323,(1-$M323)*$I323+$M323*$J323)</f>
        <v/>
      </c>
      <c r="O323" s="209">
        <f>IF($F323&lt;$B$293,$E$293+$I$293*($F323-$A$293),IF($F323&lt;$C$293,$F$293+$J$293*($F323-$B$293),$G$293+$K$293*($F323-$C$293)))</f>
        <v/>
      </c>
      <c r="P323" s="208">
        <f>MIN(1,MAX(0,(nr_MEndPm1-$G323+0.5)/$C$292))-MIN(1,MAX(0,(nr_MStartPm1-1-$G323+0.5)/$C$292))</f>
        <v/>
      </c>
      <c r="Q323" s="208">
        <f>MIN(1,MAX(0,(nr_MEndP-$G323+0.5)/$C$292))-MIN(1,MAX(0,(nr_MStartP-1-$G323+0.5)/$C$292))</f>
        <v/>
      </c>
      <c r="R323" s="208">
        <f>MIN(1,MAX(0,(nr_MEndP1-$G323+0.5)/$C$292))-MIN(1,MAX(0,(nr_MStartP1-1-$G323+0.5)/$C$292))</f>
        <v/>
      </c>
      <c r="S323" s="208">
        <f>IF($L$292,$N323*IF($O$292=1,$O323/$F$292,1),"")</f>
        <v/>
      </c>
      <c r="T323" s="208">
        <f>IF(NOT($L$292),"",IF($G323&lt;nr_MStartP,$S323,$T311*(1+IF($G323&lt;nr_MStartP1,$M$292,$N$292))))</f>
        <v/>
      </c>
      <c r="U323" s="208">
        <f>IF($L$292,$T323,$N323)</f>
        <v/>
      </c>
    </row>
    <row r="324">
      <c r="A324" s="145" t="n">
        <v>30</v>
      </c>
      <c r="B324" s="204">
        <f>EDATE($B323,1)</f>
        <v/>
      </c>
      <c r="C324" s="205">
        <f>EOMONTH($B324,0)</f>
        <v/>
      </c>
      <c r="D324" s="201">
        <f>$C324-$B324+1</f>
        <v/>
      </c>
      <c r="E324" s="201">
        <f>MONTH($B324)</f>
        <v/>
      </c>
      <c r="F324" s="235">
        <f>($B324+$C324+1)/2</f>
        <v/>
      </c>
      <c r="G324" s="201">
        <f>YEAR($B324)*12+MONTH($B324)-1</f>
        <v/>
      </c>
      <c r="H324" s="207">
        <f>IF(OR(nr_SeasonOn="OFF",$D$292=0,$E$292=0),1,12*INDEX(se_block,$D$292,$E324)/$E$292)</f>
        <v/>
      </c>
      <c r="I324" s="208">
        <f>EXP(SUMPRODUCT((rl_eff&lt;$B324)*(rl_key=$A$292)*rl_ln1p))</f>
        <v/>
      </c>
      <c r="J324" s="208">
        <f>EXP(SUMPRODUCT((rl_eff&lt;=$C324)*(rl_key=$A$292)*rl_ln1p))</f>
        <v/>
      </c>
      <c r="K324" s="201">
        <f>COUNTIFS(rl_key,$A$292,rl_eff,"&gt;="&amp;$B324,rl_eff,"&lt;="&amp;$C324)</f>
        <v/>
      </c>
      <c r="L324" s="201">
        <f>SUMIFS(rl_daysafter,rl_key,$A$292,rl_effmonth,$B324,rl_first,1)</f>
        <v/>
      </c>
      <c r="M324" s="209">
        <f>IF($K324=0,0,MIN(1,$L324/$D324))</f>
        <v/>
      </c>
      <c r="N324" s="208">
        <f>IF($K324=0,$J324,(1-$M324)*$I324+$M324*$J324)</f>
        <v/>
      </c>
      <c r="O324" s="209">
        <f>IF($F324&lt;$B$293,$E$293+$I$293*($F324-$A$293),IF($F324&lt;$C$293,$F$293+$J$293*($F324-$B$293),$G$293+$K$293*($F324-$C$293)))</f>
        <v/>
      </c>
      <c r="P324" s="208">
        <f>MIN(1,MAX(0,(nr_MEndPm1-$G324+0.5)/$C$292))-MIN(1,MAX(0,(nr_MStartPm1-1-$G324+0.5)/$C$292))</f>
        <v/>
      </c>
      <c r="Q324" s="208">
        <f>MIN(1,MAX(0,(nr_MEndP-$G324+0.5)/$C$292))-MIN(1,MAX(0,(nr_MStartP-1-$G324+0.5)/$C$292))</f>
        <v/>
      </c>
      <c r="R324" s="208">
        <f>MIN(1,MAX(0,(nr_MEndP1-$G324+0.5)/$C$292))-MIN(1,MAX(0,(nr_MStartP1-1-$G324+0.5)/$C$292))</f>
        <v/>
      </c>
      <c r="S324" s="208">
        <f>IF($L$292,$N324*IF($O$292=1,$O324/$F$292,1),"")</f>
        <v/>
      </c>
      <c r="T324" s="208">
        <f>IF(NOT($L$292),"",IF($G324&lt;nr_MStartP,$S324,$T312*(1+IF($G324&lt;nr_MStartP1,$M$292,$N$292))))</f>
        <v/>
      </c>
      <c r="U324" s="208">
        <f>IF($L$292,$T324,$N324)</f>
        <v/>
      </c>
    </row>
    <row r="325">
      <c r="A325" s="145" t="n">
        <v>31</v>
      </c>
      <c r="B325" s="204">
        <f>EDATE($B324,1)</f>
        <v/>
      </c>
      <c r="C325" s="205">
        <f>EOMONTH($B325,0)</f>
        <v/>
      </c>
      <c r="D325" s="201">
        <f>$C325-$B325+1</f>
        <v/>
      </c>
      <c r="E325" s="201">
        <f>MONTH($B325)</f>
        <v/>
      </c>
      <c r="F325" s="235">
        <f>($B325+$C325+1)/2</f>
        <v/>
      </c>
      <c r="G325" s="201">
        <f>YEAR($B325)*12+MONTH($B325)-1</f>
        <v/>
      </c>
      <c r="H325" s="207">
        <f>IF(OR(nr_SeasonOn="OFF",$D$292=0,$E$292=0),1,12*INDEX(se_block,$D$292,$E325)/$E$292)</f>
        <v/>
      </c>
      <c r="I325" s="208">
        <f>EXP(SUMPRODUCT((rl_eff&lt;$B325)*(rl_key=$A$292)*rl_ln1p))</f>
        <v/>
      </c>
      <c r="J325" s="208">
        <f>EXP(SUMPRODUCT((rl_eff&lt;=$C325)*(rl_key=$A$292)*rl_ln1p))</f>
        <v/>
      </c>
      <c r="K325" s="201">
        <f>COUNTIFS(rl_key,$A$292,rl_eff,"&gt;="&amp;$B325,rl_eff,"&lt;="&amp;$C325)</f>
        <v/>
      </c>
      <c r="L325" s="201">
        <f>SUMIFS(rl_daysafter,rl_key,$A$292,rl_effmonth,$B325,rl_first,1)</f>
        <v/>
      </c>
      <c r="M325" s="209">
        <f>IF($K325=0,0,MIN(1,$L325/$D325))</f>
        <v/>
      </c>
      <c r="N325" s="208">
        <f>IF($K325=0,$J325,(1-$M325)*$I325+$M325*$J325)</f>
        <v/>
      </c>
      <c r="O325" s="209">
        <f>IF($F325&lt;$B$293,$E$293+$I$293*($F325-$A$293),IF($F325&lt;$C$293,$F$293+$J$293*($F325-$B$293),$G$293+$K$293*($F325-$C$293)))</f>
        <v/>
      </c>
      <c r="P325" s="208">
        <f>MIN(1,MAX(0,(nr_MEndPm1-$G325+0.5)/$C$292))-MIN(1,MAX(0,(nr_MStartPm1-1-$G325+0.5)/$C$292))</f>
        <v/>
      </c>
      <c r="Q325" s="208">
        <f>MIN(1,MAX(0,(nr_MEndP-$G325+0.5)/$C$292))-MIN(1,MAX(0,(nr_MStartP-1-$G325+0.5)/$C$292))</f>
        <v/>
      </c>
      <c r="R325" s="208">
        <f>MIN(1,MAX(0,(nr_MEndP1-$G325+0.5)/$C$292))-MIN(1,MAX(0,(nr_MStartP1-1-$G325+0.5)/$C$292))</f>
        <v/>
      </c>
      <c r="S325" s="208">
        <f>IF($L$292,$N325*IF($O$292=1,$O325/$F$292,1),"")</f>
        <v/>
      </c>
      <c r="T325" s="208">
        <f>IF(NOT($L$292),"",IF($G325&lt;nr_MStartP,$S325,$T313*(1+IF($G325&lt;nr_MStartP1,$M$292,$N$292))))</f>
        <v/>
      </c>
      <c r="U325" s="208">
        <f>IF($L$292,$T325,$N325)</f>
        <v/>
      </c>
    </row>
    <row r="326">
      <c r="A326" s="145" t="n">
        <v>32</v>
      </c>
      <c r="B326" s="204">
        <f>EDATE($B325,1)</f>
        <v/>
      </c>
      <c r="C326" s="205">
        <f>EOMONTH($B326,0)</f>
        <v/>
      </c>
      <c r="D326" s="201">
        <f>$C326-$B326+1</f>
        <v/>
      </c>
      <c r="E326" s="201">
        <f>MONTH($B326)</f>
        <v/>
      </c>
      <c r="F326" s="235">
        <f>($B326+$C326+1)/2</f>
        <v/>
      </c>
      <c r="G326" s="201">
        <f>YEAR($B326)*12+MONTH($B326)-1</f>
        <v/>
      </c>
      <c r="H326" s="207">
        <f>IF(OR(nr_SeasonOn="OFF",$D$292=0,$E$292=0),1,12*INDEX(se_block,$D$292,$E326)/$E$292)</f>
        <v/>
      </c>
      <c r="I326" s="208">
        <f>EXP(SUMPRODUCT((rl_eff&lt;$B326)*(rl_key=$A$292)*rl_ln1p))</f>
        <v/>
      </c>
      <c r="J326" s="208">
        <f>EXP(SUMPRODUCT((rl_eff&lt;=$C326)*(rl_key=$A$292)*rl_ln1p))</f>
        <v/>
      </c>
      <c r="K326" s="201">
        <f>COUNTIFS(rl_key,$A$292,rl_eff,"&gt;="&amp;$B326,rl_eff,"&lt;="&amp;$C326)</f>
        <v/>
      </c>
      <c r="L326" s="201">
        <f>SUMIFS(rl_daysafter,rl_key,$A$292,rl_effmonth,$B326,rl_first,1)</f>
        <v/>
      </c>
      <c r="M326" s="209">
        <f>IF($K326=0,0,MIN(1,$L326/$D326))</f>
        <v/>
      </c>
      <c r="N326" s="208">
        <f>IF($K326=0,$J326,(1-$M326)*$I326+$M326*$J326)</f>
        <v/>
      </c>
      <c r="O326" s="209">
        <f>IF($F326&lt;$B$293,$E$293+$I$293*($F326-$A$293),IF($F326&lt;$C$293,$F$293+$J$293*($F326-$B$293),$G$293+$K$293*($F326-$C$293)))</f>
        <v/>
      </c>
      <c r="P326" s="208">
        <f>MIN(1,MAX(0,(nr_MEndPm1-$G326+0.5)/$C$292))-MIN(1,MAX(0,(nr_MStartPm1-1-$G326+0.5)/$C$292))</f>
        <v/>
      </c>
      <c r="Q326" s="208">
        <f>MIN(1,MAX(0,(nr_MEndP-$G326+0.5)/$C$292))-MIN(1,MAX(0,(nr_MStartP-1-$G326+0.5)/$C$292))</f>
        <v/>
      </c>
      <c r="R326" s="208">
        <f>MIN(1,MAX(0,(nr_MEndP1-$G326+0.5)/$C$292))-MIN(1,MAX(0,(nr_MStartP1-1-$G326+0.5)/$C$292))</f>
        <v/>
      </c>
      <c r="S326" s="208">
        <f>IF($L$292,$N326*IF($O$292=1,$O326/$F$292,1),"")</f>
        <v/>
      </c>
      <c r="T326" s="208">
        <f>IF(NOT($L$292),"",IF($G326&lt;nr_MStartP,$S326,$T314*(1+IF($G326&lt;nr_MStartP1,$M$292,$N$292))))</f>
        <v/>
      </c>
      <c r="U326" s="208">
        <f>IF($L$292,$T326,$N326)</f>
        <v/>
      </c>
    </row>
    <row r="327">
      <c r="A327" s="145" t="n">
        <v>33</v>
      </c>
      <c r="B327" s="204">
        <f>EDATE($B326,1)</f>
        <v/>
      </c>
      <c r="C327" s="205">
        <f>EOMONTH($B327,0)</f>
        <v/>
      </c>
      <c r="D327" s="201">
        <f>$C327-$B327+1</f>
        <v/>
      </c>
      <c r="E327" s="201">
        <f>MONTH($B327)</f>
        <v/>
      </c>
      <c r="F327" s="235">
        <f>($B327+$C327+1)/2</f>
        <v/>
      </c>
      <c r="G327" s="201">
        <f>YEAR($B327)*12+MONTH($B327)-1</f>
        <v/>
      </c>
      <c r="H327" s="207">
        <f>IF(OR(nr_SeasonOn="OFF",$D$292=0,$E$292=0),1,12*INDEX(se_block,$D$292,$E327)/$E$292)</f>
        <v/>
      </c>
      <c r="I327" s="208">
        <f>EXP(SUMPRODUCT((rl_eff&lt;$B327)*(rl_key=$A$292)*rl_ln1p))</f>
        <v/>
      </c>
      <c r="J327" s="208">
        <f>EXP(SUMPRODUCT((rl_eff&lt;=$C327)*(rl_key=$A$292)*rl_ln1p))</f>
        <v/>
      </c>
      <c r="K327" s="201">
        <f>COUNTIFS(rl_key,$A$292,rl_eff,"&gt;="&amp;$B327,rl_eff,"&lt;="&amp;$C327)</f>
        <v/>
      </c>
      <c r="L327" s="201">
        <f>SUMIFS(rl_daysafter,rl_key,$A$292,rl_effmonth,$B327,rl_first,1)</f>
        <v/>
      </c>
      <c r="M327" s="209">
        <f>IF($K327=0,0,MIN(1,$L327/$D327))</f>
        <v/>
      </c>
      <c r="N327" s="208">
        <f>IF($K327=0,$J327,(1-$M327)*$I327+$M327*$J327)</f>
        <v/>
      </c>
      <c r="O327" s="209">
        <f>IF($F327&lt;$B$293,$E$293+$I$293*($F327-$A$293),IF($F327&lt;$C$293,$F$293+$J$293*($F327-$B$293),$G$293+$K$293*($F327-$C$293)))</f>
        <v/>
      </c>
      <c r="P327" s="208">
        <f>MIN(1,MAX(0,(nr_MEndPm1-$G327+0.5)/$C$292))-MIN(1,MAX(0,(nr_MStartPm1-1-$G327+0.5)/$C$292))</f>
        <v/>
      </c>
      <c r="Q327" s="208">
        <f>MIN(1,MAX(0,(nr_MEndP-$G327+0.5)/$C$292))-MIN(1,MAX(0,(nr_MStartP-1-$G327+0.5)/$C$292))</f>
        <v/>
      </c>
      <c r="R327" s="208">
        <f>MIN(1,MAX(0,(nr_MEndP1-$G327+0.5)/$C$292))-MIN(1,MAX(0,(nr_MStartP1-1-$G327+0.5)/$C$292))</f>
        <v/>
      </c>
      <c r="S327" s="208">
        <f>IF($L$292,$N327*IF($O$292=1,$O327/$F$292,1),"")</f>
        <v/>
      </c>
      <c r="T327" s="208">
        <f>IF(NOT($L$292),"",IF($G327&lt;nr_MStartP,$S327,$T315*(1+IF($G327&lt;nr_MStartP1,$M$292,$N$292))))</f>
        <v/>
      </c>
      <c r="U327" s="208">
        <f>IF($L$292,$T327,$N327)</f>
        <v/>
      </c>
    </row>
    <row r="328">
      <c r="A328" s="145" t="n">
        <v>34</v>
      </c>
      <c r="B328" s="204">
        <f>EDATE($B327,1)</f>
        <v/>
      </c>
      <c r="C328" s="205">
        <f>EOMONTH($B328,0)</f>
        <v/>
      </c>
      <c r="D328" s="201">
        <f>$C328-$B328+1</f>
        <v/>
      </c>
      <c r="E328" s="201">
        <f>MONTH($B328)</f>
        <v/>
      </c>
      <c r="F328" s="235">
        <f>($B328+$C328+1)/2</f>
        <v/>
      </c>
      <c r="G328" s="201">
        <f>YEAR($B328)*12+MONTH($B328)-1</f>
        <v/>
      </c>
      <c r="H328" s="207">
        <f>IF(OR(nr_SeasonOn="OFF",$D$292=0,$E$292=0),1,12*INDEX(se_block,$D$292,$E328)/$E$292)</f>
        <v/>
      </c>
      <c r="I328" s="208">
        <f>EXP(SUMPRODUCT((rl_eff&lt;$B328)*(rl_key=$A$292)*rl_ln1p))</f>
        <v/>
      </c>
      <c r="J328" s="208">
        <f>EXP(SUMPRODUCT((rl_eff&lt;=$C328)*(rl_key=$A$292)*rl_ln1p))</f>
        <v/>
      </c>
      <c r="K328" s="201">
        <f>COUNTIFS(rl_key,$A$292,rl_eff,"&gt;="&amp;$B328,rl_eff,"&lt;="&amp;$C328)</f>
        <v/>
      </c>
      <c r="L328" s="201">
        <f>SUMIFS(rl_daysafter,rl_key,$A$292,rl_effmonth,$B328,rl_first,1)</f>
        <v/>
      </c>
      <c r="M328" s="209">
        <f>IF($K328=0,0,MIN(1,$L328/$D328))</f>
        <v/>
      </c>
      <c r="N328" s="208">
        <f>IF($K328=0,$J328,(1-$M328)*$I328+$M328*$J328)</f>
        <v/>
      </c>
      <c r="O328" s="209">
        <f>IF($F328&lt;$B$293,$E$293+$I$293*($F328-$A$293),IF($F328&lt;$C$293,$F$293+$J$293*($F328-$B$293),$G$293+$K$293*($F328-$C$293)))</f>
        <v/>
      </c>
      <c r="P328" s="208">
        <f>MIN(1,MAX(0,(nr_MEndPm1-$G328+0.5)/$C$292))-MIN(1,MAX(0,(nr_MStartPm1-1-$G328+0.5)/$C$292))</f>
        <v/>
      </c>
      <c r="Q328" s="208">
        <f>MIN(1,MAX(0,(nr_MEndP-$G328+0.5)/$C$292))-MIN(1,MAX(0,(nr_MStartP-1-$G328+0.5)/$C$292))</f>
        <v/>
      </c>
      <c r="R328" s="208">
        <f>MIN(1,MAX(0,(nr_MEndP1-$G328+0.5)/$C$292))-MIN(1,MAX(0,(nr_MStartP1-1-$G328+0.5)/$C$292))</f>
        <v/>
      </c>
      <c r="S328" s="208">
        <f>IF($L$292,$N328*IF($O$292=1,$O328/$F$292,1),"")</f>
        <v/>
      </c>
      <c r="T328" s="208">
        <f>IF(NOT($L$292),"",IF($G328&lt;nr_MStartP,$S328,$T316*(1+IF($G328&lt;nr_MStartP1,$M$292,$N$292))))</f>
        <v/>
      </c>
      <c r="U328" s="208">
        <f>IF($L$292,$T328,$N328)</f>
        <v/>
      </c>
    </row>
    <row r="329">
      <c r="A329" s="145" t="n">
        <v>35</v>
      </c>
      <c r="B329" s="204">
        <f>EDATE($B328,1)</f>
        <v/>
      </c>
      <c r="C329" s="205">
        <f>EOMONTH($B329,0)</f>
        <v/>
      </c>
      <c r="D329" s="201">
        <f>$C329-$B329+1</f>
        <v/>
      </c>
      <c r="E329" s="201">
        <f>MONTH($B329)</f>
        <v/>
      </c>
      <c r="F329" s="235">
        <f>($B329+$C329+1)/2</f>
        <v/>
      </c>
      <c r="G329" s="201">
        <f>YEAR($B329)*12+MONTH($B329)-1</f>
        <v/>
      </c>
      <c r="H329" s="207">
        <f>IF(OR(nr_SeasonOn="OFF",$D$292=0,$E$292=0),1,12*INDEX(se_block,$D$292,$E329)/$E$292)</f>
        <v/>
      </c>
      <c r="I329" s="208">
        <f>EXP(SUMPRODUCT((rl_eff&lt;$B329)*(rl_key=$A$292)*rl_ln1p))</f>
        <v/>
      </c>
      <c r="J329" s="208">
        <f>EXP(SUMPRODUCT((rl_eff&lt;=$C329)*(rl_key=$A$292)*rl_ln1p))</f>
        <v/>
      </c>
      <c r="K329" s="201">
        <f>COUNTIFS(rl_key,$A$292,rl_eff,"&gt;="&amp;$B329,rl_eff,"&lt;="&amp;$C329)</f>
        <v/>
      </c>
      <c r="L329" s="201">
        <f>SUMIFS(rl_daysafter,rl_key,$A$292,rl_effmonth,$B329,rl_first,1)</f>
        <v/>
      </c>
      <c r="M329" s="209">
        <f>IF($K329=0,0,MIN(1,$L329/$D329))</f>
        <v/>
      </c>
      <c r="N329" s="208">
        <f>IF($K329=0,$J329,(1-$M329)*$I329+$M329*$J329)</f>
        <v/>
      </c>
      <c r="O329" s="209">
        <f>IF($F329&lt;$B$293,$E$293+$I$293*($F329-$A$293),IF($F329&lt;$C$293,$F$293+$J$293*($F329-$B$293),$G$293+$K$293*($F329-$C$293)))</f>
        <v/>
      </c>
      <c r="P329" s="208">
        <f>MIN(1,MAX(0,(nr_MEndPm1-$G329+0.5)/$C$292))-MIN(1,MAX(0,(nr_MStartPm1-1-$G329+0.5)/$C$292))</f>
        <v/>
      </c>
      <c r="Q329" s="208">
        <f>MIN(1,MAX(0,(nr_MEndP-$G329+0.5)/$C$292))-MIN(1,MAX(0,(nr_MStartP-1-$G329+0.5)/$C$292))</f>
        <v/>
      </c>
      <c r="R329" s="208">
        <f>MIN(1,MAX(0,(nr_MEndP1-$G329+0.5)/$C$292))-MIN(1,MAX(0,(nr_MStartP1-1-$G329+0.5)/$C$292))</f>
        <v/>
      </c>
      <c r="S329" s="208">
        <f>IF($L$292,$N329*IF($O$292=1,$O329/$F$292,1),"")</f>
        <v/>
      </c>
      <c r="T329" s="208">
        <f>IF(NOT($L$292),"",IF($G329&lt;nr_MStartP,$S329,$T317*(1+IF($G329&lt;nr_MStartP1,$M$292,$N$292))))</f>
        <v/>
      </c>
      <c r="U329" s="208">
        <f>IF($L$292,$T329,$N329)</f>
        <v/>
      </c>
    </row>
    <row r="330">
      <c r="A330" s="145" t="n">
        <v>36</v>
      </c>
      <c r="B330" s="204">
        <f>EDATE($B329,1)</f>
        <v/>
      </c>
      <c r="C330" s="205">
        <f>EOMONTH($B330,0)</f>
        <v/>
      </c>
      <c r="D330" s="201">
        <f>$C330-$B330+1</f>
        <v/>
      </c>
      <c r="E330" s="201">
        <f>MONTH($B330)</f>
        <v/>
      </c>
      <c r="F330" s="235">
        <f>($B330+$C330+1)/2</f>
        <v/>
      </c>
      <c r="G330" s="201">
        <f>YEAR($B330)*12+MONTH($B330)-1</f>
        <v/>
      </c>
      <c r="H330" s="207">
        <f>IF(OR(nr_SeasonOn="OFF",$D$292=0,$E$292=0),1,12*INDEX(se_block,$D$292,$E330)/$E$292)</f>
        <v/>
      </c>
      <c r="I330" s="208">
        <f>EXP(SUMPRODUCT((rl_eff&lt;$B330)*(rl_key=$A$292)*rl_ln1p))</f>
        <v/>
      </c>
      <c r="J330" s="208">
        <f>EXP(SUMPRODUCT((rl_eff&lt;=$C330)*(rl_key=$A$292)*rl_ln1p))</f>
        <v/>
      </c>
      <c r="K330" s="201">
        <f>COUNTIFS(rl_key,$A$292,rl_eff,"&gt;="&amp;$B330,rl_eff,"&lt;="&amp;$C330)</f>
        <v/>
      </c>
      <c r="L330" s="201">
        <f>SUMIFS(rl_daysafter,rl_key,$A$292,rl_effmonth,$B330,rl_first,1)</f>
        <v/>
      </c>
      <c r="M330" s="209">
        <f>IF($K330=0,0,MIN(1,$L330/$D330))</f>
        <v/>
      </c>
      <c r="N330" s="208">
        <f>IF($K330=0,$J330,(1-$M330)*$I330+$M330*$J330)</f>
        <v/>
      </c>
      <c r="O330" s="209">
        <f>IF($F330&lt;$B$293,$E$293+$I$293*($F330-$A$293),IF($F330&lt;$C$293,$F$293+$J$293*($F330-$B$293),$G$293+$K$293*($F330-$C$293)))</f>
        <v/>
      </c>
      <c r="P330" s="208">
        <f>MIN(1,MAX(0,(nr_MEndPm1-$G330+0.5)/$C$292))-MIN(1,MAX(0,(nr_MStartPm1-1-$G330+0.5)/$C$292))</f>
        <v/>
      </c>
      <c r="Q330" s="208">
        <f>MIN(1,MAX(0,(nr_MEndP-$G330+0.5)/$C$292))-MIN(1,MAX(0,(nr_MStartP-1-$G330+0.5)/$C$292))</f>
        <v/>
      </c>
      <c r="R330" s="208">
        <f>MIN(1,MAX(0,(nr_MEndP1-$G330+0.5)/$C$292))-MIN(1,MAX(0,(nr_MStartP1-1-$G330+0.5)/$C$292))</f>
        <v/>
      </c>
      <c r="S330" s="208">
        <f>IF($L$292,$N330*IF($O$292=1,$O330/$F$292,1),"")</f>
        <v/>
      </c>
      <c r="T330" s="208">
        <f>IF(NOT($L$292),"",IF($G330&lt;nr_MStartP,$S330,$T318*(1+IF($G330&lt;nr_MStartP1,$M$292,$N$292))))</f>
        <v/>
      </c>
      <c r="U330" s="208">
        <f>IF($L$292,$T330,$N330)</f>
        <v/>
      </c>
    </row>
    <row r="331">
      <c r="A331" s="145" t="n">
        <v>37</v>
      </c>
      <c r="B331" s="204">
        <f>EDATE($B330,1)</f>
        <v/>
      </c>
      <c r="C331" s="205">
        <f>EOMONTH($B331,0)</f>
        <v/>
      </c>
      <c r="D331" s="201">
        <f>$C331-$B331+1</f>
        <v/>
      </c>
      <c r="E331" s="201">
        <f>MONTH($B331)</f>
        <v/>
      </c>
      <c r="F331" s="235">
        <f>($B331+$C331+1)/2</f>
        <v/>
      </c>
      <c r="G331" s="201">
        <f>YEAR($B331)*12+MONTH($B331)-1</f>
        <v/>
      </c>
      <c r="H331" s="207">
        <f>IF(OR(nr_SeasonOn="OFF",$D$292=0,$E$292=0),1,12*INDEX(se_block,$D$292,$E331)/$E$292)</f>
        <v/>
      </c>
      <c r="I331" s="208">
        <f>EXP(SUMPRODUCT((rl_eff&lt;$B331)*(rl_key=$A$292)*rl_ln1p))</f>
        <v/>
      </c>
      <c r="J331" s="208">
        <f>EXP(SUMPRODUCT((rl_eff&lt;=$C331)*(rl_key=$A$292)*rl_ln1p))</f>
        <v/>
      </c>
      <c r="K331" s="201">
        <f>COUNTIFS(rl_key,$A$292,rl_eff,"&gt;="&amp;$B331,rl_eff,"&lt;="&amp;$C331)</f>
        <v/>
      </c>
      <c r="L331" s="201">
        <f>SUMIFS(rl_daysafter,rl_key,$A$292,rl_effmonth,$B331,rl_first,1)</f>
        <v/>
      </c>
      <c r="M331" s="209">
        <f>IF($K331=0,0,MIN(1,$L331/$D331))</f>
        <v/>
      </c>
      <c r="N331" s="208">
        <f>IF($K331=0,$J331,(1-$M331)*$I331+$M331*$J331)</f>
        <v/>
      </c>
      <c r="O331" s="209">
        <f>IF($F331&lt;$B$293,$E$293+$I$293*($F331-$A$293),IF($F331&lt;$C$293,$F$293+$J$293*($F331-$B$293),$G$293+$K$293*($F331-$C$293)))</f>
        <v/>
      </c>
      <c r="P331" s="208">
        <f>MIN(1,MAX(0,(nr_MEndPm1-$G331+0.5)/$C$292))-MIN(1,MAX(0,(nr_MStartPm1-1-$G331+0.5)/$C$292))</f>
        <v/>
      </c>
      <c r="Q331" s="208">
        <f>MIN(1,MAX(0,(nr_MEndP-$G331+0.5)/$C$292))-MIN(1,MAX(0,(nr_MStartP-1-$G331+0.5)/$C$292))</f>
        <v/>
      </c>
      <c r="R331" s="208">
        <f>MIN(1,MAX(0,(nr_MEndP1-$G331+0.5)/$C$292))-MIN(1,MAX(0,(nr_MStartP1-1-$G331+0.5)/$C$292))</f>
        <v/>
      </c>
      <c r="S331" s="208">
        <f>IF($L$292,$N331*IF($O$292=1,$O331/$F$292,1),"")</f>
        <v/>
      </c>
      <c r="T331" s="208">
        <f>IF(NOT($L$292),"",IF($G331&lt;nr_MStartP,$S331,$T319*(1+IF($G331&lt;nr_MStartP1,$M$292,$N$292))))</f>
        <v/>
      </c>
      <c r="U331" s="208">
        <f>IF($L$292,$T331,$N331)</f>
        <v/>
      </c>
    </row>
    <row r="332">
      <c r="A332" s="145" t="n">
        <v>38</v>
      </c>
      <c r="B332" s="204">
        <f>EDATE($B331,1)</f>
        <v/>
      </c>
      <c r="C332" s="205">
        <f>EOMONTH($B332,0)</f>
        <v/>
      </c>
      <c r="D332" s="201">
        <f>$C332-$B332+1</f>
        <v/>
      </c>
      <c r="E332" s="201">
        <f>MONTH($B332)</f>
        <v/>
      </c>
      <c r="F332" s="235">
        <f>($B332+$C332+1)/2</f>
        <v/>
      </c>
      <c r="G332" s="201">
        <f>YEAR($B332)*12+MONTH($B332)-1</f>
        <v/>
      </c>
      <c r="H332" s="207">
        <f>IF(OR(nr_SeasonOn="OFF",$D$292=0,$E$292=0),1,12*INDEX(se_block,$D$292,$E332)/$E$292)</f>
        <v/>
      </c>
      <c r="I332" s="208">
        <f>EXP(SUMPRODUCT((rl_eff&lt;$B332)*(rl_key=$A$292)*rl_ln1p))</f>
        <v/>
      </c>
      <c r="J332" s="208">
        <f>EXP(SUMPRODUCT((rl_eff&lt;=$C332)*(rl_key=$A$292)*rl_ln1p))</f>
        <v/>
      </c>
      <c r="K332" s="201">
        <f>COUNTIFS(rl_key,$A$292,rl_eff,"&gt;="&amp;$B332,rl_eff,"&lt;="&amp;$C332)</f>
        <v/>
      </c>
      <c r="L332" s="201">
        <f>SUMIFS(rl_daysafter,rl_key,$A$292,rl_effmonth,$B332,rl_first,1)</f>
        <v/>
      </c>
      <c r="M332" s="209">
        <f>IF($K332=0,0,MIN(1,$L332/$D332))</f>
        <v/>
      </c>
      <c r="N332" s="208">
        <f>IF($K332=0,$J332,(1-$M332)*$I332+$M332*$J332)</f>
        <v/>
      </c>
      <c r="O332" s="209">
        <f>IF($F332&lt;$B$293,$E$293+$I$293*($F332-$A$293),IF($F332&lt;$C$293,$F$293+$J$293*($F332-$B$293),$G$293+$K$293*($F332-$C$293)))</f>
        <v/>
      </c>
      <c r="P332" s="208">
        <f>MIN(1,MAX(0,(nr_MEndPm1-$G332+0.5)/$C$292))-MIN(1,MAX(0,(nr_MStartPm1-1-$G332+0.5)/$C$292))</f>
        <v/>
      </c>
      <c r="Q332" s="208">
        <f>MIN(1,MAX(0,(nr_MEndP-$G332+0.5)/$C$292))-MIN(1,MAX(0,(nr_MStartP-1-$G332+0.5)/$C$292))</f>
        <v/>
      </c>
      <c r="R332" s="208">
        <f>MIN(1,MAX(0,(nr_MEndP1-$G332+0.5)/$C$292))-MIN(1,MAX(0,(nr_MStartP1-1-$G332+0.5)/$C$292))</f>
        <v/>
      </c>
      <c r="S332" s="208">
        <f>IF($L$292,$N332*IF($O$292=1,$O332/$F$292,1),"")</f>
        <v/>
      </c>
      <c r="T332" s="208">
        <f>IF(NOT($L$292),"",IF($G332&lt;nr_MStartP,$S332,$T320*(1+IF($G332&lt;nr_MStartP1,$M$292,$N$292))))</f>
        <v/>
      </c>
      <c r="U332" s="208">
        <f>IF($L$292,$T332,$N332)</f>
        <v/>
      </c>
    </row>
    <row r="333">
      <c r="A333" s="145" t="n">
        <v>39</v>
      </c>
      <c r="B333" s="204">
        <f>EDATE($B332,1)</f>
        <v/>
      </c>
      <c r="C333" s="205">
        <f>EOMONTH($B333,0)</f>
        <v/>
      </c>
      <c r="D333" s="201">
        <f>$C333-$B333+1</f>
        <v/>
      </c>
      <c r="E333" s="201">
        <f>MONTH($B333)</f>
        <v/>
      </c>
      <c r="F333" s="235">
        <f>($B333+$C333+1)/2</f>
        <v/>
      </c>
      <c r="G333" s="201">
        <f>YEAR($B333)*12+MONTH($B333)-1</f>
        <v/>
      </c>
      <c r="H333" s="207">
        <f>IF(OR(nr_SeasonOn="OFF",$D$292=0,$E$292=0),1,12*INDEX(se_block,$D$292,$E333)/$E$292)</f>
        <v/>
      </c>
      <c r="I333" s="208">
        <f>EXP(SUMPRODUCT((rl_eff&lt;$B333)*(rl_key=$A$292)*rl_ln1p))</f>
        <v/>
      </c>
      <c r="J333" s="208">
        <f>EXP(SUMPRODUCT((rl_eff&lt;=$C333)*(rl_key=$A$292)*rl_ln1p))</f>
        <v/>
      </c>
      <c r="K333" s="201">
        <f>COUNTIFS(rl_key,$A$292,rl_eff,"&gt;="&amp;$B333,rl_eff,"&lt;="&amp;$C333)</f>
        <v/>
      </c>
      <c r="L333" s="201">
        <f>SUMIFS(rl_daysafter,rl_key,$A$292,rl_effmonth,$B333,rl_first,1)</f>
        <v/>
      </c>
      <c r="M333" s="209">
        <f>IF($K333=0,0,MIN(1,$L333/$D333))</f>
        <v/>
      </c>
      <c r="N333" s="208">
        <f>IF($K333=0,$J333,(1-$M333)*$I333+$M333*$J333)</f>
        <v/>
      </c>
      <c r="O333" s="209">
        <f>IF($F333&lt;$B$293,$E$293+$I$293*($F333-$A$293),IF($F333&lt;$C$293,$F$293+$J$293*($F333-$B$293),$G$293+$K$293*($F333-$C$293)))</f>
        <v/>
      </c>
      <c r="P333" s="208">
        <f>MIN(1,MAX(0,(nr_MEndPm1-$G333+0.5)/$C$292))-MIN(1,MAX(0,(nr_MStartPm1-1-$G333+0.5)/$C$292))</f>
        <v/>
      </c>
      <c r="Q333" s="208">
        <f>MIN(1,MAX(0,(nr_MEndP-$G333+0.5)/$C$292))-MIN(1,MAX(0,(nr_MStartP-1-$G333+0.5)/$C$292))</f>
        <v/>
      </c>
      <c r="R333" s="208">
        <f>MIN(1,MAX(0,(nr_MEndP1-$G333+0.5)/$C$292))-MIN(1,MAX(0,(nr_MStartP1-1-$G333+0.5)/$C$292))</f>
        <v/>
      </c>
      <c r="S333" s="208">
        <f>IF($L$292,$N333*IF($O$292=1,$O333/$F$292,1),"")</f>
        <v/>
      </c>
      <c r="T333" s="208">
        <f>IF(NOT($L$292),"",IF($G333&lt;nr_MStartP,$S333,$T321*(1+IF($G333&lt;nr_MStartP1,$M$292,$N$292))))</f>
        <v/>
      </c>
      <c r="U333" s="208">
        <f>IF($L$292,$T333,$N333)</f>
        <v/>
      </c>
    </row>
    <row r="334">
      <c r="A334" s="145" t="n">
        <v>40</v>
      </c>
      <c r="B334" s="204">
        <f>EDATE($B333,1)</f>
        <v/>
      </c>
      <c r="C334" s="205">
        <f>EOMONTH($B334,0)</f>
        <v/>
      </c>
      <c r="D334" s="201">
        <f>$C334-$B334+1</f>
        <v/>
      </c>
      <c r="E334" s="201">
        <f>MONTH($B334)</f>
        <v/>
      </c>
      <c r="F334" s="235">
        <f>($B334+$C334+1)/2</f>
        <v/>
      </c>
      <c r="G334" s="201">
        <f>YEAR($B334)*12+MONTH($B334)-1</f>
        <v/>
      </c>
      <c r="H334" s="207">
        <f>IF(OR(nr_SeasonOn="OFF",$D$292=0,$E$292=0),1,12*INDEX(se_block,$D$292,$E334)/$E$292)</f>
        <v/>
      </c>
      <c r="I334" s="208">
        <f>EXP(SUMPRODUCT((rl_eff&lt;$B334)*(rl_key=$A$292)*rl_ln1p))</f>
        <v/>
      </c>
      <c r="J334" s="208">
        <f>EXP(SUMPRODUCT((rl_eff&lt;=$C334)*(rl_key=$A$292)*rl_ln1p))</f>
        <v/>
      </c>
      <c r="K334" s="201">
        <f>COUNTIFS(rl_key,$A$292,rl_eff,"&gt;="&amp;$B334,rl_eff,"&lt;="&amp;$C334)</f>
        <v/>
      </c>
      <c r="L334" s="201">
        <f>SUMIFS(rl_daysafter,rl_key,$A$292,rl_effmonth,$B334,rl_first,1)</f>
        <v/>
      </c>
      <c r="M334" s="209">
        <f>IF($K334=0,0,MIN(1,$L334/$D334))</f>
        <v/>
      </c>
      <c r="N334" s="208">
        <f>IF($K334=0,$J334,(1-$M334)*$I334+$M334*$J334)</f>
        <v/>
      </c>
      <c r="O334" s="209">
        <f>IF($F334&lt;$B$293,$E$293+$I$293*($F334-$A$293),IF($F334&lt;$C$293,$F$293+$J$293*($F334-$B$293),$G$293+$K$293*($F334-$C$293)))</f>
        <v/>
      </c>
      <c r="P334" s="208">
        <f>MIN(1,MAX(0,(nr_MEndPm1-$G334+0.5)/$C$292))-MIN(1,MAX(0,(nr_MStartPm1-1-$G334+0.5)/$C$292))</f>
        <v/>
      </c>
      <c r="Q334" s="208">
        <f>MIN(1,MAX(0,(nr_MEndP-$G334+0.5)/$C$292))-MIN(1,MAX(0,(nr_MStartP-1-$G334+0.5)/$C$292))</f>
        <v/>
      </c>
      <c r="R334" s="208">
        <f>MIN(1,MAX(0,(nr_MEndP1-$G334+0.5)/$C$292))-MIN(1,MAX(0,(nr_MStartP1-1-$G334+0.5)/$C$292))</f>
        <v/>
      </c>
      <c r="S334" s="208">
        <f>IF($L$292,$N334*IF($O$292=1,$O334/$F$292,1),"")</f>
        <v/>
      </c>
      <c r="T334" s="208">
        <f>IF(NOT($L$292),"",IF($G334&lt;nr_MStartP,$S334,$T322*(1+IF($G334&lt;nr_MStartP1,$M$292,$N$292))))</f>
        <v/>
      </c>
      <c r="U334" s="208">
        <f>IF($L$292,$T334,$N334)</f>
        <v/>
      </c>
    </row>
    <row r="335">
      <c r="A335" s="145" t="n">
        <v>41</v>
      </c>
      <c r="B335" s="204">
        <f>EDATE($B334,1)</f>
        <v/>
      </c>
      <c r="C335" s="205">
        <f>EOMONTH($B335,0)</f>
        <v/>
      </c>
      <c r="D335" s="201">
        <f>$C335-$B335+1</f>
        <v/>
      </c>
      <c r="E335" s="201">
        <f>MONTH($B335)</f>
        <v/>
      </c>
      <c r="F335" s="235">
        <f>($B335+$C335+1)/2</f>
        <v/>
      </c>
      <c r="G335" s="201">
        <f>YEAR($B335)*12+MONTH($B335)-1</f>
        <v/>
      </c>
      <c r="H335" s="207">
        <f>IF(OR(nr_SeasonOn="OFF",$D$292=0,$E$292=0),1,12*INDEX(se_block,$D$292,$E335)/$E$292)</f>
        <v/>
      </c>
      <c r="I335" s="208">
        <f>EXP(SUMPRODUCT((rl_eff&lt;$B335)*(rl_key=$A$292)*rl_ln1p))</f>
        <v/>
      </c>
      <c r="J335" s="208">
        <f>EXP(SUMPRODUCT((rl_eff&lt;=$C335)*(rl_key=$A$292)*rl_ln1p))</f>
        <v/>
      </c>
      <c r="K335" s="201">
        <f>COUNTIFS(rl_key,$A$292,rl_eff,"&gt;="&amp;$B335,rl_eff,"&lt;="&amp;$C335)</f>
        <v/>
      </c>
      <c r="L335" s="201">
        <f>SUMIFS(rl_daysafter,rl_key,$A$292,rl_effmonth,$B335,rl_first,1)</f>
        <v/>
      </c>
      <c r="M335" s="209">
        <f>IF($K335=0,0,MIN(1,$L335/$D335))</f>
        <v/>
      </c>
      <c r="N335" s="208">
        <f>IF($K335=0,$J335,(1-$M335)*$I335+$M335*$J335)</f>
        <v/>
      </c>
      <c r="O335" s="209">
        <f>IF($F335&lt;$B$293,$E$293+$I$293*($F335-$A$293),IF($F335&lt;$C$293,$F$293+$J$293*($F335-$B$293),$G$293+$K$293*($F335-$C$293)))</f>
        <v/>
      </c>
      <c r="P335" s="208">
        <f>MIN(1,MAX(0,(nr_MEndPm1-$G335+0.5)/$C$292))-MIN(1,MAX(0,(nr_MStartPm1-1-$G335+0.5)/$C$292))</f>
        <v/>
      </c>
      <c r="Q335" s="208">
        <f>MIN(1,MAX(0,(nr_MEndP-$G335+0.5)/$C$292))-MIN(1,MAX(0,(nr_MStartP-1-$G335+0.5)/$C$292))</f>
        <v/>
      </c>
      <c r="R335" s="208">
        <f>MIN(1,MAX(0,(nr_MEndP1-$G335+0.5)/$C$292))-MIN(1,MAX(0,(nr_MStartP1-1-$G335+0.5)/$C$292))</f>
        <v/>
      </c>
      <c r="S335" s="208">
        <f>IF($L$292,$N335*IF($O$292=1,$O335/$F$292,1),"")</f>
        <v/>
      </c>
      <c r="T335" s="208">
        <f>IF(NOT($L$292),"",IF($G335&lt;nr_MStartP,$S335,$T323*(1+IF($G335&lt;nr_MStartP1,$M$292,$N$292))))</f>
        <v/>
      </c>
      <c r="U335" s="208">
        <f>IF($L$292,$T335,$N335)</f>
        <v/>
      </c>
    </row>
    <row r="336">
      <c r="A336" s="145" t="n">
        <v>42</v>
      </c>
      <c r="B336" s="204">
        <f>EDATE($B335,1)</f>
        <v/>
      </c>
      <c r="C336" s="205">
        <f>EOMONTH($B336,0)</f>
        <v/>
      </c>
      <c r="D336" s="201">
        <f>$C336-$B336+1</f>
        <v/>
      </c>
      <c r="E336" s="201">
        <f>MONTH($B336)</f>
        <v/>
      </c>
      <c r="F336" s="235">
        <f>($B336+$C336+1)/2</f>
        <v/>
      </c>
      <c r="G336" s="201">
        <f>YEAR($B336)*12+MONTH($B336)-1</f>
        <v/>
      </c>
      <c r="H336" s="207">
        <f>IF(OR(nr_SeasonOn="OFF",$D$292=0,$E$292=0),1,12*INDEX(se_block,$D$292,$E336)/$E$292)</f>
        <v/>
      </c>
      <c r="I336" s="208">
        <f>EXP(SUMPRODUCT((rl_eff&lt;$B336)*(rl_key=$A$292)*rl_ln1p))</f>
        <v/>
      </c>
      <c r="J336" s="208">
        <f>EXP(SUMPRODUCT((rl_eff&lt;=$C336)*(rl_key=$A$292)*rl_ln1p))</f>
        <v/>
      </c>
      <c r="K336" s="201">
        <f>COUNTIFS(rl_key,$A$292,rl_eff,"&gt;="&amp;$B336,rl_eff,"&lt;="&amp;$C336)</f>
        <v/>
      </c>
      <c r="L336" s="201">
        <f>SUMIFS(rl_daysafter,rl_key,$A$292,rl_effmonth,$B336,rl_first,1)</f>
        <v/>
      </c>
      <c r="M336" s="209">
        <f>IF($K336=0,0,MIN(1,$L336/$D336))</f>
        <v/>
      </c>
      <c r="N336" s="208">
        <f>IF($K336=0,$J336,(1-$M336)*$I336+$M336*$J336)</f>
        <v/>
      </c>
      <c r="O336" s="209">
        <f>IF($F336&lt;$B$293,$E$293+$I$293*($F336-$A$293),IF($F336&lt;$C$293,$F$293+$J$293*($F336-$B$293),$G$293+$K$293*($F336-$C$293)))</f>
        <v/>
      </c>
      <c r="P336" s="208">
        <f>MIN(1,MAX(0,(nr_MEndPm1-$G336+0.5)/$C$292))-MIN(1,MAX(0,(nr_MStartPm1-1-$G336+0.5)/$C$292))</f>
        <v/>
      </c>
      <c r="Q336" s="208">
        <f>MIN(1,MAX(0,(nr_MEndP-$G336+0.5)/$C$292))-MIN(1,MAX(0,(nr_MStartP-1-$G336+0.5)/$C$292))</f>
        <v/>
      </c>
      <c r="R336" s="208">
        <f>MIN(1,MAX(0,(nr_MEndP1-$G336+0.5)/$C$292))-MIN(1,MAX(0,(nr_MStartP1-1-$G336+0.5)/$C$292))</f>
        <v/>
      </c>
      <c r="S336" s="208">
        <f>IF($L$292,$N336*IF($O$292=1,$O336/$F$292,1),"")</f>
        <v/>
      </c>
      <c r="T336" s="208">
        <f>IF(NOT($L$292),"",IF($G336&lt;nr_MStartP,$S336,$T324*(1+IF($G336&lt;nr_MStartP1,$M$292,$N$292))))</f>
        <v/>
      </c>
      <c r="U336" s="208">
        <f>IF($L$292,$T336,$N336)</f>
        <v/>
      </c>
    </row>
    <row r="337">
      <c r="A337" s="145" t="n">
        <v>43</v>
      </c>
      <c r="B337" s="204">
        <f>EDATE($B336,1)</f>
        <v/>
      </c>
      <c r="C337" s="205">
        <f>EOMONTH($B337,0)</f>
        <v/>
      </c>
      <c r="D337" s="201">
        <f>$C337-$B337+1</f>
        <v/>
      </c>
      <c r="E337" s="201">
        <f>MONTH($B337)</f>
        <v/>
      </c>
      <c r="F337" s="235">
        <f>($B337+$C337+1)/2</f>
        <v/>
      </c>
      <c r="G337" s="201">
        <f>YEAR($B337)*12+MONTH($B337)-1</f>
        <v/>
      </c>
      <c r="H337" s="207">
        <f>IF(OR(nr_SeasonOn="OFF",$D$292=0,$E$292=0),1,12*INDEX(se_block,$D$292,$E337)/$E$292)</f>
        <v/>
      </c>
      <c r="I337" s="208">
        <f>EXP(SUMPRODUCT((rl_eff&lt;$B337)*(rl_key=$A$292)*rl_ln1p))</f>
        <v/>
      </c>
      <c r="J337" s="208">
        <f>EXP(SUMPRODUCT((rl_eff&lt;=$C337)*(rl_key=$A$292)*rl_ln1p))</f>
        <v/>
      </c>
      <c r="K337" s="201">
        <f>COUNTIFS(rl_key,$A$292,rl_eff,"&gt;="&amp;$B337,rl_eff,"&lt;="&amp;$C337)</f>
        <v/>
      </c>
      <c r="L337" s="201">
        <f>SUMIFS(rl_daysafter,rl_key,$A$292,rl_effmonth,$B337,rl_first,1)</f>
        <v/>
      </c>
      <c r="M337" s="209">
        <f>IF($K337=0,0,MIN(1,$L337/$D337))</f>
        <v/>
      </c>
      <c r="N337" s="208">
        <f>IF($K337=0,$J337,(1-$M337)*$I337+$M337*$J337)</f>
        <v/>
      </c>
      <c r="O337" s="209">
        <f>IF($F337&lt;$B$293,$E$293+$I$293*($F337-$A$293),IF($F337&lt;$C$293,$F$293+$J$293*($F337-$B$293),$G$293+$K$293*($F337-$C$293)))</f>
        <v/>
      </c>
      <c r="P337" s="208">
        <f>MIN(1,MAX(0,(nr_MEndPm1-$G337+0.5)/$C$292))-MIN(1,MAX(0,(nr_MStartPm1-1-$G337+0.5)/$C$292))</f>
        <v/>
      </c>
      <c r="Q337" s="208">
        <f>MIN(1,MAX(0,(nr_MEndP-$G337+0.5)/$C$292))-MIN(1,MAX(0,(nr_MStartP-1-$G337+0.5)/$C$292))</f>
        <v/>
      </c>
      <c r="R337" s="208">
        <f>MIN(1,MAX(0,(nr_MEndP1-$G337+0.5)/$C$292))-MIN(1,MAX(0,(nr_MStartP1-1-$G337+0.5)/$C$292))</f>
        <v/>
      </c>
      <c r="S337" s="208">
        <f>IF($L$292,$N337*IF($O$292=1,$O337/$F$292,1),"")</f>
        <v/>
      </c>
      <c r="T337" s="208">
        <f>IF(NOT($L$292),"",IF($G337&lt;nr_MStartP,$S337,$T325*(1+IF($G337&lt;nr_MStartP1,$M$292,$N$292))))</f>
        <v/>
      </c>
      <c r="U337" s="208">
        <f>IF($L$292,$T337,$N337)</f>
        <v/>
      </c>
    </row>
    <row r="338">
      <c r="A338" s="145" t="n">
        <v>44</v>
      </c>
      <c r="B338" s="204">
        <f>EDATE($B337,1)</f>
        <v/>
      </c>
      <c r="C338" s="205">
        <f>EOMONTH($B338,0)</f>
        <v/>
      </c>
      <c r="D338" s="201">
        <f>$C338-$B338+1</f>
        <v/>
      </c>
      <c r="E338" s="201">
        <f>MONTH($B338)</f>
        <v/>
      </c>
      <c r="F338" s="235">
        <f>($B338+$C338+1)/2</f>
        <v/>
      </c>
      <c r="G338" s="201">
        <f>YEAR($B338)*12+MONTH($B338)-1</f>
        <v/>
      </c>
      <c r="H338" s="207">
        <f>IF(OR(nr_SeasonOn="OFF",$D$292=0,$E$292=0),1,12*INDEX(se_block,$D$292,$E338)/$E$292)</f>
        <v/>
      </c>
      <c r="I338" s="208">
        <f>EXP(SUMPRODUCT((rl_eff&lt;$B338)*(rl_key=$A$292)*rl_ln1p))</f>
        <v/>
      </c>
      <c r="J338" s="208">
        <f>EXP(SUMPRODUCT((rl_eff&lt;=$C338)*(rl_key=$A$292)*rl_ln1p))</f>
        <v/>
      </c>
      <c r="K338" s="201">
        <f>COUNTIFS(rl_key,$A$292,rl_eff,"&gt;="&amp;$B338,rl_eff,"&lt;="&amp;$C338)</f>
        <v/>
      </c>
      <c r="L338" s="201">
        <f>SUMIFS(rl_daysafter,rl_key,$A$292,rl_effmonth,$B338,rl_first,1)</f>
        <v/>
      </c>
      <c r="M338" s="209">
        <f>IF($K338=0,0,MIN(1,$L338/$D338))</f>
        <v/>
      </c>
      <c r="N338" s="208">
        <f>IF($K338=0,$J338,(1-$M338)*$I338+$M338*$J338)</f>
        <v/>
      </c>
      <c r="O338" s="209">
        <f>IF($F338&lt;$B$293,$E$293+$I$293*($F338-$A$293),IF($F338&lt;$C$293,$F$293+$J$293*($F338-$B$293),$G$293+$K$293*($F338-$C$293)))</f>
        <v/>
      </c>
      <c r="P338" s="208">
        <f>MIN(1,MAX(0,(nr_MEndPm1-$G338+0.5)/$C$292))-MIN(1,MAX(0,(nr_MStartPm1-1-$G338+0.5)/$C$292))</f>
        <v/>
      </c>
      <c r="Q338" s="208">
        <f>MIN(1,MAX(0,(nr_MEndP-$G338+0.5)/$C$292))-MIN(1,MAX(0,(nr_MStartP-1-$G338+0.5)/$C$292))</f>
        <v/>
      </c>
      <c r="R338" s="208">
        <f>MIN(1,MAX(0,(nr_MEndP1-$G338+0.5)/$C$292))-MIN(1,MAX(0,(nr_MStartP1-1-$G338+0.5)/$C$292))</f>
        <v/>
      </c>
      <c r="S338" s="208">
        <f>IF($L$292,$N338*IF($O$292=1,$O338/$F$292,1),"")</f>
        <v/>
      </c>
      <c r="T338" s="208">
        <f>IF(NOT($L$292),"",IF($G338&lt;nr_MStartP,$S338,$T326*(1+IF($G338&lt;nr_MStartP1,$M$292,$N$292))))</f>
        <v/>
      </c>
      <c r="U338" s="208">
        <f>IF($L$292,$T338,$N338)</f>
        <v/>
      </c>
    </row>
    <row r="339">
      <c r="A339" s="145" t="n">
        <v>45</v>
      </c>
      <c r="B339" s="204">
        <f>EDATE($B338,1)</f>
        <v/>
      </c>
      <c r="C339" s="205">
        <f>EOMONTH($B339,0)</f>
        <v/>
      </c>
      <c r="D339" s="201">
        <f>$C339-$B339+1</f>
        <v/>
      </c>
      <c r="E339" s="201">
        <f>MONTH($B339)</f>
        <v/>
      </c>
      <c r="F339" s="235">
        <f>($B339+$C339+1)/2</f>
        <v/>
      </c>
      <c r="G339" s="201">
        <f>YEAR($B339)*12+MONTH($B339)-1</f>
        <v/>
      </c>
      <c r="H339" s="207">
        <f>IF(OR(nr_SeasonOn="OFF",$D$292=0,$E$292=0),1,12*INDEX(se_block,$D$292,$E339)/$E$292)</f>
        <v/>
      </c>
      <c r="I339" s="208">
        <f>EXP(SUMPRODUCT((rl_eff&lt;$B339)*(rl_key=$A$292)*rl_ln1p))</f>
        <v/>
      </c>
      <c r="J339" s="208">
        <f>EXP(SUMPRODUCT((rl_eff&lt;=$C339)*(rl_key=$A$292)*rl_ln1p))</f>
        <v/>
      </c>
      <c r="K339" s="201">
        <f>COUNTIFS(rl_key,$A$292,rl_eff,"&gt;="&amp;$B339,rl_eff,"&lt;="&amp;$C339)</f>
        <v/>
      </c>
      <c r="L339" s="201">
        <f>SUMIFS(rl_daysafter,rl_key,$A$292,rl_effmonth,$B339,rl_first,1)</f>
        <v/>
      </c>
      <c r="M339" s="209">
        <f>IF($K339=0,0,MIN(1,$L339/$D339))</f>
        <v/>
      </c>
      <c r="N339" s="208">
        <f>IF($K339=0,$J339,(1-$M339)*$I339+$M339*$J339)</f>
        <v/>
      </c>
      <c r="O339" s="209">
        <f>IF($F339&lt;$B$293,$E$293+$I$293*($F339-$A$293),IF($F339&lt;$C$293,$F$293+$J$293*($F339-$B$293),$G$293+$K$293*($F339-$C$293)))</f>
        <v/>
      </c>
      <c r="P339" s="208">
        <f>MIN(1,MAX(0,(nr_MEndPm1-$G339+0.5)/$C$292))-MIN(1,MAX(0,(nr_MStartPm1-1-$G339+0.5)/$C$292))</f>
        <v/>
      </c>
      <c r="Q339" s="208">
        <f>MIN(1,MAX(0,(nr_MEndP-$G339+0.5)/$C$292))-MIN(1,MAX(0,(nr_MStartP-1-$G339+0.5)/$C$292))</f>
        <v/>
      </c>
      <c r="R339" s="208">
        <f>MIN(1,MAX(0,(nr_MEndP1-$G339+0.5)/$C$292))-MIN(1,MAX(0,(nr_MStartP1-1-$G339+0.5)/$C$292))</f>
        <v/>
      </c>
      <c r="S339" s="208">
        <f>IF($L$292,$N339*IF($O$292=1,$O339/$F$292,1),"")</f>
        <v/>
      </c>
      <c r="T339" s="208">
        <f>IF(NOT($L$292),"",IF($G339&lt;nr_MStartP,$S339,$T327*(1+IF($G339&lt;nr_MStartP1,$M$292,$N$292))))</f>
        <v/>
      </c>
      <c r="U339" s="208">
        <f>IF($L$292,$T339,$N339)</f>
        <v/>
      </c>
    </row>
    <row r="340">
      <c r="A340" s="145" t="n">
        <v>46</v>
      </c>
      <c r="B340" s="204">
        <f>EDATE($B339,1)</f>
        <v/>
      </c>
      <c r="C340" s="205">
        <f>EOMONTH($B340,0)</f>
        <v/>
      </c>
      <c r="D340" s="201">
        <f>$C340-$B340+1</f>
        <v/>
      </c>
      <c r="E340" s="201">
        <f>MONTH($B340)</f>
        <v/>
      </c>
      <c r="F340" s="235">
        <f>($B340+$C340+1)/2</f>
        <v/>
      </c>
      <c r="G340" s="201">
        <f>YEAR($B340)*12+MONTH($B340)-1</f>
        <v/>
      </c>
      <c r="H340" s="207">
        <f>IF(OR(nr_SeasonOn="OFF",$D$292=0,$E$292=0),1,12*INDEX(se_block,$D$292,$E340)/$E$292)</f>
        <v/>
      </c>
      <c r="I340" s="208">
        <f>EXP(SUMPRODUCT((rl_eff&lt;$B340)*(rl_key=$A$292)*rl_ln1p))</f>
        <v/>
      </c>
      <c r="J340" s="208">
        <f>EXP(SUMPRODUCT((rl_eff&lt;=$C340)*(rl_key=$A$292)*rl_ln1p))</f>
        <v/>
      </c>
      <c r="K340" s="201">
        <f>COUNTIFS(rl_key,$A$292,rl_eff,"&gt;="&amp;$B340,rl_eff,"&lt;="&amp;$C340)</f>
        <v/>
      </c>
      <c r="L340" s="201">
        <f>SUMIFS(rl_daysafter,rl_key,$A$292,rl_effmonth,$B340,rl_first,1)</f>
        <v/>
      </c>
      <c r="M340" s="209">
        <f>IF($K340=0,0,MIN(1,$L340/$D340))</f>
        <v/>
      </c>
      <c r="N340" s="208">
        <f>IF($K340=0,$J340,(1-$M340)*$I340+$M340*$J340)</f>
        <v/>
      </c>
      <c r="O340" s="209">
        <f>IF($F340&lt;$B$293,$E$293+$I$293*($F340-$A$293),IF($F340&lt;$C$293,$F$293+$J$293*($F340-$B$293),$G$293+$K$293*($F340-$C$293)))</f>
        <v/>
      </c>
      <c r="P340" s="208">
        <f>MIN(1,MAX(0,(nr_MEndPm1-$G340+0.5)/$C$292))-MIN(1,MAX(0,(nr_MStartPm1-1-$G340+0.5)/$C$292))</f>
        <v/>
      </c>
      <c r="Q340" s="208">
        <f>MIN(1,MAX(0,(nr_MEndP-$G340+0.5)/$C$292))-MIN(1,MAX(0,(nr_MStartP-1-$G340+0.5)/$C$292))</f>
        <v/>
      </c>
      <c r="R340" s="208">
        <f>MIN(1,MAX(0,(nr_MEndP1-$G340+0.5)/$C$292))-MIN(1,MAX(0,(nr_MStartP1-1-$G340+0.5)/$C$292))</f>
        <v/>
      </c>
      <c r="S340" s="208">
        <f>IF($L$292,$N340*IF($O$292=1,$O340/$F$292,1),"")</f>
        <v/>
      </c>
      <c r="T340" s="208">
        <f>IF(NOT($L$292),"",IF($G340&lt;nr_MStartP,$S340,$T328*(1+IF($G340&lt;nr_MStartP1,$M$292,$N$292))))</f>
        <v/>
      </c>
      <c r="U340" s="208">
        <f>IF($L$292,$T340,$N340)</f>
        <v/>
      </c>
    </row>
    <row r="341">
      <c r="A341" s="145" t="n">
        <v>47</v>
      </c>
      <c r="B341" s="204">
        <f>EDATE($B340,1)</f>
        <v/>
      </c>
      <c r="C341" s="205">
        <f>EOMONTH($B341,0)</f>
        <v/>
      </c>
      <c r="D341" s="201">
        <f>$C341-$B341+1</f>
        <v/>
      </c>
      <c r="E341" s="201">
        <f>MONTH($B341)</f>
        <v/>
      </c>
      <c r="F341" s="235">
        <f>($B341+$C341+1)/2</f>
        <v/>
      </c>
      <c r="G341" s="201">
        <f>YEAR($B341)*12+MONTH($B341)-1</f>
        <v/>
      </c>
      <c r="H341" s="207">
        <f>IF(OR(nr_SeasonOn="OFF",$D$292=0,$E$292=0),1,12*INDEX(se_block,$D$292,$E341)/$E$292)</f>
        <v/>
      </c>
      <c r="I341" s="208">
        <f>EXP(SUMPRODUCT((rl_eff&lt;$B341)*(rl_key=$A$292)*rl_ln1p))</f>
        <v/>
      </c>
      <c r="J341" s="208">
        <f>EXP(SUMPRODUCT((rl_eff&lt;=$C341)*(rl_key=$A$292)*rl_ln1p))</f>
        <v/>
      </c>
      <c r="K341" s="201">
        <f>COUNTIFS(rl_key,$A$292,rl_eff,"&gt;="&amp;$B341,rl_eff,"&lt;="&amp;$C341)</f>
        <v/>
      </c>
      <c r="L341" s="201">
        <f>SUMIFS(rl_daysafter,rl_key,$A$292,rl_effmonth,$B341,rl_first,1)</f>
        <v/>
      </c>
      <c r="M341" s="209">
        <f>IF($K341=0,0,MIN(1,$L341/$D341))</f>
        <v/>
      </c>
      <c r="N341" s="208">
        <f>IF($K341=0,$J341,(1-$M341)*$I341+$M341*$J341)</f>
        <v/>
      </c>
      <c r="O341" s="209">
        <f>IF($F341&lt;$B$293,$E$293+$I$293*($F341-$A$293),IF($F341&lt;$C$293,$F$293+$J$293*($F341-$B$293),$G$293+$K$293*($F341-$C$293)))</f>
        <v/>
      </c>
      <c r="P341" s="208">
        <f>MIN(1,MAX(0,(nr_MEndPm1-$G341+0.5)/$C$292))-MIN(1,MAX(0,(nr_MStartPm1-1-$G341+0.5)/$C$292))</f>
        <v/>
      </c>
      <c r="Q341" s="208">
        <f>MIN(1,MAX(0,(nr_MEndP-$G341+0.5)/$C$292))-MIN(1,MAX(0,(nr_MStartP-1-$G341+0.5)/$C$292))</f>
        <v/>
      </c>
      <c r="R341" s="208">
        <f>MIN(1,MAX(0,(nr_MEndP1-$G341+0.5)/$C$292))-MIN(1,MAX(0,(nr_MStartP1-1-$G341+0.5)/$C$292))</f>
        <v/>
      </c>
      <c r="S341" s="208">
        <f>IF($L$292,$N341*IF($O$292=1,$O341/$F$292,1),"")</f>
        <v/>
      </c>
      <c r="T341" s="208">
        <f>IF(NOT($L$292),"",IF($G341&lt;nr_MStartP,$S341,$T329*(1+IF($G341&lt;nr_MStartP1,$M$292,$N$292))))</f>
        <v/>
      </c>
      <c r="U341" s="208">
        <f>IF($L$292,$T341,$N341)</f>
        <v/>
      </c>
    </row>
    <row r="342">
      <c r="A342" s="145" t="n">
        <v>48</v>
      </c>
      <c r="B342" s="204">
        <f>EDATE($B341,1)</f>
        <v/>
      </c>
      <c r="C342" s="205">
        <f>EOMONTH($B342,0)</f>
        <v/>
      </c>
      <c r="D342" s="201">
        <f>$C342-$B342+1</f>
        <v/>
      </c>
      <c r="E342" s="201">
        <f>MONTH($B342)</f>
        <v/>
      </c>
      <c r="F342" s="235">
        <f>($B342+$C342+1)/2</f>
        <v/>
      </c>
      <c r="G342" s="201">
        <f>YEAR($B342)*12+MONTH($B342)-1</f>
        <v/>
      </c>
      <c r="H342" s="207">
        <f>IF(OR(nr_SeasonOn="OFF",$D$292=0,$E$292=0),1,12*INDEX(se_block,$D$292,$E342)/$E$292)</f>
        <v/>
      </c>
      <c r="I342" s="208">
        <f>EXP(SUMPRODUCT((rl_eff&lt;$B342)*(rl_key=$A$292)*rl_ln1p))</f>
        <v/>
      </c>
      <c r="J342" s="208">
        <f>EXP(SUMPRODUCT((rl_eff&lt;=$C342)*(rl_key=$A$292)*rl_ln1p))</f>
        <v/>
      </c>
      <c r="K342" s="201">
        <f>COUNTIFS(rl_key,$A$292,rl_eff,"&gt;="&amp;$B342,rl_eff,"&lt;="&amp;$C342)</f>
        <v/>
      </c>
      <c r="L342" s="201">
        <f>SUMIFS(rl_daysafter,rl_key,$A$292,rl_effmonth,$B342,rl_first,1)</f>
        <v/>
      </c>
      <c r="M342" s="209">
        <f>IF($K342=0,0,MIN(1,$L342/$D342))</f>
        <v/>
      </c>
      <c r="N342" s="208">
        <f>IF($K342=0,$J342,(1-$M342)*$I342+$M342*$J342)</f>
        <v/>
      </c>
      <c r="O342" s="209">
        <f>IF($F342&lt;$B$293,$E$293+$I$293*($F342-$A$293),IF($F342&lt;$C$293,$F$293+$J$293*($F342-$B$293),$G$293+$K$293*($F342-$C$293)))</f>
        <v/>
      </c>
      <c r="P342" s="208">
        <f>MIN(1,MAX(0,(nr_MEndPm1-$G342+0.5)/$C$292))-MIN(1,MAX(0,(nr_MStartPm1-1-$G342+0.5)/$C$292))</f>
        <v/>
      </c>
      <c r="Q342" s="208">
        <f>MIN(1,MAX(0,(nr_MEndP-$G342+0.5)/$C$292))-MIN(1,MAX(0,(nr_MStartP-1-$G342+0.5)/$C$292))</f>
        <v/>
      </c>
      <c r="R342" s="208">
        <f>MIN(1,MAX(0,(nr_MEndP1-$G342+0.5)/$C$292))-MIN(1,MAX(0,(nr_MStartP1-1-$G342+0.5)/$C$292))</f>
        <v/>
      </c>
      <c r="S342" s="208">
        <f>IF($L$292,$N342*IF($O$292=1,$O342/$F$292,1),"")</f>
        <v/>
      </c>
      <c r="T342" s="208">
        <f>IF(NOT($L$292),"",IF($G342&lt;nr_MStartP,$S342,$T330*(1+IF($G342&lt;nr_MStartP1,$M$292,$N$292))))</f>
        <v/>
      </c>
      <c r="U342" s="208">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184">
        <f>SUMPRODUCT($H$295:$H$342,$Q$295:$Q$342,$O$295:$O$342)/SUMPRODUCT($H$295:$H$342,$Q$295:$Q$342)</f>
        <v/>
      </c>
      <c r="G343" s="184">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184">
        <f>IF(N(INDEX(lr_mind,6))=0,1,INDEX(lr_mind,6))</f>
        <v/>
      </c>
      <c r="G346" s="184">
        <f>IF(N(INDEX(lr_m0,6))=0,1,INDEX(lr_m0,6))</f>
        <v/>
      </c>
      <c r="H346" s="73">
        <f>IF(N(INDEX(lr_m0asof,6))=0,DATE(nr_PlanYear-1,10,1),INDEX(lr_m0asof,6))</f>
        <v/>
      </c>
      <c r="I346" s="184">
        <f>IF(N(INDEX(lr_m1,6))=0,1,INDEX(lr_m1,6))</f>
        <v/>
      </c>
      <c r="J346" s="184">
        <f>INDEX(lr_mprior,6)</f>
        <v/>
      </c>
      <c r="K346" s="184">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145" t="n">
        <v>1</v>
      </c>
      <c r="B349" s="204">
        <f>DATE(nr_PlanYear-2,1,1)</f>
        <v/>
      </c>
      <c r="C349" s="205">
        <f>EOMONTH($B349,0)</f>
        <v/>
      </c>
      <c r="D349" s="201">
        <f>$C349-$B349+1</f>
        <v/>
      </c>
      <c r="E349" s="201">
        <f>MONTH($B349)</f>
        <v/>
      </c>
      <c r="F349" s="235">
        <f>($B349+$C349+1)/2</f>
        <v/>
      </c>
      <c r="G349" s="201">
        <f>YEAR($B349)*12+MONTH($B349)-1</f>
        <v/>
      </c>
      <c r="H349" s="207">
        <f>IF(OR(nr_SeasonOn="OFF",$D$346=0,$E$346=0),1,12*INDEX(se_block,$D$346,$E349)/$E$346)</f>
        <v/>
      </c>
      <c r="I349" s="208">
        <f>EXP(SUMPRODUCT((rl_eff&lt;$B349)*(rl_key=$A$346)*rl_ln1p))</f>
        <v/>
      </c>
      <c r="J349" s="208">
        <f>EXP(SUMPRODUCT((rl_eff&lt;=$C349)*(rl_key=$A$346)*rl_ln1p))</f>
        <v/>
      </c>
      <c r="K349" s="201">
        <f>COUNTIFS(rl_key,$A$346,rl_eff,"&gt;="&amp;$B349,rl_eff,"&lt;="&amp;$C349)</f>
        <v/>
      </c>
      <c r="L349" s="201">
        <f>SUMIFS(rl_daysafter,rl_key,$A$346,rl_effmonth,$B349,rl_first,1)</f>
        <v/>
      </c>
      <c r="M349" s="209">
        <f>IF($K349=0,0,MIN(1,$L349/$D349))</f>
        <v/>
      </c>
      <c r="N349" s="208">
        <f>IF($K349=0,$J349,(1-$M349)*$I349+$M349*$J349)</f>
        <v/>
      </c>
      <c r="O349" s="209">
        <f>IF($F349&lt;$B$347,$E$347+$I$347*($F349-$A$347),IF($F349&lt;$C$347,$F$347+$J$347*($F349-$B$347),$G$347+$K$347*($F349-$C$347)))</f>
        <v/>
      </c>
      <c r="P349" s="208">
        <f>MIN(1,MAX(0,(nr_MEndPm1-$G349+0.5)/$C$346))-MIN(1,MAX(0,(nr_MStartPm1-1-$G349+0.5)/$C$346))</f>
        <v/>
      </c>
      <c r="Q349" s="208">
        <f>MIN(1,MAX(0,(nr_MEndP-$G349+0.5)/$C$346))-MIN(1,MAX(0,(nr_MStartP-1-$G349+0.5)/$C$346))</f>
        <v/>
      </c>
      <c r="R349" s="208">
        <f>MIN(1,MAX(0,(nr_MEndP1-$G349+0.5)/$C$346))-MIN(1,MAX(0,(nr_MStartP1-1-$G349+0.5)/$C$346))</f>
        <v/>
      </c>
      <c r="S349" s="208">
        <f>IF($L$346,$N349*IF($O$346=1,$O349/$F$346,1),"")</f>
        <v/>
      </c>
      <c r="T349" s="208">
        <f>IF(NOT($L$346),"",IF($G349&lt;nr_MStartP,$S349,$T337*(1+IF($G349&lt;nr_MStartP1,$M$346,$N$346))))</f>
        <v/>
      </c>
      <c r="U349" s="208">
        <f>IF($L$346,$T349,$N349)</f>
        <v/>
      </c>
    </row>
    <row r="350">
      <c r="A350" s="145" t="n">
        <v>2</v>
      </c>
      <c r="B350" s="204">
        <f>EDATE($B349,1)</f>
        <v/>
      </c>
      <c r="C350" s="205">
        <f>EOMONTH($B350,0)</f>
        <v/>
      </c>
      <c r="D350" s="201">
        <f>$C350-$B350+1</f>
        <v/>
      </c>
      <c r="E350" s="201">
        <f>MONTH($B350)</f>
        <v/>
      </c>
      <c r="F350" s="235">
        <f>($B350+$C350+1)/2</f>
        <v/>
      </c>
      <c r="G350" s="201">
        <f>YEAR($B350)*12+MONTH($B350)-1</f>
        <v/>
      </c>
      <c r="H350" s="207">
        <f>IF(OR(nr_SeasonOn="OFF",$D$346=0,$E$346=0),1,12*INDEX(se_block,$D$346,$E350)/$E$346)</f>
        <v/>
      </c>
      <c r="I350" s="208">
        <f>EXP(SUMPRODUCT((rl_eff&lt;$B350)*(rl_key=$A$346)*rl_ln1p))</f>
        <v/>
      </c>
      <c r="J350" s="208">
        <f>EXP(SUMPRODUCT((rl_eff&lt;=$C350)*(rl_key=$A$346)*rl_ln1p))</f>
        <v/>
      </c>
      <c r="K350" s="201">
        <f>COUNTIFS(rl_key,$A$346,rl_eff,"&gt;="&amp;$B350,rl_eff,"&lt;="&amp;$C350)</f>
        <v/>
      </c>
      <c r="L350" s="201">
        <f>SUMIFS(rl_daysafter,rl_key,$A$346,rl_effmonth,$B350,rl_first,1)</f>
        <v/>
      </c>
      <c r="M350" s="209">
        <f>IF($K350=0,0,MIN(1,$L350/$D350))</f>
        <v/>
      </c>
      <c r="N350" s="208">
        <f>IF($K350=0,$J350,(1-$M350)*$I350+$M350*$J350)</f>
        <v/>
      </c>
      <c r="O350" s="209">
        <f>IF($F350&lt;$B$347,$E$347+$I$347*($F350-$A$347),IF($F350&lt;$C$347,$F$347+$J$347*($F350-$B$347),$G$347+$K$347*($F350-$C$347)))</f>
        <v/>
      </c>
      <c r="P350" s="208">
        <f>MIN(1,MAX(0,(nr_MEndPm1-$G350+0.5)/$C$346))-MIN(1,MAX(0,(nr_MStartPm1-1-$G350+0.5)/$C$346))</f>
        <v/>
      </c>
      <c r="Q350" s="208">
        <f>MIN(1,MAX(0,(nr_MEndP-$G350+0.5)/$C$346))-MIN(1,MAX(0,(nr_MStartP-1-$G350+0.5)/$C$346))</f>
        <v/>
      </c>
      <c r="R350" s="208">
        <f>MIN(1,MAX(0,(nr_MEndP1-$G350+0.5)/$C$346))-MIN(1,MAX(0,(nr_MStartP1-1-$G350+0.5)/$C$346))</f>
        <v/>
      </c>
      <c r="S350" s="208">
        <f>IF($L$346,$N350*IF($O$346=1,$O350/$F$346,1),"")</f>
        <v/>
      </c>
      <c r="T350" s="208">
        <f>IF(NOT($L$346),"",IF($G350&lt;nr_MStartP,$S350,$T338*(1+IF($G350&lt;nr_MStartP1,$M$346,$N$346))))</f>
        <v/>
      </c>
      <c r="U350" s="208">
        <f>IF($L$346,$T350,$N350)</f>
        <v/>
      </c>
    </row>
    <row r="351">
      <c r="A351" s="145" t="n">
        <v>3</v>
      </c>
      <c r="B351" s="204">
        <f>EDATE($B350,1)</f>
        <v/>
      </c>
      <c r="C351" s="205">
        <f>EOMONTH($B351,0)</f>
        <v/>
      </c>
      <c r="D351" s="201">
        <f>$C351-$B351+1</f>
        <v/>
      </c>
      <c r="E351" s="201">
        <f>MONTH($B351)</f>
        <v/>
      </c>
      <c r="F351" s="235">
        <f>($B351+$C351+1)/2</f>
        <v/>
      </c>
      <c r="G351" s="201">
        <f>YEAR($B351)*12+MONTH($B351)-1</f>
        <v/>
      </c>
      <c r="H351" s="207">
        <f>IF(OR(nr_SeasonOn="OFF",$D$346=0,$E$346=0),1,12*INDEX(se_block,$D$346,$E351)/$E$346)</f>
        <v/>
      </c>
      <c r="I351" s="208">
        <f>EXP(SUMPRODUCT((rl_eff&lt;$B351)*(rl_key=$A$346)*rl_ln1p))</f>
        <v/>
      </c>
      <c r="J351" s="208">
        <f>EXP(SUMPRODUCT((rl_eff&lt;=$C351)*(rl_key=$A$346)*rl_ln1p))</f>
        <v/>
      </c>
      <c r="K351" s="201">
        <f>COUNTIFS(rl_key,$A$346,rl_eff,"&gt;="&amp;$B351,rl_eff,"&lt;="&amp;$C351)</f>
        <v/>
      </c>
      <c r="L351" s="201">
        <f>SUMIFS(rl_daysafter,rl_key,$A$346,rl_effmonth,$B351,rl_first,1)</f>
        <v/>
      </c>
      <c r="M351" s="209">
        <f>IF($K351=0,0,MIN(1,$L351/$D351))</f>
        <v/>
      </c>
      <c r="N351" s="208">
        <f>IF($K351=0,$J351,(1-$M351)*$I351+$M351*$J351)</f>
        <v/>
      </c>
      <c r="O351" s="209">
        <f>IF($F351&lt;$B$347,$E$347+$I$347*($F351-$A$347),IF($F351&lt;$C$347,$F$347+$J$347*($F351-$B$347),$G$347+$K$347*($F351-$C$347)))</f>
        <v/>
      </c>
      <c r="P351" s="208">
        <f>MIN(1,MAX(0,(nr_MEndPm1-$G351+0.5)/$C$346))-MIN(1,MAX(0,(nr_MStartPm1-1-$G351+0.5)/$C$346))</f>
        <v/>
      </c>
      <c r="Q351" s="208">
        <f>MIN(1,MAX(0,(nr_MEndP-$G351+0.5)/$C$346))-MIN(1,MAX(0,(nr_MStartP-1-$G351+0.5)/$C$346))</f>
        <v/>
      </c>
      <c r="R351" s="208">
        <f>MIN(1,MAX(0,(nr_MEndP1-$G351+0.5)/$C$346))-MIN(1,MAX(0,(nr_MStartP1-1-$G351+0.5)/$C$346))</f>
        <v/>
      </c>
      <c r="S351" s="208">
        <f>IF($L$346,$N351*IF($O$346=1,$O351/$F$346,1),"")</f>
        <v/>
      </c>
      <c r="T351" s="208">
        <f>IF(NOT($L$346),"",IF($G351&lt;nr_MStartP,$S351,$T339*(1+IF($G351&lt;nr_MStartP1,$M$346,$N$346))))</f>
        <v/>
      </c>
      <c r="U351" s="208">
        <f>IF($L$346,$T351,$N351)</f>
        <v/>
      </c>
    </row>
    <row r="352">
      <c r="A352" s="145" t="n">
        <v>4</v>
      </c>
      <c r="B352" s="204">
        <f>EDATE($B351,1)</f>
        <v/>
      </c>
      <c r="C352" s="205">
        <f>EOMONTH($B352,0)</f>
        <v/>
      </c>
      <c r="D352" s="201">
        <f>$C352-$B352+1</f>
        <v/>
      </c>
      <c r="E352" s="201">
        <f>MONTH($B352)</f>
        <v/>
      </c>
      <c r="F352" s="235">
        <f>($B352+$C352+1)/2</f>
        <v/>
      </c>
      <c r="G352" s="201">
        <f>YEAR($B352)*12+MONTH($B352)-1</f>
        <v/>
      </c>
      <c r="H352" s="207">
        <f>IF(OR(nr_SeasonOn="OFF",$D$346=0,$E$346=0),1,12*INDEX(se_block,$D$346,$E352)/$E$346)</f>
        <v/>
      </c>
      <c r="I352" s="208">
        <f>EXP(SUMPRODUCT((rl_eff&lt;$B352)*(rl_key=$A$346)*rl_ln1p))</f>
        <v/>
      </c>
      <c r="J352" s="208">
        <f>EXP(SUMPRODUCT((rl_eff&lt;=$C352)*(rl_key=$A$346)*rl_ln1p))</f>
        <v/>
      </c>
      <c r="K352" s="201">
        <f>COUNTIFS(rl_key,$A$346,rl_eff,"&gt;="&amp;$B352,rl_eff,"&lt;="&amp;$C352)</f>
        <v/>
      </c>
      <c r="L352" s="201">
        <f>SUMIFS(rl_daysafter,rl_key,$A$346,rl_effmonth,$B352,rl_first,1)</f>
        <v/>
      </c>
      <c r="M352" s="209">
        <f>IF($K352=0,0,MIN(1,$L352/$D352))</f>
        <v/>
      </c>
      <c r="N352" s="208">
        <f>IF($K352=0,$J352,(1-$M352)*$I352+$M352*$J352)</f>
        <v/>
      </c>
      <c r="O352" s="209">
        <f>IF($F352&lt;$B$347,$E$347+$I$347*($F352-$A$347),IF($F352&lt;$C$347,$F$347+$J$347*($F352-$B$347),$G$347+$K$347*($F352-$C$347)))</f>
        <v/>
      </c>
      <c r="P352" s="208">
        <f>MIN(1,MAX(0,(nr_MEndPm1-$G352+0.5)/$C$346))-MIN(1,MAX(0,(nr_MStartPm1-1-$G352+0.5)/$C$346))</f>
        <v/>
      </c>
      <c r="Q352" s="208">
        <f>MIN(1,MAX(0,(nr_MEndP-$G352+0.5)/$C$346))-MIN(1,MAX(0,(nr_MStartP-1-$G352+0.5)/$C$346))</f>
        <v/>
      </c>
      <c r="R352" s="208">
        <f>MIN(1,MAX(0,(nr_MEndP1-$G352+0.5)/$C$346))-MIN(1,MAX(0,(nr_MStartP1-1-$G352+0.5)/$C$346))</f>
        <v/>
      </c>
      <c r="S352" s="208">
        <f>IF($L$346,$N352*IF($O$346=1,$O352/$F$346,1),"")</f>
        <v/>
      </c>
      <c r="T352" s="208">
        <f>IF(NOT($L$346),"",IF($G352&lt;nr_MStartP,$S352,$T340*(1+IF($G352&lt;nr_MStartP1,$M$346,$N$346))))</f>
        <v/>
      </c>
      <c r="U352" s="208">
        <f>IF($L$346,$T352,$N352)</f>
        <v/>
      </c>
    </row>
    <row r="353">
      <c r="A353" s="145" t="n">
        <v>5</v>
      </c>
      <c r="B353" s="204">
        <f>EDATE($B352,1)</f>
        <v/>
      </c>
      <c r="C353" s="205">
        <f>EOMONTH($B353,0)</f>
        <v/>
      </c>
      <c r="D353" s="201">
        <f>$C353-$B353+1</f>
        <v/>
      </c>
      <c r="E353" s="201">
        <f>MONTH($B353)</f>
        <v/>
      </c>
      <c r="F353" s="235">
        <f>($B353+$C353+1)/2</f>
        <v/>
      </c>
      <c r="G353" s="201">
        <f>YEAR($B353)*12+MONTH($B353)-1</f>
        <v/>
      </c>
      <c r="H353" s="207">
        <f>IF(OR(nr_SeasonOn="OFF",$D$346=0,$E$346=0),1,12*INDEX(se_block,$D$346,$E353)/$E$346)</f>
        <v/>
      </c>
      <c r="I353" s="208">
        <f>EXP(SUMPRODUCT((rl_eff&lt;$B353)*(rl_key=$A$346)*rl_ln1p))</f>
        <v/>
      </c>
      <c r="J353" s="208">
        <f>EXP(SUMPRODUCT((rl_eff&lt;=$C353)*(rl_key=$A$346)*rl_ln1p))</f>
        <v/>
      </c>
      <c r="K353" s="201">
        <f>COUNTIFS(rl_key,$A$346,rl_eff,"&gt;="&amp;$B353,rl_eff,"&lt;="&amp;$C353)</f>
        <v/>
      </c>
      <c r="L353" s="201">
        <f>SUMIFS(rl_daysafter,rl_key,$A$346,rl_effmonth,$B353,rl_first,1)</f>
        <v/>
      </c>
      <c r="M353" s="209">
        <f>IF($K353=0,0,MIN(1,$L353/$D353))</f>
        <v/>
      </c>
      <c r="N353" s="208">
        <f>IF($K353=0,$J353,(1-$M353)*$I353+$M353*$J353)</f>
        <v/>
      </c>
      <c r="O353" s="209">
        <f>IF($F353&lt;$B$347,$E$347+$I$347*($F353-$A$347),IF($F353&lt;$C$347,$F$347+$J$347*($F353-$B$347),$G$347+$K$347*($F353-$C$347)))</f>
        <v/>
      </c>
      <c r="P353" s="208">
        <f>MIN(1,MAX(0,(nr_MEndPm1-$G353+0.5)/$C$346))-MIN(1,MAX(0,(nr_MStartPm1-1-$G353+0.5)/$C$346))</f>
        <v/>
      </c>
      <c r="Q353" s="208">
        <f>MIN(1,MAX(0,(nr_MEndP-$G353+0.5)/$C$346))-MIN(1,MAX(0,(nr_MStartP-1-$G353+0.5)/$C$346))</f>
        <v/>
      </c>
      <c r="R353" s="208">
        <f>MIN(1,MAX(0,(nr_MEndP1-$G353+0.5)/$C$346))-MIN(1,MAX(0,(nr_MStartP1-1-$G353+0.5)/$C$346))</f>
        <v/>
      </c>
      <c r="S353" s="208">
        <f>IF($L$346,$N353*IF($O$346=1,$O353/$F$346,1),"")</f>
        <v/>
      </c>
      <c r="T353" s="208">
        <f>IF(NOT($L$346),"",IF($G353&lt;nr_MStartP,$S353,$T341*(1+IF($G353&lt;nr_MStartP1,$M$346,$N$346))))</f>
        <v/>
      </c>
      <c r="U353" s="208">
        <f>IF($L$346,$T353,$N353)</f>
        <v/>
      </c>
    </row>
    <row r="354">
      <c r="A354" s="145" t="n">
        <v>6</v>
      </c>
      <c r="B354" s="204">
        <f>EDATE($B353,1)</f>
        <v/>
      </c>
      <c r="C354" s="205">
        <f>EOMONTH($B354,0)</f>
        <v/>
      </c>
      <c r="D354" s="201">
        <f>$C354-$B354+1</f>
        <v/>
      </c>
      <c r="E354" s="201">
        <f>MONTH($B354)</f>
        <v/>
      </c>
      <c r="F354" s="235">
        <f>($B354+$C354+1)/2</f>
        <v/>
      </c>
      <c r="G354" s="201">
        <f>YEAR($B354)*12+MONTH($B354)-1</f>
        <v/>
      </c>
      <c r="H354" s="207">
        <f>IF(OR(nr_SeasonOn="OFF",$D$346=0,$E$346=0),1,12*INDEX(se_block,$D$346,$E354)/$E$346)</f>
        <v/>
      </c>
      <c r="I354" s="208">
        <f>EXP(SUMPRODUCT((rl_eff&lt;$B354)*(rl_key=$A$346)*rl_ln1p))</f>
        <v/>
      </c>
      <c r="J354" s="208">
        <f>EXP(SUMPRODUCT((rl_eff&lt;=$C354)*(rl_key=$A$346)*rl_ln1p))</f>
        <v/>
      </c>
      <c r="K354" s="201">
        <f>COUNTIFS(rl_key,$A$346,rl_eff,"&gt;="&amp;$B354,rl_eff,"&lt;="&amp;$C354)</f>
        <v/>
      </c>
      <c r="L354" s="201">
        <f>SUMIFS(rl_daysafter,rl_key,$A$346,rl_effmonth,$B354,rl_first,1)</f>
        <v/>
      </c>
      <c r="M354" s="209">
        <f>IF($K354=0,0,MIN(1,$L354/$D354))</f>
        <v/>
      </c>
      <c r="N354" s="208">
        <f>IF($K354=0,$J354,(1-$M354)*$I354+$M354*$J354)</f>
        <v/>
      </c>
      <c r="O354" s="209">
        <f>IF($F354&lt;$B$347,$E$347+$I$347*($F354-$A$347),IF($F354&lt;$C$347,$F$347+$J$347*($F354-$B$347),$G$347+$K$347*($F354-$C$347)))</f>
        <v/>
      </c>
      <c r="P354" s="208">
        <f>MIN(1,MAX(0,(nr_MEndPm1-$G354+0.5)/$C$346))-MIN(1,MAX(0,(nr_MStartPm1-1-$G354+0.5)/$C$346))</f>
        <v/>
      </c>
      <c r="Q354" s="208">
        <f>MIN(1,MAX(0,(nr_MEndP-$G354+0.5)/$C$346))-MIN(1,MAX(0,(nr_MStartP-1-$G354+0.5)/$C$346))</f>
        <v/>
      </c>
      <c r="R354" s="208">
        <f>MIN(1,MAX(0,(nr_MEndP1-$G354+0.5)/$C$346))-MIN(1,MAX(0,(nr_MStartP1-1-$G354+0.5)/$C$346))</f>
        <v/>
      </c>
      <c r="S354" s="208">
        <f>IF($L$346,$N354*IF($O$346=1,$O354/$F$346,1),"")</f>
        <v/>
      </c>
      <c r="T354" s="208">
        <f>IF(NOT($L$346),"",IF($G354&lt;nr_MStartP,$S354,$T342*(1+IF($G354&lt;nr_MStartP1,$M$346,$N$346))))</f>
        <v/>
      </c>
      <c r="U354" s="208">
        <f>IF($L$346,$T354,$N354)</f>
        <v/>
      </c>
    </row>
    <row r="355">
      <c r="A355" s="145" t="n">
        <v>7</v>
      </c>
      <c r="B355" s="204">
        <f>EDATE($B354,1)</f>
        <v/>
      </c>
      <c r="C355" s="205">
        <f>EOMONTH($B355,0)</f>
        <v/>
      </c>
      <c r="D355" s="201">
        <f>$C355-$B355+1</f>
        <v/>
      </c>
      <c r="E355" s="201">
        <f>MONTH($B355)</f>
        <v/>
      </c>
      <c r="F355" s="235">
        <f>($B355+$C355+1)/2</f>
        <v/>
      </c>
      <c r="G355" s="201">
        <f>YEAR($B355)*12+MONTH($B355)-1</f>
        <v/>
      </c>
      <c r="H355" s="207">
        <f>IF(OR(nr_SeasonOn="OFF",$D$346=0,$E$346=0),1,12*INDEX(se_block,$D$346,$E355)/$E$346)</f>
        <v/>
      </c>
      <c r="I355" s="208">
        <f>EXP(SUMPRODUCT((rl_eff&lt;$B355)*(rl_key=$A$346)*rl_ln1p))</f>
        <v/>
      </c>
      <c r="J355" s="208">
        <f>EXP(SUMPRODUCT((rl_eff&lt;=$C355)*(rl_key=$A$346)*rl_ln1p))</f>
        <v/>
      </c>
      <c r="K355" s="201">
        <f>COUNTIFS(rl_key,$A$346,rl_eff,"&gt;="&amp;$B355,rl_eff,"&lt;="&amp;$C355)</f>
        <v/>
      </c>
      <c r="L355" s="201">
        <f>SUMIFS(rl_daysafter,rl_key,$A$346,rl_effmonth,$B355,rl_first,1)</f>
        <v/>
      </c>
      <c r="M355" s="209">
        <f>IF($K355=0,0,MIN(1,$L355/$D355))</f>
        <v/>
      </c>
      <c r="N355" s="208">
        <f>IF($K355=0,$J355,(1-$M355)*$I355+$M355*$J355)</f>
        <v/>
      </c>
      <c r="O355" s="209">
        <f>IF($F355&lt;$B$347,$E$347+$I$347*($F355-$A$347),IF($F355&lt;$C$347,$F$347+$J$347*($F355-$B$347),$G$347+$K$347*($F355-$C$347)))</f>
        <v/>
      </c>
      <c r="P355" s="208">
        <f>MIN(1,MAX(0,(nr_MEndPm1-$G355+0.5)/$C$346))-MIN(1,MAX(0,(nr_MStartPm1-1-$G355+0.5)/$C$346))</f>
        <v/>
      </c>
      <c r="Q355" s="208">
        <f>MIN(1,MAX(0,(nr_MEndP-$G355+0.5)/$C$346))-MIN(1,MAX(0,(nr_MStartP-1-$G355+0.5)/$C$346))</f>
        <v/>
      </c>
      <c r="R355" s="208">
        <f>MIN(1,MAX(0,(nr_MEndP1-$G355+0.5)/$C$346))-MIN(1,MAX(0,(nr_MStartP1-1-$G355+0.5)/$C$346))</f>
        <v/>
      </c>
      <c r="S355" s="208">
        <f>IF($L$346,$N355*IF($O$346=1,$O355/$F$346,1),"")</f>
        <v/>
      </c>
      <c r="T355" s="208">
        <f>IF(NOT($L$346),"",IF($G355&lt;nr_MStartP,$S355,$T343*(1+IF($G355&lt;nr_MStartP1,$M$346,$N$346))))</f>
        <v/>
      </c>
      <c r="U355" s="208">
        <f>IF($L$346,$T355,$N355)</f>
        <v/>
      </c>
    </row>
    <row r="356">
      <c r="A356" s="145" t="n">
        <v>8</v>
      </c>
      <c r="B356" s="204">
        <f>EDATE($B355,1)</f>
        <v/>
      </c>
      <c r="C356" s="205">
        <f>EOMONTH($B356,0)</f>
        <v/>
      </c>
      <c r="D356" s="201">
        <f>$C356-$B356+1</f>
        <v/>
      </c>
      <c r="E356" s="201">
        <f>MONTH($B356)</f>
        <v/>
      </c>
      <c r="F356" s="235">
        <f>($B356+$C356+1)/2</f>
        <v/>
      </c>
      <c r="G356" s="201">
        <f>YEAR($B356)*12+MONTH($B356)-1</f>
        <v/>
      </c>
      <c r="H356" s="207">
        <f>IF(OR(nr_SeasonOn="OFF",$D$346=0,$E$346=0),1,12*INDEX(se_block,$D$346,$E356)/$E$346)</f>
        <v/>
      </c>
      <c r="I356" s="208">
        <f>EXP(SUMPRODUCT((rl_eff&lt;$B356)*(rl_key=$A$346)*rl_ln1p))</f>
        <v/>
      </c>
      <c r="J356" s="208">
        <f>EXP(SUMPRODUCT((rl_eff&lt;=$C356)*(rl_key=$A$346)*rl_ln1p))</f>
        <v/>
      </c>
      <c r="K356" s="201">
        <f>COUNTIFS(rl_key,$A$346,rl_eff,"&gt;="&amp;$B356,rl_eff,"&lt;="&amp;$C356)</f>
        <v/>
      </c>
      <c r="L356" s="201">
        <f>SUMIFS(rl_daysafter,rl_key,$A$346,rl_effmonth,$B356,rl_first,1)</f>
        <v/>
      </c>
      <c r="M356" s="209">
        <f>IF($K356=0,0,MIN(1,$L356/$D356))</f>
        <v/>
      </c>
      <c r="N356" s="208">
        <f>IF($K356=0,$J356,(1-$M356)*$I356+$M356*$J356)</f>
        <v/>
      </c>
      <c r="O356" s="209">
        <f>IF($F356&lt;$B$347,$E$347+$I$347*($F356-$A$347),IF($F356&lt;$C$347,$F$347+$J$347*($F356-$B$347),$G$347+$K$347*($F356-$C$347)))</f>
        <v/>
      </c>
      <c r="P356" s="208">
        <f>MIN(1,MAX(0,(nr_MEndPm1-$G356+0.5)/$C$346))-MIN(1,MAX(0,(nr_MStartPm1-1-$G356+0.5)/$C$346))</f>
        <v/>
      </c>
      <c r="Q356" s="208">
        <f>MIN(1,MAX(0,(nr_MEndP-$G356+0.5)/$C$346))-MIN(1,MAX(0,(nr_MStartP-1-$G356+0.5)/$C$346))</f>
        <v/>
      </c>
      <c r="R356" s="208">
        <f>MIN(1,MAX(0,(nr_MEndP1-$G356+0.5)/$C$346))-MIN(1,MAX(0,(nr_MStartP1-1-$G356+0.5)/$C$346))</f>
        <v/>
      </c>
      <c r="S356" s="208">
        <f>IF($L$346,$N356*IF($O$346=1,$O356/$F$346,1),"")</f>
        <v/>
      </c>
      <c r="T356" s="208">
        <f>IF(NOT($L$346),"",IF($G356&lt;nr_MStartP,$S356,$T344*(1+IF($G356&lt;nr_MStartP1,$M$346,$N$346))))</f>
        <v/>
      </c>
      <c r="U356" s="208">
        <f>IF($L$346,$T356,$N356)</f>
        <v/>
      </c>
    </row>
    <row r="357">
      <c r="A357" s="145" t="n">
        <v>9</v>
      </c>
      <c r="B357" s="204">
        <f>EDATE($B356,1)</f>
        <v/>
      </c>
      <c r="C357" s="205">
        <f>EOMONTH($B357,0)</f>
        <v/>
      </c>
      <c r="D357" s="201">
        <f>$C357-$B357+1</f>
        <v/>
      </c>
      <c r="E357" s="201">
        <f>MONTH($B357)</f>
        <v/>
      </c>
      <c r="F357" s="235">
        <f>($B357+$C357+1)/2</f>
        <v/>
      </c>
      <c r="G357" s="201">
        <f>YEAR($B357)*12+MONTH($B357)-1</f>
        <v/>
      </c>
      <c r="H357" s="207">
        <f>IF(OR(nr_SeasonOn="OFF",$D$346=0,$E$346=0),1,12*INDEX(se_block,$D$346,$E357)/$E$346)</f>
        <v/>
      </c>
      <c r="I357" s="208">
        <f>EXP(SUMPRODUCT((rl_eff&lt;$B357)*(rl_key=$A$346)*rl_ln1p))</f>
        <v/>
      </c>
      <c r="J357" s="208">
        <f>EXP(SUMPRODUCT((rl_eff&lt;=$C357)*(rl_key=$A$346)*rl_ln1p))</f>
        <v/>
      </c>
      <c r="K357" s="201">
        <f>COUNTIFS(rl_key,$A$346,rl_eff,"&gt;="&amp;$B357,rl_eff,"&lt;="&amp;$C357)</f>
        <v/>
      </c>
      <c r="L357" s="201">
        <f>SUMIFS(rl_daysafter,rl_key,$A$346,rl_effmonth,$B357,rl_first,1)</f>
        <v/>
      </c>
      <c r="M357" s="209">
        <f>IF($K357=0,0,MIN(1,$L357/$D357))</f>
        <v/>
      </c>
      <c r="N357" s="208">
        <f>IF($K357=0,$J357,(1-$M357)*$I357+$M357*$J357)</f>
        <v/>
      </c>
      <c r="O357" s="209">
        <f>IF($F357&lt;$B$347,$E$347+$I$347*($F357-$A$347),IF($F357&lt;$C$347,$F$347+$J$347*($F357-$B$347),$G$347+$K$347*($F357-$C$347)))</f>
        <v/>
      </c>
      <c r="P357" s="208">
        <f>MIN(1,MAX(0,(nr_MEndPm1-$G357+0.5)/$C$346))-MIN(1,MAX(0,(nr_MStartPm1-1-$G357+0.5)/$C$346))</f>
        <v/>
      </c>
      <c r="Q357" s="208">
        <f>MIN(1,MAX(0,(nr_MEndP-$G357+0.5)/$C$346))-MIN(1,MAX(0,(nr_MStartP-1-$G357+0.5)/$C$346))</f>
        <v/>
      </c>
      <c r="R357" s="208">
        <f>MIN(1,MAX(0,(nr_MEndP1-$G357+0.5)/$C$346))-MIN(1,MAX(0,(nr_MStartP1-1-$G357+0.5)/$C$346))</f>
        <v/>
      </c>
      <c r="S357" s="208">
        <f>IF($L$346,$N357*IF($O$346=1,$O357/$F$346,1),"")</f>
        <v/>
      </c>
      <c r="T357" s="208">
        <f>IF(NOT($L$346),"",IF($G357&lt;nr_MStartP,$S357,$T345*(1+IF($G357&lt;nr_MStartP1,$M$346,$N$346))))</f>
        <v/>
      </c>
      <c r="U357" s="208">
        <f>IF($L$346,$T357,$N357)</f>
        <v/>
      </c>
    </row>
    <row r="358">
      <c r="A358" s="145" t="n">
        <v>10</v>
      </c>
      <c r="B358" s="204">
        <f>EDATE($B357,1)</f>
        <v/>
      </c>
      <c r="C358" s="205">
        <f>EOMONTH($B358,0)</f>
        <v/>
      </c>
      <c r="D358" s="201">
        <f>$C358-$B358+1</f>
        <v/>
      </c>
      <c r="E358" s="201">
        <f>MONTH($B358)</f>
        <v/>
      </c>
      <c r="F358" s="235">
        <f>($B358+$C358+1)/2</f>
        <v/>
      </c>
      <c r="G358" s="201">
        <f>YEAR($B358)*12+MONTH($B358)-1</f>
        <v/>
      </c>
      <c r="H358" s="207">
        <f>IF(OR(nr_SeasonOn="OFF",$D$346=0,$E$346=0),1,12*INDEX(se_block,$D$346,$E358)/$E$346)</f>
        <v/>
      </c>
      <c r="I358" s="208">
        <f>EXP(SUMPRODUCT((rl_eff&lt;$B358)*(rl_key=$A$346)*rl_ln1p))</f>
        <v/>
      </c>
      <c r="J358" s="208">
        <f>EXP(SUMPRODUCT((rl_eff&lt;=$C358)*(rl_key=$A$346)*rl_ln1p))</f>
        <v/>
      </c>
      <c r="K358" s="201">
        <f>COUNTIFS(rl_key,$A$346,rl_eff,"&gt;="&amp;$B358,rl_eff,"&lt;="&amp;$C358)</f>
        <v/>
      </c>
      <c r="L358" s="201">
        <f>SUMIFS(rl_daysafter,rl_key,$A$346,rl_effmonth,$B358,rl_first,1)</f>
        <v/>
      </c>
      <c r="M358" s="209">
        <f>IF($K358=0,0,MIN(1,$L358/$D358))</f>
        <v/>
      </c>
      <c r="N358" s="208">
        <f>IF($K358=0,$J358,(1-$M358)*$I358+$M358*$J358)</f>
        <v/>
      </c>
      <c r="O358" s="209">
        <f>IF($F358&lt;$B$347,$E$347+$I$347*($F358-$A$347),IF($F358&lt;$C$347,$F$347+$J$347*($F358-$B$347),$G$347+$K$347*($F358-$C$347)))</f>
        <v/>
      </c>
      <c r="P358" s="208">
        <f>MIN(1,MAX(0,(nr_MEndPm1-$G358+0.5)/$C$346))-MIN(1,MAX(0,(nr_MStartPm1-1-$G358+0.5)/$C$346))</f>
        <v/>
      </c>
      <c r="Q358" s="208">
        <f>MIN(1,MAX(0,(nr_MEndP-$G358+0.5)/$C$346))-MIN(1,MAX(0,(nr_MStartP-1-$G358+0.5)/$C$346))</f>
        <v/>
      </c>
      <c r="R358" s="208">
        <f>MIN(1,MAX(0,(nr_MEndP1-$G358+0.5)/$C$346))-MIN(1,MAX(0,(nr_MStartP1-1-$G358+0.5)/$C$346))</f>
        <v/>
      </c>
      <c r="S358" s="208">
        <f>IF($L$346,$N358*IF($O$346=1,$O358/$F$346,1),"")</f>
        <v/>
      </c>
      <c r="T358" s="208">
        <f>IF(NOT($L$346),"",IF($G358&lt;nr_MStartP,$S358,$T346*(1+IF($G358&lt;nr_MStartP1,$M$346,$N$346))))</f>
        <v/>
      </c>
      <c r="U358" s="208">
        <f>IF($L$346,$T358,$N358)</f>
        <v/>
      </c>
    </row>
    <row r="359">
      <c r="A359" s="145" t="n">
        <v>11</v>
      </c>
      <c r="B359" s="204">
        <f>EDATE($B358,1)</f>
        <v/>
      </c>
      <c r="C359" s="205">
        <f>EOMONTH($B359,0)</f>
        <v/>
      </c>
      <c r="D359" s="201">
        <f>$C359-$B359+1</f>
        <v/>
      </c>
      <c r="E359" s="201">
        <f>MONTH($B359)</f>
        <v/>
      </c>
      <c r="F359" s="235">
        <f>($B359+$C359+1)/2</f>
        <v/>
      </c>
      <c r="G359" s="201">
        <f>YEAR($B359)*12+MONTH($B359)-1</f>
        <v/>
      </c>
      <c r="H359" s="207">
        <f>IF(OR(nr_SeasonOn="OFF",$D$346=0,$E$346=0),1,12*INDEX(se_block,$D$346,$E359)/$E$346)</f>
        <v/>
      </c>
      <c r="I359" s="208">
        <f>EXP(SUMPRODUCT((rl_eff&lt;$B359)*(rl_key=$A$346)*rl_ln1p))</f>
        <v/>
      </c>
      <c r="J359" s="208">
        <f>EXP(SUMPRODUCT((rl_eff&lt;=$C359)*(rl_key=$A$346)*rl_ln1p))</f>
        <v/>
      </c>
      <c r="K359" s="201">
        <f>COUNTIFS(rl_key,$A$346,rl_eff,"&gt;="&amp;$B359,rl_eff,"&lt;="&amp;$C359)</f>
        <v/>
      </c>
      <c r="L359" s="201">
        <f>SUMIFS(rl_daysafter,rl_key,$A$346,rl_effmonth,$B359,rl_first,1)</f>
        <v/>
      </c>
      <c r="M359" s="209">
        <f>IF($K359=0,0,MIN(1,$L359/$D359))</f>
        <v/>
      </c>
      <c r="N359" s="208">
        <f>IF($K359=0,$J359,(1-$M359)*$I359+$M359*$J359)</f>
        <v/>
      </c>
      <c r="O359" s="209">
        <f>IF($F359&lt;$B$347,$E$347+$I$347*($F359-$A$347),IF($F359&lt;$C$347,$F$347+$J$347*($F359-$B$347),$G$347+$K$347*($F359-$C$347)))</f>
        <v/>
      </c>
      <c r="P359" s="208">
        <f>MIN(1,MAX(0,(nr_MEndPm1-$G359+0.5)/$C$346))-MIN(1,MAX(0,(nr_MStartPm1-1-$G359+0.5)/$C$346))</f>
        <v/>
      </c>
      <c r="Q359" s="208">
        <f>MIN(1,MAX(0,(nr_MEndP-$G359+0.5)/$C$346))-MIN(1,MAX(0,(nr_MStartP-1-$G359+0.5)/$C$346))</f>
        <v/>
      </c>
      <c r="R359" s="208">
        <f>MIN(1,MAX(0,(nr_MEndP1-$G359+0.5)/$C$346))-MIN(1,MAX(0,(nr_MStartP1-1-$G359+0.5)/$C$346))</f>
        <v/>
      </c>
      <c r="S359" s="208">
        <f>IF($L$346,$N359*IF($O$346=1,$O359/$F$346,1),"")</f>
        <v/>
      </c>
      <c r="T359" s="208">
        <f>IF(NOT($L$346),"",IF($G359&lt;nr_MStartP,$S359,$T347*(1+IF($G359&lt;nr_MStartP1,$M$346,$N$346))))</f>
        <v/>
      </c>
      <c r="U359" s="208">
        <f>IF($L$346,$T359,$N359)</f>
        <v/>
      </c>
    </row>
    <row r="360">
      <c r="A360" s="145" t="n">
        <v>12</v>
      </c>
      <c r="B360" s="204">
        <f>EDATE($B359,1)</f>
        <v/>
      </c>
      <c r="C360" s="205">
        <f>EOMONTH($B360,0)</f>
        <v/>
      </c>
      <c r="D360" s="201">
        <f>$C360-$B360+1</f>
        <v/>
      </c>
      <c r="E360" s="201">
        <f>MONTH($B360)</f>
        <v/>
      </c>
      <c r="F360" s="235">
        <f>($B360+$C360+1)/2</f>
        <v/>
      </c>
      <c r="G360" s="201">
        <f>YEAR($B360)*12+MONTH($B360)-1</f>
        <v/>
      </c>
      <c r="H360" s="207">
        <f>IF(OR(nr_SeasonOn="OFF",$D$346=0,$E$346=0),1,12*INDEX(se_block,$D$346,$E360)/$E$346)</f>
        <v/>
      </c>
      <c r="I360" s="208">
        <f>EXP(SUMPRODUCT((rl_eff&lt;$B360)*(rl_key=$A$346)*rl_ln1p))</f>
        <v/>
      </c>
      <c r="J360" s="208">
        <f>EXP(SUMPRODUCT((rl_eff&lt;=$C360)*(rl_key=$A$346)*rl_ln1p))</f>
        <v/>
      </c>
      <c r="K360" s="201">
        <f>COUNTIFS(rl_key,$A$346,rl_eff,"&gt;="&amp;$B360,rl_eff,"&lt;="&amp;$C360)</f>
        <v/>
      </c>
      <c r="L360" s="201">
        <f>SUMIFS(rl_daysafter,rl_key,$A$346,rl_effmonth,$B360,rl_first,1)</f>
        <v/>
      </c>
      <c r="M360" s="209">
        <f>IF($K360=0,0,MIN(1,$L360/$D360))</f>
        <v/>
      </c>
      <c r="N360" s="208">
        <f>IF($K360=0,$J360,(1-$M360)*$I360+$M360*$J360)</f>
        <v/>
      </c>
      <c r="O360" s="209">
        <f>IF($F360&lt;$B$347,$E$347+$I$347*($F360-$A$347),IF($F360&lt;$C$347,$F$347+$J$347*($F360-$B$347),$G$347+$K$347*($F360-$C$347)))</f>
        <v/>
      </c>
      <c r="P360" s="208">
        <f>MIN(1,MAX(0,(nr_MEndPm1-$G360+0.5)/$C$346))-MIN(1,MAX(0,(nr_MStartPm1-1-$G360+0.5)/$C$346))</f>
        <v/>
      </c>
      <c r="Q360" s="208">
        <f>MIN(1,MAX(0,(nr_MEndP-$G360+0.5)/$C$346))-MIN(1,MAX(0,(nr_MStartP-1-$G360+0.5)/$C$346))</f>
        <v/>
      </c>
      <c r="R360" s="208">
        <f>MIN(1,MAX(0,(nr_MEndP1-$G360+0.5)/$C$346))-MIN(1,MAX(0,(nr_MStartP1-1-$G360+0.5)/$C$346))</f>
        <v/>
      </c>
      <c r="S360" s="208">
        <f>IF($L$346,$N360*IF($O$346=1,$O360/$F$346,1),"")</f>
        <v/>
      </c>
      <c r="T360" s="208">
        <f>IF(NOT($L$346),"",IF($G360&lt;nr_MStartP,$S360,$T348*(1+IF($G360&lt;nr_MStartP1,$M$346,$N$346))))</f>
        <v/>
      </c>
      <c r="U360" s="208">
        <f>IF($L$346,$T360,$N360)</f>
        <v/>
      </c>
    </row>
    <row r="361">
      <c r="A361" s="145" t="n">
        <v>13</v>
      </c>
      <c r="B361" s="204">
        <f>EDATE($B360,1)</f>
        <v/>
      </c>
      <c r="C361" s="205">
        <f>EOMONTH($B361,0)</f>
        <v/>
      </c>
      <c r="D361" s="201">
        <f>$C361-$B361+1</f>
        <v/>
      </c>
      <c r="E361" s="201">
        <f>MONTH($B361)</f>
        <v/>
      </c>
      <c r="F361" s="235">
        <f>($B361+$C361+1)/2</f>
        <v/>
      </c>
      <c r="G361" s="201">
        <f>YEAR($B361)*12+MONTH($B361)-1</f>
        <v/>
      </c>
      <c r="H361" s="207">
        <f>IF(OR(nr_SeasonOn="OFF",$D$346=0,$E$346=0),1,12*INDEX(se_block,$D$346,$E361)/$E$346)</f>
        <v/>
      </c>
      <c r="I361" s="208">
        <f>EXP(SUMPRODUCT((rl_eff&lt;$B361)*(rl_key=$A$346)*rl_ln1p))</f>
        <v/>
      </c>
      <c r="J361" s="208">
        <f>EXP(SUMPRODUCT((rl_eff&lt;=$C361)*(rl_key=$A$346)*rl_ln1p))</f>
        <v/>
      </c>
      <c r="K361" s="201">
        <f>COUNTIFS(rl_key,$A$346,rl_eff,"&gt;="&amp;$B361,rl_eff,"&lt;="&amp;$C361)</f>
        <v/>
      </c>
      <c r="L361" s="201">
        <f>SUMIFS(rl_daysafter,rl_key,$A$346,rl_effmonth,$B361,rl_first,1)</f>
        <v/>
      </c>
      <c r="M361" s="209">
        <f>IF($K361=0,0,MIN(1,$L361/$D361))</f>
        <v/>
      </c>
      <c r="N361" s="208">
        <f>IF($K361=0,$J361,(1-$M361)*$I361+$M361*$J361)</f>
        <v/>
      </c>
      <c r="O361" s="209">
        <f>IF($F361&lt;$B$347,$E$347+$I$347*($F361-$A$347),IF($F361&lt;$C$347,$F$347+$J$347*($F361-$B$347),$G$347+$K$347*($F361-$C$347)))</f>
        <v/>
      </c>
      <c r="P361" s="208">
        <f>MIN(1,MAX(0,(nr_MEndPm1-$G361+0.5)/$C$346))-MIN(1,MAX(0,(nr_MStartPm1-1-$G361+0.5)/$C$346))</f>
        <v/>
      </c>
      <c r="Q361" s="208">
        <f>MIN(1,MAX(0,(nr_MEndP-$G361+0.5)/$C$346))-MIN(1,MAX(0,(nr_MStartP-1-$G361+0.5)/$C$346))</f>
        <v/>
      </c>
      <c r="R361" s="208">
        <f>MIN(1,MAX(0,(nr_MEndP1-$G361+0.5)/$C$346))-MIN(1,MAX(0,(nr_MStartP1-1-$G361+0.5)/$C$346))</f>
        <v/>
      </c>
      <c r="S361" s="208">
        <f>IF($L$346,$N361*IF($O$346=1,$O361/$F$346,1),"")</f>
        <v/>
      </c>
      <c r="T361" s="208">
        <f>IF(NOT($L$346),"",IF($G361&lt;nr_MStartP,$S361,$T349*(1+IF($G361&lt;nr_MStartP1,$M$346,$N$346))))</f>
        <v/>
      </c>
      <c r="U361" s="208">
        <f>IF($L$346,$T361,$N361)</f>
        <v/>
      </c>
    </row>
    <row r="362">
      <c r="A362" s="145" t="n">
        <v>14</v>
      </c>
      <c r="B362" s="204">
        <f>EDATE($B361,1)</f>
        <v/>
      </c>
      <c r="C362" s="205">
        <f>EOMONTH($B362,0)</f>
        <v/>
      </c>
      <c r="D362" s="201">
        <f>$C362-$B362+1</f>
        <v/>
      </c>
      <c r="E362" s="201">
        <f>MONTH($B362)</f>
        <v/>
      </c>
      <c r="F362" s="235">
        <f>($B362+$C362+1)/2</f>
        <v/>
      </c>
      <c r="G362" s="201">
        <f>YEAR($B362)*12+MONTH($B362)-1</f>
        <v/>
      </c>
      <c r="H362" s="207">
        <f>IF(OR(nr_SeasonOn="OFF",$D$346=0,$E$346=0),1,12*INDEX(se_block,$D$346,$E362)/$E$346)</f>
        <v/>
      </c>
      <c r="I362" s="208">
        <f>EXP(SUMPRODUCT((rl_eff&lt;$B362)*(rl_key=$A$346)*rl_ln1p))</f>
        <v/>
      </c>
      <c r="J362" s="208">
        <f>EXP(SUMPRODUCT((rl_eff&lt;=$C362)*(rl_key=$A$346)*rl_ln1p))</f>
        <v/>
      </c>
      <c r="K362" s="201">
        <f>COUNTIFS(rl_key,$A$346,rl_eff,"&gt;="&amp;$B362,rl_eff,"&lt;="&amp;$C362)</f>
        <v/>
      </c>
      <c r="L362" s="201">
        <f>SUMIFS(rl_daysafter,rl_key,$A$346,rl_effmonth,$B362,rl_first,1)</f>
        <v/>
      </c>
      <c r="M362" s="209">
        <f>IF($K362=0,0,MIN(1,$L362/$D362))</f>
        <v/>
      </c>
      <c r="N362" s="208">
        <f>IF($K362=0,$J362,(1-$M362)*$I362+$M362*$J362)</f>
        <v/>
      </c>
      <c r="O362" s="209">
        <f>IF($F362&lt;$B$347,$E$347+$I$347*($F362-$A$347),IF($F362&lt;$C$347,$F$347+$J$347*($F362-$B$347),$G$347+$K$347*($F362-$C$347)))</f>
        <v/>
      </c>
      <c r="P362" s="208">
        <f>MIN(1,MAX(0,(nr_MEndPm1-$G362+0.5)/$C$346))-MIN(1,MAX(0,(nr_MStartPm1-1-$G362+0.5)/$C$346))</f>
        <v/>
      </c>
      <c r="Q362" s="208">
        <f>MIN(1,MAX(0,(nr_MEndP-$G362+0.5)/$C$346))-MIN(1,MAX(0,(nr_MStartP-1-$G362+0.5)/$C$346))</f>
        <v/>
      </c>
      <c r="R362" s="208">
        <f>MIN(1,MAX(0,(nr_MEndP1-$G362+0.5)/$C$346))-MIN(1,MAX(0,(nr_MStartP1-1-$G362+0.5)/$C$346))</f>
        <v/>
      </c>
      <c r="S362" s="208">
        <f>IF($L$346,$N362*IF($O$346=1,$O362/$F$346,1),"")</f>
        <v/>
      </c>
      <c r="T362" s="208">
        <f>IF(NOT($L$346),"",IF($G362&lt;nr_MStartP,$S362,$T350*(1+IF($G362&lt;nr_MStartP1,$M$346,$N$346))))</f>
        <v/>
      </c>
      <c r="U362" s="208">
        <f>IF($L$346,$T362,$N362)</f>
        <v/>
      </c>
    </row>
    <row r="363">
      <c r="A363" s="145" t="n">
        <v>15</v>
      </c>
      <c r="B363" s="204">
        <f>EDATE($B362,1)</f>
        <v/>
      </c>
      <c r="C363" s="205">
        <f>EOMONTH($B363,0)</f>
        <v/>
      </c>
      <c r="D363" s="201">
        <f>$C363-$B363+1</f>
        <v/>
      </c>
      <c r="E363" s="201">
        <f>MONTH($B363)</f>
        <v/>
      </c>
      <c r="F363" s="235">
        <f>($B363+$C363+1)/2</f>
        <v/>
      </c>
      <c r="G363" s="201">
        <f>YEAR($B363)*12+MONTH($B363)-1</f>
        <v/>
      </c>
      <c r="H363" s="207">
        <f>IF(OR(nr_SeasonOn="OFF",$D$346=0,$E$346=0),1,12*INDEX(se_block,$D$346,$E363)/$E$346)</f>
        <v/>
      </c>
      <c r="I363" s="208">
        <f>EXP(SUMPRODUCT((rl_eff&lt;$B363)*(rl_key=$A$346)*rl_ln1p))</f>
        <v/>
      </c>
      <c r="J363" s="208">
        <f>EXP(SUMPRODUCT((rl_eff&lt;=$C363)*(rl_key=$A$346)*rl_ln1p))</f>
        <v/>
      </c>
      <c r="K363" s="201">
        <f>COUNTIFS(rl_key,$A$346,rl_eff,"&gt;="&amp;$B363,rl_eff,"&lt;="&amp;$C363)</f>
        <v/>
      </c>
      <c r="L363" s="201">
        <f>SUMIFS(rl_daysafter,rl_key,$A$346,rl_effmonth,$B363,rl_first,1)</f>
        <v/>
      </c>
      <c r="M363" s="209">
        <f>IF($K363=0,0,MIN(1,$L363/$D363))</f>
        <v/>
      </c>
      <c r="N363" s="208">
        <f>IF($K363=0,$J363,(1-$M363)*$I363+$M363*$J363)</f>
        <v/>
      </c>
      <c r="O363" s="209">
        <f>IF($F363&lt;$B$347,$E$347+$I$347*($F363-$A$347),IF($F363&lt;$C$347,$F$347+$J$347*($F363-$B$347),$G$347+$K$347*($F363-$C$347)))</f>
        <v/>
      </c>
      <c r="P363" s="208">
        <f>MIN(1,MAX(0,(nr_MEndPm1-$G363+0.5)/$C$346))-MIN(1,MAX(0,(nr_MStartPm1-1-$G363+0.5)/$C$346))</f>
        <v/>
      </c>
      <c r="Q363" s="208">
        <f>MIN(1,MAX(0,(nr_MEndP-$G363+0.5)/$C$346))-MIN(1,MAX(0,(nr_MStartP-1-$G363+0.5)/$C$346))</f>
        <v/>
      </c>
      <c r="R363" s="208">
        <f>MIN(1,MAX(0,(nr_MEndP1-$G363+0.5)/$C$346))-MIN(1,MAX(0,(nr_MStartP1-1-$G363+0.5)/$C$346))</f>
        <v/>
      </c>
      <c r="S363" s="208">
        <f>IF($L$346,$N363*IF($O$346=1,$O363/$F$346,1),"")</f>
        <v/>
      </c>
      <c r="T363" s="208">
        <f>IF(NOT($L$346),"",IF($G363&lt;nr_MStartP,$S363,$T351*(1+IF($G363&lt;nr_MStartP1,$M$346,$N$346))))</f>
        <v/>
      </c>
      <c r="U363" s="208">
        <f>IF($L$346,$T363,$N363)</f>
        <v/>
      </c>
    </row>
    <row r="364">
      <c r="A364" s="145" t="n">
        <v>16</v>
      </c>
      <c r="B364" s="204">
        <f>EDATE($B363,1)</f>
        <v/>
      </c>
      <c r="C364" s="205">
        <f>EOMONTH($B364,0)</f>
        <v/>
      </c>
      <c r="D364" s="201">
        <f>$C364-$B364+1</f>
        <v/>
      </c>
      <c r="E364" s="201">
        <f>MONTH($B364)</f>
        <v/>
      </c>
      <c r="F364" s="235">
        <f>($B364+$C364+1)/2</f>
        <v/>
      </c>
      <c r="G364" s="201">
        <f>YEAR($B364)*12+MONTH($B364)-1</f>
        <v/>
      </c>
      <c r="H364" s="207">
        <f>IF(OR(nr_SeasonOn="OFF",$D$346=0,$E$346=0),1,12*INDEX(se_block,$D$346,$E364)/$E$346)</f>
        <v/>
      </c>
      <c r="I364" s="208">
        <f>EXP(SUMPRODUCT((rl_eff&lt;$B364)*(rl_key=$A$346)*rl_ln1p))</f>
        <v/>
      </c>
      <c r="J364" s="208">
        <f>EXP(SUMPRODUCT((rl_eff&lt;=$C364)*(rl_key=$A$346)*rl_ln1p))</f>
        <v/>
      </c>
      <c r="K364" s="201">
        <f>COUNTIFS(rl_key,$A$346,rl_eff,"&gt;="&amp;$B364,rl_eff,"&lt;="&amp;$C364)</f>
        <v/>
      </c>
      <c r="L364" s="201">
        <f>SUMIFS(rl_daysafter,rl_key,$A$346,rl_effmonth,$B364,rl_first,1)</f>
        <v/>
      </c>
      <c r="M364" s="209">
        <f>IF($K364=0,0,MIN(1,$L364/$D364))</f>
        <v/>
      </c>
      <c r="N364" s="208">
        <f>IF($K364=0,$J364,(1-$M364)*$I364+$M364*$J364)</f>
        <v/>
      </c>
      <c r="O364" s="209">
        <f>IF($F364&lt;$B$347,$E$347+$I$347*($F364-$A$347),IF($F364&lt;$C$347,$F$347+$J$347*($F364-$B$347),$G$347+$K$347*($F364-$C$347)))</f>
        <v/>
      </c>
      <c r="P364" s="208">
        <f>MIN(1,MAX(0,(nr_MEndPm1-$G364+0.5)/$C$346))-MIN(1,MAX(0,(nr_MStartPm1-1-$G364+0.5)/$C$346))</f>
        <v/>
      </c>
      <c r="Q364" s="208">
        <f>MIN(1,MAX(0,(nr_MEndP-$G364+0.5)/$C$346))-MIN(1,MAX(0,(nr_MStartP-1-$G364+0.5)/$C$346))</f>
        <v/>
      </c>
      <c r="R364" s="208">
        <f>MIN(1,MAX(0,(nr_MEndP1-$G364+0.5)/$C$346))-MIN(1,MAX(0,(nr_MStartP1-1-$G364+0.5)/$C$346))</f>
        <v/>
      </c>
      <c r="S364" s="208">
        <f>IF($L$346,$N364*IF($O$346=1,$O364/$F$346,1),"")</f>
        <v/>
      </c>
      <c r="T364" s="208">
        <f>IF(NOT($L$346),"",IF($G364&lt;nr_MStartP,$S364,$T352*(1+IF($G364&lt;nr_MStartP1,$M$346,$N$346))))</f>
        <v/>
      </c>
      <c r="U364" s="208">
        <f>IF($L$346,$T364,$N364)</f>
        <v/>
      </c>
    </row>
    <row r="365">
      <c r="A365" s="145" t="n">
        <v>17</v>
      </c>
      <c r="B365" s="204">
        <f>EDATE($B364,1)</f>
        <v/>
      </c>
      <c r="C365" s="205">
        <f>EOMONTH($B365,0)</f>
        <v/>
      </c>
      <c r="D365" s="201">
        <f>$C365-$B365+1</f>
        <v/>
      </c>
      <c r="E365" s="201">
        <f>MONTH($B365)</f>
        <v/>
      </c>
      <c r="F365" s="235">
        <f>($B365+$C365+1)/2</f>
        <v/>
      </c>
      <c r="G365" s="201">
        <f>YEAR($B365)*12+MONTH($B365)-1</f>
        <v/>
      </c>
      <c r="H365" s="207">
        <f>IF(OR(nr_SeasonOn="OFF",$D$346=0,$E$346=0),1,12*INDEX(se_block,$D$346,$E365)/$E$346)</f>
        <v/>
      </c>
      <c r="I365" s="208">
        <f>EXP(SUMPRODUCT((rl_eff&lt;$B365)*(rl_key=$A$346)*rl_ln1p))</f>
        <v/>
      </c>
      <c r="J365" s="208">
        <f>EXP(SUMPRODUCT((rl_eff&lt;=$C365)*(rl_key=$A$346)*rl_ln1p))</f>
        <v/>
      </c>
      <c r="K365" s="201">
        <f>COUNTIFS(rl_key,$A$346,rl_eff,"&gt;="&amp;$B365,rl_eff,"&lt;="&amp;$C365)</f>
        <v/>
      </c>
      <c r="L365" s="201">
        <f>SUMIFS(rl_daysafter,rl_key,$A$346,rl_effmonth,$B365,rl_first,1)</f>
        <v/>
      </c>
      <c r="M365" s="209">
        <f>IF($K365=0,0,MIN(1,$L365/$D365))</f>
        <v/>
      </c>
      <c r="N365" s="208">
        <f>IF($K365=0,$J365,(1-$M365)*$I365+$M365*$J365)</f>
        <v/>
      </c>
      <c r="O365" s="209">
        <f>IF($F365&lt;$B$347,$E$347+$I$347*($F365-$A$347),IF($F365&lt;$C$347,$F$347+$J$347*($F365-$B$347),$G$347+$K$347*($F365-$C$347)))</f>
        <v/>
      </c>
      <c r="P365" s="208">
        <f>MIN(1,MAX(0,(nr_MEndPm1-$G365+0.5)/$C$346))-MIN(1,MAX(0,(nr_MStartPm1-1-$G365+0.5)/$C$346))</f>
        <v/>
      </c>
      <c r="Q365" s="208">
        <f>MIN(1,MAX(0,(nr_MEndP-$G365+0.5)/$C$346))-MIN(1,MAX(0,(nr_MStartP-1-$G365+0.5)/$C$346))</f>
        <v/>
      </c>
      <c r="R365" s="208">
        <f>MIN(1,MAX(0,(nr_MEndP1-$G365+0.5)/$C$346))-MIN(1,MAX(0,(nr_MStartP1-1-$G365+0.5)/$C$346))</f>
        <v/>
      </c>
      <c r="S365" s="208">
        <f>IF($L$346,$N365*IF($O$346=1,$O365/$F$346,1),"")</f>
        <v/>
      </c>
      <c r="T365" s="208">
        <f>IF(NOT($L$346),"",IF($G365&lt;nr_MStartP,$S365,$T353*(1+IF($G365&lt;nr_MStartP1,$M$346,$N$346))))</f>
        <v/>
      </c>
      <c r="U365" s="208">
        <f>IF($L$346,$T365,$N365)</f>
        <v/>
      </c>
    </row>
    <row r="366">
      <c r="A366" s="145" t="n">
        <v>18</v>
      </c>
      <c r="B366" s="204">
        <f>EDATE($B365,1)</f>
        <v/>
      </c>
      <c r="C366" s="205">
        <f>EOMONTH($B366,0)</f>
        <v/>
      </c>
      <c r="D366" s="201">
        <f>$C366-$B366+1</f>
        <v/>
      </c>
      <c r="E366" s="201">
        <f>MONTH($B366)</f>
        <v/>
      </c>
      <c r="F366" s="235">
        <f>($B366+$C366+1)/2</f>
        <v/>
      </c>
      <c r="G366" s="201">
        <f>YEAR($B366)*12+MONTH($B366)-1</f>
        <v/>
      </c>
      <c r="H366" s="207">
        <f>IF(OR(nr_SeasonOn="OFF",$D$346=0,$E$346=0),1,12*INDEX(se_block,$D$346,$E366)/$E$346)</f>
        <v/>
      </c>
      <c r="I366" s="208">
        <f>EXP(SUMPRODUCT((rl_eff&lt;$B366)*(rl_key=$A$346)*rl_ln1p))</f>
        <v/>
      </c>
      <c r="J366" s="208">
        <f>EXP(SUMPRODUCT((rl_eff&lt;=$C366)*(rl_key=$A$346)*rl_ln1p))</f>
        <v/>
      </c>
      <c r="K366" s="201">
        <f>COUNTIFS(rl_key,$A$346,rl_eff,"&gt;="&amp;$B366,rl_eff,"&lt;="&amp;$C366)</f>
        <v/>
      </c>
      <c r="L366" s="201">
        <f>SUMIFS(rl_daysafter,rl_key,$A$346,rl_effmonth,$B366,rl_first,1)</f>
        <v/>
      </c>
      <c r="M366" s="209">
        <f>IF($K366=0,0,MIN(1,$L366/$D366))</f>
        <v/>
      </c>
      <c r="N366" s="208">
        <f>IF($K366=0,$J366,(1-$M366)*$I366+$M366*$J366)</f>
        <v/>
      </c>
      <c r="O366" s="209">
        <f>IF($F366&lt;$B$347,$E$347+$I$347*($F366-$A$347),IF($F366&lt;$C$347,$F$347+$J$347*($F366-$B$347),$G$347+$K$347*($F366-$C$347)))</f>
        <v/>
      </c>
      <c r="P366" s="208">
        <f>MIN(1,MAX(0,(nr_MEndPm1-$G366+0.5)/$C$346))-MIN(1,MAX(0,(nr_MStartPm1-1-$G366+0.5)/$C$346))</f>
        <v/>
      </c>
      <c r="Q366" s="208">
        <f>MIN(1,MAX(0,(nr_MEndP-$G366+0.5)/$C$346))-MIN(1,MAX(0,(nr_MStartP-1-$G366+0.5)/$C$346))</f>
        <v/>
      </c>
      <c r="R366" s="208">
        <f>MIN(1,MAX(0,(nr_MEndP1-$G366+0.5)/$C$346))-MIN(1,MAX(0,(nr_MStartP1-1-$G366+0.5)/$C$346))</f>
        <v/>
      </c>
      <c r="S366" s="208">
        <f>IF($L$346,$N366*IF($O$346=1,$O366/$F$346,1),"")</f>
        <v/>
      </c>
      <c r="T366" s="208">
        <f>IF(NOT($L$346),"",IF($G366&lt;nr_MStartP,$S366,$T354*(1+IF($G366&lt;nr_MStartP1,$M$346,$N$346))))</f>
        <v/>
      </c>
      <c r="U366" s="208">
        <f>IF($L$346,$T366,$N366)</f>
        <v/>
      </c>
    </row>
    <row r="367">
      <c r="A367" s="145" t="n">
        <v>19</v>
      </c>
      <c r="B367" s="204">
        <f>EDATE($B366,1)</f>
        <v/>
      </c>
      <c r="C367" s="205">
        <f>EOMONTH($B367,0)</f>
        <v/>
      </c>
      <c r="D367" s="201">
        <f>$C367-$B367+1</f>
        <v/>
      </c>
      <c r="E367" s="201">
        <f>MONTH($B367)</f>
        <v/>
      </c>
      <c r="F367" s="235">
        <f>($B367+$C367+1)/2</f>
        <v/>
      </c>
      <c r="G367" s="201">
        <f>YEAR($B367)*12+MONTH($B367)-1</f>
        <v/>
      </c>
      <c r="H367" s="207">
        <f>IF(OR(nr_SeasonOn="OFF",$D$346=0,$E$346=0),1,12*INDEX(se_block,$D$346,$E367)/$E$346)</f>
        <v/>
      </c>
      <c r="I367" s="208">
        <f>EXP(SUMPRODUCT((rl_eff&lt;$B367)*(rl_key=$A$346)*rl_ln1p))</f>
        <v/>
      </c>
      <c r="J367" s="208">
        <f>EXP(SUMPRODUCT((rl_eff&lt;=$C367)*(rl_key=$A$346)*rl_ln1p))</f>
        <v/>
      </c>
      <c r="K367" s="201">
        <f>COUNTIFS(rl_key,$A$346,rl_eff,"&gt;="&amp;$B367,rl_eff,"&lt;="&amp;$C367)</f>
        <v/>
      </c>
      <c r="L367" s="201">
        <f>SUMIFS(rl_daysafter,rl_key,$A$346,rl_effmonth,$B367,rl_first,1)</f>
        <v/>
      </c>
      <c r="M367" s="209">
        <f>IF($K367=0,0,MIN(1,$L367/$D367))</f>
        <v/>
      </c>
      <c r="N367" s="208">
        <f>IF($K367=0,$J367,(1-$M367)*$I367+$M367*$J367)</f>
        <v/>
      </c>
      <c r="O367" s="209">
        <f>IF($F367&lt;$B$347,$E$347+$I$347*($F367-$A$347),IF($F367&lt;$C$347,$F$347+$J$347*($F367-$B$347),$G$347+$K$347*($F367-$C$347)))</f>
        <v/>
      </c>
      <c r="P367" s="208">
        <f>MIN(1,MAX(0,(nr_MEndPm1-$G367+0.5)/$C$346))-MIN(1,MAX(0,(nr_MStartPm1-1-$G367+0.5)/$C$346))</f>
        <v/>
      </c>
      <c r="Q367" s="208">
        <f>MIN(1,MAX(0,(nr_MEndP-$G367+0.5)/$C$346))-MIN(1,MAX(0,(nr_MStartP-1-$G367+0.5)/$C$346))</f>
        <v/>
      </c>
      <c r="R367" s="208">
        <f>MIN(1,MAX(0,(nr_MEndP1-$G367+0.5)/$C$346))-MIN(1,MAX(0,(nr_MStartP1-1-$G367+0.5)/$C$346))</f>
        <v/>
      </c>
      <c r="S367" s="208">
        <f>IF($L$346,$N367*IF($O$346=1,$O367/$F$346,1),"")</f>
        <v/>
      </c>
      <c r="T367" s="208">
        <f>IF(NOT($L$346),"",IF($G367&lt;nr_MStartP,$S367,$T355*(1+IF($G367&lt;nr_MStartP1,$M$346,$N$346))))</f>
        <v/>
      </c>
      <c r="U367" s="208">
        <f>IF($L$346,$T367,$N367)</f>
        <v/>
      </c>
    </row>
    <row r="368">
      <c r="A368" s="145" t="n">
        <v>20</v>
      </c>
      <c r="B368" s="204">
        <f>EDATE($B367,1)</f>
        <v/>
      </c>
      <c r="C368" s="205">
        <f>EOMONTH($B368,0)</f>
        <v/>
      </c>
      <c r="D368" s="201">
        <f>$C368-$B368+1</f>
        <v/>
      </c>
      <c r="E368" s="201">
        <f>MONTH($B368)</f>
        <v/>
      </c>
      <c r="F368" s="235">
        <f>($B368+$C368+1)/2</f>
        <v/>
      </c>
      <c r="G368" s="201">
        <f>YEAR($B368)*12+MONTH($B368)-1</f>
        <v/>
      </c>
      <c r="H368" s="207">
        <f>IF(OR(nr_SeasonOn="OFF",$D$346=0,$E$346=0),1,12*INDEX(se_block,$D$346,$E368)/$E$346)</f>
        <v/>
      </c>
      <c r="I368" s="208">
        <f>EXP(SUMPRODUCT((rl_eff&lt;$B368)*(rl_key=$A$346)*rl_ln1p))</f>
        <v/>
      </c>
      <c r="J368" s="208">
        <f>EXP(SUMPRODUCT((rl_eff&lt;=$C368)*(rl_key=$A$346)*rl_ln1p))</f>
        <v/>
      </c>
      <c r="K368" s="201">
        <f>COUNTIFS(rl_key,$A$346,rl_eff,"&gt;="&amp;$B368,rl_eff,"&lt;="&amp;$C368)</f>
        <v/>
      </c>
      <c r="L368" s="201">
        <f>SUMIFS(rl_daysafter,rl_key,$A$346,rl_effmonth,$B368,rl_first,1)</f>
        <v/>
      </c>
      <c r="M368" s="209">
        <f>IF($K368=0,0,MIN(1,$L368/$D368))</f>
        <v/>
      </c>
      <c r="N368" s="208">
        <f>IF($K368=0,$J368,(1-$M368)*$I368+$M368*$J368)</f>
        <v/>
      </c>
      <c r="O368" s="209">
        <f>IF($F368&lt;$B$347,$E$347+$I$347*($F368-$A$347),IF($F368&lt;$C$347,$F$347+$J$347*($F368-$B$347),$G$347+$K$347*($F368-$C$347)))</f>
        <v/>
      </c>
      <c r="P368" s="208">
        <f>MIN(1,MAX(0,(nr_MEndPm1-$G368+0.5)/$C$346))-MIN(1,MAX(0,(nr_MStartPm1-1-$G368+0.5)/$C$346))</f>
        <v/>
      </c>
      <c r="Q368" s="208">
        <f>MIN(1,MAX(0,(nr_MEndP-$G368+0.5)/$C$346))-MIN(1,MAX(0,(nr_MStartP-1-$G368+0.5)/$C$346))</f>
        <v/>
      </c>
      <c r="R368" s="208">
        <f>MIN(1,MAX(0,(nr_MEndP1-$G368+0.5)/$C$346))-MIN(1,MAX(0,(nr_MStartP1-1-$G368+0.5)/$C$346))</f>
        <v/>
      </c>
      <c r="S368" s="208">
        <f>IF($L$346,$N368*IF($O$346=1,$O368/$F$346,1),"")</f>
        <v/>
      </c>
      <c r="T368" s="208">
        <f>IF(NOT($L$346),"",IF($G368&lt;nr_MStartP,$S368,$T356*(1+IF($G368&lt;nr_MStartP1,$M$346,$N$346))))</f>
        <v/>
      </c>
      <c r="U368" s="208">
        <f>IF($L$346,$T368,$N368)</f>
        <v/>
      </c>
    </row>
    <row r="369">
      <c r="A369" s="145" t="n">
        <v>21</v>
      </c>
      <c r="B369" s="204">
        <f>EDATE($B368,1)</f>
        <v/>
      </c>
      <c r="C369" s="205">
        <f>EOMONTH($B369,0)</f>
        <v/>
      </c>
      <c r="D369" s="201">
        <f>$C369-$B369+1</f>
        <v/>
      </c>
      <c r="E369" s="201">
        <f>MONTH($B369)</f>
        <v/>
      </c>
      <c r="F369" s="235">
        <f>($B369+$C369+1)/2</f>
        <v/>
      </c>
      <c r="G369" s="201">
        <f>YEAR($B369)*12+MONTH($B369)-1</f>
        <v/>
      </c>
      <c r="H369" s="207">
        <f>IF(OR(nr_SeasonOn="OFF",$D$346=0,$E$346=0),1,12*INDEX(se_block,$D$346,$E369)/$E$346)</f>
        <v/>
      </c>
      <c r="I369" s="208">
        <f>EXP(SUMPRODUCT((rl_eff&lt;$B369)*(rl_key=$A$346)*rl_ln1p))</f>
        <v/>
      </c>
      <c r="J369" s="208">
        <f>EXP(SUMPRODUCT((rl_eff&lt;=$C369)*(rl_key=$A$346)*rl_ln1p))</f>
        <v/>
      </c>
      <c r="K369" s="201">
        <f>COUNTIFS(rl_key,$A$346,rl_eff,"&gt;="&amp;$B369,rl_eff,"&lt;="&amp;$C369)</f>
        <v/>
      </c>
      <c r="L369" s="201">
        <f>SUMIFS(rl_daysafter,rl_key,$A$346,rl_effmonth,$B369,rl_first,1)</f>
        <v/>
      </c>
      <c r="M369" s="209">
        <f>IF($K369=0,0,MIN(1,$L369/$D369))</f>
        <v/>
      </c>
      <c r="N369" s="208">
        <f>IF($K369=0,$J369,(1-$M369)*$I369+$M369*$J369)</f>
        <v/>
      </c>
      <c r="O369" s="209">
        <f>IF($F369&lt;$B$347,$E$347+$I$347*($F369-$A$347),IF($F369&lt;$C$347,$F$347+$J$347*($F369-$B$347),$G$347+$K$347*($F369-$C$347)))</f>
        <v/>
      </c>
      <c r="P369" s="208">
        <f>MIN(1,MAX(0,(nr_MEndPm1-$G369+0.5)/$C$346))-MIN(1,MAX(0,(nr_MStartPm1-1-$G369+0.5)/$C$346))</f>
        <v/>
      </c>
      <c r="Q369" s="208">
        <f>MIN(1,MAX(0,(nr_MEndP-$G369+0.5)/$C$346))-MIN(1,MAX(0,(nr_MStartP-1-$G369+0.5)/$C$346))</f>
        <v/>
      </c>
      <c r="R369" s="208">
        <f>MIN(1,MAX(0,(nr_MEndP1-$G369+0.5)/$C$346))-MIN(1,MAX(0,(nr_MStartP1-1-$G369+0.5)/$C$346))</f>
        <v/>
      </c>
      <c r="S369" s="208">
        <f>IF($L$346,$N369*IF($O$346=1,$O369/$F$346,1),"")</f>
        <v/>
      </c>
      <c r="T369" s="208">
        <f>IF(NOT($L$346),"",IF($G369&lt;nr_MStartP,$S369,$T357*(1+IF($G369&lt;nr_MStartP1,$M$346,$N$346))))</f>
        <v/>
      </c>
      <c r="U369" s="208">
        <f>IF($L$346,$T369,$N369)</f>
        <v/>
      </c>
    </row>
    <row r="370">
      <c r="A370" s="145" t="n">
        <v>22</v>
      </c>
      <c r="B370" s="204">
        <f>EDATE($B369,1)</f>
        <v/>
      </c>
      <c r="C370" s="205">
        <f>EOMONTH($B370,0)</f>
        <v/>
      </c>
      <c r="D370" s="201">
        <f>$C370-$B370+1</f>
        <v/>
      </c>
      <c r="E370" s="201">
        <f>MONTH($B370)</f>
        <v/>
      </c>
      <c r="F370" s="235">
        <f>($B370+$C370+1)/2</f>
        <v/>
      </c>
      <c r="G370" s="201">
        <f>YEAR($B370)*12+MONTH($B370)-1</f>
        <v/>
      </c>
      <c r="H370" s="207">
        <f>IF(OR(nr_SeasonOn="OFF",$D$346=0,$E$346=0),1,12*INDEX(se_block,$D$346,$E370)/$E$346)</f>
        <v/>
      </c>
      <c r="I370" s="208">
        <f>EXP(SUMPRODUCT((rl_eff&lt;$B370)*(rl_key=$A$346)*rl_ln1p))</f>
        <v/>
      </c>
      <c r="J370" s="208">
        <f>EXP(SUMPRODUCT((rl_eff&lt;=$C370)*(rl_key=$A$346)*rl_ln1p))</f>
        <v/>
      </c>
      <c r="K370" s="201">
        <f>COUNTIFS(rl_key,$A$346,rl_eff,"&gt;="&amp;$B370,rl_eff,"&lt;="&amp;$C370)</f>
        <v/>
      </c>
      <c r="L370" s="201">
        <f>SUMIFS(rl_daysafter,rl_key,$A$346,rl_effmonth,$B370,rl_first,1)</f>
        <v/>
      </c>
      <c r="M370" s="209">
        <f>IF($K370=0,0,MIN(1,$L370/$D370))</f>
        <v/>
      </c>
      <c r="N370" s="208">
        <f>IF($K370=0,$J370,(1-$M370)*$I370+$M370*$J370)</f>
        <v/>
      </c>
      <c r="O370" s="209">
        <f>IF($F370&lt;$B$347,$E$347+$I$347*($F370-$A$347),IF($F370&lt;$C$347,$F$347+$J$347*($F370-$B$347),$G$347+$K$347*($F370-$C$347)))</f>
        <v/>
      </c>
      <c r="P370" s="208">
        <f>MIN(1,MAX(0,(nr_MEndPm1-$G370+0.5)/$C$346))-MIN(1,MAX(0,(nr_MStartPm1-1-$G370+0.5)/$C$346))</f>
        <v/>
      </c>
      <c r="Q370" s="208">
        <f>MIN(1,MAX(0,(nr_MEndP-$G370+0.5)/$C$346))-MIN(1,MAX(0,(nr_MStartP-1-$G370+0.5)/$C$346))</f>
        <v/>
      </c>
      <c r="R370" s="208">
        <f>MIN(1,MAX(0,(nr_MEndP1-$G370+0.5)/$C$346))-MIN(1,MAX(0,(nr_MStartP1-1-$G370+0.5)/$C$346))</f>
        <v/>
      </c>
      <c r="S370" s="208">
        <f>IF($L$346,$N370*IF($O$346=1,$O370/$F$346,1),"")</f>
        <v/>
      </c>
      <c r="T370" s="208">
        <f>IF(NOT($L$346),"",IF($G370&lt;nr_MStartP,$S370,$T358*(1+IF($G370&lt;nr_MStartP1,$M$346,$N$346))))</f>
        <v/>
      </c>
      <c r="U370" s="208">
        <f>IF($L$346,$T370,$N370)</f>
        <v/>
      </c>
    </row>
    <row r="371">
      <c r="A371" s="145" t="n">
        <v>23</v>
      </c>
      <c r="B371" s="204">
        <f>EDATE($B370,1)</f>
        <v/>
      </c>
      <c r="C371" s="205">
        <f>EOMONTH($B371,0)</f>
        <v/>
      </c>
      <c r="D371" s="201">
        <f>$C371-$B371+1</f>
        <v/>
      </c>
      <c r="E371" s="201">
        <f>MONTH($B371)</f>
        <v/>
      </c>
      <c r="F371" s="235">
        <f>($B371+$C371+1)/2</f>
        <v/>
      </c>
      <c r="G371" s="201">
        <f>YEAR($B371)*12+MONTH($B371)-1</f>
        <v/>
      </c>
      <c r="H371" s="207">
        <f>IF(OR(nr_SeasonOn="OFF",$D$346=0,$E$346=0),1,12*INDEX(se_block,$D$346,$E371)/$E$346)</f>
        <v/>
      </c>
      <c r="I371" s="208">
        <f>EXP(SUMPRODUCT((rl_eff&lt;$B371)*(rl_key=$A$346)*rl_ln1p))</f>
        <v/>
      </c>
      <c r="J371" s="208">
        <f>EXP(SUMPRODUCT((rl_eff&lt;=$C371)*(rl_key=$A$346)*rl_ln1p))</f>
        <v/>
      </c>
      <c r="K371" s="201">
        <f>COUNTIFS(rl_key,$A$346,rl_eff,"&gt;="&amp;$B371,rl_eff,"&lt;="&amp;$C371)</f>
        <v/>
      </c>
      <c r="L371" s="201">
        <f>SUMIFS(rl_daysafter,rl_key,$A$346,rl_effmonth,$B371,rl_first,1)</f>
        <v/>
      </c>
      <c r="M371" s="209">
        <f>IF($K371=0,0,MIN(1,$L371/$D371))</f>
        <v/>
      </c>
      <c r="N371" s="208">
        <f>IF($K371=0,$J371,(1-$M371)*$I371+$M371*$J371)</f>
        <v/>
      </c>
      <c r="O371" s="209">
        <f>IF($F371&lt;$B$347,$E$347+$I$347*($F371-$A$347),IF($F371&lt;$C$347,$F$347+$J$347*($F371-$B$347),$G$347+$K$347*($F371-$C$347)))</f>
        <v/>
      </c>
      <c r="P371" s="208">
        <f>MIN(1,MAX(0,(nr_MEndPm1-$G371+0.5)/$C$346))-MIN(1,MAX(0,(nr_MStartPm1-1-$G371+0.5)/$C$346))</f>
        <v/>
      </c>
      <c r="Q371" s="208">
        <f>MIN(1,MAX(0,(nr_MEndP-$G371+0.5)/$C$346))-MIN(1,MAX(0,(nr_MStartP-1-$G371+0.5)/$C$346))</f>
        <v/>
      </c>
      <c r="R371" s="208">
        <f>MIN(1,MAX(0,(nr_MEndP1-$G371+0.5)/$C$346))-MIN(1,MAX(0,(nr_MStartP1-1-$G371+0.5)/$C$346))</f>
        <v/>
      </c>
      <c r="S371" s="208">
        <f>IF($L$346,$N371*IF($O$346=1,$O371/$F$346,1),"")</f>
        <v/>
      </c>
      <c r="T371" s="208">
        <f>IF(NOT($L$346),"",IF($G371&lt;nr_MStartP,$S371,$T359*(1+IF($G371&lt;nr_MStartP1,$M$346,$N$346))))</f>
        <v/>
      </c>
      <c r="U371" s="208">
        <f>IF($L$346,$T371,$N371)</f>
        <v/>
      </c>
    </row>
    <row r="372">
      <c r="A372" s="145" t="n">
        <v>24</v>
      </c>
      <c r="B372" s="204">
        <f>EDATE($B371,1)</f>
        <v/>
      </c>
      <c r="C372" s="205">
        <f>EOMONTH($B372,0)</f>
        <v/>
      </c>
      <c r="D372" s="201">
        <f>$C372-$B372+1</f>
        <v/>
      </c>
      <c r="E372" s="201">
        <f>MONTH($B372)</f>
        <v/>
      </c>
      <c r="F372" s="235">
        <f>($B372+$C372+1)/2</f>
        <v/>
      </c>
      <c r="G372" s="201">
        <f>YEAR($B372)*12+MONTH($B372)-1</f>
        <v/>
      </c>
      <c r="H372" s="207">
        <f>IF(OR(nr_SeasonOn="OFF",$D$346=0,$E$346=0),1,12*INDEX(se_block,$D$346,$E372)/$E$346)</f>
        <v/>
      </c>
      <c r="I372" s="208">
        <f>EXP(SUMPRODUCT((rl_eff&lt;$B372)*(rl_key=$A$346)*rl_ln1p))</f>
        <v/>
      </c>
      <c r="J372" s="208">
        <f>EXP(SUMPRODUCT((rl_eff&lt;=$C372)*(rl_key=$A$346)*rl_ln1p))</f>
        <v/>
      </c>
      <c r="K372" s="201">
        <f>COUNTIFS(rl_key,$A$346,rl_eff,"&gt;="&amp;$B372,rl_eff,"&lt;="&amp;$C372)</f>
        <v/>
      </c>
      <c r="L372" s="201">
        <f>SUMIFS(rl_daysafter,rl_key,$A$346,rl_effmonth,$B372,rl_first,1)</f>
        <v/>
      </c>
      <c r="M372" s="209">
        <f>IF($K372=0,0,MIN(1,$L372/$D372))</f>
        <v/>
      </c>
      <c r="N372" s="208">
        <f>IF($K372=0,$J372,(1-$M372)*$I372+$M372*$J372)</f>
        <v/>
      </c>
      <c r="O372" s="209">
        <f>IF($F372&lt;$B$347,$E$347+$I$347*($F372-$A$347),IF($F372&lt;$C$347,$F$347+$J$347*($F372-$B$347),$G$347+$K$347*($F372-$C$347)))</f>
        <v/>
      </c>
      <c r="P372" s="208">
        <f>MIN(1,MAX(0,(nr_MEndPm1-$G372+0.5)/$C$346))-MIN(1,MAX(0,(nr_MStartPm1-1-$G372+0.5)/$C$346))</f>
        <v/>
      </c>
      <c r="Q372" s="208">
        <f>MIN(1,MAX(0,(nr_MEndP-$G372+0.5)/$C$346))-MIN(1,MAX(0,(nr_MStartP-1-$G372+0.5)/$C$346))</f>
        <v/>
      </c>
      <c r="R372" s="208">
        <f>MIN(1,MAX(0,(nr_MEndP1-$G372+0.5)/$C$346))-MIN(1,MAX(0,(nr_MStartP1-1-$G372+0.5)/$C$346))</f>
        <v/>
      </c>
      <c r="S372" s="208">
        <f>IF($L$346,$N372*IF($O$346=1,$O372/$F$346,1),"")</f>
        <v/>
      </c>
      <c r="T372" s="208">
        <f>IF(NOT($L$346),"",IF($G372&lt;nr_MStartP,$S372,$T360*(1+IF($G372&lt;nr_MStartP1,$M$346,$N$346))))</f>
        <v/>
      </c>
      <c r="U372" s="208">
        <f>IF($L$346,$T372,$N372)</f>
        <v/>
      </c>
    </row>
    <row r="373">
      <c r="A373" s="145" t="n">
        <v>25</v>
      </c>
      <c r="B373" s="204">
        <f>EDATE($B372,1)</f>
        <v/>
      </c>
      <c r="C373" s="205">
        <f>EOMONTH($B373,0)</f>
        <v/>
      </c>
      <c r="D373" s="201">
        <f>$C373-$B373+1</f>
        <v/>
      </c>
      <c r="E373" s="201">
        <f>MONTH($B373)</f>
        <v/>
      </c>
      <c r="F373" s="235">
        <f>($B373+$C373+1)/2</f>
        <v/>
      </c>
      <c r="G373" s="201">
        <f>YEAR($B373)*12+MONTH($B373)-1</f>
        <v/>
      </c>
      <c r="H373" s="207">
        <f>IF(OR(nr_SeasonOn="OFF",$D$346=0,$E$346=0),1,12*INDEX(se_block,$D$346,$E373)/$E$346)</f>
        <v/>
      </c>
      <c r="I373" s="208">
        <f>EXP(SUMPRODUCT((rl_eff&lt;$B373)*(rl_key=$A$346)*rl_ln1p))</f>
        <v/>
      </c>
      <c r="J373" s="208">
        <f>EXP(SUMPRODUCT((rl_eff&lt;=$C373)*(rl_key=$A$346)*rl_ln1p))</f>
        <v/>
      </c>
      <c r="K373" s="201">
        <f>COUNTIFS(rl_key,$A$346,rl_eff,"&gt;="&amp;$B373,rl_eff,"&lt;="&amp;$C373)</f>
        <v/>
      </c>
      <c r="L373" s="201">
        <f>SUMIFS(rl_daysafter,rl_key,$A$346,rl_effmonth,$B373,rl_first,1)</f>
        <v/>
      </c>
      <c r="M373" s="209">
        <f>IF($K373=0,0,MIN(1,$L373/$D373))</f>
        <v/>
      </c>
      <c r="N373" s="208">
        <f>IF($K373=0,$J373,(1-$M373)*$I373+$M373*$J373)</f>
        <v/>
      </c>
      <c r="O373" s="209">
        <f>IF($F373&lt;$B$347,$E$347+$I$347*($F373-$A$347),IF($F373&lt;$C$347,$F$347+$J$347*($F373-$B$347),$G$347+$K$347*($F373-$C$347)))</f>
        <v/>
      </c>
      <c r="P373" s="208">
        <f>MIN(1,MAX(0,(nr_MEndPm1-$G373+0.5)/$C$346))-MIN(1,MAX(0,(nr_MStartPm1-1-$G373+0.5)/$C$346))</f>
        <v/>
      </c>
      <c r="Q373" s="208">
        <f>MIN(1,MAX(0,(nr_MEndP-$G373+0.5)/$C$346))-MIN(1,MAX(0,(nr_MStartP-1-$G373+0.5)/$C$346))</f>
        <v/>
      </c>
      <c r="R373" s="208">
        <f>MIN(1,MAX(0,(nr_MEndP1-$G373+0.5)/$C$346))-MIN(1,MAX(0,(nr_MStartP1-1-$G373+0.5)/$C$346))</f>
        <v/>
      </c>
      <c r="S373" s="208">
        <f>IF($L$346,$N373*IF($O$346=1,$O373/$F$346,1),"")</f>
        <v/>
      </c>
      <c r="T373" s="208">
        <f>IF(NOT($L$346),"",IF($G373&lt;nr_MStartP,$S373,$T361*(1+IF($G373&lt;nr_MStartP1,$M$346,$N$346))))</f>
        <v/>
      </c>
      <c r="U373" s="208">
        <f>IF($L$346,$T373,$N373)</f>
        <v/>
      </c>
    </row>
    <row r="374">
      <c r="A374" s="145" t="n">
        <v>26</v>
      </c>
      <c r="B374" s="204">
        <f>EDATE($B373,1)</f>
        <v/>
      </c>
      <c r="C374" s="205">
        <f>EOMONTH($B374,0)</f>
        <v/>
      </c>
      <c r="D374" s="201">
        <f>$C374-$B374+1</f>
        <v/>
      </c>
      <c r="E374" s="201">
        <f>MONTH($B374)</f>
        <v/>
      </c>
      <c r="F374" s="235">
        <f>($B374+$C374+1)/2</f>
        <v/>
      </c>
      <c r="G374" s="201">
        <f>YEAR($B374)*12+MONTH($B374)-1</f>
        <v/>
      </c>
      <c r="H374" s="207">
        <f>IF(OR(nr_SeasonOn="OFF",$D$346=0,$E$346=0),1,12*INDEX(se_block,$D$346,$E374)/$E$346)</f>
        <v/>
      </c>
      <c r="I374" s="208">
        <f>EXP(SUMPRODUCT((rl_eff&lt;$B374)*(rl_key=$A$346)*rl_ln1p))</f>
        <v/>
      </c>
      <c r="J374" s="208">
        <f>EXP(SUMPRODUCT((rl_eff&lt;=$C374)*(rl_key=$A$346)*rl_ln1p))</f>
        <v/>
      </c>
      <c r="K374" s="201">
        <f>COUNTIFS(rl_key,$A$346,rl_eff,"&gt;="&amp;$B374,rl_eff,"&lt;="&amp;$C374)</f>
        <v/>
      </c>
      <c r="L374" s="201">
        <f>SUMIFS(rl_daysafter,rl_key,$A$346,rl_effmonth,$B374,rl_first,1)</f>
        <v/>
      </c>
      <c r="M374" s="209">
        <f>IF($K374=0,0,MIN(1,$L374/$D374))</f>
        <v/>
      </c>
      <c r="N374" s="208">
        <f>IF($K374=0,$J374,(1-$M374)*$I374+$M374*$J374)</f>
        <v/>
      </c>
      <c r="O374" s="209">
        <f>IF($F374&lt;$B$347,$E$347+$I$347*($F374-$A$347),IF($F374&lt;$C$347,$F$347+$J$347*($F374-$B$347),$G$347+$K$347*($F374-$C$347)))</f>
        <v/>
      </c>
      <c r="P374" s="208">
        <f>MIN(1,MAX(0,(nr_MEndPm1-$G374+0.5)/$C$346))-MIN(1,MAX(0,(nr_MStartPm1-1-$G374+0.5)/$C$346))</f>
        <v/>
      </c>
      <c r="Q374" s="208">
        <f>MIN(1,MAX(0,(nr_MEndP-$G374+0.5)/$C$346))-MIN(1,MAX(0,(nr_MStartP-1-$G374+0.5)/$C$346))</f>
        <v/>
      </c>
      <c r="R374" s="208">
        <f>MIN(1,MAX(0,(nr_MEndP1-$G374+0.5)/$C$346))-MIN(1,MAX(0,(nr_MStartP1-1-$G374+0.5)/$C$346))</f>
        <v/>
      </c>
      <c r="S374" s="208">
        <f>IF($L$346,$N374*IF($O$346=1,$O374/$F$346,1),"")</f>
        <v/>
      </c>
      <c r="T374" s="208">
        <f>IF(NOT($L$346),"",IF($G374&lt;nr_MStartP,$S374,$T362*(1+IF($G374&lt;nr_MStartP1,$M$346,$N$346))))</f>
        <v/>
      </c>
      <c r="U374" s="208">
        <f>IF($L$346,$T374,$N374)</f>
        <v/>
      </c>
    </row>
    <row r="375">
      <c r="A375" s="145" t="n">
        <v>27</v>
      </c>
      <c r="B375" s="204">
        <f>EDATE($B374,1)</f>
        <v/>
      </c>
      <c r="C375" s="205">
        <f>EOMONTH($B375,0)</f>
        <v/>
      </c>
      <c r="D375" s="201">
        <f>$C375-$B375+1</f>
        <v/>
      </c>
      <c r="E375" s="201">
        <f>MONTH($B375)</f>
        <v/>
      </c>
      <c r="F375" s="235">
        <f>($B375+$C375+1)/2</f>
        <v/>
      </c>
      <c r="G375" s="201">
        <f>YEAR($B375)*12+MONTH($B375)-1</f>
        <v/>
      </c>
      <c r="H375" s="207">
        <f>IF(OR(nr_SeasonOn="OFF",$D$346=0,$E$346=0),1,12*INDEX(se_block,$D$346,$E375)/$E$346)</f>
        <v/>
      </c>
      <c r="I375" s="208">
        <f>EXP(SUMPRODUCT((rl_eff&lt;$B375)*(rl_key=$A$346)*rl_ln1p))</f>
        <v/>
      </c>
      <c r="J375" s="208">
        <f>EXP(SUMPRODUCT((rl_eff&lt;=$C375)*(rl_key=$A$346)*rl_ln1p))</f>
        <v/>
      </c>
      <c r="K375" s="201">
        <f>COUNTIFS(rl_key,$A$346,rl_eff,"&gt;="&amp;$B375,rl_eff,"&lt;="&amp;$C375)</f>
        <v/>
      </c>
      <c r="L375" s="201">
        <f>SUMIFS(rl_daysafter,rl_key,$A$346,rl_effmonth,$B375,rl_first,1)</f>
        <v/>
      </c>
      <c r="M375" s="209">
        <f>IF($K375=0,0,MIN(1,$L375/$D375))</f>
        <v/>
      </c>
      <c r="N375" s="208">
        <f>IF($K375=0,$J375,(1-$M375)*$I375+$M375*$J375)</f>
        <v/>
      </c>
      <c r="O375" s="209">
        <f>IF($F375&lt;$B$347,$E$347+$I$347*($F375-$A$347),IF($F375&lt;$C$347,$F$347+$J$347*($F375-$B$347),$G$347+$K$347*($F375-$C$347)))</f>
        <v/>
      </c>
      <c r="P375" s="208">
        <f>MIN(1,MAX(0,(nr_MEndPm1-$G375+0.5)/$C$346))-MIN(1,MAX(0,(nr_MStartPm1-1-$G375+0.5)/$C$346))</f>
        <v/>
      </c>
      <c r="Q375" s="208">
        <f>MIN(1,MAX(0,(nr_MEndP-$G375+0.5)/$C$346))-MIN(1,MAX(0,(nr_MStartP-1-$G375+0.5)/$C$346))</f>
        <v/>
      </c>
      <c r="R375" s="208">
        <f>MIN(1,MAX(0,(nr_MEndP1-$G375+0.5)/$C$346))-MIN(1,MAX(0,(nr_MStartP1-1-$G375+0.5)/$C$346))</f>
        <v/>
      </c>
      <c r="S375" s="208">
        <f>IF($L$346,$N375*IF($O$346=1,$O375/$F$346,1),"")</f>
        <v/>
      </c>
      <c r="T375" s="208">
        <f>IF(NOT($L$346),"",IF($G375&lt;nr_MStartP,$S375,$T363*(1+IF($G375&lt;nr_MStartP1,$M$346,$N$346))))</f>
        <v/>
      </c>
      <c r="U375" s="208">
        <f>IF($L$346,$T375,$N375)</f>
        <v/>
      </c>
    </row>
    <row r="376">
      <c r="A376" s="145" t="n">
        <v>28</v>
      </c>
      <c r="B376" s="204">
        <f>EDATE($B375,1)</f>
        <v/>
      </c>
      <c r="C376" s="205">
        <f>EOMONTH($B376,0)</f>
        <v/>
      </c>
      <c r="D376" s="201">
        <f>$C376-$B376+1</f>
        <v/>
      </c>
      <c r="E376" s="201">
        <f>MONTH($B376)</f>
        <v/>
      </c>
      <c r="F376" s="235">
        <f>($B376+$C376+1)/2</f>
        <v/>
      </c>
      <c r="G376" s="201">
        <f>YEAR($B376)*12+MONTH($B376)-1</f>
        <v/>
      </c>
      <c r="H376" s="207">
        <f>IF(OR(nr_SeasonOn="OFF",$D$346=0,$E$346=0),1,12*INDEX(se_block,$D$346,$E376)/$E$346)</f>
        <v/>
      </c>
      <c r="I376" s="208">
        <f>EXP(SUMPRODUCT((rl_eff&lt;$B376)*(rl_key=$A$346)*rl_ln1p))</f>
        <v/>
      </c>
      <c r="J376" s="208">
        <f>EXP(SUMPRODUCT((rl_eff&lt;=$C376)*(rl_key=$A$346)*rl_ln1p))</f>
        <v/>
      </c>
      <c r="K376" s="201">
        <f>COUNTIFS(rl_key,$A$346,rl_eff,"&gt;="&amp;$B376,rl_eff,"&lt;="&amp;$C376)</f>
        <v/>
      </c>
      <c r="L376" s="201">
        <f>SUMIFS(rl_daysafter,rl_key,$A$346,rl_effmonth,$B376,rl_first,1)</f>
        <v/>
      </c>
      <c r="M376" s="209">
        <f>IF($K376=0,0,MIN(1,$L376/$D376))</f>
        <v/>
      </c>
      <c r="N376" s="208">
        <f>IF($K376=0,$J376,(1-$M376)*$I376+$M376*$J376)</f>
        <v/>
      </c>
      <c r="O376" s="209">
        <f>IF($F376&lt;$B$347,$E$347+$I$347*($F376-$A$347),IF($F376&lt;$C$347,$F$347+$J$347*($F376-$B$347),$G$347+$K$347*($F376-$C$347)))</f>
        <v/>
      </c>
      <c r="P376" s="208">
        <f>MIN(1,MAX(0,(nr_MEndPm1-$G376+0.5)/$C$346))-MIN(1,MAX(0,(nr_MStartPm1-1-$G376+0.5)/$C$346))</f>
        <v/>
      </c>
      <c r="Q376" s="208">
        <f>MIN(1,MAX(0,(nr_MEndP-$G376+0.5)/$C$346))-MIN(1,MAX(0,(nr_MStartP-1-$G376+0.5)/$C$346))</f>
        <v/>
      </c>
      <c r="R376" s="208">
        <f>MIN(1,MAX(0,(nr_MEndP1-$G376+0.5)/$C$346))-MIN(1,MAX(0,(nr_MStartP1-1-$G376+0.5)/$C$346))</f>
        <v/>
      </c>
      <c r="S376" s="208">
        <f>IF($L$346,$N376*IF($O$346=1,$O376/$F$346,1),"")</f>
        <v/>
      </c>
      <c r="T376" s="208">
        <f>IF(NOT($L$346),"",IF($G376&lt;nr_MStartP,$S376,$T364*(1+IF($G376&lt;nr_MStartP1,$M$346,$N$346))))</f>
        <v/>
      </c>
      <c r="U376" s="208">
        <f>IF($L$346,$T376,$N376)</f>
        <v/>
      </c>
    </row>
    <row r="377">
      <c r="A377" s="145" t="n">
        <v>29</v>
      </c>
      <c r="B377" s="204">
        <f>EDATE($B376,1)</f>
        <v/>
      </c>
      <c r="C377" s="205">
        <f>EOMONTH($B377,0)</f>
        <v/>
      </c>
      <c r="D377" s="201">
        <f>$C377-$B377+1</f>
        <v/>
      </c>
      <c r="E377" s="201">
        <f>MONTH($B377)</f>
        <v/>
      </c>
      <c r="F377" s="235">
        <f>($B377+$C377+1)/2</f>
        <v/>
      </c>
      <c r="G377" s="201">
        <f>YEAR($B377)*12+MONTH($B377)-1</f>
        <v/>
      </c>
      <c r="H377" s="207">
        <f>IF(OR(nr_SeasonOn="OFF",$D$346=0,$E$346=0),1,12*INDEX(se_block,$D$346,$E377)/$E$346)</f>
        <v/>
      </c>
      <c r="I377" s="208">
        <f>EXP(SUMPRODUCT((rl_eff&lt;$B377)*(rl_key=$A$346)*rl_ln1p))</f>
        <v/>
      </c>
      <c r="J377" s="208">
        <f>EXP(SUMPRODUCT((rl_eff&lt;=$C377)*(rl_key=$A$346)*rl_ln1p))</f>
        <v/>
      </c>
      <c r="K377" s="201">
        <f>COUNTIFS(rl_key,$A$346,rl_eff,"&gt;="&amp;$B377,rl_eff,"&lt;="&amp;$C377)</f>
        <v/>
      </c>
      <c r="L377" s="201">
        <f>SUMIFS(rl_daysafter,rl_key,$A$346,rl_effmonth,$B377,rl_first,1)</f>
        <v/>
      </c>
      <c r="M377" s="209">
        <f>IF($K377=0,0,MIN(1,$L377/$D377))</f>
        <v/>
      </c>
      <c r="N377" s="208">
        <f>IF($K377=0,$J377,(1-$M377)*$I377+$M377*$J377)</f>
        <v/>
      </c>
      <c r="O377" s="209">
        <f>IF($F377&lt;$B$347,$E$347+$I$347*($F377-$A$347),IF($F377&lt;$C$347,$F$347+$J$347*($F377-$B$347),$G$347+$K$347*($F377-$C$347)))</f>
        <v/>
      </c>
      <c r="P377" s="208">
        <f>MIN(1,MAX(0,(nr_MEndPm1-$G377+0.5)/$C$346))-MIN(1,MAX(0,(nr_MStartPm1-1-$G377+0.5)/$C$346))</f>
        <v/>
      </c>
      <c r="Q377" s="208">
        <f>MIN(1,MAX(0,(nr_MEndP-$G377+0.5)/$C$346))-MIN(1,MAX(0,(nr_MStartP-1-$G377+0.5)/$C$346))</f>
        <v/>
      </c>
      <c r="R377" s="208">
        <f>MIN(1,MAX(0,(nr_MEndP1-$G377+0.5)/$C$346))-MIN(1,MAX(0,(nr_MStartP1-1-$G377+0.5)/$C$346))</f>
        <v/>
      </c>
      <c r="S377" s="208">
        <f>IF($L$346,$N377*IF($O$346=1,$O377/$F$346,1),"")</f>
        <v/>
      </c>
      <c r="T377" s="208">
        <f>IF(NOT($L$346),"",IF($G377&lt;nr_MStartP,$S377,$T365*(1+IF($G377&lt;nr_MStartP1,$M$346,$N$346))))</f>
        <v/>
      </c>
      <c r="U377" s="208">
        <f>IF($L$346,$T377,$N377)</f>
        <v/>
      </c>
    </row>
    <row r="378">
      <c r="A378" s="145" t="n">
        <v>30</v>
      </c>
      <c r="B378" s="204">
        <f>EDATE($B377,1)</f>
        <v/>
      </c>
      <c r="C378" s="205">
        <f>EOMONTH($B378,0)</f>
        <v/>
      </c>
      <c r="D378" s="201">
        <f>$C378-$B378+1</f>
        <v/>
      </c>
      <c r="E378" s="201">
        <f>MONTH($B378)</f>
        <v/>
      </c>
      <c r="F378" s="235">
        <f>($B378+$C378+1)/2</f>
        <v/>
      </c>
      <c r="G378" s="201">
        <f>YEAR($B378)*12+MONTH($B378)-1</f>
        <v/>
      </c>
      <c r="H378" s="207">
        <f>IF(OR(nr_SeasonOn="OFF",$D$346=0,$E$346=0),1,12*INDEX(se_block,$D$346,$E378)/$E$346)</f>
        <v/>
      </c>
      <c r="I378" s="208">
        <f>EXP(SUMPRODUCT((rl_eff&lt;$B378)*(rl_key=$A$346)*rl_ln1p))</f>
        <v/>
      </c>
      <c r="J378" s="208">
        <f>EXP(SUMPRODUCT((rl_eff&lt;=$C378)*(rl_key=$A$346)*rl_ln1p))</f>
        <v/>
      </c>
      <c r="K378" s="201">
        <f>COUNTIFS(rl_key,$A$346,rl_eff,"&gt;="&amp;$B378,rl_eff,"&lt;="&amp;$C378)</f>
        <v/>
      </c>
      <c r="L378" s="201">
        <f>SUMIFS(rl_daysafter,rl_key,$A$346,rl_effmonth,$B378,rl_first,1)</f>
        <v/>
      </c>
      <c r="M378" s="209">
        <f>IF($K378=0,0,MIN(1,$L378/$D378))</f>
        <v/>
      </c>
      <c r="N378" s="208">
        <f>IF($K378=0,$J378,(1-$M378)*$I378+$M378*$J378)</f>
        <v/>
      </c>
      <c r="O378" s="209">
        <f>IF($F378&lt;$B$347,$E$347+$I$347*($F378-$A$347),IF($F378&lt;$C$347,$F$347+$J$347*($F378-$B$347),$G$347+$K$347*($F378-$C$347)))</f>
        <v/>
      </c>
      <c r="P378" s="208">
        <f>MIN(1,MAX(0,(nr_MEndPm1-$G378+0.5)/$C$346))-MIN(1,MAX(0,(nr_MStartPm1-1-$G378+0.5)/$C$346))</f>
        <v/>
      </c>
      <c r="Q378" s="208">
        <f>MIN(1,MAX(0,(nr_MEndP-$G378+0.5)/$C$346))-MIN(1,MAX(0,(nr_MStartP-1-$G378+0.5)/$C$346))</f>
        <v/>
      </c>
      <c r="R378" s="208">
        <f>MIN(1,MAX(0,(nr_MEndP1-$G378+0.5)/$C$346))-MIN(1,MAX(0,(nr_MStartP1-1-$G378+0.5)/$C$346))</f>
        <v/>
      </c>
      <c r="S378" s="208">
        <f>IF($L$346,$N378*IF($O$346=1,$O378/$F$346,1),"")</f>
        <v/>
      </c>
      <c r="T378" s="208">
        <f>IF(NOT($L$346),"",IF($G378&lt;nr_MStartP,$S378,$T366*(1+IF($G378&lt;nr_MStartP1,$M$346,$N$346))))</f>
        <v/>
      </c>
      <c r="U378" s="208">
        <f>IF($L$346,$T378,$N378)</f>
        <v/>
      </c>
    </row>
    <row r="379">
      <c r="A379" s="145" t="n">
        <v>31</v>
      </c>
      <c r="B379" s="204">
        <f>EDATE($B378,1)</f>
        <v/>
      </c>
      <c r="C379" s="205">
        <f>EOMONTH($B379,0)</f>
        <v/>
      </c>
      <c r="D379" s="201">
        <f>$C379-$B379+1</f>
        <v/>
      </c>
      <c r="E379" s="201">
        <f>MONTH($B379)</f>
        <v/>
      </c>
      <c r="F379" s="235">
        <f>($B379+$C379+1)/2</f>
        <v/>
      </c>
      <c r="G379" s="201">
        <f>YEAR($B379)*12+MONTH($B379)-1</f>
        <v/>
      </c>
      <c r="H379" s="207">
        <f>IF(OR(nr_SeasonOn="OFF",$D$346=0,$E$346=0),1,12*INDEX(se_block,$D$346,$E379)/$E$346)</f>
        <v/>
      </c>
      <c r="I379" s="208">
        <f>EXP(SUMPRODUCT((rl_eff&lt;$B379)*(rl_key=$A$346)*rl_ln1p))</f>
        <v/>
      </c>
      <c r="J379" s="208">
        <f>EXP(SUMPRODUCT((rl_eff&lt;=$C379)*(rl_key=$A$346)*rl_ln1p))</f>
        <v/>
      </c>
      <c r="K379" s="201">
        <f>COUNTIFS(rl_key,$A$346,rl_eff,"&gt;="&amp;$B379,rl_eff,"&lt;="&amp;$C379)</f>
        <v/>
      </c>
      <c r="L379" s="201">
        <f>SUMIFS(rl_daysafter,rl_key,$A$346,rl_effmonth,$B379,rl_first,1)</f>
        <v/>
      </c>
      <c r="M379" s="209">
        <f>IF($K379=0,0,MIN(1,$L379/$D379))</f>
        <v/>
      </c>
      <c r="N379" s="208">
        <f>IF($K379=0,$J379,(1-$M379)*$I379+$M379*$J379)</f>
        <v/>
      </c>
      <c r="O379" s="209">
        <f>IF($F379&lt;$B$347,$E$347+$I$347*($F379-$A$347),IF($F379&lt;$C$347,$F$347+$J$347*($F379-$B$347),$G$347+$K$347*($F379-$C$347)))</f>
        <v/>
      </c>
      <c r="P379" s="208">
        <f>MIN(1,MAX(0,(nr_MEndPm1-$G379+0.5)/$C$346))-MIN(1,MAX(0,(nr_MStartPm1-1-$G379+0.5)/$C$346))</f>
        <v/>
      </c>
      <c r="Q379" s="208">
        <f>MIN(1,MAX(0,(nr_MEndP-$G379+0.5)/$C$346))-MIN(1,MAX(0,(nr_MStartP-1-$G379+0.5)/$C$346))</f>
        <v/>
      </c>
      <c r="R379" s="208">
        <f>MIN(1,MAX(0,(nr_MEndP1-$G379+0.5)/$C$346))-MIN(1,MAX(0,(nr_MStartP1-1-$G379+0.5)/$C$346))</f>
        <v/>
      </c>
      <c r="S379" s="208">
        <f>IF($L$346,$N379*IF($O$346=1,$O379/$F$346,1),"")</f>
        <v/>
      </c>
      <c r="T379" s="208">
        <f>IF(NOT($L$346),"",IF($G379&lt;nr_MStartP,$S379,$T367*(1+IF($G379&lt;nr_MStartP1,$M$346,$N$346))))</f>
        <v/>
      </c>
      <c r="U379" s="208">
        <f>IF($L$346,$T379,$N379)</f>
        <v/>
      </c>
    </row>
    <row r="380">
      <c r="A380" s="145" t="n">
        <v>32</v>
      </c>
      <c r="B380" s="204">
        <f>EDATE($B379,1)</f>
        <v/>
      </c>
      <c r="C380" s="205">
        <f>EOMONTH($B380,0)</f>
        <v/>
      </c>
      <c r="D380" s="201">
        <f>$C380-$B380+1</f>
        <v/>
      </c>
      <c r="E380" s="201">
        <f>MONTH($B380)</f>
        <v/>
      </c>
      <c r="F380" s="235">
        <f>($B380+$C380+1)/2</f>
        <v/>
      </c>
      <c r="G380" s="201">
        <f>YEAR($B380)*12+MONTH($B380)-1</f>
        <v/>
      </c>
      <c r="H380" s="207">
        <f>IF(OR(nr_SeasonOn="OFF",$D$346=0,$E$346=0),1,12*INDEX(se_block,$D$346,$E380)/$E$346)</f>
        <v/>
      </c>
      <c r="I380" s="208">
        <f>EXP(SUMPRODUCT((rl_eff&lt;$B380)*(rl_key=$A$346)*rl_ln1p))</f>
        <v/>
      </c>
      <c r="J380" s="208">
        <f>EXP(SUMPRODUCT((rl_eff&lt;=$C380)*(rl_key=$A$346)*rl_ln1p))</f>
        <v/>
      </c>
      <c r="K380" s="201">
        <f>COUNTIFS(rl_key,$A$346,rl_eff,"&gt;="&amp;$B380,rl_eff,"&lt;="&amp;$C380)</f>
        <v/>
      </c>
      <c r="L380" s="201">
        <f>SUMIFS(rl_daysafter,rl_key,$A$346,rl_effmonth,$B380,rl_first,1)</f>
        <v/>
      </c>
      <c r="M380" s="209">
        <f>IF($K380=0,0,MIN(1,$L380/$D380))</f>
        <v/>
      </c>
      <c r="N380" s="208">
        <f>IF($K380=0,$J380,(1-$M380)*$I380+$M380*$J380)</f>
        <v/>
      </c>
      <c r="O380" s="209">
        <f>IF($F380&lt;$B$347,$E$347+$I$347*($F380-$A$347),IF($F380&lt;$C$347,$F$347+$J$347*($F380-$B$347),$G$347+$K$347*($F380-$C$347)))</f>
        <v/>
      </c>
      <c r="P380" s="208">
        <f>MIN(1,MAX(0,(nr_MEndPm1-$G380+0.5)/$C$346))-MIN(1,MAX(0,(nr_MStartPm1-1-$G380+0.5)/$C$346))</f>
        <v/>
      </c>
      <c r="Q380" s="208">
        <f>MIN(1,MAX(0,(nr_MEndP-$G380+0.5)/$C$346))-MIN(1,MAX(0,(nr_MStartP-1-$G380+0.5)/$C$346))</f>
        <v/>
      </c>
      <c r="R380" s="208">
        <f>MIN(1,MAX(0,(nr_MEndP1-$G380+0.5)/$C$346))-MIN(1,MAX(0,(nr_MStartP1-1-$G380+0.5)/$C$346))</f>
        <v/>
      </c>
      <c r="S380" s="208">
        <f>IF($L$346,$N380*IF($O$346=1,$O380/$F$346,1),"")</f>
        <v/>
      </c>
      <c r="T380" s="208">
        <f>IF(NOT($L$346),"",IF($G380&lt;nr_MStartP,$S380,$T368*(1+IF($G380&lt;nr_MStartP1,$M$346,$N$346))))</f>
        <v/>
      </c>
      <c r="U380" s="208">
        <f>IF($L$346,$T380,$N380)</f>
        <v/>
      </c>
    </row>
    <row r="381">
      <c r="A381" s="145" t="n">
        <v>33</v>
      </c>
      <c r="B381" s="204">
        <f>EDATE($B380,1)</f>
        <v/>
      </c>
      <c r="C381" s="205">
        <f>EOMONTH($B381,0)</f>
        <v/>
      </c>
      <c r="D381" s="201">
        <f>$C381-$B381+1</f>
        <v/>
      </c>
      <c r="E381" s="201">
        <f>MONTH($B381)</f>
        <v/>
      </c>
      <c r="F381" s="235">
        <f>($B381+$C381+1)/2</f>
        <v/>
      </c>
      <c r="G381" s="201">
        <f>YEAR($B381)*12+MONTH($B381)-1</f>
        <v/>
      </c>
      <c r="H381" s="207">
        <f>IF(OR(nr_SeasonOn="OFF",$D$346=0,$E$346=0),1,12*INDEX(se_block,$D$346,$E381)/$E$346)</f>
        <v/>
      </c>
      <c r="I381" s="208">
        <f>EXP(SUMPRODUCT((rl_eff&lt;$B381)*(rl_key=$A$346)*rl_ln1p))</f>
        <v/>
      </c>
      <c r="J381" s="208">
        <f>EXP(SUMPRODUCT((rl_eff&lt;=$C381)*(rl_key=$A$346)*rl_ln1p))</f>
        <v/>
      </c>
      <c r="K381" s="201">
        <f>COUNTIFS(rl_key,$A$346,rl_eff,"&gt;="&amp;$B381,rl_eff,"&lt;="&amp;$C381)</f>
        <v/>
      </c>
      <c r="L381" s="201">
        <f>SUMIFS(rl_daysafter,rl_key,$A$346,rl_effmonth,$B381,rl_first,1)</f>
        <v/>
      </c>
      <c r="M381" s="209">
        <f>IF($K381=0,0,MIN(1,$L381/$D381))</f>
        <v/>
      </c>
      <c r="N381" s="208">
        <f>IF($K381=0,$J381,(1-$M381)*$I381+$M381*$J381)</f>
        <v/>
      </c>
      <c r="O381" s="209">
        <f>IF($F381&lt;$B$347,$E$347+$I$347*($F381-$A$347),IF($F381&lt;$C$347,$F$347+$J$347*($F381-$B$347),$G$347+$K$347*($F381-$C$347)))</f>
        <v/>
      </c>
      <c r="P381" s="208">
        <f>MIN(1,MAX(0,(nr_MEndPm1-$G381+0.5)/$C$346))-MIN(1,MAX(0,(nr_MStartPm1-1-$G381+0.5)/$C$346))</f>
        <v/>
      </c>
      <c r="Q381" s="208">
        <f>MIN(1,MAX(0,(nr_MEndP-$G381+0.5)/$C$346))-MIN(1,MAX(0,(nr_MStartP-1-$G381+0.5)/$C$346))</f>
        <v/>
      </c>
      <c r="R381" s="208">
        <f>MIN(1,MAX(0,(nr_MEndP1-$G381+0.5)/$C$346))-MIN(1,MAX(0,(nr_MStartP1-1-$G381+0.5)/$C$346))</f>
        <v/>
      </c>
      <c r="S381" s="208">
        <f>IF($L$346,$N381*IF($O$346=1,$O381/$F$346,1),"")</f>
        <v/>
      </c>
      <c r="T381" s="208">
        <f>IF(NOT($L$346),"",IF($G381&lt;nr_MStartP,$S381,$T369*(1+IF($G381&lt;nr_MStartP1,$M$346,$N$346))))</f>
        <v/>
      </c>
      <c r="U381" s="208">
        <f>IF($L$346,$T381,$N381)</f>
        <v/>
      </c>
    </row>
    <row r="382">
      <c r="A382" s="145" t="n">
        <v>34</v>
      </c>
      <c r="B382" s="204">
        <f>EDATE($B381,1)</f>
        <v/>
      </c>
      <c r="C382" s="205">
        <f>EOMONTH($B382,0)</f>
        <v/>
      </c>
      <c r="D382" s="201">
        <f>$C382-$B382+1</f>
        <v/>
      </c>
      <c r="E382" s="201">
        <f>MONTH($B382)</f>
        <v/>
      </c>
      <c r="F382" s="235">
        <f>($B382+$C382+1)/2</f>
        <v/>
      </c>
      <c r="G382" s="201">
        <f>YEAR($B382)*12+MONTH($B382)-1</f>
        <v/>
      </c>
      <c r="H382" s="207">
        <f>IF(OR(nr_SeasonOn="OFF",$D$346=0,$E$346=0),1,12*INDEX(se_block,$D$346,$E382)/$E$346)</f>
        <v/>
      </c>
      <c r="I382" s="208">
        <f>EXP(SUMPRODUCT((rl_eff&lt;$B382)*(rl_key=$A$346)*rl_ln1p))</f>
        <v/>
      </c>
      <c r="J382" s="208">
        <f>EXP(SUMPRODUCT((rl_eff&lt;=$C382)*(rl_key=$A$346)*rl_ln1p))</f>
        <v/>
      </c>
      <c r="K382" s="201">
        <f>COUNTIFS(rl_key,$A$346,rl_eff,"&gt;="&amp;$B382,rl_eff,"&lt;="&amp;$C382)</f>
        <v/>
      </c>
      <c r="L382" s="201">
        <f>SUMIFS(rl_daysafter,rl_key,$A$346,rl_effmonth,$B382,rl_first,1)</f>
        <v/>
      </c>
      <c r="M382" s="209">
        <f>IF($K382=0,0,MIN(1,$L382/$D382))</f>
        <v/>
      </c>
      <c r="N382" s="208">
        <f>IF($K382=0,$J382,(1-$M382)*$I382+$M382*$J382)</f>
        <v/>
      </c>
      <c r="O382" s="209">
        <f>IF($F382&lt;$B$347,$E$347+$I$347*($F382-$A$347),IF($F382&lt;$C$347,$F$347+$J$347*($F382-$B$347),$G$347+$K$347*($F382-$C$347)))</f>
        <v/>
      </c>
      <c r="P382" s="208">
        <f>MIN(1,MAX(0,(nr_MEndPm1-$G382+0.5)/$C$346))-MIN(1,MAX(0,(nr_MStartPm1-1-$G382+0.5)/$C$346))</f>
        <v/>
      </c>
      <c r="Q382" s="208">
        <f>MIN(1,MAX(0,(nr_MEndP-$G382+0.5)/$C$346))-MIN(1,MAX(0,(nr_MStartP-1-$G382+0.5)/$C$346))</f>
        <v/>
      </c>
      <c r="R382" s="208">
        <f>MIN(1,MAX(0,(nr_MEndP1-$G382+0.5)/$C$346))-MIN(1,MAX(0,(nr_MStartP1-1-$G382+0.5)/$C$346))</f>
        <v/>
      </c>
      <c r="S382" s="208">
        <f>IF($L$346,$N382*IF($O$346=1,$O382/$F$346,1),"")</f>
        <v/>
      </c>
      <c r="T382" s="208">
        <f>IF(NOT($L$346),"",IF($G382&lt;nr_MStartP,$S382,$T370*(1+IF($G382&lt;nr_MStartP1,$M$346,$N$346))))</f>
        <v/>
      </c>
      <c r="U382" s="208">
        <f>IF($L$346,$T382,$N382)</f>
        <v/>
      </c>
    </row>
    <row r="383">
      <c r="A383" s="145" t="n">
        <v>35</v>
      </c>
      <c r="B383" s="204">
        <f>EDATE($B382,1)</f>
        <v/>
      </c>
      <c r="C383" s="205">
        <f>EOMONTH($B383,0)</f>
        <v/>
      </c>
      <c r="D383" s="201">
        <f>$C383-$B383+1</f>
        <v/>
      </c>
      <c r="E383" s="201">
        <f>MONTH($B383)</f>
        <v/>
      </c>
      <c r="F383" s="235">
        <f>($B383+$C383+1)/2</f>
        <v/>
      </c>
      <c r="G383" s="201">
        <f>YEAR($B383)*12+MONTH($B383)-1</f>
        <v/>
      </c>
      <c r="H383" s="207">
        <f>IF(OR(nr_SeasonOn="OFF",$D$346=0,$E$346=0),1,12*INDEX(se_block,$D$346,$E383)/$E$346)</f>
        <v/>
      </c>
      <c r="I383" s="208">
        <f>EXP(SUMPRODUCT((rl_eff&lt;$B383)*(rl_key=$A$346)*rl_ln1p))</f>
        <v/>
      </c>
      <c r="J383" s="208">
        <f>EXP(SUMPRODUCT((rl_eff&lt;=$C383)*(rl_key=$A$346)*rl_ln1p))</f>
        <v/>
      </c>
      <c r="K383" s="201">
        <f>COUNTIFS(rl_key,$A$346,rl_eff,"&gt;="&amp;$B383,rl_eff,"&lt;="&amp;$C383)</f>
        <v/>
      </c>
      <c r="L383" s="201">
        <f>SUMIFS(rl_daysafter,rl_key,$A$346,rl_effmonth,$B383,rl_first,1)</f>
        <v/>
      </c>
      <c r="M383" s="209">
        <f>IF($K383=0,0,MIN(1,$L383/$D383))</f>
        <v/>
      </c>
      <c r="N383" s="208">
        <f>IF($K383=0,$J383,(1-$M383)*$I383+$M383*$J383)</f>
        <v/>
      </c>
      <c r="O383" s="209">
        <f>IF($F383&lt;$B$347,$E$347+$I$347*($F383-$A$347),IF($F383&lt;$C$347,$F$347+$J$347*($F383-$B$347),$G$347+$K$347*($F383-$C$347)))</f>
        <v/>
      </c>
      <c r="P383" s="208">
        <f>MIN(1,MAX(0,(nr_MEndPm1-$G383+0.5)/$C$346))-MIN(1,MAX(0,(nr_MStartPm1-1-$G383+0.5)/$C$346))</f>
        <v/>
      </c>
      <c r="Q383" s="208">
        <f>MIN(1,MAX(0,(nr_MEndP-$G383+0.5)/$C$346))-MIN(1,MAX(0,(nr_MStartP-1-$G383+0.5)/$C$346))</f>
        <v/>
      </c>
      <c r="R383" s="208">
        <f>MIN(1,MAX(0,(nr_MEndP1-$G383+0.5)/$C$346))-MIN(1,MAX(0,(nr_MStartP1-1-$G383+0.5)/$C$346))</f>
        <v/>
      </c>
      <c r="S383" s="208">
        <f>IF($L$346,$N383*IF($O$346=1,$O383/$F$346,1),"")</f>
        <v/>
      </c>
      <c r="T383" s="208">
        <f>IF(NOT($L$346),"",IF($G383&lt;nr_MStartP,$S383,$T371*(1+IF($G383&lt;nr_MStartP1,$M$346,$N$346))))</f>
        <v/>
      </c>
      <c r="U383" s="208">
        <f>IF($L$346,$T383,$N383)</f>
        <v/>
      </c>
    </row>
    <row r="384">
      <c r="A384" s="145" t="n">
        <v>36</v>
      </c>
      <c r="B384" s="204">
        <f>EDATE($B383,1)</f>
        <v/>
      </c>
      <c r="C384" s="205">
        <f>EOMONTH($B384,0)</f>
        <v/>
      </c>
      <c r="D384" s="201">
        <f>$C384-$B384+1</f>
        <v/>
      </c>
      <c r="E384" s="201">
        <f>MONTH($B384)</f>
        <v/>
      </c>
      <c r="F384" s="235">
        <f>($B384+$C384+1)/2</f>
        <v/>
      </c>
      <c r="G384" s="201">
        <f>YEAR($B384)*12+MONTH($B384)-1</f>
        <v/>
      </c>
      <c r="H384" s="207">
        <f>IF(OR(nr_SeasonOn="OFF",$D$346=0,$E$346=0),1,12*INDEX(se_block,$D$346,$E384)/$E$346)</f>
        <v/>
      </c>
      <c r="I384" s="208">
        <f>EXP(SUMPRODUCT((rl_eff&lt;$B384)*(rl_key=$A$346)*rl_ln1p))</f>
        <v/>
      </c>
      <c r="J384" s="208">
        <f>EXP(SUMPRODUCT((rl_eff&lt;=$C384)*(rl_key=$A$346)*rl_ln1p))</f>
        <v/>
      </c>
      <c r="K384" s="201">
        <f>COUNTIFS(rl_key,$A$346,rl_eff,"&gt;="&amp;$B384,rl_eff,"&lt;="&amp;$C384)</f>
        <v/>
      </c>
      <c r="L384" s="201">
        <f>SUMIFS(rl_daysafter,rl_key,$A$346,rl_effmonth,$B384,rl_first,1)</f>
        <v/>
      </c>
      <c r="M384" s="209">
        <f>IF($K384=0,0,MIN(1,$L384/$D384))</f>
        <v/>
      </c>
      <c r="N384" s="208">
        <f>IF($K384=0,$J384,(1-$M384)*$I384+$M384*$J384)</f>
        <v/>
      </c>
      <c r="O384" s="209">
        <f>IF($F384&lt;$B$347,$E$347+$I$347*($F384-$A$347),IF($F384&lt;$C$347,$F$347+$J$347*($F384-$B$347),$G$347+$K$347*($F384-$C$347)))</f>
        <v/>
      </c>
      <c r="P384" s="208">
        <f>MIN(1,MAX(0,(nr_MEndPm1-$G384+0.5)/$C$346))-MIN(1,MAX(0,(nr_MStartPm1-1-$G384+0.5)/$C$346))</f>
        <v/>
      </c>
      <c r="Q384" s="208">
        <f>MIN(1,MAX(0,(nr_MEndP-$G384+0.5)/$C$346))-MIN(1,MAX(0,(nr_MStartP-1-$G384+0.5)/$C$346))</f>
        <v/>
      </c>
      <c r="R384" s="208">
        <f>MIN(1,MAX(0,(nr_MEndP1-$G384+0.5)/$C$346))-MIN(1,MAX(0,(nr_MStartP1-1-$G384+0.5)/$C$346))</f>
        <v/>
      </c>
      <c r="S384" s="208">
        <f>IF($L$346,$N384*IF($O$346=1,$O384/$F$346,1),"")</f>
        <v/>
      </c>
      <c r="T384" s="208">
        <f>IF(NOT($L$346),"",IF($G384&lt;nr_MStartP,$S384,$T372*(1+IF($G384&lt;nr_MStartP1,$M$346,$N$346))))</f>
        <v/>
      </c>
      <c r="U384" s="208">
        <f>IF($L$346,$T384,$N384)</f>
        <v/>
      </c>
    </row>
    <row r="385">
      <c r="A385" s="145" t="n">
        <v>37</v>
      </c>
      <c r="B385" s="204">
        <f>EDATE($B384,1)</f>
        <v/>
      </c>
      <c r="C385" s="205">
        <f>EOMONTH($B385,0)</f>
        <v/>
      </c>
      <c r="D385" s="201">
        <f>$C385-$B385+1</f>
        <v/>
      </c>
      <c r="E385" s="201">
        <f>MONTH($B385)</f>
        <v/>
      </c>
      <c r="F385" s="235">
        <f>($B385+$C385+1)/2</f>
        <v/>
      </c>
      <c r="G385" s="201">
        <f>YEAR($B385)*12+MONTH($B385)-1</f>
        <v/>
      </c>
      <c r="H385" s="207">
        <f>IF(OR(nr_SeasonOn="OFF",$D$346=0,$E$346=0),1,12*INDEX(se_block,$D$346,$E385)/$E$346)</f>
        <v/>
      </c>
      <c r="I385" s="208">
        <f>EXP(SUMPRODUCT((rl_eff&lt;$B385)*(rl_key=$A$346)*rl_ln1p))</f>
        <v/>
      </c>
      <c r="J385" s="208">
        <f>EXP(SUMPRODUCT((rl_eff&lt;=$C385)*(rl_key=$A$346)*rl_ln1p))</f>
        <v/>
      </c>
      <c r="K385" s="201">
        <f>COUNTIFS(rl_key,$A$346,rl_eff,"&gt;="&amp;$B385,rl_eff,"&lt;="&amp;$C385)</f>
        <v/>
      </c>
      <c r="L385" s="201">
        <f>SUMIFS(rl_daysafter,rl_key,$A$346,rl_effmonth,$B385,rl_first,1)</f>
        <v/>
      </c>
      <c r="M385" s="209">
        <f>IF($K385=0,0,MIN(1,$L385/$D385))</f>
        <v/>
      </c>
      <c r="N385" s="208">
        <f>IF($K385=0,$J385,(1-$M385)*$I385+$M385*$J385)</f>
        <v/>
      </c>
      <c r="O385" s="209">
        <f>IF($F385&lt;$B$347,$E$347+$I$347*($F385-$A$347),IF($F385&lt;$C$347,$F$347+$J$347*($F385-$B$347),$G$347+$K$347*($F385-$C$347)))</f>
        <v/>
      </c>
      <c r="P385" s="208">
        <f>MIN(1,MAX(0,(nr_MEndPm1-$G385+0.5)/$C$346))-MIN(1,MAX(0,(nr_MStartPm1-1-$G385+0.5)/$C$346))</f>
        <v/>
      </c>
      <c r="Q385" s="208">
        <f>MIN(1,MAX(0,(nr_MEndP-$G385+0.5)/$C$346))-MIN(1,MAX(0,(nr_MStartP-1-$G385+0.5)/$C$346))</f>
        <v/>
      </c>
      <c r="R385" s="208">
        <f>MIN(1,MAX(0,(nr_MEndP1-$G385+0.5)/$C$346))-MIN(1,MAX(0,(nr_MStartP1-1-$G385+0.5)/$C$346))</f>
        <v/>
      </c>
      <c r="S385" s="208">
        <f>IF($L$346,$N385*IF($O$346=1,$O385/$F$346,1),"")</f>
        <v/>
      </c>
      <c r="T385" s="208">
        <f>IF(NOT($L$346),"",IF($G385&lt;nr_MStartP,$S385,$T373*(1+IF($G385&lt;nr_MStartP1,$M$346,$N$346))))</f>
        <v/>
      </c>
      <c r="U385" s="208">
        <f>IF($L$346,$T385,$N385)</f>
        <v/>
      </c>
    </row>
    <row r="386">
      <c r="A386" s="145" t="n">
        <v>38</v>
      </c>
      <c r="B386" s="204">
        <f>EDATE($B385,1)</f>
        <v/>
      </c>
      <c r="C386" s="205">
        <f>EOMONTH($B386,0)</f>
        <v/>
      </c>
      <c r="D386" s="201">
        <f>$C386-$B386+1</f>
        <v/>
      </c>
      <c r="E386" s="201">
        <f>MONTH($B386)</f>
        <v/>
      </c>
      <c r="F386" s="235">
        <f>($B386+$C386+1)/2</f>
        <v/>
      </c>
      <c r="G386" s="201">
        <f>YEAR($B386)*12+MONTH($B386)-1</f>
        <v/>
      </c>
      <c r="H386" s="207">
        <f>IF(OR(nr_SeasonOn="OFF",$D$346=0,$E$346=0),1,12*INDEX(se_block,$D$346,$E386)/$E$346)</f>
        <v/>
      </c>
      <c r="I386" s="208">
        <f>EXP(SUMPRODUCT((rl_eff&lt;$B386)*(rl_key=$A$346)*rl_ln1p))</f>
        <v/>
      </c>
      <c r="J386" s="208">
        <f>EXP(SUMPRODUCT((rl_eff&lt;=$C386)*(rl_key=$A$346)*rl_ln1p))</f>
        <v/>
      </c>
      <c r="K386" s="201">
        <f>COUNTIFS(rl_key,$A$346,rl_eff,"&gt;="&amp;$B386,rl_eff,"&lt;="&amp;$C386)</f>
        <v/>
      </c>
      <c r="L386" s="201">
        <f>SUMIFS(rl_daysafter,rl_key,$A$346,rl_effmonth,$B386,rl_first,1)</f>
        <v/>
      </c>
      <c r="M386" s="209">
        <f>IF($K386=0,0,MIN(1,$L386/$D386))</f>
        <v/>
      </c>
      <c r="N386" s="208">
        <f>IF($K386=0,$J386,(1-$M386)*$I386+$M386*$J386)</f>
        <v/>
      </c>
      <c r="O386" s="209">
        <f>IF($F386&lt;$B$347,$E$347+$I$347*($F386-$A$347),IF($F386&lt;$C$347,$F$347+$J$347*($F386-$B$347),$G$347+$K$347*($F386-$C$347)))</f>
        <v/>
      </c>
      <c r="P386" s="208">
        <f>MIN(1,MAX(0,(nr_MEndPm1-$G386+0.5)/$C$346))-MIN(1,MAX(0,(nr_MStartPm1-1-$G386+0.5)/$C$346))</f>
        <v/>
      </c>
      <c r="Q386" s="208">
        <f>MIN(1,MAX(0,(nr_MEndP-$G386+0.5)/$C$346))-MIN(1,MAX(0,(nr_MStartP-1-$G386+0.5)/$C$346))</f>
        <v/>
      </c>
      <c r="R386" s="208">
        <f>MIN(1,MAX(0,(nr_MEndP1-$G386+0.5)/$C$346))-MIN(1,MAX(0,(nr_MStartP1-1-$G386+0.5)/$C$346))</f>
        <v/>
      </c>
      <c r="S386" s="208">
        <f>IF($L$346,$N386*IF($O$346=1,$O386/$F$346,1),"")</f>
        <v/>
      </c>
      <c r="T386" s="208">
        <f>IF(NOT($L$346),"",IF($G386&lt;nr_MStartP,$S386,$T374*(1+IF($G386&lt;nr_MStartP1,$M$346,$N$346))))</f>
        <v/>
      </c>
      <c r="U386" s="208">
        <f>IF($L$346,$T386,$N386)</f>
        <v/>
      </c>
    </row>
    <row r="387">
      <c r="A387" s="145" t="n">
        <v>39</v>
      </c>
      <c r="B387" s="204">
        <f>EDATE($B386,1)</f>
        <v/>
      </c>
      <c r="C387" s="205">
        <f>EOMONTH($B387,0)</f>
        <v/>
      </c>
      <c r="D387" s="201">
        <f>$C387-$B387+1</f>
        <v/>
      </c>
      <c r="E387" s="201">
        <f>MONTH($B387)</f>
        <v/>
      </c>
      <c r="F387" s="235">
        <f>($B387+$C387+1)/2</f>
        <v/>
      </c>
      <c r="G387" s="201">
        <f>YEAR($B387)*12+MONTH($B387)-1</f>
        <v/>
      </c>
      <c r="H387" s="207">
        <f>IF(OR(nr_SeasonOn="OFF",$D$346=0,$E$346=0),1,12*INDEX(se_block,$D$346,$E387)/$E$346)</f>
        <v/>
      </c>
      <c r="I387" s="208">
        <f>EXP(SUMPRODUCT((rl_eff&lt;$B387)*(rl_key=$A$346)*rl_ln1p))</f>
        <v/>
      </c>
      <c r="J387" s="208">
        <f>EXP(SUMPRODUCT((rl_eff&lt;=$C387)*(rl_key=$A$346)*rl_ln1p))</f>
        <v/>
      </c>
      <c r="K387" s="201">
        <f>COUNTIFS(rl_key,$A$346,rl_eff,"&gt;="&amp;$B387,rl_eff,"&lt;="&amp;$C387)</f>
        <v/>
      </c>
      <c r="L387" s="201">
        <f>SUMIFS(rl_daysafter,rl_key,$A$346,rl_effmonth,$B387,rl_first,1)</f>
        <v/>
      </c>
      <c r="M387" s="209">
        <f>IF($K387=0,0,MIN(1,$L387/$D387))</f>
        <v/>
      </c>
      <c r="N387" s="208">
        <f>IF($K387=0,$J387,(1-$M387)*$I387+$M387*$J387)</f>
        <v/>
      </c>
      <c r="O387" s="209">
        <f>IF($F387&lt;$B$347,$E$347+$I$347*($F387-$A$347),IF($F387&lt;$C$347,$F$347+$J$347*($F387-$B$347),$G$347+$K$347*($F387-$C$347)))</f>
        <v/>
      </c>
      <c r="P387" s="208">
        <f>MIN(1,MAX(0,(nr_MEndPm1-$G387+0.5)/$C$346))-MIN(1,MAX(0,(nr_MStartPm1-1-$G387+0.5)/$C$346))</f>
        <v/>
      </c>
      <c r="Q387" s="208">
        <f>MIN(1,MAX(0,(nr_MEndP-$G387+0.5)/$C$346))-MIN(1,MAX(0,(nr_MStartP-1-$G387+0.5)/$C$346))</f>
        <v/>
      </c>
      <c r="R387" s="208">
        <f>MIN(1,MAX(0,(nr_MEndP1-$G387+0.5)/$C$346))-MIN(1,MAX(0,(nr_MStartP1-1-$G387+0.5)/$C$346))</f>
        <v/>
      </c>
      <c r="S387" s="208">
        <f>IF($L$346,$N387*IF($O$346=1,$O387/$F$346,1),"")</f>
        <v/>
      </c>
      <c r="T387" s="208">
        <f>IF(NOT($L$346),"",IF($G387&lt;nr_MStartP,$S387,$T375*(1+IF($G387&lt;nr_MStartP1,$M$346,$N$346))))</f>
        <v/>
      </c>
      <c r="U387" s="208">
        <f>IF($L$346,$T387,$N387)</f>
        <v/>
      </c>
    </row>
    <row r="388">
      <c r="A388" s="145" t="n">
        <v>40</v>
      </c>
      <c r="B388" s="204">
        <f>EDATE($B387,1)</f>
        <v/>
      </c>
      <c r="C388" s="205">
        <f>EOMONTH($B388,0)</f>
        <v/>
      </c>
      <c r="D388" s="201">
        <f>$C388-$B388+1</f>
        <v/>
      </c>
      <c r="E388" s="201">
        <f>MONTH($B388)</f>
        <v/>
      </c>
      <c r="F388" s="235">
        <f>($B388+$C388+1)/2</f>
        <v/>
      </c>
      <c r="G388" s="201">
        <f>YEAR($B388)*12+MONTH($B388)-1</f>
        <v/>
      </c>
      <c r="H388" s="207">
        <f>IF(OR(nr_SeasonOn="OFF",$D$346=0,$E$346=0),1,12*INDEX(se_block,$D$346,$E388)/$E$346)</f>
        <v/>
      </c>
      <c r="I388" s="208">
        <f>EXP(SUMPRODUCT((rl_eff&lt;$B388)*(rl_key=$A$346)*rl_ln1p))</f>
        <v/>
      </c>
      <c r="J388" s="208">
        <f>EXP(SUMPRODUCT((rl_eff&lt;=$C388)*(rl_key=$A$346)*rl_ln1p))</f>
        <v/>
      </c>
      <c r="K388" s="201">
        <f>COUNTIFS(rl_key,$A$346,rl_eff,"&gt;="&amp;$B388,rl_eff,"&lt;="&amp;$C388)</f>
        <v/>
      </c>
      <c r="L388" s="201">
        <f>SUMIFS(rl_daysafter,rl_key,$A$346,rl_effmonth,$B388,rl_first,1)</f>
        <v/>
      </c>
      <c r="M388" s="209">
        <f>IF($K388=0,0,MIN(1,$L388/$D388))</f>
        <v/>
      </c>
      <c r="N388" s="208">
        <f>IF($K388=0,$J388,(1-$M388)*$I388+$M388*$J388)</f>
        <v/>
      </c>
      <c r="O388" s="209">
        <f>IF($F388&lt;$B$347,$E$347+$I$347*($F388-$A$347),IF($F388&lt;$C$347,$F$347+$J$347*($F388-$B$347),$G$347+$K$347*($F388-$C$347)))</f>
        <v/>
      </c>
      <c r="P388" s="208">
        <f>MIN(1,MAX(0,(nr_MEndPm1-$G388+0.5)/$C$346))-MIN(1,MAX(0,(nr_MStartPm1-1-$G388+0.5)/$C$346))</f>
        <v/>
      </c>
      <c r="Q388" s="208">
        <f>MIN(1,MAX(0,(nr_MEndP-$G388+0.5)/$C$346))-MIN(1,MAX(0,(nr_MStartP-1-$G388+0.5)/$C$346))</f>
        <v/>
      </c>
      <c r="R388" s="208">
        <f>MIN(1,MAX(0,(nr_MEndP1-$G388+0.5)/$C$346))-MIN(1,MAX(0,(nr_MStartP1-1-$G388+0.5)/$C$346))</f>
        <v/>
      </c>
      <c r="S388" s="208">
        <f>IF($L$346,$N388*IF($O$346=1,$O388/$F$346,1),"")</f>
        <v/>
      </c>
      <c r="T388" s="208">
        <f>IF(NOT($L$346),"",IF($G388&lt;nr_MStartP,$S388,$T376*(1+IF($G388&lt;nr_MStartP1,$M$346,$N$346))))</f>
        <v/>
      </c>
      <c r="U388" s="208">
        <f>IF($L$346,$T388,$N388)</f>
        <v/>
      </c>
    </row>
    <row r="389">
      <c r="A389" s="145" t="n">
        <v>41</v>
      </c>
      <c r="B389" s="204">
        <f>EDATE($B388,1)</f>
        <v/>
      </c>
      <c r="C389" s="205">
        <f>EOMONTH($B389,0)</f>
        <v/>
      </c>
      <c r="D389" s="201">
        <f>$C389-$B389+1</f>
        <v/>
      </c>
      <c r="E389" s="201">
        <f>MONTH($B389)</f>
        <v/>
      </c>
      <c r="F389" s="235">
        <f>($B389+$C389+1)/2</f>
        <v/>
      </c>
      <c r="G389" s="201">
        <f>YEAR($B389)*12+MONTH($B389)-1</f>
        <v/>
      </c>
      <c r="H389" s="207">
        <f>IF(OR(nr_SeasonOn="OFF",$D$346=0,$E$346=0),1,12*INDEX(se_block,$D$346,$E389)/$E$346)</f>
        <v/>
      </c>
      <c r="I389" s="208">
        <f>EXP(SUMPRODUCT((rl_eff&lt;$B389)*(rl_key=$A$346)*rl_ln1p))</f>
        <v/>
      </c>
      <c r="J389" s="208">
        <f>EXP(SUMPRODUCT((rl_eff&lt;=$C389)*(rl_key=$A$346)*rl_ln1p))</f>
        <v/>
      </c>
      <c r="K389" s="201">
        <f>COUNTIFS(rl_key,$A$346,rl_eff,"&gt;="&amp;$B389,rl_eff,"&lt;="&amp;$C389)</f>
        <v/>
      </c>
      <c r="L389" s="201">
        <f>SUMIFS(rl_daysafter,rl_key,$A$346,rl_effmonth,$B389,rl_first,1)</f>
        <v/>
      </c>
      <c r="M389" s="209">
        <f>IF($K389=0,0,MIN(1,$L389/$D389))</f>
        <v/>
      </c>
      <c r="N389" s="208">
        <f>IF($K389=0,$J389,(1-$M389)*$I389+$M389*$J389)</f>
        <v/>
      </c>
      <c r="O389" s="209">
        <f>IF($F389&lt;$B$347,$E$347+$I$347*($F389-$A$347),IF($F389&lt;$C$347,$F$347+$J$347*($F389-$B$347),$G$347+$K$347*($F389-$C$347)))</f>
        <v/>
      </c>
      <c r="P389" s="208">
        <f>MIN(1,MAX(0,(nr_MEndPm1-$G389+0.5)/$C$346))-MIN(1,MAX(0,(nr_MStartPm1-1-$G389+0.5)/$C$346))</f>
        <v/>
      </c>
      <c r="Q389" s="208">
        <f>MIN(1,MAX(0,(nr_MEndP-$G389+0.5)/$C$346))-MIN(1,MAX(0,(nr_MStartP-1-$G389+0.5)/$C$346))</f>
        <v/>
      </c>
      <c r="R389" s="208">
        <f>MIN(1,MAX(0,(nr_MEndP1-$G389+0.5)/$C$346))-MIN(1,MAX(0,(nr_MStartP1-1-$G389+0.5)/$C$346))</f>
        <v/>
      </c>
      <c r="S389" s="208">
        <f>IF($L$346,$N389*IF($O$346=1,$O389/$F$346,1),"")</f>
        <v/>
      </c>
      <c r="T389" s="208">
        <f>IF(NOT($L$346),"",IF($G389&lt;nr_MStartP,$S389,$T377*(1+IF($G389&lt;nr_MStartP1,$M$346,$N$346))))</f>
        <v/>
      </c>
      <c r="U389" s="208">
        <f>IF($L$346,$T389,$N389)</f>
        <v/>
      </c>
    </row>
    <row r="390">
      <c r="A390" s="145" t="n">
        <v>42</v>
      </c>
      <c r="B390" s="204">
        <f>EDATE($B389,1)</f>
        <v/>
      </c>
      <c r="C390" s="205">
        <f>EOMONTH($B390,0)</f>
        <v/>
      </c>
      <c r="D390" s="201">
        <f>$C390-$B390+1</f>
        <v/>
      </c>
      <c r="E390" s="201">
        <f>MONTH($B390)</f>
        <v/>
      </c>
      <c r="F390" s="235">
        <f>($B390+$C390+1)/2</f>
        <v/>
      </c>
      <c r="G390" s="201">
        <f>YEAR($B390)*12+MONTH($B390)-1</f>
        <v/>
      </c>
      <c r="H390" s="207">
        <f>IF(OR(nr_SeasonOn="OFF",$D$346=0,$E$346=0),1,12*INDEX(se_block,$D$346,$E390)/$E$346)</f>
        <v/>
      </c>
      <c r="I390" s="208">
        <f>EXP(SUMPRODUCT((rl_eff&lt;$B390)*(rl_key=$A$346)*rl_ln1p))</f>
        <v/>
      </c>
      <c r="J390" s="208">
        <f>EXP(SUMPRODUCT((rl_eff&lt;=$C390)*(rl_key=$A$346)*rl_ln1p))</f>
        <v/>
      </c>
      <c r="K390" s="201">
        <f>COUNTIFS(rl_key,$A$346,rl_eff,"&gt;="&amp;$B390,rl_eff,"&lt;="&amp;$C390)</f>
        <v/>
      </c>
      <c r="L390" s="201">
        <f>SUMIFS(rl_daysafter,rl_key,$A$346,rl_effmonth,$B390,rl_first,1)</f>
        <v/>
      </c>
      <c r="M390" s="209">
        <f>IF($K390=0,0,MIN(1,$L390/$D390))</f>
        <v/>
      </c>
      <c r="N390" s="208">
        <f>IF($K390=0,$J390,(1-$M390)*$I390+$M390*$J390)</f>
        <v/>
      </c>
      <c r="O390" s="209">
        <f>IF($F390&lt;$B$347,$E$347+$I$347*($F390-$A$347),IF($F390&lt;$C$347,$F$347+$J$347*($F390-$B$347),$G$347+$K$347*($F390-$C$347)))</f>
        <v/>
      </c>
      <c r="P390" s="208">
        <f>MIN(1,MAX(0,(nr_MEndPm1-$G390+0.5)/$C$346))-MIN(1,MAX(0,(nr_MStartPm1-1-$G390+0.5)/$C$346))</f>
        <v/>
      </c>
      <c r="Q390" s="208">
        <f>MIN(1,MAX(0,(nr_MEndP-$G390+0.5)/$C$346))-MIN(1,MAX(0,(nr_MStartP-1-$G390+0.5)/$C$346))</f>
        <v/>
      </c>
      <c r="R390" s="208">
        <f>MIN(1,MAX(0,(nr_MEndP1-$G390+0.5)/$C$346))-MIN(1,MAX(0,(nr_MStartP1-1-$G390+0.5)/$C$346))</f>
        <v/>
      </c>
      <c r="S390" s="208">
        <f>IF($L$346,$N390*IF($O$346=1,$O390/$F$346,1),"")</f>
        <v/>
      </c>
      <c r="T390" s="208">
        <f>IF(NOT($L$346),"",IF($G390&lt;nr_MStartP,$S390,$T378*(1+IF($G390&lt;nr_MStartP1,$M$346,$N$346))))</f>
        <v/>
      </c>
      <c r="U390" s="208">
        <f>IF($L$346,$T390,$N390)</f>
        <v/>
      </c>
    </row>
    <row r="391">
      <c r="A391" s="145" t="n">
        <v>43</v>
      </c>
      <c r="B391" s="204">
        <f>EDATE($B390,1)</f>
        <v/>
      </c>
      <c r="C391" s="205">
        <f>EOMONTH($B391,0)</f>
        <v/>
      </c>
      <c r="D391" s="201">
        <f>$C391-$B391+1</f>
        <v/>
      </c>
      <c r="E391" s="201">
        <f>MONTH($B391)</f>
        <v/>
      </c>
      <c r="F391" s="235">
        <f>($B391+$C391+1)/2</f>
        <v/>
      </c>
      <c r="G391" s="201">
        <f>YEAR($B391)*12+MONTH($B391)-1</f>
        <v/>
      </c>
      <c r="H391" s="207">
        <f>IF(OR(nr_SeasonOn="OFF",$D$346=0,$E$346=0),1,12*INDEX(se_block,$D$346,$E391)/$E$346)</f>
        <v/>
      </c>
      <c r="I391" s="208">
        <f>EXP(SUMPRODUCT((rl_eff&lt;$B391)*(rl_key=$A$346)*rl_ln1p))</f>
        <v/>
      </c>
      <c r="J391" s="208">
        <f>EXP(SUMPRODUCT((rl_eff&lt;=$C391)*(rl_key=$A$346)*rl_ln1p))</f>
        <v/>
      </c>
      <c r="K391" s="201">
        <f>COUNTIFS(rl_key,$A$346,rl_eff,"&gt;="&amp;$B391,rl_eff,"&lt;="&amp;$C391)</f>
        <v/>
      </c>
      <c r="L391" s="201">
        <f>SUMIFS(rl_daysafter,rl_key,$A$346,rl_effmonth,$B391,rl_first,1)</f>
        <v/>
      </c>
      <c r="M391" s="209">
        <f>IF($K391=0,0,MIN(1,$L391/$D391))</f>
        <v/>
      </c>
      <c r="N391" s="208">
        <f>IF($K391=0,$J391,(1-$M391)*$I391+$M391*$J391)</f>
        <v/>
      </c>
      <c r="O391" s="209">
        <f>IF($F391&lt;$B$347,$E$347+$I$347*($F391-$A$347),IF($F391&lt;$C$347,$F$347+$J$347*($F391-$B$347),$G$347+$K$347*($F391-$C$347)))</f>
        <v/>
      </c>
      <c r="P391" s="208">
        <f>MIN(1,MAX(0,(nr_MEndPm1-$G391+0.5)/$C$346))-MIN(1,MAX(0,(nr_MStartPm1-1-$G391+0.5)/$C$346))</f>
        <v/>
      </c>
      <c r="Q391" s="208">
        <f>MIN(1,MAX(0,(nr_MEndP-$G391+0.5)/$C$346))-MIN(1,MAX(0,(nr_MStartP-1-$G391+0.5)/$C$346))</f>
        <v/>
      </c>
      <c r="R391" s="208">
        <f>MIN(1,MAX(0,(nr_MEndP1-$G391+0.5)/$C$346))-MIN(1,MAX(0,(nr_MStartP1-1-$G391+0.5)/$C$346))</f>
        <v/>
      </c>
      <c r="S391" s="208">
        <f>IF($L$346,$N391*IF($O$346=1,$O391/$F$346,1),"")</f>
        <v/>
      </c>
      <c r="T391" s="208">
        <f>IF(NOT($L$346),"",IF($G391&lt;nr_MStartP,$S391,$T379*(1+IF($G391&lt;nr_MStartP1,$M$346,$N$346))))</f>
        <v/>
      </c>
      <c r="U391" s="208">
        <f>IF($L$346,$T391,$N391)</f>
        <v/>
      </c>
    </row>
    <row r="392">
      <c r="A392" s="145" t="n">
        <v>44</v>
      </c>
      <c r="B392" s="204">
        <f>EDATE($B391,1)</f>
        <v/>
      </c>
      <c r="C392" s="205">
        <f>EOMONTH($B392,0)</f>
        <v/>
      </c>
      <c r="D392" s="201">
        <f>$C392-$B392+1</f>
        <v/>
      </c>
      <c r="E392" s="201">
        <f>MONTH($B392)</f>
        <v/>
      </c>
      <c r="F392" s="235">
        <f>($B392+$C392+1)/2</f>
        <v/>
      </c>
      <c r="G392" s="201">
        <f>YEAR($B392)*12+MONTH($B392)-1</f>
        <v/>
      </c>
      <c r="H392" s="207">
        <f>IF(OR(nr_SeasonOn="OFF",$D$346=0,$E$346=0),1,12*INDEX(se_block,$D$346,$E392)/$E$346)</f>
        <v/>
      </c>
      <c r="I392" s="208">
        <f>EXP(SUMPRODUCT((rl_eff&lt;$B392)*(rl_key=$A$346)*rl_ln1p))</f>
        <v/>
      </c>
      <c r="J392" s="208">
        <f>EXP(SUMPRODUCT((rl_eff&lt;=$C392)*(rl_key=$A$346)*rl_ln1p))</f>
        <v/>
      </c>
      <c r="K392" s="201">
        <f>COUNTIFS(rl_key,$A$346,rl_eff,"&gt;="&amp;$B392,rl_eff,"&lt;="&amp;$C392)</f>
        <v/>
      </c>
      <c r="L392" s="201">
        <f>SUMIFS(rl_daysafter,rl_key,$A$346,rl_effmonth,$B392,rl_first,1)</f>
        <v/>
      </c>
      <c r="M392" s="209">
        <f>IF($K392=0,0,MIN(1,$L392/$D392))</f>
        <v/>
      </c>
      <c r="N392" s="208">
        <f>IF($K392=0,$J392,(1-$M392)*$I392+$M392*$J392)</f>
        <v/>
      </c>
      <c r="O392" s="209">
        <f>IF($F392&lt;$B$347,$E$347+$I$347*($F392-$A$347),IF($F392&lt;$C$347,$F$347+$J$347*($F392-$B$347),$G$347+$K$347*($F392-$C$347)))</f>
        <v/>
      </c>
      <c r="P392" s="208">
        <f>MIN(1,MAX(0,(nr_MEndPm1-$G392+0.5)/$C$346))-MIN(1,MAX(0,(nr_MStartPm1-1-$G392+0.5)/$C$346))</f>
        <v/>
      </c>
      <c r="Q392" s="208">
        <f>MIN(1,MAX(0,(nr_MEndP-$G392+0.5)/$C$346))-MIN(1,MAX(0,(nr_MStartP-1-$G392+0.5)/$C$346))</f>
        <v/>
      </c>
      <c r="R392" s="208">
        <f>MIN(1,MAX(0,(nr_MEndP1-$G392+0.5)/$C$346))-MIN(1,MAX(0,(nr_MStartP1-1-$G392+0.5)/$C$346))</f>
        <v/>
      </c>
      <c r="S392" s="208">
        <f>IF($L$346,$N392*IF($O$346=1,$O392/$F$346,1),"")</f>
        <v/>
      </c>
      <c r="T392" s="208">
        <f>IF(NOT($L$346),"",IF($G392&lt;nr_MStartP,$S392,$T380*(1+IF($G392&lt;nr_MStartP1,$M$346,$N$346))))</f>
        <v/>
      </c>
      <c r="U392" s="208">
        <f>IF($L$346,$T392,$N392)</f>
        <v/>
      </c>
    </row>
    <row r="393">
      <c r="A393" s="145" t="n">
        <v>45</v>
      </c>
      <c r="B393" s="204">
        <f>EDATE($B392,1)</f>
        <v/>
      </c>
      <c r="C393" s="205">
        <f>EOMONTH($B393,0)</f>
        <v/>
      </c>
      <c r="D393" s="201">
        <f>$C393-$B393+1</f>
        <v/>
      </c>
      <c r="E393" s="201">
        <f>MONTH($B393)</f>
        <v/>
      </c>
      <c r="F393" s="235">
        <f>($B393+$C393+1)/2</f>
        <v/>
      </c>
      <c r="G393" s="201">
        <f>YEAR($B393)*12+MONTH($B393)-1</f>
        <v/>
      </c>
      <c r="H393" s="207">
        <f>IF(OR(nr_SeasonOn="OFF",$D$346=0,$E$346=0),1,12*INDEX(se_block,$D$346,$E393)/$E$346)</f>
        <v/>
      </c>
      <c r="I393" s="208">
        <f>EXP(SUMPRODUCT((rl_eff&lt;$B393)*(rl_key=$A$346)*rl_ln1p))</f>
        <v/>
      </c>
      <c r="J393" s="208">
        <f>EXP(SUMPRODUCT((rl_eff&lt;=$C393)*(rl_key=$A$346)*rl_ln1p))</f>
        <v/>
      </c>
      <c r="K393" s="201">
        <f>COUNTIFS(rl_key,$A$346,rl_eff,"&gt;="&amp;$B393,rl_eff,"&lt;="&amp;$C393)</f>
        <v/>
      </c>
      <c r="L393" s="201">
        <f>SUMIFS(rl_daysafter,rl_key,$A$346,rl_effmonth,$B393,rl_first,1)</f>
        <v/>
      </c>
      <c r="M393" s="209">
        <f>IF($K393=0,0,MIN(1,$L393/$D393))</f>
        <v/>
      </c>
      <c r="N393" s="208">
        <f>IF($K393=0,$J393,(1-$M393)*$I393+$M393*$J393)</f>
        <v/>
      </c>
      <c r="O393" s="209">
        <f>IF($F393&lt;$B$347,$E$347+$I$347*($F393-$A$347),IF($F393&lt;$C$347,$F$347+$J$347*($F393-$B$347),$G$347+$K$347*($F393-$C$347)))</f>
        <v/>
      </c>
      <c r="P393" s="208">
        <f>MIN(1,MAX(0,(nr_MEndPm1-$G393+0.5)/$C$346))-MIN(1,MAX(0,(nr_MStartPm1-1-$G393+0.5)/$C$346))</f>
        <v/>
      </c>
      <c r="Q393" s="208">
        <f>MIN(1,MAX(0,(nr_MEndP-$G393+0.5)/$C$346))-MIN(1,MAX(0,(nr_MStartP-1-$G393+0.5)/$C$346))</f>
        <v/>
      </c>
      <c r="R393" s="208">
        <f>MIN(1,MAX(0,(nr_MEndP1-$G393+0.5)/$C$346))-MIN(1,MAX(0,(nr_MStartP1-1-$G393+0.5)/$C$346))</f>
        <v/>
      </c>
      <c r="S393" s="208">
        <f>IF($L$346,$N393*IF($O$346=1,$O393/$F$346,1),"")</f>
        <v/>
      </c>
      <c r="T393" s="208">
        <f>IF(NOT($L$346),"",IF($G393&lt;nr_MStartP,$S393,$T381*(1+IF($G393&lt;nr_MStartP1,$M$346,$N$346))))</f>
        <v/>
      </c>
      <c r="U393" s="208">
        <f>IF($L$346,$T393,$N393)</f>
        <v/>
      </c>
    </row>
    <row r="394">
      <c r="A394" s="145" t="n">
        <v>46</v>
      </c>
      <c r="B394" s="204">
        <f>EDATE($B393,1)</f>
        <v/>
      </c>
      <c r="C394" s="205">
        <f>EOMONTH($B394,0)</f>
        <v/>
      </c>
      <c r="D394" s="201">
        <f>$C394-$B394+1</f>
        <v/>
      </c>
      <c r="E394" s="201">
        <f>MONTH($B394)</f>
        <v/>
      </c>
      <c r="F394" s="235">
        <f>($B394+$C394+1)/2</f>
        <v/>
      </c>
      <c r="G394" s="201">
        <f>YEAR($B394)*12+MONTH($B394)-1</f>
        <v/>
      </c>
      <c r="H394" s="207">
        <f>IF(OR(nr_SeasonOn="OFF",$D$346=0,$E$346=0),1,12*INDEX(se_block,$D$346,$E394)/$E$346)</f>
        <v/>
      </c>
      <c r="I394" s="208">
        <f>EXP(SUMPRODUCT((rl_eff&lt;$B394)*(rl_key=$A$346)*rl_ln1p))</f>
        <v/>
      </c>
      <c r="J394" s="208">
        <f>EXP(SUMPRODUCT((rl_eff&lt;=$C394)*(rl_key=$A$346)*rl_ln1p))</f>
        <v/>
      </c>
      <c r="K394" s="201">
        <f>COUNTIFS(rl_key,$A$346,rl_eff,"&gt;="&amp;$B394,rl_eff,"&lt;="&amp;$C394)</f>
        <v/>
      </c>
      <c r="L394" s="201">
        <f>SUMIFS(rl_daysafter,rl_key,$A$346,rl_effmonth,$B394,rl_first,1)</f>
        <v/>
      </c>
      <c r="M394" s="209">
        <f>IF($K394=0,0,MIN(1,$L394/$D394))</f>
        <v/>
      </c>
      <c r="N394" s="208">
        <f>IF($K394=0,$J394,(1-$M394)*$I394+$M394*$J394)</f>
        <v/>
      </c>
      <c r="O394" s="209">
        <f>IF($F394&lt;$B$347,$E$347+$I$347*($F394-$A$347),IF($F394&lt;$C$347,$F$347+$J$347*($F394-$B$347),$G$347+$K$347*($F394-$C$347)))</f>
        <v/>
      </c>
      <c r="P394" s="208">
        <f>MIN(1,MAX(0,(nr_MEndPm1-$G394+0.5)/$C$346))-MIN(1,MAX(0,(nr_MStartPm1-1-$G394+0.5)/$C$346))</f>
        <v/>
      </c>
      <c r="Q394" s="208">
        <f>MIN(1,MAX(0,(nr_MEndP-$G394+0.5)/$C$346))-MIN(1,MAX(0,(nr_MStartP-1-$G394+0.5)/$C$346))</f>
        <v/>
      </c>
      <c r="R394" s="208">
        <f>MIN(1,MAX(0,(nr_MEndP1-$G394+0.5)/$C$346))-MIN(1,MAX(0,(nr_MStartP1-1-$G394+0.5)/$C$346))</f>
        <v/>
      </c>
      <c r="S394" s="208">
        <f>IF($L$346,$N394*IF($O$346=1,$O394/$F$346,1),"")</f>
        <v/>
      </c>
      <c r="T394" s="208">
        <f>IF(NOT($L$346),"",IF($G394&lt;nr_MStartP,$S394,$T382*(1+IF($G394&lt;nr_MStartP1,$M$346,$N$346))))</f>
        <v/>
      </c>
      <c r="U394" s="208">
        <f>IF($L$346,$T394,$N394)</f>
        <v/>
      </c>
    </row>
    <row r="395">
      <c r="A395" s="145" t="n">
        <v>47</v>
      </c>
      <c r="B395" s="204">
        <f>EDATE($B394,1)</f>
        <v/>
      </c>
      <c r="C395" s="205">
        <f>EOMONTH($B395,0)</f>
        <v/>
      </c>
      <c r="D395" s="201">
        <f>$C395-$B395+1</f>
        <v/>
      </c>
      <c r="E395" s="201">
        <f>MONTH($B395)</f>
        <v/>
      </c>
      <c r="F395" s="235">
        <f>($B395+$C395+1)/2</f>
        <v/>
      </c>
      <c r="G395" s="201">
        <f>YEAR($B395)*12+MONTH($B395)-1</f>
        <v/>
      </c>
      <c r="H395" s="207">
        <f>IF(OR(nr_SeasonOn="OFF",$D$346=0,$E$346=0),1,12*INDEX(se_block,$D$346,$E395)/$E$346)</f>
        <v/>
      </c>
      <c r="I395" s="208">
        <f>EXP(SUMPRODUCT((rl_eff&lt;$B395)*(rl_key=$A$346)*rl_ln1p))</f>
        <v/>
      </c>
      <c r="J395" s="208">
        <f>EXP(SUMPRODUCT((rl_eff&lt;=$C395)*(rl_key=$A$346)*rl_ln1p))</f>
        <v/>
      </c>
      <c r="K395" s="201">
        <f>COUNTIFS(rl_key,$A$346,rl_eff,"&gt;="&amp;$B395,rl_eff,"&lt;="&amp;$C395)</f>
        <v/>
      </c>
      <c r="L395" s="201">
        <f>SUMIFS(rl_daysafter,rl_key,$A$346,rl_effmonth,$B395,rl_first,1)</f>
        <v/>
      </c>
      <c r="M395" s="209">
        <f>IF($K395=0,0,MIN(1,$L395/$D395))</f>
        <v/>
      </c>
      <c r="N395" s="208">
        <f>IF($K395=0,$J395,(1-$M395)*$I395+$M395*$J395)</f>
        <v/>
      </c>
      <c r="O395" s="209">
        <f>IF($F395&lt;$B$347,$E$347+$I$347*($F395-$A$347),IF($F395&lt;$C$347,$F$347+$J$347*($F395-$B$347),$G$347+$K$347*($F395-$C$347)))</f>
        <v/>
      </c>
      <c r="P395" s="208">
        <f>MIN(1,MAX(0,(nr_MEndPm1-$G395+0.5)/$C$346))-MIN(1,MAX(0,(nr_MStartPm1-1-$G395+0.5)/$C$346))</f>
        <v/>
      </c>
      <c r="Q395" s="208">
        <f>MIN(1,MAX(0,(nr_MEndP-$G395+0.5)/$C$346))-MIN(1,MAX(0,(nr_MStartP-1-$G395+0.5)/$C$346))</f>
        <v/>
      </c>
      <c r="R395" s="208">
        <f>MIN(1,MAX(0,(nr_MEndP1-$G395+0.5)/$C$346))-MIN(1,MAX(0,(nr_MStartP1-1-$G395+0.5)/$C$346))</f>
        <v/>
      </c>
      <c r="S395" s="208">
        <f>IF($L$346,$N395*IF($O$346=1,$O395/$F$346,1),"")</f>
        <v/>
      </c>
      <c r="T395" s="208">
        <f>IF(NOT($L$346),"",IF($G395&lt;nr_MStartP,$S395,$T383*(1+IF($G395&lt;nr_MStartP1,$M$346,$N$346))))</f>
        <v/>
      </c>
      <c r="U395" s="208">
        <f>IF($L$346,$T395,$N395)</f>
        <v/>
      </c>
    </row>
    <row r="396">
      <c r="A396" s="145" t="n">
        <v>48</v>
      </c>
      <c r="B396" s="204">
        <f>EDATE($B395,1)</f>
        <v/>
      </c>
      <c r="C396" s="205">
        <f>EOMONTH($B396,0)</f>
        <v/>
      </c>
      <c r="D396" s="201">
        <f>$C396-$B396+1</f>
        <v/>
      </c>
      <c r="E396" s="201">
        <f>MONTH($B396)</f>
        <v/>
      </c>
      <c r="F396" s="235">
        <f>($B396+$C396+1)/2</f>
        <v/>
      </c>
      <c r="G396" s="201">
        <f>YEAR($B396)*12+MONTH($B396)-1</f>
        <v/>
      </c>
      <c r="H396" s="207">
        <f>IF(OR(nr_SeasonOn="OFF",$D$346=0,$E$346=0),1,12*INDEX(se_block,$D$346,$E396)/$E$346)</f>
        <v/>
      </c>
      <c r="I396" s="208">
        <f>EXP(SUMPRODUCT((rl_eff&lt;$B396)*(rl_key=$A$346)*rl_ln1p))</f>
        <v/>
      </c>
      <c r="J396" s="208">
        <f>EXP(SUMPRODUCT((rl_eff&lt;=$C396)*(rl_key=$A$346)*rl_ln1p))</f>
        <v/>
      </c>
      <c r="K396" s="201">
        <f>COUNTIFS(rl_key,$A$346,rl_eff,"&gt;="&amp;$B396,rl_eff,"&lt;="&amp;$C396)</f>
        <v/>
      </c>
      <c r="L396" s="201">
        <f>SUMIFS(rl_daysafter,rl_key,$A$346,rl_effmonth,$B396,rl_first,1)</f>
        <v/>
      </c>
      <c r="M396" s="209">
        <f>IF($K396=0,0,MIN(1,$L396/$D396))</f>
        <v/>
      </c>
      <c r="N396" s="208">
        <f>IF($K396=0,$J396,(1-$M396)*$I396+$M396*$J396)</f>
        <v/>
      </c>
      <c r="O396" s="209">
        <f>IF($F396&lt;$B$347,$E$347+$I$347*($F396-$A$347),IF($F396&lt;$C$347,$F$347+$J$347*($F396-$B$347),$G$347+$K$347*($F396-$C$347)))</f>
        <v/>
      </c>
      <c r="P396" s="208">
        <f>MIN(1,MAX(0,(nr_MEndPm1-$G396+0.5)/$C$346))-MIN(1,MAX(0,(nr_MStartPm1-1-$G396+0.5)/$C$346))</f>
        <v/>
      </c>
      <c r="Q396" s="208">
        <f>MIN(1,MAX(0,(nr_MEndP-$G396+0.5)/$C$346))-MIN(1,MAX(0,(nr_MStartP-1-$G396+0.5)/$C$346))</f>
        <v/>
      </c>
      <c r="R396" s="208">
        <f>MIN(1,MAX(0,(nr_MEndP1-$G396+0.5)/$C$346))-MIN(1,MAX(0,(nr_MStartP1-1-$G396+0.5)/$C$346))</f>
        <v/>
      </c>
      <c r="S396" s="208">
        <f>IF($L$346,$N396*IF($O$346=1,$O396/$F$346,1),"")</f>
        <v/>
      </c>
      <c r="T396" s="208">
        <f>IF(NOT($L$346),"",IF($G396&lt;nr_MStartP,$S396,$T384*(1+IF($G396&lt;nr_MStartP1,$M$346,$N$346))))</f>
        <v/>
      </c>
      <c r="U396" s="208">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184">
        <f>SUMPRODUCT($H$349:$H$396,$Q$349:$Q$396,$O$349:$O$396)/SUMPRODUCT($H$349:$H$396,$Q$349:$Q$396)</f>
        <v/>
      </c>
      <c r="G397" s="184">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184">
        <f>IF(N(INDEX(lr_mind,7))=0,1,INDEX(lr_mind,7))</f>
        <v/>
      </c>
      <c r="G400" s="184">
        <f>IF(N(INDEX(lr_m0,7))=0,1,INDEX(lr_m0,7))</f>
        <v/>
      </c>
      <c r="H400" s="73">
        <f>IF(N(INDEX(lr_m0asof,7))=0,DATE(nr_PlanYear-1,10,1),INDEX(lr_m0asof,7))</f>
        <v/>
      </c>
      <c r="I400" s="184">
        <f>IF(N(INDEX(lr_m1,7))=0,1,INDEX(lr_m1,7))</f>
        <v/>
      </c>
      <c r="J400" s="184">
        <f>INDEX(lr_mprior,7)</f>
        <v/>
      </c>
      <c r="K400" s="184">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145" t="n">
        <v>1</v>
      </c>
      <c r="B403" s="204">
        <f>DATE(nr_PlanYear-2,1,1)</f>
        <v/>
      </c>
      <c r="C403" s="205">
        <f>EOMONTH($B403,0)</f>
        <v/>
      </c>
      <c r="D403" s="201">
        <f>$C403-$B403+1</f>
        <v/>
      </c>
      <c r="E403" s="201">
        <f>MONTH($B403)</f>
        <v/>
      </c>
      <c r="F403" s="235">
        <f>($B403+$C403+1)/2</f>
        <v/>
      </c>
      <c r="G403" s="201">
        <f>YEAR($B403)*12+MONTH($B403)-1</f>
        <v/>
      </c>
      <c r="H403" s="207">
        <f>IF(OR(nr_SeasonOn="OFF",$D$400=0,$E$400=0),1,12*INDEX(se_block,$D$400,$E403)/$E$400)</f>
        <v/>
      </c>
      <c r="I403" s="208">
        <f>EXP(SUMPRODUCT((rl_eff&lt;$B403)*(rl_key=$A$400)*rl_ln1p))</f>
        <v/>
      </c>
      <c r="J403" s="208">
        <f>EXP(SUMPRODUCT((rl_eff&lt;=$C403)*(rl_key=$A$400)*rl_ln1p))</f>
        <v/>
      </c>
      <c r="K403" s="201">
        <f>COUNTIFS(rl_key,$A$400,rl_eff,"&gt;="&amp;$B403,rl_eff,"&lt;="&amp;$C403)</f>
        <v/>
      </c>
      <c r="L403" s="201">
        <f>SUMIFS(rl_daysafter,rl_key,$A$400,rl_effmonth,$B403,rl_first,1)</f>
        <v/>
      </c>
      <c r="M403" s="209">
        <f>IF($K403=0,0,MIN(1,$L403/$D403))</f>
        <v/>
      </c>
      <c r="N403" s="208">
        <f>IF($K403=0,$J403,(1-$M403)*$I403+$M403*$J403)</f>
        <v/>
      </c>
      <c r="O403" s="209">
        <f>IF($F403&lt;$B$401,$E$401+$I$401*($F403-$A$401),IF($F403&lt;$C$401,$F$401+$J$401*($F403-$B$401),$G$401+$K$401*($F403-$C$401)))</f>
        <v/>
      </c>
      <c r="P403" s="208">
        <f>MIN(1,MAX(0,(nr_MEndPm1-$G403+0.5)/$C$400))-MIN(1,MAX(0,(nr_MStartPm1-1-$G403+0.5)/$C$400))</f>
        <v/>
      </c>
      <c r="Q403" s="208">
        <f>MIN(1,MAX(0,(nr_MEndP-$G403+0.5)/$C$400))-MIN(1,MAX(0,(nr_MStartP-1-$G403+0.5)/$C$400))</f>
        <v/>
      </c>
      <c r="R403" s="208">
        <f>MIN(1,MAX(0,(nr_MEndP1-$G403+0.5)/$C$400))-MIN(1,MAX(0,(nr_MStartP1-1-$G403+0.5)/$C$400))</f>
        <v/>
      </c>
      <c r="S403" s="208">
        <f>IF($L$400,$N403*IF($O$400=1,$O403/$F$400,1),"")</f>
        <v/>
      </c>
      <c r="T403" s="208">
        <f>IF(NOT($L$400),"",IF($G403&lt;nr_MStartP,$S403,$T391*(1+IF($G403&lt;nr_MStartP1,$M$400,$N$400))))</f>
        <v/>
      </c>
      <c r="U403" s="208">
        <f>IF($L$400,$T403,$N403)</f>
        <v/>
      </c>
    </row>
    <row r="404">
      <c r="A404" s="145" t="n">
        <v>2</v>
      </c>
      <c r="B404" s="204">
        <f>EDATE($B403,1)</f>
        <v/>
      </c>
      <c r="C404" s="205">
        <f>EOMONTH($B404,0)</f>
        <v/>
      </c>
      <c r="D404" s="201">
        <f>$C404-$B404+1</f>
        <v/>
      </c>
      <c r="E404" s="201">
        <f>MONTH($B404)</f>
        <v/>
      </c>
      <c r="F404" s="235">
        <f>($B404+$C404+1)/2</f>
        <v/>
      </c>
      <c r="G404" s="201">
        <f>YEAR($B404)*12+MONTH($B404)-1</f>
        <v/>
      </c>
      <c r="H404" s="207">
        <f>IF(OR(nr_SeasonOn="OFF",$D$400=0,$E$400=0),1,12*INDEX(se_block,$D$400,$E404)/$E$400)</f>
        <v/>
      </c>
      <c r="I404" s="208">
        <f>EXP(SUMPRODUCT((rl_eff&lt;$B404)*(rl_key=$A$400)*rl_ln1p))</f>
        <v/>
      </c>
      <c r="J404" s="208">
        <f>EXP(SUMPRODUCT((rl_eff&lt;=$C404)*(rl_key=$A$400)*rl_ln1p))</f>
        <v/>
      </c>
      <c r="K404" s="201">
        <f>COUNTIFS(rl_key,$A$400,rl_eff,"&gt;="&amp;$B404,rl_eff,"&lt;="&amp;$C404)</f>
        <v/>
      </c>
      <c r="L404" s="201">
        <f>SUMIFS(rl_daysafter,rl_key,$A$400,rl_effmonth,$B404,rl_first,1)</f>
        <v/>
      </c>
      <c r="M404" s="209">
        <f>IF($K404=0,0,MIN(1,$L404/$D404))</f>
        <v/>
      </c>
      <c r="N404" s="208">
        <f>IF($K404=0,$J404,(1-$M404)*$I404+$M404*$J404)</f>
        <v/>
      </c>
      <c r="O404" s="209">
        <f>IF($F404&lt;$B$401,$E$401+$I$401*($F404-$A$401),IF($F404&lt;$C$401,$F$401+$J$401*($F404-$B$401),$G$401+$K$401*($F404-$C$401)))</f>
        <v/>
      </c>
      <c r="P404" s="208">
        <f>MIN(1,MAX(0,(nr_MEndPm1-$G404+0.5)/$C$400))-MIN(1,MAX(0,(nr_MStartPm1-1-$G404+0.5)/$C$400))</f>
        <v/>
      </c>
      <c r="Q404" s="208">
        <f>MIN(1,MAX(0,(nr_MEndP-$G404+0.5)/$C$400))-MIN(1,MAX(0,(nr_MStartP-1-$G404+0.5)/$C$400))</f>
        <v/>
      </c>
      <c r="R404" s="208">
        <f>MIN(1,MAX(0,(nr_MEndP1-$G404+0.5)/$C$400))-MIN(1,MAX(0,(nr_MStartP1-1-$G404+0.5)/$C$400))</f>
        <v/>
      </c>
      <c r="S404" s="208">
        <f>IF($L$400,$N404*IF($O$400=1,$O404/$F$400,1),"")</f>
        <v/>
      </c>
      <c r="T404" s="208">
        <f>IF(NOT($L$400),"",IF($G404&lt;nr_MStartP,$S404,$T392*(1+IF($G404&lt;nr_MStartP1,$M$400,$N$400))))</f>
        <v/>
      </c>
      <c r="U404" s="208">
        <f>IF($L$400,$T404,$N404)</f>
        <v/>
      </c>
    </row>
    <row r="405">
      <c r="A405" s="145" t="n">
        <v>3</v>
      </c>
      <c r="B405" s="204">
        <f>EDATE($B404,1)</f>
        <v/>
      </c>
      <c r="C405" s="205">
        <f>EOMONTH($B405,0)</f>
        <v/>
      </c>
      <c r="D405" s="201">
        <f>$C405-$B405+1</f>
        <v/>
      </c>
      <c r="E405" s="201">
        <f>MONTH($B405)</f>
        <v/>
      </c>
      <c r="F405" s="235">
        <f>($B405+$C405+1)/2</f>
        <v/>
      </c>
      <c r="G405" s="201">
        <f>YEAR($B405)*12+MONTH($B405)-1</f>
        <v/>
      </c>
      <c r="H405" s="207">
        <f>IF(OR(nr_SeasonOn="OFF",$D$400=0,$E$400=0),1,12*INDEX(se_block,$D$400,$E405)/$E$400)</f>
        <v/>
      </c>
      <c r="I405" s="208">
        <f>EXP(SUMPRODUCT((rl_eff&lt;$B405)*(rl_key=$A$400)*rl_ln1p))</f>
        <v/>
      </c>
      <c r="J405" s="208">
        <f>EXP(SUMPRODUCT((rl_eff&lt;=$C405)*(rl_key=$A$400)*rl_ln1p))</f>
        <v/>
      </c>
      <c r="K405" s="201">
        <f>COUNTIFS(rl_key,$A$400,rl_eff,"&gt;="&amp;$B405,rl_eff,"&lt;="&amp;$C405)</f>
        <v/>
      </c>
      <c r="L405" s="201">
        <f>SUMIFS(rl_daysafter,rl_key,$A$400,rl_effmonth,$B405,rl_first,1)</f>
        <v/>
      </c>
      <c r="M405" s="209">
        <f>IF($K405=0,0,MIN(1,$L405/$D405))</f>
        <v/>
      </c>
      <c r="N405" s="208">
        <f>IF($K405=0,$J405,(1-$M405)*$I405+$M405*$J405)</f>
        <v/>
      </c>
      <c r="O405" s="209">
        <f>IF($F405&lt;$B$401,$E$401+$I$401*($F405-$A$401),IF($F405&lt;$C$401,$F$401+$J$401*($F405-$B$401),$G$401+$K$401*($F405-$C$401)))</f>
        <v/>
      </c>
      <c r="P405" s="208">
        <f>MIN(1,MAX(0,(nr_MEndPm1-$G405+0.5)/$C$400))-MIN(1,MAX(0,(nr_MStartPm1-1-$G405+0.5)/$C$400))</f>
        <v/>
      </c>
      <c r="Q405" s="208">
        <f>MIN(1,MAX(0,(nr_MEndP-$G405+0.5)/$C$400))-MIN(1,MAX(0,(nr_MStartP-1-$G405+0.5)/$C$400))</f>
        <v/>
      </c>
      <c r="R405" s="208">
        <f>MIN(1,MAX(0,(nr_MEndP1-$G405+0.5)/$C$400))-MIN(1,MAX(0,(nr_MStartP1-1-$G405+0.5)/$C$400))</f>
        <v/>
      </c>
      <c r="S405" s="208">
        <f>IF($L$400,$N405*IF($O$400=1,$O405/$F$400,1),"")</f>
        <v/>
      </c>
      <c r="T405" s="208">
        <f>IF(NOT($L$400),"",IF($G405&lt;nr_MStartP,$S405,$T393*(1+IF($G405&lt;nr_MStartP1,$M$400,$N$400))))</f>
        <v/>
      </c>
      <c r="U405" s="208">
        <f>IF($L$400,$T405,$N405)</f>
        <v/>
      </c>
    </row>
    <row r="406">
      <c r="A406" s="145" t="n">
        <v>4</v>
      </c>
      <c r="B406" s="204">
        <f>EDATE($B405,1)</f>
        <v/>
      </c>
      <c r="C406" s="205">
        <f>EOMONTH($B406,0)</f>
        <v/>
      </c>
      <c r="D406" s="201">
        <f>$C406-$B406+1</f>
        <v/>
      </c>
      <c r="E406" s="201">
        <f>MONTH($B406)</f>
        <v/>
      </c>
      <c r="F406" s="235">
        <f>($B406+$C406+1)/2</f>
        <v/>
      </c>
      <c r="G406" s="201">
        <f>YEAR($B406)*12+MONTH($B406)-1</f>
        <v/>
      </c>
      <c r="H406" s="207">
        <f>IF(OR(nr_SeasonOn="OFF",$D$400=0,$E$400=0),1,12*INDEX(se_block,$D$400,$E406)/$E$400)</f>
        <v/>
      </c>
      <c r="I406" s="208">
        <f>EXP(SUMPRODUCT((rl_eff&lt;$B406)*(rl_key=$A$400)*rl_ln1p))</f>
        <v/>
      </c>
      <c r="J406" s="208">
        <f>EXP(SUMPRODUCT((rl_eff&lt;=$C406)*(rl_key=$A$400)*rl_ln1p))</f>
        <v/>
      </c>
      <c r="K406" s="201">
        <f>COUNTIFS(rl_key,$A$400,rl_eff,"&gt;="&amp;$B406,rl_eff,"&lt;="&amp;$C406)</f>
        <v/>
      </c>
      <c r="L406" s="201">
        <f>SUMIFS(rl_daysafter,rl_key,$A$400,rl_effmonth,$B406,rl_first,1)</f>
        <v/>
      </c>
      <c r="M406" s="209">
        <f>IF($K406=0,0,MIN(1,$L406/$D406))</f>
        <v/>
      </c>
      <c r="N406" s="208">
        <f>IF($K406=0,$J406,(1-$M406)*$I406+$M406*$J406)</f>
        <v/>
      </c>
      <c r="O406" s="209">
        <f>IF($F406&lt;$B$401,$E$401+$I$401*($F406-$A$401),IF($F406&lt;$C$401,$F$401+$J$401*($F406-$B$401),$G$401+$K$401*($F406-$C$401)))</f>
        <v/>
      </c>
      <c r="P406" s="208">
        <f>MIN(1,MAX(0,(nr_MEndPm1-$G406+0.5)/$C$400))-MIN(1,MAX(0,(nr_MStartPm1-1-$G406+0.5)/$C$400))</f>
        <v/>
      </c>
      <c r="Q406" s="208">
        <f>MIN(1,MAX(0,(nr_MEndP-$G406+0.5)/$C$400))-MIN(1,MAX(0,(nr_MStartP-1-$G406+0.5)/$C$400))</f>
        <v/>
      </c>
      <c r="R406" s="208">
        <f>MIN(1,MAX(0,(nr_MEndP1-$G406+0.5)/$C$400))-MIN(1,MAX(0,(nr_MStartP1-1-$G406+0.5)/$C$400))</f>
        <v/>
      </c>
      <c r="S406" s="208">
        <f>IF($L$400,$N406*IF($O$400=1,$O406/$F$400,1),"")</f>
        <v/>
      </c>
      <c r="T406" s="208">
        <f>IF(NOT($L$400),"",IF($G406&lt;nr_MStartP,$S406,$T394*(1+IF($G406&lt;nr_MStartP1,$M$400,$N$400))))</f>
        <v/>
      </c>
      <c r="U406" s="208">
        <f>IF($L$400,$T406,$N406)</f>
        <v/>
      </c>
    </row>
    <row r="407">
      <c r="A407" s="145" t="n">
        <v>5</v>
      </c>
      <c r="B407" s="204">
        <f>EDATE($B406,1)</f>
        <v/>
      </c>
      <c r="C407" s="205">
        <f>EOMONTH($B407,0)</f>
        <v/>
      </c>
      <c r="D407" s="201">
        <f>$C407-$B407+1</f>
        <v/>
      </c>
      <c r="E407" s="201">
        <f>MONTH($B407)</f>
        <v/>
      </c>
      <c r="F407" s="235">
        <f>($B407+$C407+1)/2</f>
        <v/>
      </c>
      <c r="G407" s="201">
        <f>YEAR($B407)*12+MONTH($B407)-1</f>
        <v/>
      </c>
      <c r="H407" s="207">
        <f>IF(OR(nr_SeasonOn="OFF",$D$400=0,$E$400=0),1,12*INDEX(se_block,$D$400,$E407)/$E$400)</f>
        <v/>
      </c>
      <c r="I407" s="208">
        <f>EXP(SUMPRODUCT((rl_eff&lt;$B407)*(rl_key=$A$400)*rl_ln1p))</f>
        <v/>
      </c>
      <c r="J407" s="208">
        <f>EXP(SUMPRODUCT((rl_eff&lt;=$C407)*(rl_key=$A$400)*rl_ln1p))</f>
        <v/>
      </c>
      <c r="K407" s="201">
        <f>COUNTIFS(rl_key,$A$400,rl_eff,"&gt;="&amp;$B407,rl_eff,"&lt;="&amp;$C407)</f>
        <v/>
      </c>
      <c r="L407" s="201">
        <f>SUMIFS(rl_daysafter,rl_key,$A$400,rl_effmonth,$B407,rl_first,1)</f>
        <v/>
      </c>
      <c r="M407" s="209">
        <f>IF($K407=0,0,MIN(1,$L407/$D407))</f>
        <v/>
      </c>
      <c r="N407" s="208">
        <f>IF($K407=0,$J407,(1-$M407)*$I407+$M407*$J407)</f>
        <v/>
      </c>
      <c r="O407" s="209">
        <f>IF($F407&lt;$B$401,$E$401+$I$401*($F407-$A$401),IF($F407&lt;$C$401,$F$401+$J$401*($F407-$B$401),$G$401+$K$401*($F407-$C$401)))</f>
        <v/>
      </c>
      <c r="P407" s="208">
        <f>MIN(1,MAX(0,(nr_MEndPm1-$G407+0.5)/$C$400))-MIN(1,MAX(0,(nr_MStartPm1-1-$G407+0.5)/$C$400))</f>
        <v/>
      </c>
      <c r="Q407" s="208">
        <f>MIN(1,MAX(0,(nr_MEndP-$G407+0.5)/$C$400))-MIN(1,MAX(0,(nr_MStartP-1-$G407+0.5)/$C$400))</f>
        <v/>
      </c>
      <c r="R407" s="208">
        <f>MIN(1,MAX(0,(nr_MEndP1-$G407+0.5)/$C$400))-MIN(1,MAX(0,(nr_MStartP1-1-$G407+0.5)/$C$400))</f>
        <v/>
      </c>
      <c r="S407" s="208">
        <f>IF($L$400,$N407*IF($O$400=1,$O407/$F$400,1),"")</f>
        <v/>
      </c>
      <c r="T407" s="208">
        <f>IF(NOT($L$400),"",IF($G407&lt;nr_MStartP,$S407,$T395*(1+IF($G407&lt;nr_MStartP1,$M$400,$N$400))))</f>
        <v/>
      </c>
      <c r="U407" s="208">
        <f>IF($L$400,$T407,$N407)</f>
        <v/>
      </c>
    </row>
    <row r="408">
      <c r="A408" s="145" t="n">
        <v>6</v>
      </c>
      <c r="B408" s="204">
        <f>EDATE($B407,1)</f>
        <v/>
      </c>
      <c r="C408" s="205">
        <f>EOMONTH($B408,0)</f>
        <v/>
      </c>
      <c r="D408" s="201">
        <f>$C408-$B408+1</f>
        <v/>
      </c>
      <c r="E408" s="201">
        <f>MONTH($B408)</f>
        <v/>
      </c>
      <c r="F408" s="235">
        <f>($B408+$C408+1)/2</f>
        <v/>
      </c>
      <c r="G408" s="201">
        <f>YEAR($B408)*12+MONTH($B408)-1</f>
        <v/>
      </c>
      <c r="H408" s="207">
        <f>IF(OR(nr_SeasonOn="OFF",$D$400=0,$E$400=0),1,12*INDEX(se_block,$D$400,$E408)/$E$400)</f>
        <v/>
      </c>
      <c r="I408" s="208">
        <f>EXP(SUMPRODUCT((rl_eff&lt;$B408)*(rl_key=$A$400)*rl_ln1p))</f>
        <v/>
      </c>
      <c r="J408" s="208">
        <f>EXP(SUMPRODUCT((rl_eff&lt;=$C408)*(rl_key=$A$400)*rl_ln1p))</f>
        <v/>
      </c>
      <c r="K408" s="201">
        <f>COUNTIFS(rl_key,$A$400,rl_eff,"&gt;="&amp;$B408,rl_eff,"&lt;="&amp;$C408)</f>
        <v/>
      </c>
      <c r="L408" s="201">
        <f>SUMIFS(rl_daysafter,rl_key,$A$400,rl_effmonth,$B408,rl_first,1)</f>
        <v/>
      </c>
      <c r="M408" s="209">
        <f>IF($K408=0,0,MIN(1,$L408/$D408))</f>
        <v/>
      </c>
      <c r="N408" s="208">
        <f>IF($K408=0,$J408,(1-$M408)*$I408+$M408*$J408)</f>
        <v/>
      </c>
      <c r="O408" s="209">
        <f>IF($F408&lt;$B$401,$E$401+$I$401*($F408-$A$401),IF($F408&lt;$C$401,$F$401+$J$401*($F408-$B$401),$G$401+$K$401*($F408-$C$401)))</f>
        <v/>
      </c>
      <c r="P408" s="208">
        <f>MIN(1,MAX(0,(nr_MEndPm1-$G408+0.5)/$C$400))-MIN(1,MAX(0,(nr_MStartPm1-1-$G408+0.5)/$C$400))</f>
        <v/>
      </c>
      <c r="Q408" s="208">
        <f>MIN(1,MAX(0,(nr_MEndP-$G408+0.5)/$C$400))-MIN(1,MAX(0,(nr_MStartP-1-$G408+0.5)/$C$400))</f>
        <v/>
      </c>
      <c r="R408" s="208">
        <f>MIN(1,MAX(0,(nr_MEndP1-$G408+0.5)/$C$400))-MIN(1,MAX(0,(nr_MStartP1-1-$G408+0.5)/$C$400))</f>
        <v/>
      </c>
      <c r="S408" s="208">
        <f>IF($L$400,$N408*IF($O$400=1,$O408/$F$400,1),"")</f>
        <v/>
      </c>
      <c r="T408" s="208">
        <f>IF(NOT($L$400),"",IF($G408&lt;nr_MStartP,$S408,$T396*(1+IF($G408&lt;nr_MStartP1,$M$400,$N$400))))</f>
        <v/>
      </c>
      <c r="U408" s="208">
        <f>IF($L$400,$T408,$N408)</f>
        <v/>
      </c>
    </row>
    <row r="409">
      <c r="A409" s="145" t="n">
        <v>7</v>
      </c>
      <c r="B409" s="204">
        <f>EDATE($B408,1)</f>
        <v/>
      </c>
      <c r="C409" s="205">
        <f>EOMONTH($B409,0)</f>
        <v/>
      </c>
      <c r="D409" s="201">
        <f>$C409-$B409+1</f>
        <v/>
      </c>
      <c r="E409" s="201">
        <f>MONTH($B409)</f>
        <v/>
      </c>
      <c r="F409" s="235">
        <f>($B409+$C409+1)/2</f>
        <v/>
      </c>
      <c r="G409" s="201">
        <f>YEAR($B409)*12+MONTH($B409)-1</f>
        <v/>
      </c>
      <c r="H409" s="207">
        <f>IF(OR(nr_SeasonOn="OFF",$D$400=0,$E$400=0),1,12*INDEX(se_block,$D$400,$E409)/$E$400)</f>
        <v/>
      </c>
      <c r="I409" s="208">
        <f>EXP(SUMPRODUCT((rl_eff&lt;$B409)*(rl_key=$A$400)*rl_ln1p))</f>
        <v/>
      </c>
      <c r="J409" s="208">
        <f>EXP(SUMPRODUCT((rl_eff&lt;=$C409)*(rl_key=$A$400)*rl_ln1p))</f>
        <v/>
      </c>
      <c r="K409" s="201">
        <f>COUNTIFS(rl_key,$A$400,rl_eff,"&gt;="&amp;$B409,rl_eff,"&lt;="&amp;$C409)</f>
        <v/>
      </c>
      <c r="L409" s="201">
        <f>SUMIFS(rl_daysafter,rl_key,$A$400,rl_effmonth,$B409,rl_first,1)</f>
        <v/>
      </c>
      <c r="M409" s="209">
        <f>IF($K409=0,0,MIN(1,$L409/$D409))</f>
        <v/>
      </c>
      <c r="N409" s="208">
        <f>IF($K409=0,$J409,(1-$M409)*$I409+$M409*$J409)</f>
        <v/>
      </c>
      <c r="O409" s="209">
        <f>IF($F409&lt;$B$401,$E$401+$I$401*($F409-$A$401),IF($F409&lt;$C$401,$F$401+$J$401*($F409-$B$401),$G$401+$K$401*($F409-$C$401)))</f>
        <v/>
      </c>
      <c r="P409" s="208">
        <f>MIN(1,MAX(0,(nr_MEndPm1-$G409+0.5)/$C$400))-MIN(1,MAX(0,(nr_MStartPm1-1-$G409+0.5)/$C$400))</f>
        <v/>
      </c>
      <c r="Q409" s="208">
        <f>MIN(1,MAX(0,(nr_MEndP-$G409+0.5)/$C$400))-MIN(1,MAX(0,(nr_MStartP-1-$G409+0.5)/$C$400))</f>
        <v/>
      </c>
      <c r="R409" s="208">
        <f>MIN(1,MAX(0,(nr_MEndP1-$G409+0.5)/$C$400))-MIN(1,MAX(0,(nr_MStartP1-1-$G409+0.5)/$C$400))</f>
        <v/>
      </c>
      <c r="S409" s="208">
        <f>IF($L$400,$N409*IF($O$400=1,$O409/$F$400,1),"")</f>
        <v/>
      </c>
      <c r="T409" s="208">
        <f>IF(NOT($L$400),"",IF($G409&lt;nr_MStartP,$S409,$T397*(1+IF($G409&lt;nr_MStartP1,$M$400,$N$400))))</f>
        <v/>
      </c>
      <c r="U409" s="208">
        <f>IF($L$400,$T409,$N409)</f>
        <v/>
      </c>
    </row>
    <row r="410">
      <c r="A410" s="145" t="n">
        <v>8</v>
      </c>
      <c r="B410" s="204">
        <f>EDATE($B409,1)</f>
        <v/>
      </c>
      <c r="C410" s="205">
        <f>EOMONTH($B410,0)</f>
        <v/>
      </c>
      <c r="D410" s="201">
        <f>$C410-$B410+1</f>
        <v/>
      </c>
      <c r="E410" s="201">
        <f>MONTH($B410)</f>
        <v/>
      </c>
      <c r="F410" s="235">
        <f>($B410+$C410+1)/2</f>
        <v/>
      </c>
      <c r="G410" s="201">
        <f>YEAR($B410)*12+MONTH($B410)-1</f>
        <v/>
      </c>
      <c r="H410" s="207">
        <f>IF(OR(nr_SeasonOn="OFF",$D$400=0,$E$400=0),1,12*INDEX(se_block,$D$400,$E410)/$E$400)</f>
        <v/>
      </c>
      <c r="I410" s="208">
        <f>EXP(SUMPRODUCT((rl_eff&lt;$B410)*(rl_key=$A$400)*rl_ln1p))</f>
        <v/>
      </c>
      <c r="J410" s="208">
        <f>EXP(SUMPRODUCT((rl_eff&lt;=$C410)*(rl_key=$A$400)*rl_ln1p))</f>
        <v/>
      </c>
      <c r="K410" s="201">
        <f>COUNTIFS(rl_key,$A$400,rl_eff,"&gt;="&amp;$B410,rl_eff,"&lt;="&amp;$C410)</f>
        <v/>
      </c>
      <c r="L410" s="201">
        <f>SUMIFS(rl_daysafter,rl_key,$A$400,rl_effmonth,$B410,rl_first,1)</f>
        <v/>
      </c>
      <c r="M410" s="209">
        <f>IF($K410=0,0,MIN(1,$L410/$D410))</f>
        <v/>
      </c>
      <c r="N410" s="208">
        <f>IF($K410=0,$J410,(1-$M410)*$I410+$M410*$J410)</f>
        <v/>
      </c>
      <c r="O410" s="209">
        <f>IF($F410&lt;$B$401,$E$401+$I$401*($F410-$A$401),IF($F410&lt;$C$401,$F$401+$J$401*($F410-$B$401),$G$401+$K$401*($F410-$C$401)))</f>
        <v/>
      </c>
      <c r="P410" s="208">
        <f>MIN(1,MAX(0,(nr_MEndPm1-$G410+0.5)/$C$400))-MIN(1,MAX(0,(nr_MStartPm1-1-$G410+0.5)/$C$400))</f>
        <v/>
      </c>
      <c r="Q410" s="208">
        <f>MIN(1,MAX(0,(nr_MEndP-$G410+0.5)/$C$400))-MIN(1,MAX(0,(nr_MStartP-1-$G410+0.5)/$C$400))</f>
        <v/>
      </c>
      <c r="R410" s="208">
        <f>MIN(1,MAX(0,(nr_MEndP1-$G410+0.5)/$C$400))-MIN(1,MAX(0,(nr_MStartP1-1-$G410+0.5)/$C$400))</f>
        <v/>
      </c>
      <c r="S410" s="208">
        <f>IF($L$400,$N410*IF($O$400=1,$O410/$F$400,1),"")</f>
        <v/>
      </c>
      <c r="T410" s="208">
        <f>IF(NOT($L$400),"",IF($G410&lt;nr_MStartP,$S410,$T398*(1+IF($G410&lt;nr_MStartP1,$M$400,$N$400))))</f>
        <v/>
      </c>
      <c r="U410" s="208">
        <f>IF($L$400,$T410,$N410)</f>
        <v/>
      </c>
    </row>
    <row r="411">
      <c r="A411" s="145" t="n">
        <v>9</v>
      </c>
      <c r="B411" s="204">
        <f>EDATE($B410,1)</f>
        <v/>
      </c>
      <c r="C411" s="205">
        <f>EOMONTH($B411,0)</f>
        <v/>
      </c>
      <c r="D411" s="201">
        <f>$C411-$B411+1</f>
        <v/>
      </c>
      <c r="E411" s="201">
        <f>MONTH($B411)</f>
        <v/>
      </c>
      <c r="F411" s="235">
        <f>($B411+$C411+1)/2</f>
        <v/>
      </c>
      <c r="G411" s="201">
        <f>YEAR($B411)*12+MONTH($B411)-1</f>
        <v/>
      </c>
      <c r="H411" s="207">
        <f>IF(OR(nr_SeasonOn="OFF",$D$400=0,$E$400=0),1,12*INDEX(se_block,$D$400,$E411)/$E$400)</f>
        <v/>
      </c>
      <c r="I411" s="208">
        <f>EXP(SUMPRODUCT((rl_eff&lt;$B411)*(rl_key=$A$400)*rl_ln1p))</f>
        <v/>
      </c>
      <c r="J411" s="208">
        <f>EXP(SUMPRODUCT((rl_eff&lt;=$C411)*(rl_key=$A$400)*rl_ln1p))</f>
        <v/>
      </c>
      <c r="K411" s="201">
        <f>COUNTIFS(rl_key,$A$400,rl_eff,"&gt;="&amp;$B411,rl_eff,"&lt;="&amp;$C411)</f>
        <v/>
      </c>
      <c r="L411" s="201">
        <f>SUMIFS(rl_daysafter,rl_key,$A$400,rl_effmonth,$B411,rl_first,1)</f>
        <v/>
      </c>
      <c r="M411" s="209">
        <f>IF($K411=0,0,MIN(1,$L411/$D411))</f>
        <v/>
      </c>
      <c r="N411" s="208">
        <f>IF($K411=0,$J411,(1-$M411)*$I411+$M411*$J411)</f>
        <v/>
      </c>
      <c r="O411" s="209">
        <f>IF($F411&lt;$B$401,$E$401+$I$401*($F411-$A$401),IF($F411&lt;$C$401,$F$401+$J$401*($F411-$B$401),$G$401+$K$401*($F411-$C$401)))</f>
        <v/>
      </c>
      <c r="P411" s="208">
        <f>MIN(1,MAX(0,(nr_MEndPm1-$G411+0.5)/$C$400))-MIN(1,MAX(0,(nr_MStartPm1-1-$G411+0.5)/$C$400))</f>
        <v/>
      </c>
      <c r="Q411" s="208">
        <f>MIN(1,MAX(0,(nr_MEndP-$G411+0.5)/$C$400))-MIN(1,MAX(0,(nr_MStartP-1-$G411+0.5)/$C$400))</f>
        <v/>
      </c>
      <c r="R411" s="208">
        <f>MIN(1,MAX(0,(nr_MEndP1-$G411+0.5)/$C$400))-MIN(1,MAX(0,(nr_MStartP1-1-$G411+0.5)/$C$400))</f>
        <v/>
      </c>
      <c r="S411" s="208">
        <f>IF($L$400,$N411*IF($O$400=1,$O411/$F$400,1),"")</f>
        <v/>
      </c>
      <c r="T411" s="208">
        <f>IF(NOT($L$400),"",IF($G411&lt;nr_MStartP,$S411,$T399*(1+IF($G411&lt;nr_MStartP1,$M$400,$N$400))))</f>
        <v/>
      </c>
      <c r="U411" s="208">
        <f>IF($L$400,$T411,$N411)</f>
        <v/>
      </c>
    </row>
    <row r="412">
      <c r="A412" s="145" t="n">
        <v>10</v>
      </c>
      <c r="B412" s="204">
        <f>EDATE($B411,1)</f>
        <v/>
      </c>
      <c r="C412" s="205">
        <f>EOMONTH($B412,0)</f>
        <v/>
      </c>
      <c r="D412" s="201">
        <f>$C412-$B412+1</f>
        <v/>
      </c>
      <c r="E412" s="201">
        <f>MONTH($B412)</f>
        <v/>
      </c>
      <c r="F412" s="235">
        <f>($B412+$C412+1)/2</f>
        <v/>
      </c>
      <c r="G412" s="201">
        <f>YEAR($B412)*12+MONTH($B412)-1</f>
        <v/>
      </c>
      <c r="H412" s="207">
        <f>IF(OR(nr_SeasonOn="OFF",$D$400=0,$E$400=0),1,12*INDEX(se_block,$D$400,$E412)/$E$400)</f>
        <v/>
      </c>
      <c r="I412" s="208">
        <f>EXP(SUMPRODUCT((rl_eff&lt;$B412)*(rl_key=$A$400)*rl_ln1p))</f>
        <v/>
      </c>
      <c r="J412" s="208">
        <f>EXP(SUMPRODUCT((rl_eff&lt;=$C412)*(rl_key=$A$400)*rl_ln1p))</f>
        <v/>
      </c>
      <c r="K412" s="201">
        <f>COUNTIFS(rl_key,$A$400,rl_eff,"&gt;="&amp;$B412,rl_eff,"&lt;="&amp;$C412)</f>
        <v/>
      </c>
      <c r="L412" s="201">
        <f>SUMIFS(rl_daysafter,rl_key,$A$400,rl_effmonth,$B412,rl_first,1)</f>
        <v/>
      </c>
      <c r="M412" s="209">
        <f>IF($K412=0,0,MIN(1,$L412/$D412))</f>
        <v/>
      </c>
      <c r="N412" s="208">
        <f>IF($K412=0,$J412,(1-$M412)*$I412+$M412*$J412)</f>
        <v/>
      </c>
      <c r="O412" s="209">
        <f>IF($F412&lt;$B$401,$E$401+$I$401*($F412-$A$401),IF($F412&lt;$C$401,$F$401+$J$401*($F412-$B$401),$G$401+$K$401*($F412-$C$401)))</f>
        <v/>
      </c>
      <c r="P412" s="208">
        <f>MIN(1,MAX(0,(nr_MEndPm1-$G412+0.5)/$C$400))-MIN(1,MAX(0,(nr_MStartPm1-1-$G412+0.5)/$C$400))</f>
        <v/>
      </c>
      <c r="Q412" s="208">
        <f>MIN(1,MAX(0,(nr_MEndP-$G412+0.5)/$C$400))-MIN(1,MAX(0,(nr_MStartP-1-$G412+0.5)/$C$400))</f>
        <v/>
      </c>
      <c r="R412" s="208">
        <f>MIN(1,MAX(0,(nr_MEndP1-$G412+0.5)/$C$400))-MIN(1,MAX(0,(nr_MStartP1-1-$G412+0.5)/$C$400))</f>
        <v/>
      </c>
      <c r="S412" s="208">
        <f>IF($L$400,$N412*IF($O$400=1,$O412/$F$400,1),"")</f>
        <v/>
      </c>
      <c r="T412" s="208">
        <f>IF(NOT($L$400),"",IF($G412&lt;nr_MStartP,$S412,$T400*(1+IF($G412&lt;nr_MStartP1,$M$400,$N$400))))</f>
        <v/>
      </c>
      <c r="U412" s="208">
        <f>IF($L$400,$T412,$N412)</f>
        <v/>
      </c>
    </row>
    <row r="413">
      <c r="A413" s="145" t="n">
        <v>11</v>
      </c>
      <c r="B413" s="204">
        <f>EDATE($B412,1)</f>
        <v/>
      </c>
      <c r="C413" s="205">
        <f>EOMONTH($B413,0)</f>
        <v/>
      </c>
      <c r="D413" s="201">
        <f>$C413-$B413+1</f>
        <v/>
      </c>
      <c r="E413" s="201">
        <f>MONTH($B413)</f>
        <v/>
      </c>
      <c r="F413" s="235">
        <f>($B413+$C413+1)/2</f>
        <v/>
      </c>
      <c r="G413" s="201">
        <f>YEAR($B413)*12+MONTH($B413)-1</f>
        <v/>
      </c>
      <c r="H413" s="207">
        <f>IF(OR(nr_SeasonOn="OFF",$D$400=0,$E$400=0),1,12*INDEX(se_block,$D$400,$E413)/$E$400)</f>
        <v/>
      </c>
      <c r="I413" s="208">
        <f>EXP(SUMPRODUCT((rl_eff&lt;$B413)*(rl_key=$A$400)*rl_ln1p))</f>
        <v/>
      </c>
      <c r="J413" s="208">
        <f>EXP(SUMPRODUCT((rl_eff&lt;=$C413)*(rl_key=$A$400)*rl_ln1p))</f>
        <v/>
      </c>
      <c r="K413" s="201">
        <f>COUNTIFS(rl_key,$A$400,rl_eff,"&gt;="&amp;$B413,rl_eff,"&lt;="&amp;$C413)</f>
        <v/>
      </c>
      <c r="L413" s="201">
        <f>SUMIFS(rl_daysafter,rl_key,$A$400,rl_effmonth,$B413,rl_first,1)</f>
        <v/>
      </c>
      <c r="M413" s="209">
        <f>IF($K413=0,0,MIN(1,$L413/$D413))</f>
        <v/>
      </c>
      <c r="N413" s="208">
        <f>IF($K413=0,$J413,(1-$M413)*$I413+$M413*$J413)</f>
        <v/>
      </c>
      <c r="O413" s="209">
        <f>IF($F413&lt;$B$401,$E$401+$I$401*($F413-$A$401),IF($F413&lt;$C$401,$F$401+$J$401*($F413-$B$401),$G$401+$K$401*($F413-$C$401)))</f>
        <v/>
      </c>
      <c r="P413" s="208">
        <f>MIN(1,MAX(0,(nr_MEndPm1-$G413+0.5)/$C$400))-MIN(1,MAX(0,(nr_MStartPm1-1-$G413+0.5)/$C$400))</f>
        <v/>
      </c>
      <c r="Q413" s="208">
        <f>MIN(1,MAX(0,(nr_MEndP-$G413+0.5)/$C$400))-MIN(1,MAX(0,(nr_MStartP-1-$G413+0.5)/$C$400))</f>
        <v/>
      </c>
      <c r="R413" s="208">
        <f>MIN(1,MAX(0,(nr_MEndP1-$G413+0.5)/$C$400))-MIN(1,MAX(0,(nr_MStartP1-1-$G413+0.5)/$C$400))</f>
        <v/>
      </c>
      <c r="S413" s="208">
        <f>IF($L$400,$N413*IF($O$400=1,$O413/$F$400,1),"")</f>
        <v/>
      </c>
      <c r="T413" s="208">
        <f>IF(NOT($L$400),"",IF($G413&lt;nr_MStartP,$S413,$T401*(1+IF($G413&lt;nr_MStartP1,$M$400,$N$400))))</f>
        <v/>
      </c>
      <c r="U413" s="208">
        <f>IF($L$400,$T413,$N413)</f>
        <v/>
      </c>
    </row>
    <row r="414">
      <c r="A414" s="145" t="n">
        <v>12</v>
      </c>
      <c r="B414" s="204">
        <f>EDATE($B413,1)</f>
        <v/>
      </c>
      <c r="C414" s="205">
        <f>EOMONTH($B414,0)</f>
        <v/>
      </c>
      <c r="D414" s="201">
        <f>$C414-$B414+1</f>
        <v/>
      </c>
      <c r="E414" s="201">
        <f>MONTH($B414)</f>
        <v/>
      </c>
      <c r="F414" s="235">
        <f>($B414+$C414+1)/2</f>
        <v/>
      </c>
      <c r="G414" s="201">
        <f>YEAR($B414)*12+MONTH($B414)-1</f>
        <v/>
      </c>
      <c r="H414" s="207">
        <f>IF(OR(nr_SeasonOn="OFF",$D$400=0,$E$400=0),1,12*INDEX(se_block,$D$400,$E414)/$E$400)</f>
        <v/>
      </c>
      <c r="I414" s="208">
        <f>EXP(SUMPRODUCT((rl_eff&lt;$B414)*(rl_key=$A$400)*rl_ln1p))</f>
        <v/>
      </c>
      <c r="J414" s="208">
        <f>EXP(SUMPRODUCT((rl_eff&lt;=$C414)*(rl_key=$A$400)*rl_ln1p))</f>
        <v/>
      </c>
      <c r="K414" s="201">
        <f>COUNTIFS(rl_key,$A$400,rl_eff,"&gt;="&amp;$B414,rl_eff,"&lt;="&amp;$C414)</f>
        <v/>
      </c>
      <c r="L414" s="201">
        <f>SUMIFS(rl_daysafter,rl_key,$A$400,rl_effmonth,$B414,rl_first,1)</f>
        <v/>
      </c>
      <c r="M414" s="209">
        <f>IF($K414=0,0,MIN(1,$L414/$D414))</f>
        <v/>
      </c>
      <c r="N414" s="208">
        <f>IF($K414=0,$J414,(1-$M414)*$I414+$M414*$J414)</f>
        <v/>
      </c>
      <c r="O414" s="209">
        <f>IF($F414&lt;$B$401,$E$401+$I$401*($F414-$A$401),IF($F414&lt;$C$401,$F$401+$J$401*($F414-$B$401),$G$401+$K$401*($F414-$C$401)))</f>
        <v/>
      </c>
      <c r="P414" s="208">
        <f>MIN(1,MAX(0,(nr_MEndPm1-$G414+0.5)/$C$400))-MIN(1,MAX(0,(nr_MStartPm1-1-$G414+0.5)/$C$400))</f>
        <v/>
      </c>
      <c r="Q414" s="208">
        <f>MIN(1,MAX(0,(nr_MEndP-$G414+0.5)/$C$400))-MIN(1,MAX(0,(nr_MStartP-1-$G414+0.5)/$C$400))</f>
        <v/>
      </c>
      <c r="R414" s="208">
        <f>MIN(1,MAX(0,(nr_MEndP1-$G414+0.5)/$C$400))-MIN(1,MAX(0,(nr_MStartP1-1-$G414+0.5)/$C$400))</f>
        <v/>
      </c>
      <c r="S414" s="208">
        <f>IF($L$400,$N414*IF($O$400=1,$O414/$F$400,1),"")</f>
        <v/>
      </c>
      <c r="T414" s="208">
        <f>IF(NOT($L$400),"",IF($G414&lt;nr_MStartP,$S414,$T402*(1+IF($G414&lt;nr_MStartP1,$M$400,$N$400))))</f>
        <v/>
      </c>
      <c r="U414" s="208">
        <f>IF($L$400,$T414,$N414)</f>
        <v/>
      </c>
    </row>
    <row r="415">
      <c r="A415" s="145" t="n">
        <v>13</v>
      </c>
      <c r="B415" s="204">
        <f>EDATE($B414,1)</f>
        <v/>
      </c>
      <c r="C415" s="205">
        <f>EOMONTH($B415,0)</f>
        <v/>
      </c>
      <c r="D415" s="201">
        <f>$C415-$B415+1</f>
        <v/>
      </c>
      <c r="E415" s="201">
        <f>MONTH($B415)</f>
        <v/>
      </c>
      <c r="F415" s="235">
        <f>($B415+$C415+1)/2</f>
        <v/>
      </c>
      <c r="G415" s="201">
        <f>YEAR($B415)*12+MONTH($B415)-1</f>
        <v/>
      </c>
      <c r="H415" s="207">
        <f>IF(OR(nr_SeasonOn="OFF",$D$400=0,$E$400=0),1,12*INDEX(se_block,$D$400,$E415)/$E$400)</f>
        <v/>
      </c>
      <c r="I415" s="208">
        <f>EXP(SUMPRODUCT((rl_eff&lt;$B415)*(rl_key=$A$400)*rl_ln1p))</f>
        <v/>
      </c>
      <c r="J415" s="208">
        <f>EXP(SUMPRODUCT((rl_eff&lt;=$C415)*(rl_key=$A$400)*rl_ln1p))</f>
        <v/>
      </c>
      <c r="K415" s="201">
        <f>COUNTIFS(rl_key,$A$400,rl_eff,"&gt;="&amp;$B415,rl_eff,"&lt;="&amp;$C415)</f>
        <v/>
      </c>
      <c r="L415" s="201">
        <f>SUMIFS(rl_daysafter,rl_key,$A$400,rl_effmonth,$B415,rl_first,1)</f>
        <v/>
      </c>
      <c r="M415" s="209">
        <f>IF($K415=0,0,MIN(1,$L415/$D415))</f>
        <v/>
      </c>
      <c r="N415" s="208">
        <f>IF($K415=0,$J415,(1-$M415)*$I415+$M415*$J415)</f>
        <v/>
      </c>
      <c r="O415" s="209">
        <f>IF($F415&lt;$B$401,$E$401+$I$401*($F415-$A$401),IF($F415&lt;$C$401,$F$401+$J$401*($F415-$B$401),$G$401+$K$401*($F415-$C$401)))</f>
        <v/>
      </c>
      <c r="P415" s="208">
        <f>MIN(1,MAX(0,(nr_MEndPm1-$G415+0.5)/$C$400))-MIN(1,MAX(0,(nr_MStartPm1-1-$G415+0.5)/$C$400))</f>
        <v/>
      </c>
      <c r="Q415" s="208">
        <f>MIN(1,MAX(0,(nr_MEndP-$G415+0.5)/$C$400))-MIN(1,MAX(0,(nr_MStartP-1-$G415+0.5)/$C$400))</f>
        <v/>
      </c>
      <c r="R415" s="208">
        <f>MIN(1,MAX(0,(nr_MEndP1-$G415+0.5)/$C$400))-MIN(1,MAX(0,(nr_MStartP1-1-$G415+0.5)/$C$400))</f>
        <v/>
      </c>
      <c r="S415" s="208">
        <f>IF($L$400,$N415*IF($O$400=1,$O415/$F$400,1),"")</f>
        <v/>
      </c>
      <c r="T415" s="208">
        <f>IF(NOT($L$400),"",IF($G415&lt;nr_MStartP,$S415,$T403*(1+IF($G415&lt;nr_MStartP1,$M$400,$N$400))))</f>
        <v/>
      </c>
      <c r="U415" s="208">
        <f>IF($L$400,$T415,$N415)</f>
        <v/>
      </c>
    </row>
    <row r="416">
      <c r="A416" s="145" t="n">
        <v>14</v>
      </c>
      <c r="B416" s="204">
        <f>EDATE($B415,1)</f>
        <v/>
      </c>
      <c r="C416" s="205">
        <f>EOMONTH($B416,0)</f>
        <v/>
      </c>
      <c r="D416" s="201">
        <f>$C416-$B416+1</f>
        <v/>
      </c>
      <c r="E416" s="201">
        <f>MONTH($B416)</f>
        <v/>
      </c>
      <c r="F416" s="235">
        <f>($B416+$C416+1)/2</f>
        <v/>
      </c>
      <c r="G416" s="201">
        <f>YEAR($B416)*12+MONTH($B416)-1</f>
        <v/>
      </c>
      <c r="H416" s="207">
        <f>IF(OR(nr_SeasonOn="OFF",$D$400=0,$E$400=0),1,12*INDEX(se_block,$D$400,$E416)/$E$400)</f>
        <v/>
      </c>
      <c r="I416" s="208">
        <f>EXP(SUMPRODUCT((rl_eff&lt;$B416)*(rl_key=$A$400)*rl_ln1p))</f>
        <v/>
      </c>
      <c r="J416" s="208">
        <f>EXP(SUMPRODUCT((rl_eff&lt;=$C416)*(rl_key=$A$400)*rl_ln1p))</f>
        <v/>
      </c>
      <c r="K416" s="201">
        <f>COUNTIFS(rl_key,$A$400,rl_eff,"&gt;="&amp;$B416,rl_eff,"&lt;="&amp;$C416)</f>
        <v/>
      </c>
      <c r="L416" s="201">
        <f>SUMIFS(rl_daysafter,rl_key,$A$400,rl_effmonth,$B416,rl_first,1)</f>
        <v/>
      </c>
      <c r="M416" s="209">
        <f>IF($K416=0,0,MIN(1,$L416/$D416))</f>
        <v/>
      </c>
      <c r="N416" s="208">
        <f>IF($K416=0,$J416,(1-$M416)*$I416+$M416*$J416)</f>
        <v/>
      </c>
      <c r="O416" s="209">
        <f>IF($F416&lt;$B$401,$E$401+$I$401*($F416-$A$401),IF($F416&lt;$C$401,$F$401+$J$401*($F416-$B$401),$G$401+$K$401*($F416-$C$401)))</f>
        <v/>
      </c>
      <c r="P416" s="208">
        <f>MIN(1,MAX(0,(nr_MEndPm1-$G416+0.5)/$C$400))-MIN(1,MAX(0,(nr_MStartPm1-1-$G416+0.5)/$C$400))</f>
        <v/>
      </c>
      <c r="Q416" s="208">
        <f>MIN(1,MAX(0,(nr_MEndP-$G416+0.5)/$C$400))-MIN(1,MAX(0,(nr_MStartP-1-$G416+0.5)/$C$400))</f>
        <v/>
      </c>
      <c r="R416" s="208">
        <f>MIN(1,MAX(0,(nr_MEndP1-$G416+0.5)/$C$400))-MIN(1,MAX(0,(nr_MStartP1-1-$G416+0.5)/$C$400))</f>
        <v/>
      </c>
      <c r="S416" s="208">
        <f>IF($L$400,$N416*IF($O$400=1,$O416/$F$400,1),"")</f>
        <v/>
      </c>
      <c r="T416" s="208">
        <f>IF(NOT($L$400),"",IF($G416&lt;nr_MStartP,$S416,$T404*(1+IF($G416&lt;nr_MStartP1,$M$400,$N$400))))</f>
        <v/>
      </c>
      <c r="U416" s="208">
        <f>IF($L$400,$T416,$N416)</f>
        <v/>
      </c>
    </row>
    <row r="417">
      <c r="A417" s="145" t="n">
        <v>15</v>
      </c>
      <c r="B417" s="204">
        <f>EDATE($B416,1)</f>
        <v/>
      </c>
      <c r="C417" s="205">
        <f>EOMONTH($B417,0)</f>
        <v/>
      </c>
      <c r="D417" s="201">
        <f>$C417-$B417+1</f>
        <v/>
      </c>
      <c r="E417" s="201">
        <f>MONTH($B417)</f>
        <v/>
      </c>
      <c r="F417" s="235">
        <f>($B417+$C417+1)/2</f>
        <v/>
      </c>
      <c r="G417" s="201">
        <f>YEAR($B417)*12+MONTH($B417)-1</f>
        <v/>
      </c>
      <c r="H417" s="207">
        <f>IF(OR(nr_SeasonOn="OFF",$D$400=0,$E$400=0),1,12*INDEX(se_block,$D$400,$E417)/$E$400)</f>
        <v/>
      </c>
      <c r="I417" s="208">
        <f>EXP(SUMPRODUCT((rl_eff&lt;$B417)*(rl_key=$A$400)*rl_ln1p))</f>
        <v/>
      </c>
      <c r="J417" s="208">
        <f>EXP(SUMPRODUCT((rl_eff&lt;=$C417)*(rl_key=$A$400)*rl_ln1p))</f>
        <v/>
      </c>
      <c r="K417" s="201">
        <f>COUNTIFS(rl_key,$A$400,rl_eff,"&gt;="&amp;$B417,rl_eff,"&lt;="&amp;$C417)</f>
        <v/>
      </c>
      <c r="L417" s="201">
        <f>SUMIFS(rl_daysafter,rl_key,$A$400,rl_effmonth,$B417,rl_first,1)</f>
        <v/>
      </c>
      <c r="M417" s="209">
        <f>IF($K417=0,0,MIN(1,$L417/$D417))</f>
        <v/>
      </c>
      <c r="N417" s="208">
        <f>IF($K417=0,$J417,(1-$M417)*$I417+$M417*$J417)</f>
        <v/>
      </c>
      <c r="O417" s="209">
        <f>IF($F417&lt;$B$401,$E$401+$I$401*($F417-$A$401),IF($F417&lt;$C$401,$F$401+$J$401*($F417-$B$401),$G$401+$K$401*($F417-$C$401)))</f>
        <v/>
      </c>
      <c r="P417" s="208">
        <f>MIN(1,MAX(0,(nr_MEndPm1-$G417+0.5)/$C$400))-MIN(1,MAX(0,(nr_MStartPm1-1-$G417+0.5)/$C$400))</f>
        <v/>
      </c>
      <c r="Q417" s="208">
        <f>MIN(1,MAX(0,(nr_MEndP-$G417+0.5)/$C$400))-MIN(1,MAX(0,(nr_MStartP-1-$G417+0.5)/$C$400))</f>
        <v/>
      </c>
      <c r="R417" s="208">
        <f>MIN(1,MAX(0,(nr_MEndP1-$G417+0.5)/$C$400))-MIN(1,MAX(0,(nr_MStartP1-1-$G417+0.5)/$C$400))</f>
        <v/>
      </c>
      <c r="S417" s="208">
        <f>IF($L$400,$N417*IF($O$400=1,$O417/$F$400,1),"")</f>
        <v/>
      </c>
      <c r="T417" s="208">
        <f>IF(NOT($L$400),"",IF($G417&lt;nr_MStartP,$S417,$T405*(1+IF($G417&lt;nr_MStartP1,$M$400,$N$400))))</f>
        <v/>
      </c>
      <c r="U417" s="208">
        <f>IF($L$400,$T417,$N417)</f>
        <v/>
      </c>
    </row>
    <row r="418">
      <c r="A418" s="145" t="n">
        <v>16</v>
      </c>
      <c r="B418" s="204">
        <f>EDATE($B417,1)</f>
        <v/>
      </c>
      <c r="C418" s="205">
        <f>EOMONTH($B418,0)</f>
        <v/>
      </c>
      <c r="D418" s="201">
        <f>$C418-$B418+1</f>
        <v/>
      </c>
      <c r="E418" s="201">
        <f>MONTH($B418)</f>
        <v/>
      </c>
      <c r="F418" s="235">
        <f>($B418+$C418+1)/2</f>
        <v/>
      </c>
      <c r="G418" s="201">
        <f>YEAR($B418)*12+MONTH($B418)-1</f>
        <v/>
      </c>
      <c r="H418" s="207">
        <f>IF(OR(nr_SeasonOn="OFF",$D$400=0,$E$400=0),1,12*INDEX(se_block,$D$400,$E418)/$E$400)</f>
        <v/>
      </c>
      <c r="I418" s="208">
        <f>EXP(SUMPRODUCT((rl_eff&lt;$B418)*(rl_key=$A$400)*rl_ln1p))</f>
        <v/>
      </c>
      <c r="J418" s="208">
        <f>EXP(SUMPRODUCT((rl_eff&lt;=$C418)*(rl_key=$A$400)*rl_ln1p))</f>
        <v/>
      </c>
      <c r="K418" s="201">
        <f>COUNTIFS(rl_key,$A$400,rl_eff,"&gt;="&amp;$B418,rl_eff,"&lt;="&amp;$C418)</f>
        <v/>
      </c>
      <c r="L418" s="201">
        <f>SUMIFS(rl_daysafter,rl_key,$A$400,rl_effmonth,$B418,rl_first,1)</f>
        <v/>
      </c>
      <c r="M418" s="209">
        <f>IF($K418=0,0,MIN(1,$L418/$D418))</f>
        <v/>
      </c>
      <c r="N418" s="208">
        <f>IF($K418=0,$J418,(1-$M418)*$I418+$M418*$J418)</f>
        <v/>
      </c>
      <c r="O418" s="209">
        <f>IF($F418&lt;$B$401,$E$401+$I$401*($F418-$A$401),IF($F418&lt;$C$401,$F$401+$J$401*($F418-$B$401),$G$401+$K$401*($F418-$C$401)))</f>
        <v/>
      </c>
      <c r="P418" s="208">
        <f>MIN(1,MAX(0,(nr_MEndPm1-$G418+0.5)/$C$400))-MIN(1,MAX(0,(nr_MStartPm1-1-$G418+0.5)/$C$400))</f>
        <v/>
      </c>
      <c r="Q418" s="208">
        <f>MIN(1,MAX(0,(nr_MEndP-$G418+0.5)/$C$400))-MIN(1,MAX(0,(nr_MStartP-1-$G418+0.5)/$C$400))</f>
        <v/>
      </c>
      <c r="R418" s="208">
        <f>MIN(1,MAX(0,(nr_MEndP1-$G418+0.5)/$C$400))-MIN(1,MAX(0,(nr_MStartP1-1-$G418+0.5)/$C$400))</f>
        <v/>
      </c>
      <c r="S418" s="208">
        <f>IF($L$400,$N418*IF($O$400=1,$O418/$F$400,1),"")</f>
        <v/>
      </c>
      <c r="T418" s="208">
        <f>IF(NOT($L$400),"",IF($G418&lt;nr_MStartP,$S418,$T406*(1+IF($G418&lt;nr_MStartP1,$M$400,$N$400))))</f>
        <v/>
      </c>
      <c r="U418" s="208">
        <f>IF($L$400,$T418,$N418)</f>
        <v/>
      </c>
    </row>
    <row r="419">
      <c r="A419" s="145" t="n">
        <v>17</v>
      </c>
      <c r="B419" s="204">
        <f>EDATE($B418,1)</f>
        <v/>
      </c>
      <c r="C419" s="205">
        <f>EOMONTH($B419,0)</f>
        <v/>
      </c>
      <c r="D419" s="201">
        <f>$C419-$B419+1</f>
        <v/>
      </c>
      <c r="E419" s="201">
        <f>MONTH($B419)</f>
        <v/>
      </c>
      <c r="F419" s="235">
        <f>($B419+$C419+1)/2</f>
        <v/>
      </c>
      <c r="G419" s="201">
        <f>YEAR($B419)*12+MONTH($B419)-1</f>
        <v/>
      </c>
      <c r="H419" s="207">
        <f>IF(OR(nr_SeasonOn="OFF",$D$400=0,$E$400=0),1,12*INDEX(se_block,$D$400,$E419)/$E$400)</f>
        <v/>
      </c>
      <c r="I419" s="208">
        <f>EXP(SUMPRODUCT((rl_eff&lt;$B419)*(rl_key=$A$400)*rl_ln1p))</f>
        <v/>
      </c>
      <c r="J419" s="208">
        <f>EXP(SUMPRODUCT((rl_eff&lt;=$C419)*(rl_key=$A$400)*rl_ln1p))</f>
        <v/>
      </c>
      <c r="K419" s="201">
        <f>COUNTIFS(rl_key,$A$400,rl_eff,"&gt;="&amp;$B419,rl_eff,"&lt;="&amp;$C419)</f>
        <v/>
      </c>
      <c r="L419" s="201">
        <f>SUMIFS(rl_daysafter,rl_key,$A$400,rl_effmonth,$B419,rl_first,1)</f>
        <v/>
      </c>
      <c r="M419" s="209">
        <f>IF($K419=0,0,MIN(1,$L419/$D419))</f>
        <v/>
      </c>
      <c r="N419" s="208">
        <f>IF($K419=0,$J419,(1-$M419)*$I419+$M419*$J419)</f>
        <v/>
      </c>
      <c r="O419" s="209">
        <f>IF($F419&lt;$B$401,$E$401+$I$401*($F419-$A$401),IF($F419&lt;$C$401,$F$401+$J$401*($F419-$B$401),$G$401+$K$401*($F419-$C$401)))</f>
        <v/>
      </c>
      <c r="P419" s="208">
        <f>MIN(1,MAX(0,(nr_MEndPm1-$G419+0.5)/$C$400))-MIN(1,MAX(0,(nr_MStartPm1-1-$G419+0.5)/$C$400))</f>
        <v/>
      </c>
      <c r="Q419" s="208">
        <f>MIN(1,MAX(0,(nr_MEndP-$G419+0.5)/$C$400))-MIN(1,MAX(0,(nr_MStartP-1-$G419+0.5)/$C$400))</f>
        <v/>
      </c>
      <c r="R419" s="208">
        <f>MIN(1,MAX(0,(nr_MEndP1-$G419+0.5)/$C$400))-MIN(1,MAX(0,(nr_MStartP1-1-$G419+0.5)/$C$400))</f>
        <v/>
      </c>
      <c r="S419" s="208">
        <f>IF($L$400,$N419*IF($O$400=1,$O419/$F$400,1),"")</f>
        <v/>
      </c>
      <c r="T419" s="208">
        <f>IF(NOT($L$400),"",IF($G419&lt;nr_MStartP,$S419,$T407*(1+IF($G419&lt;nr_MStartP1,$M$400,$N$400))))</f>
        <v/>
      </c>
      <c r="U419" s="208">
        <f>IF($L$400,$T419,$N419)</f>
        <v/>
      </c>
    </row>
    <row r="420">
      <c r="A420" s="145" t="n">
        <v>18</v>
      </c>
      <c r="B420" s="204">
        <f>EDATE($B419,1)</f>
        <v/>
      </c>
      <c r="C420" s="205">
        <f>EOMONTH($B420,0)</f>
        <v/>
      </c>
      <c r="D420" s="201">
        <f>$C420-$B420+1</f>
        <v/>
      </c>
      <c r="E420" s="201">
        <f>MONTH($B420)</f>
        <v/>
      </c>
      <c r="F420" s="235">
        <f>($B420+$C420+1)/2</f>
        <v/>
      </c>
      <c r="G420" s="201">
        <f>YEAR($B420)*12+MONTH($B420)-1</f>
        <v/>
      </c>
      <c r="H420" s="207">
        <f>IF(OR(nr_SeasonOn="OFF",$D$400=0,$E$400=0),1,12*INDEX(se_block,$D$400,$E420)/$E$400)</f>
        <v/>
      </c>
      <c r="I420" s="208">
        <f>EXP(SUMPRODUCT((rl_eff&lt;$B420)*(rl_key=$A$400)*rl_ln1p))</f>
        <v/>
      </c>
      <c r="J420" s="208">
        <f>EXP(SUMPRODUCT((rl_eff&lt;=$C420)*(rl_key=$A$400)*rl_ln1p))</f>
        <v/>
      </c>
      <c r="K420" s="201">
        <f>COUNTIFS(rl_key,$A$400,rl_eff,"&gt;="&amp;$B420,rl_eff,"&lt;="&amp;$C420)</f>
        <v/>
      </c>
      <c r="L420" s="201">
        <f>SUMIFS(rl_daysafter,rl_key,$A$400,rl_effmonth,$B420,rl_first,1)</f>
        <v/>
      </c>
      <c r="M420" s="209">
        <f>IF($K420=0,0,MIN(1,$L420/$D420))</f>
        <v/>
      </c>
      <c r="N420" s="208">
        <f>IF($K420=0,$J420,(1-$M420)*$I420+$M420*$J420)</f>
        <v/>
      </c>
      <c r="O420" s="209">
        <f>IF($F420&lt;$B$401,$E$401+$I$401*($F420-$A$401),IF($F420&lt;$C$401,$F$401+$J$401*($F420-$B$401),$G$401+$K$401*($F420-$C$401)))</f>
        <v/>
      </c>
      <c r="P420" s="208">
        <f>MIN(1,MAX(0,(nr_MEndPm1-$G420+0.5)/$C$400))-MIN(1,MAX(0,(nr_MStartPm1-1-$G420+0.5)/$C$400))</f>
        <v/>
      </c>
      <c r="Q420" s="208">
        <f>MIN(1,MAX(0,(nr_MEndP-$G420+0.5)/$C$400))-MIN(1,MAX(0,(nr_MStartP-1-$G420+0.5)/$C$400))</f>
        <v/>
      </c>
      <c r="R420" s="208">
        <f>MIN(1,MAX(0,(nr_MEndP1-$G420+0.5)/$C$400))-MIN(1,MAX(0,(nr_MStartP1-1-$G420+0.5)/$C$400))</f>
        <v/>
      </c>
      <c r="S420" s="208">
        <f>IF($L$400,$N420*IF($O$400=1,$O420/$F$400,1),"")</f>
        <v/>
      </c>
      <c r="T420" s="208">
        <f>IF(NOT($L$400),"",IF($G420&lt;nr_MStartP,$S420,$T408*(1+IF($G420&lt;nr_MStartP1,$M$400,$N$400))))</f>
        <v/>
      </c>
      <c r="U420" s="208">
        <f>IF($L$400,$T420,$N420)</f>
        <v/>
      </c>
    </row>
    <row r="421">
      <c r="A421" s="145" t="n">
        <v>19</v>
      </c>
      <c r="B421" s="204">
        <f>EDATE($B420,1)</f>
        <v/>
      </c>
      <c r="C421" s="205">
        <f>EOMONTH($B421,0)</f>
        <v/>
      </c>
      <c r="D421" s="201">
        <f>$C421-$B421+1</f>
        <v/>
      </c>
      <c r="E421" s="201">
        <f>MONTH($B421)</f>
        <v/>
      </c>
      <c r="F421" s="235">
        <f>($B421+$C421+1)/2</f>
        <v/>
      </c>
      <c r="G421" s="201">
        <f>YEAR($B421)*12+MONTH($B421)-1</f>
        <v/>
      </c>
      <c r="H421" s="207">
        <f>IF(OR(nr_SeasonOn="OFF",$D$400=0,$E$400=0),1,12*INDEX(se_block,$D$400,$E421)/$E$400)</f>
        <v/>
      </c>
      <c r="I421" s="208">
        <f>EXP(SUMPRODUCT((rl_eff&lt;$B421)*(rl_key=$A$400)*rl_ln1p))</f>
        <v/>
      </c>
      <c r="J421" s="208">
        <f>EXP(SUMPRODUCT((rl_eff&lt;=$C421)*(rl_key=$A$400)*rl_ln1p))</f>
        <v/>
      </c>
      <c r="K421" s="201">
        <f>COUNTIFS(rl_key,$A$400,rl_eff,"&gt;="&amp;$B421,rl_eff,"&lt;="&amp;$C421)</f>
        <v/>
      </c>
      <c r="L421" s="201">
        <f>SUMIFS(rl_daysafter,rl_key,$A$400,rl_effmonth,$B421,rl_first,1)</f>
        <v/>
      </c>
      <c r="M421" s="209">
        <f>IF($K421=0,0,MIN(1,$L421/$D421))</f>
        <v/>
      </c>
      <c r="N421" s="208">
        <f>IF($K421=0,$J421,(1-$M421)*$I421+$M421*$J421)</f>
        <v/>
      </c>
      <c r="O421" s="209">
        <f>IF($F421&lt;$B$401,$E$401+$I$401*($F421-$A$401),IF($F421&lt;$C$401,$F$401+$J$401*($F421-$B$401),$G$401+$K$401*($F421-$C$401)))</f>
        <v/>
      </c>
      <c r="P421" s="208">
        <f>MIN(1,MAX(0,(nr_MEndPm1-$G421+0.5)/$C$400))-MIN(1,MAX(0,(nr_MStartPm1-1-$G421+0.5)/$C$400))</f>
        <v/>
      </c>
      <c r="Q421" s="208">
        <f>MIN(1,MAX(0,(nr_MEndP-$G421+0.5)/$C$400))-MIN(1,MAX(0,(nr_MStartP-1-$G421+0.5)/$C$400))</f>
        <v/>
      </c>
      <c r="R421" s="208">
        <f>MIN(1,MAX(0,(nr_MEndP1-$G421+0.5)/$C$400))-MIN(1,MAX(0,(nr_MStartP1-1-$G421+0.5)/$C$400))</f>
        <v/>
      </c>
      <c r="S421" s="208">
        <f>IF($L$400,$N421*IF($O$400=1,$O421/$F$400,1),"")</f>
        <v/>
      </c>
      <c r="T421" s="208">
        <f>IF(NOT($L$400),"",IF($G421&lt;nr_MStartP,$S421,$T409*(1+IF($G421&lt;nr_MStartP1,$M$400,$N$400))))</f>
        <v/>
      </c>
      <c r="U421" s="208">
        <f>IF($L$400,$T421,$N421)</f>
        <v/>
      </c>
    </row>
    <row r="422">
      <c r="A422" s="145" t="n">
        <v>20</v>
      </c>
      <c r="B422" s="204">
        <f>EDATE($B421,1)</f>
        <v/>
      </c>
      <c r="C422" s="205">
        <f>EOMONTH($B422,0)</f>
        <v/>
      </c>
      <c r="D422" s="201">
        <f>$C422-$B422+1</f>
        <v/>
      </c>
      <c r="E422" s="201">
        <f>MONTH($B422)</f>
        <v/>
      </c>
      <c r="F422" s="235">
        <f>($B422+$C422+1)/2</f>
        <v/>
      </c>
      <c r="G422" s="201">
        <f>YEAR($B422)*12+MONTH($B422)-1</f>
        <v/>
      </c>
      <c r="H422" s="207">
        <f>IF(OR(nr_SeasonOn="OFF",$D$400=0,$E$400=0),1,12*INDEX(se_block,$D$400,$E422)/$E$400)</f>
        <v/>
      </c>
      <c r="I422" s="208">
        <f>EXP(SUMPRODUCT((rl_eff&lt;$B422)*(rl_key=$A$400)*rl_ln1p))</f>
        <v/>
      </c>
      <c r="J422" s="208">
        <f>EXP(SUMPRODUCT((rl_eff&lt;=$C422)*(rl_key=$A$400)*rl_ln1p))</f>
        <v/>
      </c>
      <c r="K422" s="201">
        <f>COUNTIFS(rl_key,$A$400,rl_eff,"&gt;="&amp;$B422,rl_eff,"&lt;="&amp;$C422)</f>
        <v/>
      </c>
      <c r="L422" s="201">
        <f>SUMIFS(rl_daysafter,rl_key,$A$400,rl_effmonth,$B422,rl_first,1)</f>
        <v/>
      </c>
      <c r="M422" s="209">
        <f>IF($K422=0,0,MIN(1,$L422/$D422))</f>
        <v/>
      </c>
      <c r="N422" s="208">
        <f>IF($K422=0,$J422,(1-$M422)*$I422+$M422*$J422)</f>
        <v/>
      </c>
      <c r="O422" s="209">
        <f>IF($F422&lt;$B$401,$E$401+$I$401*($F422-$A$401),IF($F422&lt;$C$401,$F$401+$J$401*($F422-$B$401),$G$401+$K$401*($F422-$C$401)))</f>
        <v/>
      </c>
      <c r="P422" s="208">
        <f>MIN(1,MAX(0,(nr_MEndPm1-$G422+0.5)/$C$400))-MIN(1,MAX(0,(nr_MStartPm1-1-$G422+0.5)/$C$400))</f>
        <v/>
      </c>
      <c r="Q422" s="208">
        <f>MIN(1,MAX(0,(nr_MEndP-$G422+0.5)/$C$400))-MIN(1,MAX(0,(nr_MStartP-1-$G422+0.5)/$C$400))</f>
        <v/>
      </c>
      <c r="R422" s="208">
        <f>MIN(1,MAX(0,(nr_MEndP1-$G422+0.5)/$C$400))-MIN(1,MAX(0,(nr_MStartP1-1-$G422+0.5)/$C$400))</f>
        <v/>
      </c>
      <c r="S422" s="208">
        <f>IF($L$400,$N422*IF($O$400=1,$O422/$F$400,1),"")</f>
        <v/>
      </c>
      <c r="T422" s="208">
        <f>IF(NOT($L$400),"",IF($G422&lt;nr_MStartP,$S422,$T410*(1+IF($G422&lt;nr_MStartP1,$M$400,$N$400))))</f>
        <v/>
      </c>
      <c r="U422" s="208">
        <f>IF($L$400,$T422,$N422)</f>
        <v/>
      </c>
    </row>
    <row r="423">
      <c r="A423" s="145" t="n">
        <v>21</v>
      </c>
      <c r="B423" s="204">
        <f>EDATE($B422,1)</f>
        <v/>
      </c>
      <c r="C423" s="205">
        <f>EOMONTH($B423,0)</f>
        <v/>
      </c>
      <c r="D423" s="201">
        <f>$C423-$B423+1</f>
        <v/>
      </c>
      <c r="E423" s="201">
        <f>MONTH($B423)</f>
        <v/>
      </c>
      <c r="F423" s="235">
        <f>($B423+$C423+1)/2</f>
        <v/>
      </c>
      <c r="G423" s="201">
        <f>YEAR($B423)*12+MONTH($B423)-1</f>
        <v/>
      </c>
      <c r="H423" s="207">
        <f>IF(OR(nr_SeasonOn="OFF",$D$400=0,$E$400=0),1,12*INDEX(se_block,$D$400,$E423)/$E$400)</f>
        <v/>
      </c>
      <c r="I423" s="208">
        <f>EXP(SUMPRODUCT((rl_eff&lt;$B423)*(rl_key=$A$400)*rl_ln1p))</f>
        <v/>
      </c>
      <c r="J423" s="208">
        <f>EXP(SUMPRODUCT((rl_eff&lt;=$C423)*(rl_key=$A$400)*rl_ln1p))</f>
        <v/>
      </c>
      <c r="K423" s="201">
        <f>COUNTIFS(rl_key,$A$400,rl_eff,"&gt;="&amp;$B423,rl_eff,"&lt;="&amp;$C423)</f>
        <v/>
      </c>
      <c r="L423" s="201">
        <f>SUMIFS(rl_daysafter,rl_key,$A$400,rl_effmonth,$B423,rl_first,1)</f>
        <v/>
      </c>
      <c r="M423" s="209">
        <f>IF($K423=0,0,MIN(1,$L423/$D423))</f>
        <v/>
      </c>
      <c r="N423" s="208">
        <f>IF($K423=0,$J423,(1-$M423)*$I423+$M423*$J423)</f>
        <v/>
      </c>
      <c r="O423" s="209">
        <f>IF($F423&lt;$B$401,$E$401+$I$401*($F423-$A$401),IF($F423&lt;$C$401,$F$401+$J$401*($F423-$B$401),$G$401+$K$401*($F423-$C$401)))</f>
        <v/>
      </c>
      <c r="P423" s="208">
        <f>MIN(1,MAX(0,(nr_MEndPm1-$G423+0.5)/$C$400))-MIN(1,MAX(0,(nr_MStartPm1-1-$G423+0.5)/$C$400))</f>
        <v/>
      </c>
      <c r="Q423" s="208">
        <f>MIN(1,MAX(0,(nr_MEndP-$G423+0.5)/$C$400))-MIN(1,MAX(0,(nr_MStartP-1-$G423+0.5)/$C$400))</f>
        <v/>
      </c>
      <c r="R423" s="208">
        <f>MIN(1,MAX(0,(nr_MEndP1-$G423+0.5)/$C$400))-MIN(1,MAX(0,(nr_MStartP1-1-$G423+0.5)/$C$400))</f>
        <v/>
      </c>
      <c r="S423" s="208">
        <f>IF($L$400,$N423*IF($O$400=1,$O423/$F$400,1),"")</f>
        <v/>
      </c>
      <c r="T423" s="208">
        <f>IF(NOT($L$400),"",IF($G423&lt;nr_MStartP,$S423,$T411*(1+IF($G423&lt;nr_MStartP1,$M$400,$N$400))))</f>
        <v/>
      </c>
      <c r="U423" s="208">
        <f>IF($L$400,$T423,$N423)</f>
        <v/>
      </c>
    </row>
    <row r="424">
      <c r="A424" s="145" t="n">
        <v>22</v>
      </c>
      <c r="B424" s="204">
        <f>EDATE($B423,1)</f>
        <v/>
      </c>
      <c r="C424" s="205">
        <f>EOMONTH($B424,0)</f>
        <v/>
      </c>
      <c r="D424" s="201">
        <f>$C424-$B424+1</f>
        <v/>
      </c>
      <c r="E424" s="201">
        <f>MONTH($B424)</f>
        <v/>
      </c>
      <c r="F424" s="235">
        <f>($B424+$C424+1)/2</f>
        <v/>
      </c>
      <c r="G424" s="201">
        <f>YEAR($B424)*12+MONTH($B424)-1</f>
        <v/>
      </c>
      <c r="H424" s="207">
        <f>IF(OR(nr_SeasonOn="OFF",$D$400=0,$E$400=0),1,12*INDEX(se_block,$D$400,$E424)/$E$400)</f>
        <v/>
      </c>
      <c r="I424" s="208">
        <f>EXP(SUMPRODUCT((rl_eff&lt;$B424)*(rl_key=$A$400)*rl_ln1p))</f>
        <v/>
      </c>
      <c r="J424" s="208">
        <f>EXP(SUMPRODUCT((rl_eff&lt;=$C424)*(rl_key=$A$400)*rl_ln1p))</f>
        <v/>
      </c>
      <c r="K424" s="201">
        <f>COUNTIFS(rl_key,$A$400,rl_eff,"&gt;="&amp;$B424,rl_eff,"&lt;="&amp;$C424)</f>
        <v/>
      </c>
      <c r="L424" s="201">
        <f>SUMIFS(rl_daysafter,rl_key,$A$400,rl_effmonth,$B424,rl_first,1)</f>
        <v/>
      </c>
      <c r="M424" s="209">
        <f>IF($K424=0,0,MIN(1,$L424/$D424))</f>
        <v/>
      </c>
      <c r="N424" s="208">
        <f>IF($K424=0,$J424,(1-$M424)*$I424+$M424*$J424)</f>
        <v/>
      </c>
      <c r="O424" s="209">
        <f>IF($F424&lt;$B$401,$E$401+$I$401*($F424-$A$401),IF($F424&lt;$C$401,$F$401+$J$401*($F424-$B$401),$G$401+$K$401*($F424-$C$401)))</f>
        <v/>
      </c>
      <c r="P424" s="208">
        <f>MIN(1,MAX(0,(nr_MEndPm1-$G424+0.5)/$C$400))-MIN(1,MAX(0,(nr_MStartPm1-1-$G424+0.5)/$C$400))</f>
        <v/>
      </c>
      <c r="Q424" s="208">
        <f>MIN(1,MAX(0,(nr_MEndP-$G424+0.5)/$C$400))-MIN(1,MAX(0,(nr_MStartP-1-$G424+0.5)/$C$400))</f>
        <v/>
      </c>
      <c r="R424" s="208">
        <f>MIN(1,MAX(0,(nr_MEndP1-$G424+0.5)/$C$400))-MIN(1,MAX(0,(nr_MStartP1-1-$G424+0.5)/$C$400))</f>
        <v/>
      </c>
      <c r="S424" s="208">
        <f>IF($L$400,$N424*IF($O$400=1,$O424/$F$400,1),"")</f>
        <v/>
      </c>
      <c r="T424" s="208">
        <f>IF(NOT($L$400),"",IF($G424&lt;nr_MStartP,$S424,$T412*(1+IF($G424&lt;nr_MStartP1,$M$400,$N$400))))</f>
        <v/>
      </c>
      <c r="U424" s="208">
        <f>IF($L$400,$T424,$N424)</f>
        <v/>
      </c>
    </row>
    <row r="425">
      <c r="A425" s="145" t="n">
        <v>23</v>
      </c>
      <c r="B425" s="204">
        <f>EDATE($B424,1)</f>
        <v/>
      </c>
      <c r="C425" s="205">
        <f>EOMONTH($B425,0)</f>
        <v/>
      </c>
      <c r="D425" s="201">
        <f>$C425-$B425+1</f>
        <v/>
      </c>
      <c r="E425" s="201">
        <f>MONTH($B425)</f>
        <v/>
      </c>
      <c r="F425" s="235">
        <f>($B425+$C425+1)/2</f>
        <v/>
      </c>
      <c r="G425" s="201">
        <f>YEAR($B425)*12+MONTH($B425)-1</f>
        <v/>
      </c>
      <c r="H425" s="207">
        <f>IF(OR(nr_SeasonOn="OFF",$D$400=0,$E$400=0),1,12*INDEX(se_block,$D$400,$E425)/$E$400)</f>
        <v/>
      </c>
      <c r="I425" s="208">
        <f>EXP(SUMPRODUCT((rl_eff&lt;$B425)*(rl_key=$A$400)*rl_ln1p))</f>
        <v/>
      </c>
      <c r="J425" s="208">
        <f>EXP(SUMPRODUCT((rl_eff&lt;=$C425)*(rl_key=$A$400)*rl_ln1p))</f>
        <v/>
      </c>
      <c r="K425" s="201">
        <f>COUNTIFS(rl_key,$A$400,rl_eff,"&gt;="&amp;$B425,rl_eff,"&lt;="&amp;$C425)</f>
        <v/>
      </c>
      <c r="L425" s="201">
        <f>SUMIFS(rl_daysafter,rl_key,$A$400,rl_effmonth,$B425,rl_first,1)</f>
        <v/>
      </c>
      <c r="M425" s="209">
        <f>IF($K425=0,0,MIN(1,$L425/$D425))</f>
        <v/>
      </c>
      <c r="N425" s="208">
        <f>IF($K425=0,$J425,(1-$M425)*$I425+$M425*$J425)</f>
        <v/>
      </c>
      <c r="O425" s="209">
        <f>IF($F425&lt;$B$401,$E$401+$I$401*($F425-$A$401),IF($F425&lt;$C$401,$F$401+$J$401*($F425-$B$401),$G$401+$K$401*($F425-$C$401)))</f>
        <v/>
      </c>
      <c r="P425" s="208">
        <f>MIN(1,MAX(0,(nr_MEndPm1-$G425+0.5)/$C$400))-MIN(1,MAX(0,(nr_MStartPm1-1-$G425+0.5)/$C$400))</f>
        <v/>
      </c>
      <c r="Q425" s="208">
        <f>MIN(1,MAX(0,(nr_MEndP-$G425+0.5)/$C$400))-MIN(1,MAX(0,(nr_MStartP-1-$G425+0.5)/$C$400))</f>
        <v/>
      </c>
      <c r="R425" s="208">
        <f>MIN(1,MAX(0,(nr_MEndP1-$G425+0.5)/$C$400))-MIN(1,MAX(0,(nr_MStartP1-1-$G425+0.5)/$C$400))</f>
        <v/>
      </c>
      <c r="S425" s="208">
        <f>IF($L$400,$N425*IF($O$400=1,$O425/$F$400,1),"")</f>
        <v/>
      </c>
      <c r="T425" s="208">
        <f>IF(NOT($L$400),"",IF($G425&lt;nr_MStartP,$S425,$T413*(1+IF($G425&lt;nr_MStartP1,$M$400,$N$400))))</f>
        <v/>
      </c>
      <c r="U425" s="208">
        <f>IF($L$400,$T425,$N425)</f>
        <v/>
      </c>
    </row>
    <row r="426">
      <c r="A426" s="145" t="n">
        <v>24</v>
      </c>
      <c r="B426" s="204">
        <f>EDATE($B425,1)</f>
        <v/>
      </c>
      <c r="C426" s="205">
        <f>EOMONTH($B426,0)</f>
        <v/>
      </c>
      <c r="D426" s="201">
        <f>$C426-$B426+1</f>
        <v/>
      </c>
      <c r="E426" s="201">
        <f>MONTH($B426)</f>
        <v/>
      </c>
      <c r="F426" s="235">
        <f>($B426+$C426+1)/2</f>
        <v/>
      </c>
      <c r="G426" s="201">
        <f>YEAR($B426)*12+MONTH($B426)-1</f>
        <v/>
      </c>
      <c r="H426" s="207">
        <f>IF(OR(nr_SeasonOn="OFF",$D$400=0,$E$400=0),1,12*INDEX(se_block,$D$400,$E426)/$E$400)</f>
        <v/>
      </c>
      <c r="I426" s="208">
        <f>EXP(SUMPRODUCT((rl_eff&lt;$B426)*(rl_key=$A$400)*rl_ln1p))</f>
        <v/>
      </c>
      <c r="J426" s="208">
        <f>EXP(SUMPRODUCT((rl_eff&lt;=$C426)*(rl_key=$A$400)*rl_ln1p))</f>
        <v/>
      </c>
      <c r="K426" s="201">
        <f>COUNTIFS(rl_key,$A$400,rl_eff,"&gt;="&amp;$B426,rl_eff,"&lt;="&amp;$C426)</f>
        <v/>
      </c>
      <c r="L426" s="201">
        <f>SUMIFS(rl_daysafter,rl_key,$A$400,rl_effmonth,$B426,rl_first,1)</f>
        <v/>
      </c>
      <c r="M426" s="209">
        <f>IF($K426=0,0,MIN(1,$L426/$D426))</f>
        <v/>
      </c>
      <c r="N426" s="208">
        <f>IF($K426=0,$J426,(1-$M426)*$I426+$M426*$J426)</f>
        <v/>
      </c>
      <c r="O426" s="209">
        <f>IF($F426&lt;$B$401,$E$401+$I$401*($F426-$A$401),IF($F426&lt;$C$401,$F$401+$J$401*($F426-$B$401),$G$401+$K$401*($F426-$C$401)))</f>
        <v/>
      </c>
      <c r="P426" s="208">
        <f>MIN(1,MAX(0,(nr_MEndPm1-$G426+0.5)/$C$400))-MIN(1,MAX(0,(nr_MStartPm1-1-$G426+0.5)/$C$400))</f>
        <v/>
      </c>
      <c r="Q426" s="208">
        <f>MIN(1,MAX(0,(nr_MEndP-$G426+0.5)/$C$400))-MIN(1,MAX(0,(nr_MStartP-1-$G426+0.5)/$C$400))</f>
        <v/>
      </c>
      <c r="R426" s="208">
        <f>MIN(1,MAX(0,(nr_MEndP1-$G426+0.5)/$C$400))-MIN(1,MAX(0,(nr_MStartP1-1-$G426+0.5)/$C$400))</f>
        <v/>
      </c>
      <c r="S426" s="208">
        <f>IF($L$400,$N426*IF($O$400=1,$O426/$F$400,1),"")</f>
        <v/>
      </c>
      <c r="T426" s="208">
        <f>IF(NOT($L$400),"",IF($G426&lt;nr_MStartP,$S426,$T414*(1+IF($G426&lt;nr_MStartP1,$M$400,$N$400))))</f>
        <v/>
      </c>
      <c r="U426" s="208">
        <f>IF($L$400,$T426,$N426)</f>
        <v/>
      </c>
    </row>
    <row r="427">
      <c r="A427" s="145" t="n">
        <v>25</v>
      </c>
      <c r="B427" s="204">
        <f>EDATE($B426,1)</f>
        <v/>
      </c>
      <c r="C427" s="205">
        <f>EOMONTH($B427,0)</f>
        <v/>
      </c>
      <c r="D427" s="201">
        <f>$C427-$B427+1</f>
        <v/>
      </c>
      <c r="E427" s="201">
        <f>MONTH($B427)</f>
        <v/>
      </c>
      <c r="F427" s="235">
        <f>($B427+$C427+1)/2</f>
        <v/>
      </c>
      <c r="G427" s="201">
        <f>YEAR($B427)*12+MONTH($B427)-1</f>
        <v/>
      </c>
      <c r="H427" s="207">
        <f>IF(OR(nr_SeasonOn="OFF",$D$400=0,$E$400=0),1,12*INDEX(se_block,$D$400,$E427)/$E$400)</f>
        <v/>
      </c>
      <c r="I427" s="208">
        <f>EXP(SUMPRODUCT((rl_eff&lt;$B427)*(rl_key=$A$400)*rl_ln1p))</f>
        <v/>
      </c>
      <c r="J427" s="208">
        <f>EXP(SUMPRODUCT((rl_eff&lt;=$C427)*(rl_key=$A$400)*rl_ln1p))</f>
        <v/>
      </c>
      <c r="K427" s="201">
        <f>COUNTIFS(rl_key,$A$400,rl_eff,"&gt;="&amp;$B427,rl_eff,"&lt;="&amp;$C427)</f>
        <v/>
      </c>
      <c r="L427" s="201">
        <f>SUMIFS(rl_daysafter,rl_key,$A$400,rl_effmonth,$B427,rl_first,1)</f>
        <v/>
      </c>
      <c r="M427" s="209">
        <f>IF($K427=0,0,MIN(1,$L427/$D427))</f>
        <v/>
      </c>
      <c r="N427" s="208">
        <f>IF($K427=0,$J427,(1-$M427)*$I427+$M427*$J427)</f>
        <v/>
      </c>
      <c r="O427" s="209">
        <f>IF($F427&lt;$B$401,$E$401+$I$401*($F427-$A$401),IF($F427&lt;$C$401,$F$401+$J$401*($F427-$B$401),$G$401+$K$401*($F427-$C$401)))</f>
        <v/>
      </c>
      <c r="P427" s="208">
        <f>MIN(1,MAX(0,(nr_MEndPm1-$G427+0.5)/$C$400))-MIN(1,MAX(0,(nr_MStartPm1-1-$G427+0.5)/$C$400))</f>
        <v/>
      </c>
      <c r="Q427" s="208">
        <f>MIN(1,MAX(0,(nr_MEndP-$G427+0.5)/$C$400))-MIN(1,MAX(0,(nr_MStartP-1-$G427+0.5)/$C$400))</f>
        <v/>
      </c>
      <c r="R427" s="208">
        <f>MIN(1,MAX(0,(nr_MEndP1-$G427+0.5)/$C$400))-MIN(1,MAX(0,(nr_MStartP1-1-$G427+0.5)/$C$400))</f>
        <v/>
      </c>
      <c r="S427" s="208">
        <f>IF($L$400,$N427*IF($O$400=1,$O427/$F$400,1),"")</f>
        <v/>
      </c>
      <c r="T427" s="208">
        <f>IF(NOT($L$400),"",IF($G427&lt;nr_MStartP,$S427,$T415*(1+IF($G427&lt;nr_MStartP1,$M$400,$N$400))))</f>
        <v/>
      </c>
      <c r="U427" s="208">
        <f>IF($L$400,$T427,$N427)</f>
        <v/>
      </c>
    </row>
    <row r="428">
      <c r="A428" s="145" t="n">
        <v>26</v>
      </c>
      <c r="B428" s="204">
        <f>EDATE($B427,1)</f>
        <v/>
      </c>
      <c r="C428" s="205">
        <f>EOMONTH($B428,0)</f>
        <v/>
      </c>
      <c r="D428" s="201">
        <f>$C428-$B428+1</f>
        <v/>
      </c>
      <c r="E428" s="201">
        <f>MONTH($B428)</f>
        <v/>
      </c>
      <c r="F428" s="235">
        <f>($B428+$C428+1)/2</f>
        <v/>
      </c>
      <c r="G428" s="201">
        <f>YEAR($B428)*12+MONTH($B428)-1</f>
        <v/>
      </c>
      <c r="H428" s="207">
        <f>IF(OR(nr_SeasonOn="OFF",$D$400=0,$E$400=0),1,12*INDEX(se_block,$D$400,$E428)/$E$400)</f>
        <v/>
      </c>
      <c r="I428" s="208">
        <f>EXP(SUMPRODUCT((rl_eff&lt;$B428)*(rl_key=$A$400)*rl_ln1p))</f>
        <v/>
      </c>
      <c r="J428" s="208">
        <f>EXP(SUMPRODUCT((rl_eff&lt;=$C428)*(rl_key=$A$400)*rl_ln1p))</f>
        <v/>
      </c>
      <c r="K428" s="201">
        <f>COUNTIFS(rl_key,$A$400,rl_eff,"&gt;="&amp;$B428,rl_eff,"&lt;="&amp;$C428)</f>
        <v/>
      </c>
      <c r="L428" s="201">
        <f>SUMIFS(rl_daysafter,rl_key,$A$400,rl_effmonth,$B428,rl_first,1)</f>
        <v/>
      </c>
      <c r="M428" s="209">
        <f>IF($K428=0,0,MIN(1,$L428/$D428))</f>
        <v/>
      </c>
      <c r="N428" s="208">
        <f>IF($K428=0,$J428,(1-$M428)*$I428+$M428*$J428)</f>
        <v/>
      </c>
      <c r="O428" s="209">
        <f>IF($F428&lt;$B$401,$E$401+$I$401*($F428-$A$401),IF($F428&lt;$C$401,$F$401+$J$401*($F428-$B$401),$G$401+$K$401*($F428-$C$401)))</f>
        <v/>
      </c>
      <c r="P428" s="208">
        <f>MIN(1,MAX(0,(nr_MEndPm1-$G428+0.5)/$C$400))-MIN(1,MAX(0,(nr_MStartPm1-1-$G428+0.5)/$C$400))</f>
        <v/>
      </c>
      <c r="Q428" s="208">
        <f>MIN(1,MAX(0,(nr_MEndP-$G428+0.5)/$C$400))-MIN(1,MAX(0,(nr_MStartP-1-$G428+0.5)/$C$400))</f>
        <v/>
      </c>
      <c r="R428" s="208">
        <f>MIN(1,MAX(0,(nr_MEndP1-$G428+0.5)/$C$400))-MIN(1,MAX(0,(nr_MStartP1-1-$G428+0.5)/$C$400))</f>
        <v/>
      </c>
      <c r="S428" s="208">
        <f>IF($L$400,$N428*IF($O$400=1,$O428/$F$400,1),"")</f>
        <v/>
      </c>
      <c r="T428" s="208">
        <f>IF(NOT($L$400),"",IF($G428&lt;nr_MStartP,$S428,$T416*(1+IF($G428&lt;nr_MStartP1,$M$400,$N$400))))</f>
        <v/>
      </c>
      <c r="U428" s="208">
        <f>IF($L$400,$T428,$N428)</f>
        <v/>
      </c>
    </row>
    <row r="429">
      <c r="A429" s="145" t="n">
        <v>27</v>
      </c>
      <c r="B429" s="204">
        <f>EDATE($B428,1)</f>
        <v/>
      </c>
      <c r="C429" s="205">
        <f>EOMONTH($B429,0)</f>
        <v/>
      </c>
      <c r="D429" s="201">
        <f>$C429-$B429+1</f>
        <v/>
      </c>
      <c r="E429" s="201">
        <f>MONTH($B429)</f>
        <v/>
      </c>
      <c r="F429" s="235">
        <f>($B429+$C429+1)/2</f>
        <v/>
      </c>
      <c r="G429" s="201">
        <f>YEAR($B429)*12+MONTH($B429)-1</f>
        <v/>
      </c>
      <c r="H429" s="207">
        <f>IF(OR(nr_SeasonOn="OFF",$D$400=0,$E$400=0),1,12*INDEX(se_block,$D$400,$E429)/$E$400)</f>
        <v/>
      </c>
      <c r="I429" s="208">
        <f>EXP(SUMPRODUCT((rl_eff&lt;$B429)*(rl_key=$A$400)*rl_ln1p))</f>
        <v/>
      </c>
      <c r="J429" s="208">
        <f>EXP(SUMPRODUCT((rl_eff&lt;=$C429)*(rl_key=$A$400)*rl_ln1p))</f>
        <v/>
      </c>
      <c r="K429" s="201">
        <f>COUNTIFS(rl_key,$A$400,rl_eff,"&gt;="&amp;$B429,rl_eff,"&lt;="&amp;$C429)</f>
        <v/>
      </c>
      <c r="L429" s="201">
        <f>SUMIFS(rl_daysafter,rl_key,$A$400,rl_effmonth,$B429,rl_first,1)</f>
        <v/>
      </c>
      <c r="M429" s="209">
        <f>IF($K429=0,0,MIN(1,$L429/$D429))</f>
        <v/>
      </c>
      <c r="N429" s="208">
        <f>IF($K429=0,$J429,(1-$M429)*$I429+$M429*$J429)</f>
        <v/>
      </c>
      <c r="O429" s="209">
        <f>IF($F429&lt;$B$401,$E$401+$I$401*($F429-$A$401),IF($F429&lt;$C$401,$F$401+$J$401*($F429-$B$401),$G$401+$K$401*($F429-$C$401)))</f>
        <v/>
      </c>
      <c r="P429" s="208">
        <f>MIN(1,MAX(0,(nr_MEndPm1-$G429+0.5)/$C$400))-MIN(1,MAX(0,(nr_MStartPm1-1-$G429+0.5)/$C$400))</f>
        <v/>
      </c>
      <c r="Q429" s="208">
        <f>MIN(1,MAX(0,(nr_MEndP-$G429+0.5)/$C$400))-MIN(1,MAX(0,(nr_MStartP-1-$G429+0.5)/$C$400))</f>
        <v/>
      </c>
      <c r="R429" s="208">
        <f>MIN(1,MAX(0,(nr_MEndP1-$G429+0.5)/$C$400))-MIN(1,MAX(0,(nr_MStartP1-1-$G429+0.5)/$C$400))</f>
        <v/>
      </c>
      <c r="S429" s="208">
        <f>IF($L$400,$N429*IF($O$400=1,$O429/$F$400,1),"")</f>
        <v/>
      </c>
      <c r="T429" s="208">
        <f>IF(NOT($L$400),"",IF($G429&lt;nr_MStartP,$S429,$T417*(1+IF($G429&lt;nr_MStartP1,$M$400,$N$400))))</f>
        <v/>
      </c>
      <c r="U429" s="208">
        <f>IF($L$400,$T429,$N429)</f>
        <v/>
      </c>
    </row>
    <row r="430">
      <c r="A430" s="145" t="n">
        <v>28</v>
      </c>
      <c r="B430" s="204">
        <f>EDATE($B429,1)</f>
        <v/>
      </c>
      <c r="C430" s="205">
        <f>EOMONTH($B430,0)</f>
        <v/>
      </c>
      <c r="D430" s="201">
        <f>$C430-$B430+1</f>
        <v/>
      </c>
      <c r="E430" s="201">
        <f>MONTH($B430)</f>
        <v/>
      </c>
      <c r="F430" s="235">
        <f>($B430+$C430+1)/2</f>
        <v/>
      </c>
      <c r="G430" s="201">
        <f>YEAR($B430)*12+MONTH($B430)-1</f>
        <v/>
      </c>
      <c r="H430" s="207">
        <f>IF(OR(nr_SeasonOn="OFF",$D$400=0,$E$400=0),1,12*INDEX(se_block,$D$400,$E430)/$E$400)</f>
        <v/>
      </c>
      <c r="I430" s="208">
        <f>EXP(SUMPRODUCT((rl_eff&lt;$B430)*(rl_key=$A$400)*rl_ln1p))</f>
        <v/>
      </c>
      <c r="J430" s="208">
        <f>EXP(SUMPRODUCT((rl_eff&lt;=$C430)*(rl_key=$A$400)*rl_ln1p))</f>
        <v/>
      </c>
      <c r="K430" s="201">
        <f>COUNTIFS(rl_key,$A$400,rl_eff,"&gt;="&amp;$B430,rl_eff,"&lt;="&amp;$C430)</f>
        <v/>
      </c>
      <c r="L430" s="201">
        <f>SUMIFS(rl_daysafter,rl_key,$A$400,rl_effmonth,$B430,rl_first,1)</f>
        <v/>
      </c>
      <c r="M430" s="209">
        <f>IF($K430=0,0,MIN(1,$L430/$D430))</f>
        <v/>
      </c>
      <c r="N430" s="208">
        <f>IF($K430=0,$J430,(1-$M430)*$I430+$M430*$J430)</f>
        <v/>
      </c>
      <c r="O430" s="209">
        <f>IF($F430&lt;$B$401,$E$401+$I$401*($F430-$A$401),IF($F430&lt;$C$401,$F$401+$J$401*($F430-$B$401),$G$401+$K$401*($F430-$C$401)))</f>
        <v/>
      </c>
      <c r="P430" s="208">
        <f>MIN(1,MAX(0,(nr_MEndPm1-$G430+0.5)/$C$400))-MIN(1,MAX(0,(nr_MStartPm1-1-$G430+0.5)/$C$400))</f>
        <v/>
      </c>
      <c r="Q430" s="208">
        <f>MIN(1,MAX(0,(nr_MEndP-$G430+0.5)/$C$400))-MIN(1,MAX(0,(nr_MStartP-1-$G430+0.5)/$C$400))</f>
        <v/>
      </c>
      <c r="R430" s="208">
        <f>MIN(1,MAX(0,(nr_MEndP1-$G430+0.5)/$C$400))-MIN(1,MAX(0,(nr_MStartP1-1-$G430+0.5)/$C$400))</f>
        <v/>
      </c>
      <c r="S430" s="208">
        <f>IF($L$400,$N430*IF($O$400=1,$O430/$F$400,1),"")</f>
        <v/>
      </c>
      <c r="T430" s="208">
        <f>IF(NOT($L$400),"",IF($G430&lt;nr_MStartP,$S430,$T418*(1+IF($G430&lt;nr_MStartP1,$M$400,$N$400))))</f>
        <v/>
      </c>
      <c r="U430" s="208">
        <f>IF($L$400,$T430,$N430)</f>
        <v/>
      </c>
    </row>
    <row r="431">
      <c r="A431" s="145" t="n">
        <v>29</v>
      </c>
      <c r="B431" s="204">
        <f>EDATE($B430,1)</f>
        <v/>
      </c>
      <c r="C431" s="205">
        <f>EOMONTH($B431,0)</f>
        <v/>
      </c>
      <c r="D431" s="201">
        <f>$C431-$B431+1</f>
        <v/>
      </c>
      <c r="E431" s="201">
        <f>MONTH($B431)</f>
        <v/>
      </c>
      <c r="F431" s="235">
        <f>($B431+$C431+1)/2</f>
        <v/>
      </c>
      <c r="G431" s="201">
        <f>YEAR($B431)*12+MONTH($B431)-1</f>
        <v/>
      </c>
      <c r="H431" s="207">
        <f>IF(OR(nr_SeasonOn="OFF",$D$400=0,$E$400=0),1,12*INDEX(se_block,$D$400,$E431)/$E$400)</f>
        <v/>
      </c>
      <c r="I431" s="208">
        <f>EXP(SUMPRODUCT((rl_eff&lt;$B431)*(rl_key=$A$400)*rl_ln1p))</f>
        <v/>
      </c>
      <c r="J431" s="208">
        <f>EXP(SUMPRODUCT((rl_eff&lt;=$C431)*(rl_key=$A$400)*rl_ln1p))</f>
        <v/>
      </c>
      <c r="K431" s="201">
        <f>COUNTIFS(rl_key,$A$400,rl_eff,"&gt;="&amp;$B431,rl_eff,"&lt;="&amp;$C431)</f>
        <v/>
      </c>
      <c r="L431" s="201">
        <f>SUMIFS(rl_daysafter,rl_key,$A$400,rl_effmonth,$B431,rl_first,1)</f>
        <v/>
      </c>
      <c r="M431" s="209">
        <f>IF($K431=0,0,MIN(1,$L431/$D431))</f>
        <v/>
      </c>
      <c r="N431" s="208">
        <f>IF($K431=0,$J431,(1-$M431)*$I431+$M431*$J431)</f>
        <v/>
      </c>
      <c r="O431" s="209">
        <f>IF($F431&lt;$B$401,$E$401+$I$401*($F431-$A$401),IF($F431&lt;$C$401,$F$401+$J$401*($F431-$B$401),$G$401+$K$401*($F431-$C$401)))</f>
        <v/>
      </c>
      <c r="P431" s="208">
        <f>MIN(1,MAX(0,(nr_MEndPm1-$G431+0.5)/$C$400))-MIN(1,MAX(0,(nr_MStartPm1-1-$G431+0.5)/$C$400))</f>
        <v/>
      </c>
      <c r="Q431" s="208">
        <f>MIN(1,MAX(0,(nr_MEndP-$G431+0.5)/$C$400))-MIN(1,MAX(0,(nr_MStartP-1-$G431+0.5)/$C$400))</f>
        <v/>
      </c>
      <c r="R431" s="208">
        <f>MIN(1,MAX(0,(nr_MEndP1-$G431+0.5)/$C$400))-MIN(1,MAX(0,(nr_MStartP1-1-$G431+0.5)/$C$400))</f>
        <v/>
      </c>
      <c r="S431" s="208">
        <f>IF($L$400,$N431*IF($O$400=1,$O431/$F$400,1),"")</f>
        <v/>
      </c>
      <c r="T431" s="208">
        <f>IF(NOT($L$400),"",IF($G431&lt;nr_MStartP,$S431,$T419*(1+IF($G431&lt;nr_MStartP1,$M$400,$N$400))))</f>
        <v/>
      </c>
      <c r="U431" s="208">
        <f>IF($L$400,$T431,$N431)</f>
        <v/>
      </c>
    </row>
    <row r="432">
      <c r="A432" s="145" t="n">
        <v>30</v>
      </c>
      <c r="B432" s="204">
        <f>EDATE($B431,1)</f>
        <v/>
      </c>
      <c r="C432" s="205">
        <f>EOMONTH($B432,0)</f>
        <v/>
      </c>
      <c r="D432" s="201">
        <f>$C432-$B432+1</f>
        <v/>
      </c>
      <c r="E432" s="201">
        <f>MONTH($B432)</f>
        <v/>
      </c>
      <c r="F432" s="235">
        <f>($B432+$C432+1)/2</f>
        <v/>
      </c>
      <c r="G432" s="201">
        <f>YEAR($B432)*12+MONTH($B432)-1</f>
        <v/>
      </c>
      <c r="H432" s="207">
        <f>IF(OR(nr_SeasonOn="OFF",$D$400=0,$E$400=0),1,12*INDEX(se_block,$D$400,$E432)/$E$400)</f>
        <v/>
      </c>
      <c r="I432" s="208">
        <f>EXP(SUMPRODUCT((rl_eff&lt;$B432)*(rl_key=$A$400)*rl_ln1p))</f>
        <v/>
      </c>
      <c r="J432" s="208">
        <f>EXP(SUMPRODUCT((rl_eff&lt;=$C432)*(rl_key=$A$400)*rl_ln1p))</f>
        <v/>
      </c>
      <c r="K432" s="201">
        <f>COUNTIFS(rl_key,$A$400,rl_eff,"&gt;="&amp;$B432,rl_eff,"&lt;="&amp;$C432)</f>
        <v/>
      </c>
      <c r="L432" s="201">
        <f>SUMIFS(rl_daysafter,rl_key,$A$400,rl_effmonth,$B432,rl_first,1)</f>
        <v/>
      </c>
      <c r="M432" s="209">
        <f>IF($K432=0,0,MIN(1,$L432/$D432))</f>
        <v/>
      </c>
      <c r="N432" s="208">
        <f>IF($K432=0,$J432,(1-$M432)*$I432+$M432*$J432)</f>
        <v/>
      </c>
      <c r="O432" s="209">
        <f>IF($F432&lt;$B$401,$E$401+$I$401*($F432-$A$401),IF($F432&lt;$C$401,$F$401+$J$401*($F432-$B$401),$G$401+$K$401*($F432-$C$401)))</f>
        <v/>
      </c>
      <c r="P432" s="208">
        <f>MIN(1,MAX(0,(nr_MEndPm1-$G432+0.5)/$C$400))-MIN(1,MAX(0,(nr_MStartPm1-1-$G432+0.5)/$C$400))</f>
        <v/>
      </c>
      <c r="Q432" s="208">
        <f>MIN(1,MAX(0,(nr_MEndP-$G432+0.5)/$C$400))-MIN(1,MAX(0,(nr_MStartP-1-$G432+0.5)/$C$400))</f>
        <v/>
      </c>
      <c r="R432" s="208">
        <f>MIN(1,MAX(0,(nr_MEndP1-$G432+0.5)/$C$400))-MIN(1,MAX(0,(nr_MStartP1-1-$G432+0.5)/$C$400))</f>
        <v/>
      </c>
      <c r="S432" s="208">
        <f>IF($L$400,$N432*IF($O$400=1,$O432/$F$400,1),"")</f>
        <v/>
      </c>
      <c r="T432" s="208">
        <f>IF(NOT($L$400),"",IF($G432&lt;nr_MStartP,$S432,$T420*(1+IF($G432&lt;nr_MStartP1,$M$400,$N$400))))</f>
        <v/>
      </c>
      <c r="U432" s="208">
        <f>IF($L$400,$T432,$N432)</f>
        <v/>
      </c>
    </row>
    <row r="433">
      <c r="A433" s="145" t="n">
        <v>31</v>
      </c>
      <c r="B433" s="204">
        <f>EDATE($B432,1)</f>
        <v/>
      </c>
      <c r="C433" s="205">
        <f>EOMONTH($B433,0)</f>
        <v/>
      </c>
      <c r="D433" s="201">
        <f>$C433-$B433+1</f>
        <v/>
      </c>
      <c r="E433" s="201">
        <f>MONTH($B433)</f>
        <v/>
      </c>
      <c r="F433" s="235">
        <f>($B433+$C433+1)/2</f>
        <v/>
      </c>
      <c r="G433" s="201">
        <f>YEAR($B433)*12+MONTH($B433)-1</f>
        <v/>
      </c>
      <c r="H433" s="207">
        <f>IF(OR(nr_SeasonOn="OFF",$D$400=0,$E$400=0),1,12*INDEX(se_block,$D$400,$E433)/$E$400)</f>
        <v/>
      </c>
      <c r="I433" s="208">
        <f>EXP(SUMPRODUCT((rl_eff&lt;$B433)*(rl_key=$A$400)*rl_ln1p))</f>
        <v/>
      </c>
      <c r="J433" s="208">
        <f>EXP(SUMPRODUCT((rl_eff&lt;=$C433)*(rl_key=$A$400)*rl_ln1p))</f>
        <v/>
      </c>
      <c r="K433" s="201">
        <f>COUNTIFS(rl_key,$A$400,rl_eff,"&gt;="&amp;$B433,rl_eff,"&lt;="&amp;$C433)</f>
        <v/>
      </c>
      <c r="L433" s="201">
        <f>SUMIFS(rl_daysafter,rl_key,$A$400,rl_effmonth,$B433,rl_first,1)</f>
        <v/>
      </c>
      <c r="M433" s="209">
        <f>IF($K433=0,0,MIN(1,$L433/$D433))</f>
        <v/>
      </c>
      <c r="N433" s="208">
        <f>IF($K433=0,$J433,(1-$M433)*$I433+$M433*$J433)</f>
        <v/>
      </c>
      <c r="O433" s="209">
        <f>IF($F433&lt;$B$401,$E$401+$I$401*($F433-$A$401),IF($F433&lt;$C$401,$F$401+$J$401*($F433-$B$401),$G$401+$K$401*($F433-$C$401)))</f>
        <v/>
      </c>
      <c r="P433" s="208">
        <f>MIN(1,MAX(0,(nr_MEndPm1-$G433+0.5)/$C$400))-MIN(1,MAX(0,(nr_MStartPm1-1-$G433+0.5)/$C$400))</f>
        <v/>
      </c>
      <c r="Q433" s="208">
        <f>MIN(1,MAX(0,(nr_MEndP-$G433+0.5)/$C$400))-MIN(1,MAX(0,(nr_MStartP-1-$G433+0.5)/$C$400))</f>
        <v/>
      </c>
      <c r="R433" s="208">
        <f>MIN(1,MAX(0,(nr_MEndP1-$G433+0.5)/$C$400))-MIN(1,MAX(0,(nr_MStartP1-1-$G433+0.5)/$C$400))</f>
        <v/>
      </c>
      <c r="S433" s="208">
        <f>IF($L$400,$N433*IF($O$400=1,$O433/$F$400,1),"")</f>
        <v/>
      </c>
      <c r="T433" s="208">
        <f>IF(NOT($L$400),"",IF($G433&lt;nr_MStartP,$S433,$T421*(1+IF($G433&lt;nr_MStartP1,$M$400,$N$400))))</f>
        <v/>
      </c>
      <c r="U433" s="208">
        <f>IF($L$400,$T433,$N433)</f>
        <v/>
      </c>
    </row>
    <row r="434">
      <c r="A434" s="145" t="n">
        <v>32</v>
      </c>
      <c r="B434" s="204">
        <f>EDATE($B433,1)</f>
        <v/>
      </c>
      <c r="C434" s="205">
        <f>EOMONTH($B434,0)</f>
        <v/>
      </c>
      <c r="D434" s="201">
        <f>$C434-$B434+1</f>
        <v/>
      </c>
      <c r="E434" s="201">
        <f>MONTH($B434)</f>
        <v/>
      </c>
      <c r="F434" s="235">
        <f>($B434+$C434+1)/2</f>
        <v/>
      </c>
      <c r="G434" s="201">
        <f>YEAR($B434)*12+MONTH($B434)-1</f>
        <v/>
      </c>
      <c r="H434" s="207">
        <f>IF(OR(nr_SeasonOn="OFF",$D$400=0,$E$400=0),1,12*INDEX(se_block,$D$400,$E434)/$E$400)</f>
        <v/>
      </c>
      <c r="I434" s="208">
        <f>EXP(SUMPRODUCT((rl_eff&lt;$B434)*(rl_key=$A$400)*rl_ln1p))</f>
        <v/>
      </c>
      <c r="J434" s="208">
        <f>EXP(SUMPRODUCT((rl_eff&lt;=$C434)*(rl_key=$A$400)*rl_ln1p))</f>
        <v/>
      </c>
      <c r="K434" s="201">
        <f>COUNTIFS(rl_key,$A$400,rl_eff,"&gt;="&amp;$B434,rl_eff,"&lt;="&amp;$C434)</f>
        <v/>
      </c>
      <c r="L434" s="201">
        <f>SUMIFS(rl_daysafter,rl_key,$A$400,rl_effmonth,$B434,rl_first,1)</f>
        <v/>
      </c>
      <c r="M434" s="209">
        <f>IF($K434=0,0,MIN(1,$L434/$D434))</f>
        <v/>
      </c>
      <c r="N434" s="208">
        <f>IF($K434=0,$J434,(1-$M434)*$I434+$M434*$J434)</f>
        <v/>
      </c>
      <c r="O434" s="209">
        <f>IF($F434&lt;$B$401,$E$401+$I$401*($F434-$A$401),IF($F434&lt;$C$401,$F$401+$J$401*($F434-$B$401),$G$401+$K$401*($F434-$C$401)))</f>
        <v/>
      </c>
      <c r="P434" s="208">
        <f>MIN(1,MAX(0,(nr_MEndPm1-$G434+0.5)/$C$400))-MIN(1,MAX(0,(nr_MStartPm1-1-$G434+0.5)/$C$400))</f>
        <v/>
      </c>
      <c r="Q434" s="208">
        <f>MIN(1,MAX(0,(nr_MEndP-$G434+0.5)/$C$400))-MIN(1,MAX(0,(nr_MStartP-1-$G434+0.5)/$C$400))</f>
        <v/>
      </c>
      <c r="R434" s="208">
        <f>MIN(1,MAX(0,(nr_MEndP1-$G434+0.5)/$C$400))-MIN(1,MAX(0,(nr_MStartP1-1-$G434+0.5)/$C$400))</f>
        <v/>
      </c>
      <c r="S434" s="208">
        <f>IF($L$400,$N434*IF($O$400=1,$O434/$F$400,1),"")</f>
        <v/>
      </c>
      <c r="T434" s="208">
        <f>IF(NOT($L$400),"",IF($G434&lt;nr_MStartP,$S434,$T422*(1+IF($G434&lt;nr_MStartP1,$M$400,$N$400))))</f>
        <v/>
      </c>
      <c r="U434" s="208">
        <f>IF($L$400,$T434,$N434)</f>
        <v/>
      </c>
    </row>
    <row r="435">
      <c r="A435" s="145" t="n">
        <v>33</v>
      </c>
      <c r="B435" s="204">
        <f>EDATE($B434,1)</f>
        <v/>
      </c>
      <c r="C435" s="205">
        <f>EOMONTH($B435,0)</f>
        <v/>
      </c>
      <c r="D435" s="201">
        <f>$C435-$B435+1</f>
        <v/>
      </c>
      <c r="E435" s="201">
        <f>MONTH($B435)</f>
        <v/>
      </c>
      <c r="F435" s="235">
        <f>($B435+$C435+1)/2</f>
        <v/>
      </c>
      <c r="G435" s="201">
        <f>YEAR($B435)*12+MONTH($B435)-1</f>
        <v/>
      </c>
      <c r="H435" s="207">
        <f>IF(OR(nr_SeasonOn="OFF",$D$400=0,$E$400=0),1,12*INDEX(se_block,$D$400,$E435)/$E$400)</f>
        <v/>
      </c>
      <c r="I435" s="208">
        <f>EXP(SUMPRODUCT((rl_eff&lt;$B435)*(rl_key=$A$400)*rl_ln1p))</f>
        <v/>
      </c>
      <c r="J435" s="208">
        <f>EXP(SUMPRODUCT((rl_eff&lt;=$C435)*(rl_key=$A$400)*rl_ln1p))</f>
        <v/>
      </c>
      <c r="K435" s="201">
        <f>COUNTIFS(rl_key,$A$400,rl_eff,"&gt;="&amp;$B435,rl_eff,"&lt;="&amp;$C435)</f>
        <v/>
      </c>
      <c r="L435" s="201">
        <f>SUMIFS(rl_daysafter,rl_key,$A$400,rl_effmonth,$B435,rl_first,1)</f>
        <v/>
      </c>
      <c r="M435" s="209">
        <f>IF($K435=0,0,MIN(1,$L435/$D435))</f>
        <v/>
      </c>
      <c r="N435" s="208">
        <f>IF($K435=0,$J435,(1-$M435)*$I435+$M435*$J435)</f>
        <v/>
      </c>
      <c r="O435" s="209">
        <f>IF($F435&lt;$B$401,$E$401+$I$401*($F435-$A$401),IF($F435&lt;$C$401,$F$401+$J$401*($F435-$B$401),$G$401+$K$401*($F435-$C$401)))</f>
        <v/>
      </c>
      <c r="P435" s="208">
        <f>MIN(1,MAX(0,(nr_MEndPm1-$G435+0.5)/$C$400))-MIN(1,MAX(0,(nr_MStartPm1-1-$G435+0.5)/$C$400))</f>
        <v/>
      </c>
      <c r="Q435" s="208">
        <f>MIN(1,MAX(0,(nr_MEndP-$G435+0.5)/$C$400))-MIN(1,MAX(0,(nr_MStartP-1-$G435+0.5)/$C$400))</f>
        <v/>
      </c>
      <c r="R435" s="208">
        <f>MIN(1,MAX(0,(nr_MEndP1-$G435+0.5)/$C$400))-MIN(1,MAX(0,(nr_MStartP1-1-$G435+0.5)/$C$400))</f>
        <v/>
      </c>
      <c r="S435" s="208">
        <f>IF($L$400,$N435*IF($O$400=1,$O435/$F$400,1),"")</f>
        <v/>
      </c>
      <c r="T435" s="208">
        <f>IF(NOT($L$400),"",IF($G435&lt;nr_MStartP,$S435,$T423*(1+IF($G435&lt;nr_MStartP1,$M$400,$N$400))))</f>
        <v/>
      </c>
      <c r="U435" s="208">
        <f>IF($L$400,$T435,$N435)</f>
        <v/>
      </c>
    </row>
    <row r="436">
      <c r="A436" s="145" t="n">
        <v>34</v>
      </c>
      <c r="B436" s="204">
        <f>EDATE($B435,1)</f>
        <v/>
      </c>
      <c r="C436" s="205">
        <f>EOMONTH($B436,0)</f>
        <v/>
      </c>
      <c r="D436" s="201">
        <f>$C436-$B436+1</f>
        <v/>
      </c>
      <c r="E436" s="201">
        <f>MONTH($B436)</f>
        <v/>
      </c>
      <c r="F436" s="235">
        <f>($B436+$C436+1)/2</f>
        <v/>
      </c>
      <c r="G436" s="201">
        <f>YEAR($B436)*12+MONTH($B436)-1</f>
        <v/>
      </c>
      <c r="H436" s="207">
        <f>IF(OR(nr_SeasonOn="OFF",$D$400=0,$E$400=0),1,12*INDEX(se_block,$D$400,$E436)/$E$400)</f>
        <v/>
      </c>
      <c r="I436" s="208">
        <f>EXP(SUMPRODUCT((rl_eff&lt;$B436)*(rl_key=$A$400)*rl_ln1p))</f>
        <v/>
      </c>
      <c r="J436" s="208">
        <f>EXP(SUMPRODUCT((rl_eff&lt;=$C436)*(rl_key=$A$400)*rl_ln1p))</f>
        <v/>
      </c>
      <c r="K436" s="201">
        <f>COUNTIFS(rl_key,$A$400,rl_eff,"&gt;="&amp;$B436,rl_eff,"&lt;="&amp;$C436)</f>
        <v/>
      </c>
      <c r="L436" s="201">
        <f>SUMIFS(rl_daysafter,rl_key,$A$400,rl_effmonth,$B436,rl_first,1)</f>
        <v/>
      </c>
      <c r="M436" s="209">
        <f>IF($K436=0,0,MIN(1,$L436/$D436))</f>
        <v/>
      </c>
      <c r="N436" s="208">
        <f>IF($K436=0,$J436,(1-$M436)*$I436+$M436*$J436)</f>
        <v/>
      </c>
      <c r="O436" s="209">
        <f>IF($F436&lt;$B$401,$E$401+$I$401*($F436-$A$401),IF($F436&lt;$C$401,$F$401+$J$401*($F436-$B$401),$G$401+$K$401*($F436-$C$401)))</f>
        <v/>
      </c>
      <c r="P436" s="208">
        <f>MIN(1,MAX(0,(nr_MEndPm1-$G436+0.5)/$C$400))-MIN(1,MAX(0,(nr_MStartPm1-1-$G436+0.5)/$C$400))</f>
        <v/>
      </c>
      <c r="Q436" s="208">
        <f>MIN(1,MAX(0,(nr_MEndP-$G436+0.5)/$C$400))-MIN(1,MAX(0,(nr_MStartP-1-$G436+0.5)/$C$400))</f>
        <v/>
      </c>
      <c r="R436" s="208">
        <f>MIN(1,MAX(0,(nr_MEndP1-$G436+0.5)/$C$400))-MIN(1,MAX(0,(nr_MStartP1-1-$G436+0.5)/$C$400))</f>
        <v/>
      </c>
      <c r="S436" s="208">
        <f>IF($L$400,$N436*IF($O$400=1,$O436/$F$400,1),"")</f>
        <v/>
      </c>
      <c r="T436" s="208">
        <f>IF(NOT($L$400),"",IF($G436&lt;nr_MStartP,$S436,$T424*(1+IF($G436&lt;nr_MStartP1,$M$400,$N$400))))</f>
        <v/>
      </c>
      <c r="U436" s="208">
        <f>IF($L$400,$T436,$N436)</f>
        <v/>
      </c>
    </row>
    <row r="437">
      <c r="A437" s="145" t="n">
        <v>35</v>
      </c>
      <c r="B437" s="204">
        <f>EDATE($B436,1)</f>
        <v/>
      </c>
      <c r="C437" s="205">
        <f>EOMONTH($B437,0)</f>
        <v/>
      </c>
      <c r="D437" s="201">
        <f>$C437-$B437+1</f>
        <v/>
      </c>
      <c r="E437" s="201">
        <f>MONTH($B437)</f>
        <v/>
      </c>
      <c r="F437" s="235">
        <f>($B437+$C437+1)/2</f>
        <v/>
      </c>
      <c r="G437" s="201">
        <f>YEAR($B437)*12+MONTH($B437)-1</f>
        <v/>
      </c>
      <c r="H437" s="207">
        <f>IF(OR(nr_SeasonOn="OFF",$D$400=0,$E$400=0),1,12*INDEX(se_block,$D$400,$E437)/$E$400)</f>
        <v/>
      </c>
      <c r="I437" s="208">
        <f>EXP(SUMPRODUCT((rl_eff&lt;$B437)*(rl_key=$A$400)*rl_ln1p))</f>
        <v/>
      </c>
      <c r="J437" s="208">
        <f>EXP(SUMPRODUCT((rl_eff&lt;=$C437)*(rl_key=$A$400)*rl_ln1p))</f>
        <v/>
      </c>
      <c r="K437" s="201">
        <f>COUNTIFS(rl_key,$A$400,rl_eff,"&gt;="&amp;$B437,rl_eff,"&lt;="&amp;$C437)</f>
        <v/>
      </c>
      <c r="L437" s="201">
        <f>SUMIFS(rl_daysafter,rl_key,$A$400,rl_effmonth,$B437,rl_first,1)</f>
        <v/>
      </c>
      <c r="M437" s="209">
        <f>IF($K437=0,0,MIN(1,$L437/$D437))</f>
        <v/>
      </c>
      <c r="N437" s="208">
        <f>IF($K437=0,$J437,(1-$M437)*$I437+$M437*$J437)</f>
        <v/>
      </c>
      <c r="O437" s="209">
        <f>IF($F437&lt;$B$401,$E$401+$I$401*($F437-$A$401),IF($F437&lt;$C$401,$F$401+$J$401*($F437-$B$401),$G$401+$K$401*($F437-$C$401)))</f>
        <v/>
      </c>
      <c r="P437" s="208">
        <f>MIN(1,MAX(0,(nr_MEndPm1-$G437+0.5)/$C$400))-MIN(1,MAX(0,(nr_MStartPm1-1-$G437+0.5)/$C$400))</f>
        <v/>
      </c>
      <c r="Q437" s="208">
        <f>MIN(1,MAX(0,(nr_MEndP-$G437+0.5)/$C$400))-MIN(1,MAX(0,(nr_MStartP-1-$G437+0.5)/$C$400))</f>
        <v/>
      </c>
      <c r="R437" s="208">
        <f>MIN(1,MAX(0,(nr_MEndP1-$G437+0.5)/$C$400))-MIN(1,MAX(0,(nr_MStartP1-1-$G437+0.5)/$C$400))</f>
        <v/>
      </c>
      <c r="S437" s="208">
        <f>IF($L$400,$N437*IF($O$400=1,$O437/$F$400,1),"")</f>
        <v/>
      </c>
      <c r="T437" s="208">
        <f>IF(NOT($L$400),"",IF($G437&lt;nr_MStartP,$S437,$T425*(1+IF($G437&lt;nr_MStartP1,$M$400,$N$400))))</f>
        <v/>
      </c>
      <c r="U437" s="208">
        <f>IF($L$400,$T437,$N437)</f>
        <v/>
      </c>
    </row>
    <row r="438">
      <c r="A438" s="145" t="n">
        <v>36</v>
      </c>
      <c r="B438" s="204">
        <f>EDATE($B437,1)</f>
        <v/>
      </c>
      <c r="C438" s="205">
        <f>EOMONTH($B438,0)</f>
        <v/>
      </c>
      <c r="D438" s="201">
        <f>$C438-$B438+1</f>
        <v/>
      </c>
      <c r="E438" s="201">
        <f>MONTH($B438)</f>
        <v/>
      </c>
      <c r="F438" s="235">
        <f>($B438+$C438+1)/2</f>
        <v/>
      </c>
      <c r="G438" s="201">
        <f>YEAR($B438)*12+MONTH($B438)-1</f>
        <v/>
      </c>
      <c r="H438" s="207">
        <f>IF(OR(nr_SeasonOn="OFF",$D$400=0,$E$400=0),1,12*INDEX(se_block,$D$400,$E438)/$E$400)</f>
        <v/>
      </c>
      <c r="I438" s="208">
        <f>EXP(SUMPRODUCT((rl_eff&lt;$B438)*(rl_key=$A$400)*rl_ln1p))</f>
        <v/>
      </c>
      <c r="J438" s="208">
        <f>EXP(SUMPRODUCT((rl_eff&lt;=$C438)*(rl_key=$A$400)*rl_ln1p))</f>
        <v/>
      </c>
      <c r="K438" s="201">
        <f>COUNTIFS(rl_key,$A$400,rl_eff,"&gt;="&amp;$B438,rl_eff,"&lt;="&amp;$C438)</f>
        <v/>
      </c>
      <c r="L438" s="201">
        <f>SUMIFS(rl_daysafter,rl_key,$A$400,rl_effmonth,$B438,rl_first,1)</f>
        <v/>
      </c>
      <c r="M438" s="209">
        <f>IF($K438=0,0,MIN(1,$L438/$D438))</f>
        <v/>
      </c>
      <c r="N438" s="208">
        <f>IF($K438=0,$J438,(1-$M438)*$I438+$M438*$J438)</f>
        <v/>
      </c>
      <c r="O438" s="209">
        <f>IF($F438&lt;$B$401,$E$401+$I$401*($F438-$A$401),IF($F438&lt;$C$401,$F$401+$J$401*($F438-$B$401),$G$401+$K$401*($F438-$C$401)))</f>
        <v/>
      </c>
      <c r="P438" s="208">
        <f>MIN(1,MAX(0,(nr_MEndPm1-$G438+0.5)/$C$400))-MIN(1,MAX(0,(nr_MStartPm1-1-$G438+0.5)/$C$400))</f>
        <v/>
      </c>
      <c r="Q438" s="208">
        <f>MIN(1,MAX(0,(nr_MEndP-$G438+0.5)/$C$400))-MIN(1,MAX(0,(nr_MStartP-1-$G438+0.5)/$C$400))</f>
        <v/>
      </c>
      <c r="R438" s="208">
        <f>MIN(1,MAX(0,(nr_MEndP1-$G438+0.5)/$C$400))-MIN(1,MAX(0,(nr_MStartP1-1-$G438+0.5)/$C$400))</f>
        <v/>
      </c>
      <c r="S438" s="208">
        <f>IF($L$400,$N438*IF($O$400=1,$O438/$F$400,1),"")</f>
        <v/>
      </c>
      <c r="T438" s="208">
        <f>IF(NOT($L$400),"",IF($G438&lt;nr_MStartP,$S438,$T426*(1+IF($G438&lt;nr_MStartP1,$M$400,$N$400))))</f>
        <v/>
      </c>
      <c r="U438" s="208">
        <f>IF($L$400,$T438,$N438)</f>
        <v/>
      </c>
    </row>
    <row r="439">
      <c r="A439" s="145" t="n">
        <v>37</v>
      </c>
      <c r="B439" s="204">
        <f>EDATE($B438,1)</f>
        <v/>
      </c>
      <c r="C439" s="205">
        <f>EOMONTH($B439,0)</f>
        <v/>
      </c>
      <c r="D439" s="201">
        <f>$C439-$B439+1</f>
        <v/>
      </c>
      <c r="E439" s="201">
        <f>MONTH($B439)</f>
        <v/>
      </c>
      <c r="F439" s="235">
        <f>($B439+$C439+1)/2</f>
        <v/>
      </c>
      <c r="G439" s="201">
        <f>YEAR($B439)*12+MONTH($B439)-1</f>
        <v/>
      </c>
      <c r="H439" s="207">
        <f>IF(OR(nr_SeasonOn="OFF",$D$400=0,$E$400=0),1,12*INDEX(se_block,$D$400,$E439)/$E$400)</f>
        <v/>
      </c>
      <c r="I439" s="208">
        <f>EXP(SUMPRODUCT((rl_eff&lt;$B439)*(rl_key=$A$400)*rl_ln1p))</f>
        <v/>
      </c>
      <c r="J439" s="208">
        <f>EXP(SUMPRODUCT((rl_eff&lt;=$C439)*(rl_key=$A$400)*rl_ln1p))</f>
        <v/>
      </c>
      <c r="K439" s="201">
        <f>COUNTIFS(rl_key,$A$400,rl_eff,"&gt;="&amp;$B439,rl_eff,"&lt;="&amp;$C439)</f>
        <v/>
      </c>
      <c r="L439" s="201">
        <f>SUMIFS(rl_daysafter,rl_key,$A$400,rl_effmonth,$B439,rl_first,1)</f>
        <v/>
      </c>
      <c r="M439" s="209">
        <f>IF($K439=0,0,MIN(1,$L439/$D439))</f>
        <v/>
      </c>
      <c r="N439" s="208">
        <f>IF($K439=0,$J439,(1-$M439)*$I439+$M439*$J439)</f>
        <v/>
      </c>
      <c r="O439" s="209">
        <f>IF($F439&lt;$B$401,$E$401+$I$401*($F439-$A$401),IF($F439&lt;$C$401,$F$401+$J$401*($F439-$B$401),$G$401+$K$401*($F439-$C$401)))</f>
        <v/>
      </c>
      <c r="P439" s="208">
        <f>MIN(1,MAX(0,(nr_MEndPm1-$G439+0.5)/$C$400))-MIN(1,MAX(0,(nr_MStartPm1-1-$G439+0.5)/$C$400))</f>
        <v/>
      </c>
      <c r="Q439" s="208">
        <f>MIN(1,MAX(0,(nr_MEndP-$G439+0.5)/$C$400))-MIN(1,MAX(0,(nr_MStartP-1-$G439+0.5)/$C$400))</f>
        <v/>
      </c>
      <c r="R439" s="208">
        <f>MIN(1,MAX(0,(nr_MEndP1-$G439+0.5)/$C$400))-MIN(1,MAX(0,(nr_MStartP1-1-$G439+0.5)/$C$400))</f>
        <v/>
      </c>
      <c r="S439" s="208">
        <f>IF($L$400,$N439*IF($O$400=1,$O439/$F$400,1),"")</f>
        <v/>
      </c>
      <c r="T439" s="208">
        <f>IF(NOT($L$400),"",IF($G439&lt;nr_MStartP,$S439,$T427*(1+IF($G439&lt;nr_MStartP1,$M$400,$N$400))))</f>
        <v/>
      </c>
      <c r="U439" s="208">
        <f>IF($L$400,$T439,$N439)</f>
        <v/>
      </c>
    </row>
    <row r="440">
      <c r="A440" s="145" t="n">
        <v>38</v>
      </c>
      <c r="B440" s="204">
        <f>EDATE($B439,1)</f>
        <v/>
      </c>
      <c r="C440" s="205">
        <f>EOMONTH($B440,0)</f>
        <v/>
      </c>
      <c r="D440" s="201">
        <f>$C440-$B440+1</f>
        <v/>
      </c>
      <c r="E440" s="201">
        <f>MONTH($B440)</f>
        <v/>
      </c>
      <c r="F440" s="235">
        <f>($B440+$C440+1)/2</f>
        <v/>
      </c>
      <c r="G440" s="201">
        <f>YEAR($B440)*12+MONTH($B440)-1</f>
        <v/>
      </c>
      <c r="H440" s="207">
        <f>IF(OR(nr_SeasonOn="OFF",$D$400=0,$E$400=0),1,12*INDEX(se_block,$D$400,$E440)/$E$400)</f>
        <v/>
      </c>
      <c r="I440" s="208">
        <f>EXP(SUMPRODUCT((rl_eff&lt;$B440)*(rl_key=$A$400)*rl_ln1p))</f>
        <v/>
      </c>
      <c r="J440" s="208">
        <f>EXP(SUMPRODUCT((rl_eff&lt;=$C440)*(rl_key=$A$400)*rl_ln1p))</f>
        <v/>
      </c>
      <c r="K440" s="201">
        <f>COUNTIFS(rl_key,$A$400,rl_eff,"&gt;="&amp;$B440,rl_eff,"&lt;="&amp;$C440)</f>
        <v/>
      </c>
      <c r="L440" s="201">
        <f>SUMIFS(rl_daysafter,rl_key,$A$400,rl_effmonth,$B440,rl_first,1)</f>
        <v/>
      </c>
      <c r="M440" s="209">
        <f>IF($K440=0,0,MIN(1,$L440/$D440))</f>
        <v/>
      </c>
      <c r="N440" s="208">
        <f>IF($K440=0,$J440,(1-$M440)*$I440+$M440*$J440)</f>
        <v/>
      </c>
      <c r="O440" s="209">
        <f>IF($F440&lt;$B$401,$E$401+$I$401*($F440-$A$401),IF($F440&lt;$C$401,$F$401+$J$401*($F440-$B$401),$G$401+$K$401*($F440-$C$401)))</f>
        <v/>
      </c>
      <c r="P440" s="208">
        <f>MIN(1,MAX(0,(nr_MEndPm1-$G440+0.5)/$C$400))-MIN(1,MAX(0,(nr_MStartPm1-1-$G440+0.5)/$C$400))</f>
        <v/>
      </c>
      <c r="Q440" s="208">
        <f>MIN(1,MAX(0,(nr_MEndP-$G440+0.5)/$C$400))-MIN(1,MAX(0,(nr_MStartP-1-$G440+0.5)/$C$400))</f>
        <v/>
      </c>
      <c r="R440" s="208">
        <f>MIN(1,MAX(0,(nr_MEndP1-$G440+0.5)/$C$400))-MIN(1,MAX(0,(nr_MStartP1-1-$G440+0.5)/$C$400))</f>
        <v/>
      </c>
      <c r="S440" s="208">
        <f>IF($L$400,$N440*IF($O$400=1,$O440/$F$400,1),"")</f>
        <v/>
      </c>
      <c r="T440" s="208">
        <f>IF(NOT($L$400),"",IF($G440&lt;nr_MStartP,$S440,$T428*(1+IF($G440&lt;nr_MStartP1,$M$400,$N$400))))</f>
        <v/>
      </c>
      <c r="U440" s="208">
        <f>IF($L$400,$T440,$N440)</f>
        <v/>
      </c>
    </row>
    <row r="441">
      <c r="A441" s="145" t="n">
        <v>39</v>
      </c>
      <c r="B441" s="204">
        <f>EDATE($B440,1)</f>
        <v/>
      </c>
      <c r="C441" s="205">
        <f>EOMONTH($B441,0)</f>
        <v/>
      </c>
      <c r="D441" s="201">
        <f>$C441-$B441+1</f>
        <v/>
      </c>
      <c r="E441" s="201">
        <f>MONTH($B441)</f>
        <v/>
      </c>
      <c r="F441" s="235">
        <f>($B441+$C441+1)/2</f>
        <v/>
      </c>
      <c r="G441" s="201">
        <f>YEAR($B441)*12+MONTH($B441)-1</f>
        <v/>
      </c>
      <c r="H441" s="207">
        <f>IF(OR(nr_SeasonOn="OFF",$D$400=0,$E$400=0),1,12*INDEX(se_block,$D$400,$E441)/$E$400)</f>
        <v/>
      </c>
      <c r="I441" s="208">
        <f>EXP(SUMPRODUCT((rl_eff&lt;$B441)*(rl_key=$A$400)*rl_ln1p))</f>
        <v/>
      </c>
      <c r="J441" s="208">
        <f>EXP(SUMPRODUCT((rl_eff&lt;=$C441)*(rl_key=$A$400)*rl_ln1p))</f>
        <v/>
      </c>
      <c r="K441" s="201">
        <f>COUNTIFS(rl_key,$A$400,rl_eff,"&gt;="&amp;$B441,rl_eff,"&lt;="&amp;$C441)</f>
        <v/>
      </c>
      <c r="L441" s="201">
        <f>SUMIFS(rl_daysafter,rl_key,$A$400,rl_effmonth,$B441,rl_first,1)</f>
        <v/>
      </c>
      <c r="M441" s="209">
        <f>IF($K441=0,0,MIN(1,$L441/$D441))</f>
        <v/>
      </c>
      <c r="N441" s="208">
        <f>IF($K441=0,$J441,(1-$M441)*$I441+$M441*$J441)</f>
        <v/>
      </c>
      <c r="O441" s="209">
        <f>IF($F441&lt;$B$401,$E$401+$I$401*($F441-$A$401),IF($F441&lt;$C$401,$F$401+$J$401*($F441-$B$401),$G$401+$K$401*($F441-$C$401)))</f>
        <v/>
      </c>
      <c r="P441" s="208">
        <f>MIN(1,MAX(0,(nr_MEndPm1-$G441+0.5)/$C$400))-MIN(1,MAX(0,(nr_MStartPm1-1-$G441+0.5)/$C$400))</f>
        <v/>
      </c>
      <c r="Q441" s="208">
        <f>MIN(1,MAX(0,(nr_MEndP-$G441+0.5)/$C$400))-MIN(1,MAX(0,(nr_MStartP-1-$G441+0.5)/$C$400))</f>
        <v/>
      </c>
      <c r="R441" s="208">
        <f>MIN(1,MAX(0,(nr_MEndP1-$G441+0.5)/$C$400))-MIN(1,MAX(0,(nr_MStartP1-1-$G441+0.5)/$C$400))</f>
        <v/>
      </c>
      <c r="S441" s="208">
        <f>IF($L$400,$N441*IF($O$400=1,$O441/$F$400,1),"")</f>
        <v/>
      </c>
      <c r="T441" s="208">
        <f>IF(NOT($L$400),"",IF($G441&lt;nr_MStartP,$S441,$T429*(1+IF($G441&lt;nr_MStartP1,$M$400,$N$400))))</f>
        <v/>
      </c>
      <c r="U441" s="208">
        <f>IF($L$400,$T441,$N441)</f>
        <v/>
      </c>
    </row>
    <row r="442">
      <c r="A442" s="145" t="n">
        <v>40</v>
      </c>
      <c r="B442" s="204">
        <f>EDATE($B441,1)</f>
        <v/>
      </c>
      <c r="C442" s="205">
        <f>EOMONTH($B442,0)</f>
        <v/>
      </c>
      <c r="D442" s="201">
        <f>$C442-$B442+1</f>
        <v/>
      </c>
      <c r="E442" s="201">
        <f>MONTH($B442)</f>
        <v/>
      </c>
      <c r="F442" s="235">
        <f>($B442+$C442+1)/2</f>
        <v/>
      </c>
      <c r="G442" s="201">
        <f>YEAR($B442)*12+MONTH($B442)-1</f>
        <v/>
      </c>
      <c r="H442" s="207">
        <f>IF(OR(nr_SeasonOn="OFF",$D$400=0,$E$400=0),1,12*INDEX(se_block,$D$400,$E442)/$E$400)</f>
        <v/>
      </c>
      <c r="I442" s="208">
        <f>EXP(SUMPRODUCT((rl_eff&lt;$B442)*(rl_key=$A$400)*rl_ln1p))</f>
        <v/>
      </c>
      <c r="J442" s="208">
        <f>EXP(SUMPRODUCT((rl_eff&lt;=$C442)*(rl_key=$A$400)*rl_ln1p))</f>
        <v/>
      </c>
      <c r="K442" s="201">
        <f>COUNTIFS(rl_key,$A$400,rl_eff,"&gt;="&amp;$B442,rl_eff,"&lt;="&amp;$C442)</f>
        <v/>
      </c>
      <c r="L442" s="201">
        <f>SUMIFS(rl_daysafter,rl_key,$A$400,rl_effmonth,$B442,rl_first,1)</f>
        <v/>
      </c>
      <c r="M442" s="209">
        <f>IF($K442=0,0,MIN(1,$L442/$D442))</f>
        <v/>
      </c>
      <c r="N442" s="208">
        <f>IF($K442=0,$J442,(1-$M442)*$I442+$M442*$J442)</f>
        <v/>
      </c>
      <c r="O442" s="209">
        <f>IF($F442&lt;$B$401,$E$401+$I$401*($F442-$A$401),IF($F442&lt;$C$401,$F$401+$J$401*($F442-$B$401),$G$401+$K$401*($F442-$C$401)))</f>
        <v/>
      </c>
      <c r="P442" s="208">
        <f>MIN(1,MAX(0,(nr_MEndPm1-$G442+0.5)/$C$400))-MIN(1,MAX(0,(nr_MStartPm1-1-$G442+0.5)/$C$400))</f>
        <v/>
      </c>
      <c r="Q442" s="208">
        <f>MIN(1,MAX(0,(nr_MEndP-$G442+0.5)/$C$400))-MIN(1,MAX(0,(nr_MStartP-1-$G442+0.5)/$C$400))</f>
        <v/>
      </c>
      <c r="R442" s="208">
        <f>MIN(1,MAX(0,(nr_MEndP1-$G442+0.5)/$C$400))-MIN(1,MAX(0,(nr_MStartP1-1-$G442+0.5)/$C$400))</f>
        <v/>
      </c>
      <c r="S442" s="208">
        <f>IF($L$400,$N442*IF($O$400=1,$O442/$F$400,1),"")</f>
        <v/>
      </c>
      <c r="T442" s="208">
        <f>IF(NOT($L$400),"",IF($G442&lt;nr_MStartP,$S442,$T430*(1+IF($G442&lt;nr_MStartP1,$M$400,$N$400))))</f>
        <v/>
      </c>
      <c r="U442" s="208">
        <f>IF($L$400,$T442,$N442)</f>
        <v/>
      </c>
    </row>
    <row r="443">
      <c r="A443" s="145" t="n">
        <v>41</v>
      </c>
      <c r="B443" s="204">
        <f>EDATE($B442,1)</f>
        <v/>
      </c>
      <c r="C443" s="205">
        <f>EOMONTH($B443,0)</f>
        <v/>
      </c>
      <c r="D443" s="201">
        <f>$C443-$B443+1</f>
        <v/>
      </c>
      <c r="E443" s="201">
        <f>MONTH($B443)</f>
        <v/>
      </c>
      <c r="F443" s="235">
        <f>($B443+$C443+1)/2</f>
        <v/>
      </c>
      <c r="G443" s="201">
        <f>YEAR($B443)*12+MONTH($B443)-1</f>
        <v/>
      </c>
      <c r="H443" s="207">
        <f>IF(OR(nr_SeasonOn="OFF",$D$400=0,$E$400=0),1,12*INDEX(se_block,$D$400,$E443)/$E$400)</f>
        <v/>
      </c>
      <c r="I443" s="208">
        <f>EXP(SUMPRODUCT((rl_eff&lt;$B443)*(rl_key=$A$400)*rl_ln1p))</f>
        <v/>
      </c>
      <c r="J443" s="208">
        <f>EXP(SUMPRODUCT((rl_eff&lt;=$C443)*(rl_key=$A$400)*rl_ln1p))</f>
        <v/>
      </c>
      <c r="K443" s="201">
        <f>COUNTIFS(rl_key,$A$400,rl_eff,"&gt;="&amp;$B443,rl_eff,"&lt;="&amp;$C443)</f>
        <v/>
      </c>
      <c r="L443" s="201">
        <f>SUMIFS(rl_daysafter,rl_key,$A$400,rl_effmonth,$B443,rl_first,1)</f>
        <v/>
      </c>
      <c r="M443" s="209">
        <f>IF($K443=0,0,MIN(1,$L443/$D443))</f>
        <v/>
      </c>
      <c r="N443" s="208">
        <f>IF($K443=0,$J443,(1-$M443)*$I443+$M443*$J443)</f>
        <v/>
      </c>
      <c r="O443" s="209">
        <f>IF($F443&lt;$B$401,$E$401+$I$401*($F443-$A$401),IF($F443&lt;$C$401,$F$401+$J$401*($F443-$B$401),$G$401+$K$401*($F443-$C$401)))</f>
        <v/>
      </c>
      <c r="P443" s="208">
        <f>MIN(1,MAX(0,(nr_MEndPm1-$G443+0.5)/$C$400))-MIN(1,MAX(0,(nr_MStartPm1-1-$G443+0.5)/$C$400))</f>
        <v/>
      </c>
      <c r="Q443" s="208">
        <f>MIN(1,MAX(0,(nr_MEndP-$G443+0.5)/$C$400))-MIN(1,MAX(0,(nr_MStartP-1-$G443+0.5)/$C$400))</f>
        <v/>
      </c>
      <c r="R443" s="208">
        <f>MIN(1,MAX(0,(nr_MEndP1-$G443+0.5)/$C$400))-MIN(1,MAX(0,(nr_MStartP1-1-$G443+0.5)/$C$400))</f>
        <v/>
      </c>
      <c r="S443" s="208">
        <f>IF($L$400,$N443*IF($O$400=1,$O443/$F$400,1),"")</f>
        <v/>
      </c>
      <c r="T443" s="208">
        <f>IF(NOT($L$400),"",IF($G443&lt;nr_MStartP,$S443,$T431*(1+IF($G443&lt;nr_MStartP1,$M$400,$N$400))))</f>
        <v/>
      </c>
      <c r="U443" s="208">
        <f>IF($L$400,$T443,$N443)</f>
        <v/>
      </c>
    </row>
    <row r="444">
      <c r="A444" s="145" t="n">
        <v>42</v>
      </c>
      <c r="B444" s="204">
        <f>EDATE($B443,1)</f>
        <v/>
      </c>
      <c r="C444" s="205">
        <f>EOMONTH($B444,0)</f>
        <v/>
      </c>
      <c r="D444" s="201">
        <f>$C444-$B444+1</f>
        <v/>
      </c>
      <c r="E444" s="201">
        <f>MONTH($B444)</f>
        <v/>
      </c>
      <c r="F444" s="235">
        <f>($B444+$C444+1)/2</f>
        <v/>
      </c>
      <c r="G444" s="201">
        <f>YEAR($B444)*12+MONTH($B444)-1</f>
        <v/>
      </c>
      <c r="H444" s="207">
        <f>IF(OR(nr_SeasonOn="OFF",$D$400=0,$E$400=0),1,12*INDEX(se_block,$D$400,$E444)/$E$400)</f>
        <v/>
      </c>
      <c r="I444" s="208">
        <f>EXP(SUMPRODUCT((rl_eff&lt;$B444)*(rl_key=$A$400)*rl_ln1p))</f>
        <v/>
      </c>
      <c r="J444" s="208">
        <f>EXP(SUMPRODUCT((rl_eff&lt;=$C444)*(rl_key=$A$400)*rl_ln1p))</f>
        <v/>
      </c>
      <c r="K444" s="201">
        <f>COUNTIFS(rl_key,$A$400,rl_eff,"&gt;="&amp;$B444,rl_eff,"&lt;="&amp;$C444)</f>
        <v/>
      </c>
      <c r="L444" s="201">
        <f>SUMIFS(rl_daysafter,rl_key,$A$400,rl_effmonth,$B444,rl_first,1)</f>
        <v/>
      </c>
      <c r="M444" s="209">
        <f>IF($K444=0,0,MIN(1,$L444/$D444))</f>
        <v/>
      </c>
      <c r="N444" s="208">
        <f>IF($K444=0,$J444,(1-$M444)*$I444+$M444*$J444)</f>
        <v/>
      </c>
      <c r="O444" s="209">
        <f>IF($F444&lt;$B$401,$E$401+$I$401*($F444-$A$401),IF($F444&lt;$C$401,$F$401+$J$401*($F444-$B$401),$G$401+$K$401*($F444-$C$401)))</f>
        <v/>
      </c>
      <c r="P444" s="208">
        <f>MIN(1,MAX(0,(nr_MEndPm1-$G444+0.5)/$C$400))-MIN(1,MAX(0,(nr_MStartPm1-1-$G444+0.5)/$C$400))</f>
        <v/>
      </c>
      <c r="Q444" s="208">
        <f>MIN(1,MAX(0,(nr_MEndP-$G444+0.5)/$C$400))-MIN(1,MAX(0,(nr_MStartP-1-$G444+0.5)/$C$400))</f>
        <v/>
      </c>
      <c r="R444" s="208">
        <f>MIN(1,MAX(0,(nr_MEndP1-$G444+0.5)/$C$400))-MIN(1,MAX(0,(nr_MStartP1-1-$G444+0.5)/$C$400))</f>
        <v/>
      </c>
      <c r="S444" s="208">
        <f>IF($L$400,$N444*IF($O$400=1,$O444/$F$400,1),"")</f>
        <v/>
      </c>
      <c r="T444" s="208">
        <f>IF(NOT($L$400),"",IF($G444&lt;nr_MStartP,$S444,$T432*(1+IF($G444&lt;nr_MStartP1,$M$400,$N$400))))</f>
        <v/>
      </c>
      <c r="U444" s="208">
        <f>IF($L$400,$T444,$N444)</f>
        <v/>
      </c>
    </row>
    <row r="445">
      <c r="A445" s="145" t="n">
        <v>43</v>
      </c>
      <c r="B445" s="204">
        <f>EDATE($B444,1)</f>
        <v/>
      </c>
      <c r="C445" s="205">
        <f>EOMONTH($B445,0)</f>
        <v/>
      </c>
      <c r="D445" s="201">
        <f>$C445-$B445+1</f>
        <v/>
      </c>
      <c r="E445" s="201">
        <f>MONTH($B445)</f>
        <v/>
      </c>
      <c r="F445" s="235">
        <f>($B445+$C445+1)/2</f>
        <v/>
      </c>
      <c r="G445" s="201">
        <f>YEAR($B445)*12+MONTH($B445)-1</f>
        <v/>
      </c>
      <c r="H445" s="207">
        <f>IF(OR(nr_SeasonOn="OFF",$D$400=0,$E$400=0),1,12*INDEX(se_block,$D$400,$E445)/$E$400)</f>
        <v/>
      </c>
      <c r="I445" s="208">
        <f>EXP(SUMPRODUCT((rl_eff&lt;$B445)*(rl_key=$A$400)*rl_ln1p))</f>
        <v/>
      </c>
      <c r="J445" s="208">
        <f>EXP(SUMPRODUCT((rl_eff&lt;=$C445)*(rl_key=$A$400)*rl_ln1p))</f>
        <v/>
      </c>
      <c r="K445" s="201">
        <f>COUNTIFS(rl_key,$A$400,rl_eff,"&gt;="&amp;$B445,rl_eff,"&lt;="&amp;$C445)</f>
        <v/>
      </c>
      <c r="L445" s="201">
        <f>SUMIFS(rl_daysafter,rl_key,$A$400,rl_effmonth,$B445,rl_first,1)</f>
        <v/>
      </c>
      <c r="M445" s="209">
        <f>IF($K445=0,0,MIN(1,$L445/$D445))</f>
        <v/>
      </c>
      <c r="N445" s="208">
        <f>IF($K445=0,$J445,(1-$M445)*$I445+$M445*$J445)</f>
        <v/>
      </c>
      <c r="O445" s="209">
        <f>IF($F445&lt;$B$401,$E$401+$I$401*($F445-$A$401),IF($F445&lt;$C$401,$F$401+$J$401*($F445-$B$401),$G$401+$K$401*($F445-$C$401)))</f>
        <v/>
      </c>
      <c r="P445" s="208">
        <f>MIN(1,MAX(0,(nr_MEndPm1-$G445+0.5)/$C$400))-MIN(1,MAX(0,(nr_MStartPm1-1-$G445+0.5)/$C$400))</f>
        <v/>
      </c>
      <c r="Q445" s="208">
        <f>MIN(1,MAX(0,(nr_MEndP-$G445+0.5)/$C$400))-MIN(1,MAX(0,(nr_MStartP-1-$G445+0.5)/$C$400))</f>
        <v/>
      </c>
      <c r="R445" s="208">
        <f>MIN(1,MAX(0,(nr_MEndP1-$G445+0.5)/$C$400))-MIN(1,MAX(0,(nr_MStartP1-1-$G445+0.5)/$C$400))</f>
        <v/>
      </c>
      <c r="S445" s="208">
        <f>IF($L$400,$N445*IF($O$400=1,$O445/$F$400,1),"")</f>
        <v/>
      </c>
      <c r="T445" s="208">
        <f>IF(NOT($L$400),"",IF($G445&lt;nr_MStartP,$S445,$T433*(1+IF($G445&lt;nr_MStartP1,$M$400,$N$400))))</f>
        <v/>
      </c>
      <c r="U445" s="208">
        <f>IF($L$400,$T445,$N445)</f>
        <v/>
      </c>
    </row>
    <row r="446">
      <c r="A446" s="145" t="n">
        <v>44</v>
      </c>
      <c r="B446" s="204">
        <f>EDATE($B445,1)</f>
        <v/>
      </c>
      <c r="C446" s="205">
        <f>EOMONTH($B446,0)</f>
        <v/>
      </c>
      <c r="D446" s="201">
        <f>$C446-$B446+1</f>
        <v/>
      </c>
      <c r="E446" s="201">
        <f>MONTH($B446)</f>
        <v/>
      </c>
      <c r="F446" s="235">
        <f>($B446+$C446+1)/2</f>
        <v/>
      </c>
      <c r="G446" s="201">
        <f>YEAR($B446)*12+MONTH($B446)-1</f>
        <v/>
      </c>
      <c r="H446" s="207">
        <f>IF(OR(nr_SeasonOn="OFF",$D$400=0,$E$400=0),1,12*INDEX(se_block,$D$400,$E446)/$E$400)</f>
        <v/>
      </c>
      <c r="I446" s="208">
        <f>EXP(SUMPRODUCT((rl_eff&lt;$B446)*(rl_key=$A$400)*rl_ln1p))</f>
        <v/>
      </c>
      <c r="J446" s="208">
        <f>EXP(SUMPRODUCT((rl_eff&lt;=$C446)*(rl_key=$A$400)*rl_ln1p))</f>
        <v/>
      </c>
      <c r="K446" s="201">
        <f>COUNTIFS(rl_key,$A$400,rl_eff,"&gt;="&amp;$B446,rl_eff,"&lt;="&amp;$C446)</f>
        <v/>
      </c>
      <c r="L446" s="201">
        <f>SUMIFS(rl_daysafter,rl_key,$A$400,rl_effmonth,$B446,rl_first,1)</f>
        <v/>
      </c>
      <c r="M446" s="209">
        <f>IF($K446=0,0,MIN(1,$L446/$D446))</f>
        <v/>
      </c>
      <c r="N446" s="208">
        <f>IF($K446=0,$J446,(1-$M446)*$I446+$M446*$J446)</f>
        <v/>
      </c>
      <c r="O446" s="209">
        <f>IF($F446&lt;$B$401,$E$401+$I$401*($F446-$A$401),IF($F446&lt;$C$401,$F$401+$J$401*($F446-$B$401),$G$401+$K$401*($F446-$C$401)))</f>
        <v/>
      </c>
      <c r="P446" s="208">
        <f>MIN(1,MAX(0,(nr_MEndPm1-$G446+0.5)/$C$400))-MIN(1,MAX(0,(nr_MStartPm1-1-$G446+0.5)/$C$400))</f>
        <v/>
      </c>
      <c r="Q446" s="208">
        <f>MIN(1,MAX(0,(nr_MEndP-$G446+0.5)/$C$400))-MIN(1,MAX(0,(nr_MStartP-1-$G446+0.5)/$C$400))</f>
        <v/>
      </c>
      <c r="R446" s="208">
        <f>MIN(1,MAX(0,(nr_MEndP1-$G446+0.5)/$C$400))-MIN(1,MAX(0,(nr_MStartP1-1-$G446+0.5)/$C$400))</f>
        <v/>
      </c>
      <c r="S446" s="208">
        <f>IF($L$400,$N446*IF($O$400=1,$O446/$F$400,1),"")</f>
        <v/>
      </c>
      <c r="T446" s="208">
        <f>IF(NOT($L$400),"",IF($G446&lt;nr_MStartP,$S446,$T434*(1+IF($G446&lt;nr_MStartP1,$M$400,$N$400))))</f>
        <v/>
      </c>
      <c r="U446" s="208">
        <f>IF($L$400,$T446,$N446)</f>
        <v/>
      </c>
    </row>
    <row r="447">
      <c r="A447" s="145" t="n">
        <v>45</v>
      </c>
      <c r="B447" s="204">
        <f>EDATE($B446,1)</f>
        <v/>
      </c>
      <c r="C447" s="205">
        <f>EOMONTH($B447,0)</f>
        <v/>
      </c>
      <c r="D447" s="201">
        <f>$C447-$B447+1</f>
        <v/>
      </c>
      <c r="E447" s="201">
        <f>MONTH($B447)</f>
        <v/>
      </c>
      <c r="F447" s="235">
        <f>($B447+$C447+1)/2</f>
        <v/>
      </c>
      <c r="G447" s="201">
        <f>YEAR($B447)*12+MONTH($B447)-1</f>
        <v/>
      </c>
      <c r="H447" s="207">
        <f>IF(OR(nr_SeasonOn="OFF",$D$400=0,$E$400=0),1,12*INDEX(se_block,$D$400,$E447)/$E$400)</f>
        <v/>
      </c>
      <c r="I447" s="208">
        <f>EXP(SUMPRODUCT((rl_eff&lt;$B447)*(rl_key=$A$400)*rl_ln1p))</f>
        <v/>
      </c>
      <c r="J447" s="208">
        <f>EXP(SUMPRODUCT((rl_eff&lt;=$C447)*(rl_key=$A$400)*rl_ln1p))</f>
        <v/>
      </c>
      <c r="K447" s="201">
        <f>COUNTIFS(rl_key,$A$400,rl_eff,"&gt;="&amp;$B447,rl_eff,"&lt;="&amp;$C447)</f>
        <v/>
      </c>
      <c r="L447" s="201">
        <f>SUMIFS(rl_daysafter,rl_key,$A$400,rl_effmonth,$B447,rl_first,1)</f>
        <v/>
      </c>
      <c r="M447" s="209">
        <f>IF($K447=0,0,MIN(1,$L447/$D447))</f>
        <v/>
      </c>
      <c r="N447" s="208">
        <f>IF($K447=0,$J447,(1-$M447)*$I447+$M447*$J447)</f>
        <v/>
      </c>
      <c r="O447" s="209">
        <f>IF($F447&lt;$B$401,$E$401+$I$401*($F447-$A$401),IF($F447&lt;$C$401,$F$401+$J$401*($F447-$B$401),$G$401+$K$401*($F447-$C$401)))</f>
        <v/>
      </c>
      <c r="P447" s="208">
        <f>MIN(1,MAX(0,(nr_MEndPm1-$G447+0.5)/$C$400))-MIN(1,MAX(0,(nr_MStartPm1-1-$G447+0.5)/$C$400))</f>
        <v/>
      </c>
      <c r="Q447" s="208">
        <f>MIN(1,MAX(0,(nr_MEndP-$G447+0.5)/$C$400))-MIN(1,MAX(0,(nr_MStartP-1-$G447+0.5)/$C$400))</f>
        <v/>
      </c>
      <c r="R447" s="208">
        <f>MIN(1,MAX(0,(nr_MEndP1-$G447+0.5)/$C$400))-MIN(1,MAX(0,(nr_MStartP1-1-$G447+0.5)/$C$400))</f>
        <v/>
      </c>
      <c r="S447" s="208">
        <f>IF($L$400,$N447*IF($O$400=1,$O447/$F$400,1),"")</f>
        <v/>
      </c>
      <c r="T447" s="208">
        <f>IF(NOT($L$400),"",IF($G447&lt;nr_MStartP,$S447,$T435*(1+IF($G447&lt;nr_MStartP1,$M$400,$N$400))))</f>
        <v/>
      </c>
      <c r="U447" s="208">
        <f>IF($L$400,$T447,$N447)</f>
        <v/>
      </c>
    </row>
    <row r="448">
      <c r="A448" s="145" t="n">
        <v>46</v>
      </c>
      <c r="B448" s="204">
        <f>EDATE($B447,1)</f>
        <v/>
      </c>
      <c r="C448" s="205">
        <f>EOMONTH($B448,0)</f>
        <v/>
      </c>
      <c r="D448" s="201">
        <f>$C448-$B448+1</f>
        <v/>
      </c>
      <c r="E448" s="201">
        <f>MONTH($B448)</f>
        <v/>
      </c>
      <c r="F448" s="235">
        <f>($B448+$C448+1)/2</f>
        <v/>
      </c>
      <c r="G448" s="201">
        <f>YEAR($B448)*12+MONTH($B448)-1</f>
        <v/>
      </c>
      <c r="H448" s="207">
        <f>IF(OR(nr_SeasonOn="OFF",$D$400=0,$E$400=0),1,12*INDEX(se_block,$D$400,$E448)/$E$400)</f>
        <v/>
      </c>
      <c r="I448" s="208">
        <f>EXP(SUMPRODUCT((rl_eff&lt;$B448)*(rl_key=$A$400)*rl_ln1p))</f>
        <v/>
      </c>
      <c r="J448" s="208">
        <f>EXP(SUMPRODUCT((rl_eff&lt;=$C448)*(rl_key=$A$400)*rl_ln1p))</f>
        <v/>
      </c>
      <c r="K448" s="201">
        <f>COUNTIFS(rl_key,$A$400,rl_eff,"&gt;="&amp;$B448,rl_eff,"&lt;="&amp;$C448)</f>
        <v/>
      </c>
      <c r="L448" s="201">
        <f>SUMIFS(rl_daysafter,rl_key,$A$400,rl_effmonth,$B448,rl_first,1)</f>
        <v/>
      </c>
      <c r="M448" s="209">
        <f>IF($K448=0,0,MIN(1,$L448/$D448))</f>
        <v/>
      </c>
      <c r="N448" s="208">
        <f>IF($K448=0,$J448,(1-$M448)*$I448+$M448*$J448)</f>
        <v/>
      </c>
      <c r="O448" s="209">
        <f>IF($F448&lt;$B$401,$E$401+$I$401*($F448-$A$401),IF($F448&lt;$C$401,$F$401+$J$401*($F448-$B$401),$G$401+$K$401*($F448-$C$401)))</f>
        <v/>
      </c>
      <c r="P448" s="208">
        <f>MIN(1,MAX(0,(nr_MEndPm1-$G448+0.5)/$C$400))-MIN(1,MAX(0,(nr_MStartPm1-1-$G448+0.5)/$C$400))</f>
        <v/>
      </c>
      <c r="Q448" s="208">
        <f>MIN(1,MAX(0,(nr_MEndP-$G448+0.5)/$C$400))-MIN(1,MAX(0,(nr_MStartP-1-$G448+0.5)/$C$400))</f>
        <v/>
      </c>
      <c r="R448" s="208">
        <f>MIN(1,MAX(0,(nr_MEndP1-$G448+0.5)/$C$400))-MIN(1,MAX(0,(nr_MStartP1-1-$G448+0.5)/$C$400))</f>
        <v/>
      </c>
      <c r="S448" s="208">
        <f>IF($L$400,$N448*IF($O$400=1,$O448/$F$400,1),"")</f>
        <v/>
      </c>
      <c r="T448" s="208">
        <f>IF(NOT($L$400),"",IF($G448&lt;nr_MStartP,$S448,$T436*(1+IF($G448&lt;nr_MStartP1,$M$400,$N$400))))</f>
        <v/>
      </c>
      <c r="U448" s="208">
        <f>IF($L$400,$T448,$N448)</f>
        <v/>
      </c>
    </row>
    <row r="449">
      <c r="A449" s="145" t="n">
        <v>47</v>
      </c>
      <c r="B449" s="204">
        <f>EDATE($B448,1)</f>
        <v/>
      </c>
      <c r="C449" s="205">
        <f>EOMONTH($B449,0)</f>
        <v/>
      </c>
      <c r="D449" s="201">
        <f>$C449-$B449+1</f>
        <v/>
      </c>
      <c r="E449" s="201">
        <f>MONTH($B449)</f>
        <v/>
      </c>
      <c r="F449" s="235">
        <f>($B449+$C449+1)/2</f>
        <v/>
      </c>
      <c r="G449" s="201">
        <f>YEAR($B449)*12+MONTH($B449)-1</f>
        <v/>
      </c>
      <c r="H449" s="207">
        <f>IF(OR(nr_SeasonOn="OFF",$D$400=0,$E$400=0),1,12*INDEX(se_block,$D$400,$E449)/$E$400)</f>
        <v/>
      </c>
      <c r="I449" s="208">
        <f>EXP(SUMPRODUCT((rl_eff&lt;$B449)*(rl_key=$A$400)*rl_ln1p))</f>
        <v/>
      </c>
      <c r="J449" s="208">
        <f>EXP(SUMPRODUCT((rl_eff&lt;=$C449)*(rl_key=$A$400)*rl_ln1p))</f>
        <v/>
      </c>
      <c r="K449" s="201">
        <f>COUNTIFS(rl_key,$A$400,rl_eff,"&gt;="&amp;$B449,rl_eff,"&lt;="&amp;$C449)</f>
        <v/>
      </c>
      <c r="L449" s="201">
        <f>SUMIFS(rl_daysafter,rl_key,$A$400,rl_effmonth,$B449,rl_first,1)</f>
        <v/>
      </c>
      <c r="M449" s="209">
        <f>IF($K449=0,0,MIN(1,$L449/$D449))</f>
        <v/>
      </c>
      <c r="N449" s="208">
        <f>IF($K449=0,$J449,(1-$M449)*$I449+$M449*$J449)</f>
        <v/>
      </c>
      <c r="O449" s="209">
        <f>IF($F449&lt;$B$401,$E$401+$I$401*($F449-$A$401),IF($F449&lt;$C$401,$F$401+$J$401*($F449-$B$401),$G$401+$K$401*($F449-$C$401)))</f>
        <v/>
      </c>
      <c r="P449" s="208">
        <f>MIN(1,MAX(0,(nr_MEndPm1-$G449+0.5)/$C$400))-MIN(1,MAX(0,(nr_MStartPm1-1-$G449+0.5)/$C$400))</f>
        <v/>
      </c>
      <c r="Q449" s="208">
        <f>MIN(1,MAX(0,(nr_MEndP-$G449+0.5)/$C$400))-MIN(1,MAX(0,(nr_MStartP-1-$G449+0.5)/$C$400))</f>
        <v/>
      </c>
      <c r="R449" s="208">
        <f>MIN(1,MAX(0,(nr_MEndP1-$G449+0.5)/$C$400))-MIN(1,MAX(0,(nr_MStartP1-1-$G449+0.5)/$C$400))</f>
        <v/>
      </c>
      <c r="S449" s="208">
        <f>IF($L$400,$N449*IF($O$400=1,$O449/$F$400,1),"")</f>
        <v/>
      </c>
      <c r="T449" s="208">
        <f>IF(NOT($L$400),"",IF($G449&lt;nr_MStartP,$S449,$T437*(1+IF($G449&lt;nr_MStartP1,$M$400,$N$400))))</f>
        <v/>
      </c>
      <c r="U449" s="208">
        <f>IF($L$400,$T449,$N449)</f>
        <v/>
      </c>
    </row>
    <row r="450">
      <c r="A450" s="145" t="n">
        <v>48</v>
      </c>
      <c r="B450" s="204">
        <f>EDATE($B449,1)</f>
        <v/>
      </c>
      <c r="C450" s="205">
        <f>EOMONTH($B450,0)</f>
        <v/>
      </c>
      <c r="D450" s="201">
        <f>$C450-$B450+1</f>
        <v/>
      </c>
      <c r="E450" s="201">
        <f>MONTH($B450)</f>
        <v/>
      </c>
      <c r="F450" s="235">
        <f>($B450+$C450+1)/2</f>
        <v/>
      </c>
      <c r="G450" s="201">
        <f>YEAR($B450)*12+MONTH($B450)-1</f>
        <v/>
      </c>
      <c r="H450" s="207">
        <f>IF(OR(nr_SeasonOn="OFF",$D$400=0,$E$400=0),1,12*INDEX(se_block,$D$400,$E450)/$E$400)</f>
        <v/>
      </c>
      <c r="I450" s="208">
        <f>EXP(SUMPRODUCT((rl_eff&lt;$B450)*(rl_key=$A$400)*rl_ln1p))</f>
        <v/>
      </c>
      <c r="J450" s="208">
        <f>EXP(SUMPRODUCT((rl_eff&lt;=$C450)*(rl_key=$A$400)*rl_ln1p))</f>
        <v/>
      </c>
      <c r="K450" s="201">
        <f>COUNTIFS(rl_key,$A$400,rl_eff,"&gt;="&amp;$B450,rl_eff,"&lt;="&amp;$C450)</f>
        <v/>
      </c>
      <c r="L450" s="201">
        <f>SUMIFS(rl_daysafter,rl_key,$A$400,rl_effmonth,$B450,rl_first,1)</f>
        <v/>
      </c>
      <c r="M450" s="209">
        <f>IF($K450=0,0,MIN(1,$L450/$D450))</f>
        <v/>
      </c>
      <c r="N450" s="208">
        <f>IF($K450=0,$J450,(1-$M450)*$I450+$M450*$J450)</f>
        <v/>
      </c>
      <c r="O450" s="209">
        <f>IF($F450&lt;$B$401,$E$401+$I$401*($F450-$A$401),IF($F450&lt;$C$401,$F$401+$J$401*($F450-$B$401),$G$401+$K$401*($F450-$C$401)))</f>
        <v/>
      </c>
      <c r="P450" s="208">
        <f>MIN(1,MAX(0,(nr_MEndPm1-$G450+0.5)/$C$400))-MIN(1,MAX(0,(nr_MStartPm1-1-$G450+0.5)/$C$400))</f>
        <v/>
      </c>
      <c r="Q450" s="208">
        <f>MIN(1,MAX(0,(nr_MEndP-$G450+0.5)/$C$400))-MIN(1,MAX(0,(nr_MStartP-1-$G450+0.5)/$C$400))</f>
        <v/>
      </c>
      <c r="R450" s="208">
        <f>MIN(1,MAX(0,(nr_MEndP1-$G450+0.5)/$C$400))-MIN(1,MAX(0,(nr_MStartP1-1-$G450+0.5)/$C$400))</f>
        <v/>
      </c>
      <c r="S450" s="208">
        <f>IF($L$400,$N450*IF($O$400=1,$O450/$F$400,1),"")</f>
        <v/>
      </c>
      <c r="T450" s="208">
        <f>IF(NOT($L$400),"",IF($G450&lt;nr_MStartP,$S450,$T438*(1+IF($G450&lt;nr_MStartP1,$M$400,$N$400))))</f>
        <v/>
      </c>
      <c r="U450" s="208">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184">
        <f>SUMPRODUCT($H$403:$H$450,$Q$403:$Q$450,$O$403:$O$450)/SUMPRODUCT($H$403:$H$450,$Q$403:$Q$450)</f>
        <v/>
      </c>
      <c r="G451" s="184">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184">
        <f>IF(N(INDEX(lr_mind,8))=0,1,INDEX(lr_mind,8))</f>
        <v/>
      </c>
      <c r="G454" s="184">
        <f>IF(N(INDEX(lr_m0,8))=0,1,INDEX(lr_m0,8))</f>
        <v/>
      </c>
      <c r="H454" s="73">
        <f>IF(N(INDEX(lr_m0asof,8))=0,DATE(nr_PlanYear-1,10,1),INDEX(lr_m0asof,8))</f>
        <v/>
      </c>
      <c r="I454" s="184">
        <f>IF(N(INDEX(lr_m1,8))=0,1,INDEX(lr_m1,8))</f>
        <v/>
      </c>
      <c r="J454" s="184">
        <f>INDEX(lr_mprior,8)</f>
        <v/>
      </c>
      <c r="K454" s="184">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145" t="n">
        <v>1</v>
      </c>
      <c r="B457" s="204">
        <f>DATE(nr_PlanYear-2,1,1)</f>
        <v/>
      </c>
      <c r="C457" s="205">
        <f>EOMONTH($B457,0)</f>
        <v/>
      </c>
      <c r="D457" s="201">
        <f>$C457-$B457+1</f>
        <v/>
      </c>
      <c r="E457" s="201">
        <f>MONTH($B457)</f>
        <v/>
      </c>
      <c r="F457" s="235">
        <f>($B457+$C457+1)/2</f>
        <v/>
      </c>
      <c r="G457" s="201">
        <f>YEAR($B457)*12+MONTH($B457)-1</f>
        <v/>
      </c>
      <c r="H457" s="207">
        <f>IF(OR(nr_SeasonOn="OFF",$D$454=0,$E$454=0),1,12*INDEX(se_block,$D$454,$E457)/$E$454)</f>
        <v/>
      </c>
      <c r="I457" s="208">
        <f>EXP(SUMPRODUCT((rl_eff&lt;$B457)*(rl_key=$A$454)*rl_ln1p))</f>
        <v/>
      </c>
      <c r="J457" s="208">
        <f>EXP(SUMPRODUCT((rl_eff&lt;=$C457)*(rl_key=$A$454)*rl_ln1p))</f>
        <v/>
      </c>
      <c r="K457" s="201">
        <f>COUNTIFS(rl_key,$A$454,rl_eff,"&gt;="&amp;$B457,rl_eff,"&lt;="&amp;$C457)</f>
        <v/>
      </c>
      <c r="L457" s="201">
        <f>SUMIFS(rl_daysafter,rl_key,$A$454,rl_effmonth,$B457,rl_first,1)</f>
        <v/>
      </c>
      <c r="M457" s="209">
        <f>IF($K457=0,0,MIN(1,$L457/$D457))</f>
        <v/>
      </c>
      <c r="N457" s="208">
        <f>IF($K457=0,$J457,(1-$M457)*$I457+$M457*$J457)</f>
        <v/>
      </c>
      <c r="O457" s="209">
        <f>IF($F457&lt;$B$455,$E$455+$I$455*($F457-$A$455),IF($F457&lt;$C$455,$F$455+$J$455*($F457-$B$455),$G$455+$K$455*($F457-$C$455)))</f>
        <v/>
      </c>
      <c r="P457" s="208">
        <f>MIN(1,MAX(0,(nr_MEndPm1-$G457+0.5)/$C$454))-MIN(1,MAX(0,(nr_MStartPm1-1-$G457+0.5)/$C$454))</f>
        <v/>
      </c>
      <c r="Q457" s="208">
        <f>MIN(1,MAX(0,(nr_MEndP-$G457+0.5)/$C$454))-MIN(1,MAX(0,(nr_MStartP-1-$G457+0.5)/$C$454))</f>
        <v/>
      </c>
      <c r="R457" s="208">
        <f>MIN(1,MAX(0,(nr_MEndP1-$G457+0.5)/$C$454))-MIN(1,MAX(0,(nr_MStartP1-1-$G457+0.5)/$C$454))</f>
        <v/>
      </c>
      <c r="S457" s="208">
        <f>IF($L$454,$N457*IF($O$454=1,$O457/$F$454,1),"")</f>
        <v/>
      </c>
      <c r="T457" s="208">
        <f>IF(NOT($L$454),"",IF($G457&lt;nr_MStartP,$S457,$T445*(1+IF($G457&lt;nr_MStartP1,$M$454,$N$454))))</f>
        <v/>
      </c>
      <c r="U457" s="208">
        <f>IF($L$454,$T457,$N457)</f>
        <v/>
      </c>
    </row>
    <row r="458">
      <c r="A458" s="145" t="n">
        <v>2</v>
      </c>
      <c r="B458" s="204">
        <f>EDATE($B457,1)</f>
        <v/>
      </c>
      <c r="C458" s="205">
        <f>EOMONTH($B458,0)</f>
        <v/>
      </c>
      <c r="D458" s="201">
        <f>$C458-$B458+1</f>
        <v/>
      </c>
      <c r="E458" s="201">
        <f>MONTH($B458)</f>
        <v/>
      </c>
      <c r="F458" s="235">
        <f>($B458+$C458+1)/2</f>
        <v/>
      </c>
      <c r="G458" s="201">
        <f>YEAR($B458)*12+MONTH($B458)-1</f>
        <v/>
      </c>
      <c r="H458" s="207">
        <f>IF(OR(nr_SeasonOn="OFF",$D$454=0,$E$454=0),1,12*INDEX(se_block,$D$454,$E458)/$E$454)</f>
        <v/>
      </c>
      <c r="I458" s="208">
        <f>EXP(SUMPRODUCT((rl_eff&lt;$B458)*(rl_key=$A$454)*rl_ln1p))</f>
        <v/>
      </c>
      <c r="J458" s="208">
        <f>EXP(SUMPRODUCT((rl_eff&lt;=$C458)*(rl_key=$A$454)*rl_ln1p))</f>
        <v/>
      </c>
      <c r="K458" s="201">
        <f>COUNTIFS(rl_key,$A$454,rl_eff,"&gt;="&amp;$B458,rl_eff,"&lt;="&amp;$C458)</f>
        <v/>
      </c>
      <c r="L458" s="201">
        <f>SUMIFS(rl_daysafter,rl_key,$A$454,rl_effmonth,$B458,rl_first,1)</f>
        <v/>
      </c>
      <c r="M458" s="209">
        <f>IF($K458=0,0,MIN(1,$L458/$D458))</f>
        <v/>
      </c>
      <c r="N458" s="208">
        <f>IF($K458=0,$J458,(1-$M458)*$I458+$M458*$J458)</f>
        <v/>
      </c>
      <c r="O458" s="209">
        <f>IF($F458&lt;$B$455,$E$455+$I$455*($F458-$A$455),IF($F458&lt;$C$455,$F$455+$J$455*($F458-$B$455),$G$455+$K$455*($F458-$C$455)))</f>
        <v/>
      </c>
      <c r="P458" s="208">
        <f>MIN(1,MAX(0,(nr_MEndPm1-$G458+0.5)/$C$454))-MIN(1,MAX(0,(nr_MStartPm1-1-$G458+0.5)/$C$454))</f>
        <v/>
      </c>
      <c r="Q458" s="208">
        <f>MIN(1,MAX(0,(nr_MEndP-$G458+0.5)/$C$454))-MIN(1,MAX(0,(nr_MStartP-1-$G458+0.5)/$C$454))</f>
        <v/>
      </c>
      <c r="R458" s="208">
        <f>MIN(1,MAX(0,(nr_MEndP1-$G458+0.5)/$C$454))-MIN(1,MAX(0,(nr_MStartP1-1-$G458+0.5)/$C$454))</f>
        <v/>
      </c>
      <c r="S458" s="208">
        <f>IF($L$454,$N458*IF($O$454=1,$O458/$F$454,1),"")</f>
        <v/>
      </c>
      <c r="T458" s="208">
        <f>IF(NOT($L$454),"",IF($G458&lt;nr_MStartP,$S458,$T446*(1+IF($G458&lt;nr_MStartP1,$M$454,$N$454))))</f>
        <v/>
      </c>
      <c r="U458" s="208">
        <f>IF($L$454,$T458,$N458)</f>
        <v/>
      </c>
    </row>
    <row r="459">
      <c r="A459" s="145" t="n">
        <v>3</v>
      </c>
      <c r="B459" s="204">
        <f>EDATE($B458,1)</f>
        <v/>
      </c>
      <c r="C459" s="205">
        <f>EOMONTH($B459,0)</f>
        <v/>
      </c>
      <c r="D459" s="201">
        <f>$C459-$B459+1</f>
        <v/>
      </c>
      <c r="E459" s="201">
        <f>MONTH($B459)</f>
        <v/>
      </c>
      <c r="F459" s="235">
        <f>($B459+$C459+1)/2</f>
        <v/>
      </c>
      <c r="G459" s="201">
        <f>YEAR($B459)*12+MONTH($B459)-1</f>
        <v/>
      </c>
      <c r="H459" s="207">
        <f>IF(OR(nr_SeasonOn="OFF",$D$454=0,$E$454=0),1,12*INDEX(se_block,$D$454,$E459)/$E$454)</f>
        <v/>
      </c>
      <c r="I459" s="208">
        <f>EXP(SUMPRODUCT((rl_eff&lt;$B459)*(rl_key=$A$454)*rl_ln1p))</f>
        <v/>
      </c>
      <c r="J459" s="208">
        <f>EXP(SUMPRODUCT((rl_eff&lt;=$C459)*(rl_key=$A$454)*rl_ln1p))</f>
        <v/>
      </c>
      <c r="K459" s="201">
        <f>COUNTIFS(rl_key,$A$454,rl_eff,"&gt;="&amp;$B459,rl_eff,"&lt;="&amp;$C459)</f>
        <v/>
      </c>
      <c r="L459" s="201">
        <f>SUMIFS(rl_daysafter,rl_key,$A$454,rl_effmonth,$B459,rl_first,1)</f>
        <v/>
      </c>
      <c r="M459" s="209">
        <f>IF($K459=0,0,MIN(1,$L459/$D459))</f>
        <v/>
      </c>
      <c r="N459" s="208">
        <f>IF($K459=0,$J459,(1-$M459)*$I459+$M459*$J459)</f>
        <v/>
      </c>
      <c r="O459" s="209">
        <f>IF($F459&lt;$B$455,$E$455+$I$455*($F459-$A$455),IF($F459&lt;$C$455,$F$455+$J$455*($F459-$B$455),$G$455+$K$455*($F459-$C$455)))</f>
        <v/>
      </c>
      <c r="P459" s="208">
        <f>MIN(1,MAX(0,(nr_MEndPm1-$G459+0.5)/$C$454))-MIN(1,MAX(0,(nr_MStartPm1-1-$G459+0.5)/$C$454))</f>
        <v/>
      </c>
      <c r="Q459" s="208">
        <f>MIN(1,MAX(0,(nr_MEndP-$G459+0.5)/$C$454))-MIN(1,MAX(0,(nr_MStartP-1-$G459+0.5)/$C$454))</f>
        <v/>
      </c>
      <c r="R459" s="208">
        <f>MIN(1,MAX(0,(nr_MEndP1-$G459+0.5)/$C$454))-MIN(1,MAX(0,(nr_MStartP1-1-$G459+0.5)/$C$454))</f>
        <v/>
      </c>
      <c r="S459" s="208">
        <f>IF($L$454,$N459*IF($O$454=1,$O459/$F$454,1),"")</f>
        <v/>
      </c>
      <c r="T459" s="208">
        <f>IF(NOT($L$454),"",IF($G459&lt;nr_MStartP,$S459,$T447*(1+IF($G459&lt;nr_MStartP1,$M$454,$N$454))))</f>
        <v/>
      </c>
      <c r="U459" s="208">
        <f>IF($L$454,$T459,$N459)</f>
        <v/>
      </c>
    </row>
    <row r="460">
      <c r="A460" s="145" t="n">
        <v>4</v>
      </c>
      <c r="B460" s="204">
        <f>EDATE($B459,1)</f>
        <v/>
      </c>
      <c r="C460" s="205">
        <f>EOMONTH($B460,0)</f>
        <v/>
      </c>
      <c r="D460" s="201">
        <f>$C460-$B460+1</f>
        <v/>
      </c>
      <c r="E460" s="201">
        <f>MONTH($B460)</f>
        <v/>
      </c>
      <c r="F460" s="235">
        <f>($B460+$C460+1)/2</f>
        <v/>
      </c>
      <c r="G460" s="201">
        <f>YEAR($B460)*12+MONTH($B460)-1</f>
        <v/>
      </c>
      <c r="H460" s="207">
        <f>IF(OR(nr_SeasonOn="OFF",$D$454=0,$E$454=0),1,12*INDEX(se_block,$D$454,$E460)/$E$454)</f>
        <v/>
      </c>
      <c r="I460" s="208">
        <f>EXP(SUMPRODUCT((rl_eff&lt;$B460)*(rl_key=$A$454)*rl_ln1p))</f>
        <v/>
      </c>
      <c r="J460" s="208">
        <f>EXP(SUMPRODUCT((rl_eff&lt;=$C460)*(rl_key=$A$454)*rl_ln1p))</f>
        <v/>
      </c>
      <c r="K460" s="201">
        <f>COUNTIFS(rl_key,$A$454,rl_eff,"&gt;="&amp;$B460,rl_eff,"&lt;="&amp;$C460)</f>
        <v/>
      </c>
      <c r="L460" s="201">
        <f>SUMIFS(rl_daysafter,rl_key,$A$454,rl_effmonth,$B460,rl_first,1)</f>
        <v/>
      </c>
      <c r="M460" s="209">
        <f>IF($K460=0,0,MIN(1,$L460/$D460))</f>
        <v/>
      </c>
      <c r="N460" s="208">
        <f>IF($K460=0,$J460,(1-$M460)*$I460+$M460*$J460)</f>
        <v/>
      </c>
      <c r="O460" s="209">
        <f>IF($F460&lt;$B$455,$E$455+$I$455*($F460-$A$455),IF($F460&lt;$C$455,$F$455+$J$455*($F460-$B$455),$G$455+$K$455*($F460-$C$455)))</f>
        <v/>
      </c>
      <c r="P460" s="208">
        <f>MIN(1,MAX(0,(nr_MEndPm1-$G460+0.5)/$C$454))-MIN(1,MAX(0,(nr_MStartPm1-1-$G460+0.5)/$C$454))</f>
        <v/>
      </c>
      <c r="Q460" s="208">
        <f>MIN(1,MAX(0,(nr_MEndP-$G460+0.5)/$C$454))-MIN(1,MAX(0,(nr_MStartP-1-$G460+0.5)/$C$454))</f>
        <v/>
      </c>
      <c r="R460" s="208">
        <f>MIN(1,MAX(0,(nr_MEndP1-$G460+0.5)/$C$454))-MIN(1,MAX(0,(nr_MStartP1-1-$G460+0.5)/$C$454))</f>
        <v/>
      </c>
      <c r="S460" s="208">
        <f>IF($L$454,$N460*IF($O$454=1,$O460/$F$454,1),"")</f>
        <v/>
      </c>
      <c r="T460" s="208">
        <f>IF(NOT($L$454),"",IF($G460&lt;nr_MStartP,$S460,$T448*(1+IF($G460&lt;nr_MStartP1,$M$454,$N$454))))</f>
        <v/>
      </c>
      <c r="U460" s="208">
        <f>IF($L$454,$T460,$N460)</f>
        <v/>
      </c>
    </row>
    <row r="461">
      <c r="A461" s="145" t="n">
        <v>5</v>
      </c>
      <c r="B461" s="204">
        <f>EDATE($B460,1)</f>
        <v/>
      </c>
      <c r="C461" s="205">
        <f>EOMONTH($B461,0)</f>
        <v/>
      </c>
      <c r="D461" s="201">
        <f>$C461-$B461+1</f>
        <v/>
      </c>
      <c r="E461" s="201">
        <f>MONTH($B461)</f>
        <v/>
      </c>
      <c r="F461" s="235">
        <f>($B461+$C461+1)/2</f>
        <v/>
      </c>
      <c r="G461" s="201">
        <f>YEAR($B461)*12+MONTH($B461)-1</f>
        <v/>
      </c>
      <c r="H461" s="207">
        <f>IF(OR(nr_SeasonOn="OFF",$D$454=0,$E$454=0),1,12*INDEX(se_block,$D$454,$E461)/$E$454)</f>
        <v/>
      </c>
      <c r="I461" s="208">
        <f>EXP(SUMPRODUCT((rl_eff&lt;$B461)*(rl_key=$A$454)*rl_ln1p))</f>
        <v/>
      </c>
      <c r="J461" s="208">
        <f>EXP(SUMPRODUCT((rl_eff&lt;=$C461)*(rl_key=$A$454)*rl_ln1p))</f>
        <v/>
      </c>
      <c r="K461" s="201">
        <f>COUNTIFS(rl_key,$A$454,rl_eff,"&gt;="&amp;$B461,rl_eff,"&lt;="&amp;$C461)</f>
        <v/>
      </c>
      <c r="L461" s="201">
        <f>SUMIFS(rl_daysafter,rl_key,$A$454,rl_effmonth,$B461,rl_first,1)</f>
        <v/>
      </c>
      <c r="M461" s="209">
        <f>IF($K461=0,0,MIN(1,$L461/$D461))</f>
        <v/>
      </c>
      <c r="N461" s="208">
        <f>IF($K461=0,$J461,(1-$M461)*$I461+$M461*$J461)</f>
        <v/>
      </c>
      <c r="O461" s="209">
        <f>IF($F461&lt;$B$455,$E$455+$I$455*($F461-$A$455),IF($F461&lt;$C$455,$F$455+$J$455*($F461-$B$455),$G$455+$K$455*($F461-$C$455)))</f>
        <v/>
      </c>
      <c r="P461" s="208">
        <f>MIN(1,MAX(0,(nr_MEndPm1-$G461+0.5)/$C$454))-MIN(1,MAX(0,(nr_MStartPm1-1-$G461+0.5)/$C$454))</f>
        <v/>
      </c>
      <c r="Q461" s="208">
        <f>MIN(1,MAX(0,(nr_MEndP-$G461+0.5)/$C$454))-MIN(1,MAX(0,(nr_MStartP-1-$G461+0.5)/$C$454))</f>
        <v/>
      </c>
      <c r="R461" s="208">
        <f>MIN(1,MAX(0,(nr_MEndP1-$G461+0.5)/$C$454))-MIN(1,MAX(0,(nr_MStartP1-1-$G461+0.5)/$C$454))</f>
        <v/>
      </c>
      <c r="S461" s="208">
        <f>IF($L$454,$N461*IF($O$454=1,$O461/$F$454,1),"")</f>
        <v/>
      </c>
      <c r="T461" s="208">
        <f>IF(NOT($L$454),"",IF($G461&lt;nr_MStartP,$S461,$T449*(1+IF($G461&lt;nr_MStartP1,$M$454,$N$454))))</f>
        <v/>
      </c>
      <c r="U461" s="208">
        <f>IF($L$454,$T461,$N461)</f>
        <v/>
      </c>
    </row>
    <row r="462">
      <c r="A462" s="145" t="n">
        <v>6</v>
      </c>
      <c r="B462" s="204">
        <f>EDATE($B461,1)</f>
        <v/>
      </c>
      <c r="C462" s="205">
        <f>EOMONTH($B462,0)</f>
        <v/>
      </c>
      <c r="D462" s="201">
        <f>$C462-$B462+1</f>
        <v/>
      </c>
      <c r="E462" s="201">
        <f>MONTH($B462)</f>
        <v/>
      </c>
      <c r="F462" s="235">
        <f>($B462+$C462+1)/2</f>
        <v/>
      </c>
      <c r="G462" s="201">
        <f>YEAR($B462)*12+MONTH($B462)-1</f>
        <v/>
      </c>
      <c r="H462" s="207">
        <f>IF(OR(nr_SeasonOn="OFF",$D$454=0,$E$454=0),1,12*INDEX(se_block,$D$454,$E462)/$E$454)</f>
        <v/>
      </c>
      <c r="I462" s="208">
        <f>EXP(SUMPRODUCT((rl_eff&lt;$B462)*(rl_key=$A$454)*rl_ln1p))</f>
        <v/>
      </c>
      <c r="J462" s="208">
        <f>EXP(SUMPRODUCT((rl_eff&lt;=$C462)*(rl_key=$A$454)*rl_ln1p))</f>
        <v/>
      </c>
      <c r="K462" s="201">
        <f>COUNTIFS(rl_key,$A$454,rl_eff,"&gt;="&amp;$B462,rl_eff,"&lt;="&amp;$C462)</f>
        <v/>
      </c>
      <c r="L462" s="201">
        <f>SUMIFS(rl_daysafter,rl_key,$A$454,rl_effmonth,$B462,rl_first,1)</f>
        <v/>
      </c>
      <c r="M462" s="209">
        <f>IF($K462=0,0,MIN(1,$L462/$D462))</f>
        <v/>
      </c>
      <c r="N462" s="208">
        <f>IF($K462=0,$J462,(1-$M462)*$I462+$M462*$J462)</f>
        <v/>
      </c>
      <c r="O462" s="209">
        <f>IF($F462&lt;$B$455,$E$455+$I$455*($F462-$A$455),IF($F462&lt;$C$455,$F$455+$J$455*($F462-$B$455),$G$455+$K$455*($F462-$C$455)))</f>
        <v/>
      </c>
      <c r="P462" s="208">
        <f>MIN(1,MAX(0,(nr_MEndPm1-$G462+0.5)/$C$454))-MIN(1,MAX(0,(nr_MStartPm1-1-$G462+0.5)/$C$454))</f>
        <v/>
      </c>
      <c r="Q462" s="208">
        <f>MIN(1,MAX(0,(nr_MEndP-$G462+0.5)/$C$454))-MIN(1,MAX(0,(nr_MStartP-1-$G462+0.5)/$C$454))</f>
        <v/>
      </c>
      <c r="R462" s="208">
        <f>MIN(1,MAX(0,(nr_MEndP1-$G462+0.5)/$C$454))-MIN(1,MAX(0,(nr_MStartP1-1-$G462+0.5)/$C$454))</f>
        <v/>
      </c>
      <c r="S462" s="208">
        <f>IF($L$454,$N462*IF($O$454=1,$O462/$F$454,1),"")</f>
        <v/>
      </c>
      <c r="T462" s="208">
        <f>IF(NOT($L$454),"",IF($G462&lt;nr_MStartP,$S462,$T450*(1+IF($G462&lt;nr_MStartP1,$M$454,$N$454))))</f>
        <v/>
      </c>
      <c r="U462" s="208">
        <f>IF($L$454,$T462,$N462)</f>
        <v/>
      </c>
    </row>
    <row r="463">
      <c r="A463" s="145" t="n">
        <v>7</v>
      </c>
      <c r="B463" s="204">
        <f>EDATE($B462,1)</f>
        <v/>
      </c>
      <c r="C463" s="205">
        <f>EOMONTH($B463,0)</f>
        <v/>
      </c>
      <c r="D463" s="201">
        <f>$C463-$B463+1</f>
        <v/>
      </c>
      <c r="E463" s="201">
        <f>MONTH($B463)</f>
        <v/>
      </c>
      <c r="F463" s="235">
        <f>($B463+$C463+1)/2</f>
        <v/>
      </c>
      <c r="G463" s="201">
        <f>YEAR($B463)*12+MONTH($B463)-1</f>
        <v/>
      </c>
      <c r="H463" s="207">
        <f>IF(OR(nr_SeasonOn="OFF",$D$454=0,$E$454=0),1,12*INDEX(se_block,$D$454,$E463)/$E$454)</f>
        <v/>
      </c>
      <c r="I463" s="208">
        <f>EXP(SUMPRODUCT((rl_eff&lt;$B463)*(rl_key=$A$454)*rl_ln1p))</f>
        <v/>
      </c>
      <c r="J463" s="208">
        <f>EXP(SUMPRODUCT((rl_eff&lt;=$C463)*(rl_key=$A$454)*rl_ln1p))</f>
        <v/>
      </c>
      <c r="K463" s="201">
        <f>COUNTIFS(rl_key,$A$454,rl_eff,"&gt;="&amp;$B463,rl_eff,"&lt;="&amp;$C463)</f>
        <v/>
      </c>
      <c r="L463" s="201">
        <f>SUMIFS(rl_daysafter,rl_key,$A$454,rl_effmonth,$B463,rl_first,1)</f>
        <v/>
      </c>
      <c r="M463" s="209">
        <f>IF($K463=0,0,MIN(1,$L463/$D463))</f>
        <v/>
      </c>
      <c r="N463" s="208">
        <f>IF($K463=0,$J463,(1-$M463)*$I463+$M463*$J463)</f>
        <v/>
      </c>
      <c r="O463" s="209">
        <f>IF($F463&lt;$B$455,$E$455+$I$455*($F463-$A$455),IF($F463&lt;$C$455,$F$455+$J$455*($F463-$B$455),$G$455+$K$455*($F463-$C$455)))</f>
        <v/>
      </c>
      <c r="P463" s="208">
        <f>MIN(1,MAX(0,(nr_MEndPm1-$G463+0.5)/$C$454))-MIN(1,MAX(0,(nr_MStartPm1-1-$G463+0.5)/$C$454))</f>
        <v/>
      </c>
      <c r="Q463" s="208">
        <f>MIN(1,MAX(0,(nr_MEndP-$G463+0.5)/$C$454))-MIN(1,MAX(0,(nr_MStartP-1-$G463+0.5)/$C$454))</f>
        <v/>
      </c>
      <c r="R463" s="208">
        <f>MIN(1,MAX(0,(nr_MEndP1-$G463+0.5)/$C$454))-MIN(1,MAX(0,(nr_MStartP1-1-$G463+0.5)/$C$454))</f>
        <v/>
      </c>
      <c r="S463" s="208">
        <f>IF($L$454,$N463*IF($O$454=1,$O463/$F$454,1),"")</f>
        <v/>
      </c>
      <c r="T463" s="208">
        <f>IF(NOT($L$454),"",IF($G463&lt;nr_MStartP,$S463,$T451*(1+IF($G463&lt;nr_MStartP1,$M$454,$N$454))))</f>
        <v/>
      </c>
      <c r="U463" s="208">
        <f>IF($L$454,$T463,$N463)</f>
        <v/>
      </c>
    </row>
    <row r="464">
      <c r="A464" s="145" t="n">
        <v>8</v>
      </c>
      <c r="B464" s="204">
        <f>EDATE($B463,1)</f>
        <v/>
      </c>
      <c r="C464" s="205">
        <f>EOMONTH($B464,0)</f>
        <v/>
      </c>
      <c r="D464" s="201">
        <f>$C464-$B464+1</f>
        <v/>
      </c>
      <c r="E464" s="201">
        <f>MONTH($B464)</f>
        <v/>
      </c>
      <c r="F464" s="235">
        <f>($B464+$C464+1)/2</f>
        <v/>
      </c>
      <c r="G464" s="201">
        <f>YEAR($B464)*12+MONTH($B464)-1</f>
        <v/>
      </c>
      <c r="H464" s="207">
        <f>IF(OR(nr_SeasonOn="OFF",$D$454=0,$E$454=0),1,12*INDEX(se_block,$D$454,$E464)/$E$454)</f>
        <v/>
      </c>
      <c r="I464" s="208">
        <f>EXP(SUMPRODUCT((rl_eff&lt;$B464)*(rl_key=$A$454)*rl_ln1p))</f>
        <v/>
      </c>
      <c r="J464" s="208">
        <f>EXP(SUMPRODUCT((rl_eff&lt;=$C464)*(rl_key=$A$454)*rl_ln1p))</f>
        <v/>
      </c>
      <c r="K464" s="201">
        <f>COUNTIFS(rl_key,$A$454,rl_eff,"&gt;="&amp;$B464,rl_eff,"&lt;="&amp;$C464)</f>
        <v/>
      </c>
      <c r="L464" s="201">
        <f>SUMIFS(rl_daysafter,rl_key,$A$454,rl_effmonth,$B464,rl_first,1)</f>
        <v/>
      </c>
      <c r="M464" s="209">
        <f>IF($K464=0,0,MIN(1,$L464/$D464))</f>
        <v/>
      </c>
      <c r="N464" s="208">
        <f>IF($K464=0,$J464,(1-$M464)*$I464+$M464*$J464)</f>
        <v/>
      </c>
      <c r="O464" s="209">
        <f>IF($F464&lt;$B$455,$E$455+$I$455*($F464-$A$455),IF($F464&lt;$C$455,$F$455+$J$455*($F464-$B$455),$G$455+$K$455*($F464-$C$455)))</f>
        <v/>
      </c>
      <c r="P464" s="208">
        <f>MIN(1,MAX(0,(nr_MEndPm1-$G464+0.5)/$C$454))-MIN(1,MAX(0,(nr_MStartPm1-1-$G464+0.5)/$C$454))</f>
        <v/>
      </c>
      <c r="Q464" s="208">
        <f>MIN(1,MAX(0,(nr_MEndP-$G464+0.5)/$C$454))-MIN(1,MAX(0,(nr_MStartP-1-$G464+0.5)/$C$454))</f>
        <v/>
      </c>
      <c r="R464" s="208">
        <f>MIN(1,MAX(0,(nr_MEndP1-$G464+0.5)/$C$454))-MIN(1,MAX(0,(nr_MStartP1-1-$G464+0.5)/$C$454))</f>
        <v/>
      </c>
      <c r="S464" s="208">
        <f>IF($L$454,$N464*IF($O$454=1,$O464/$F$454,1),"")</f>
        <v/>
      </c>
      <c r="T464" s="208">
        <f>IF(NOT($L$454),"",IF($G464&lt;nr_MStartP,$S464,$T452*(1+IF($G464&lt;nr_MStartP1,$M$454,$N$454))))</f>
        <v/>
      </c>
      <c r="U464" s="208">
        <f>IF($L$454,$T464,$N464)</f>
        <v/>
      </c>
    </row>
    <row r="465">
      <c r="A465" s="145" t="n">
        <v>9</v>
      </c>
      <c r="B465" s="204">
        <f>EDATE($B464,1)</f>
        <v/>
      </c>
      <c r="C465" s="205">
        <f>EOMONTH($B465,0)</f>
        <v/>
      </c>
      <c r="D465" s="201">
        <f>$C465-$B465+1</f>
        <v/>
      </c>
      <c r="E465" s="201">
        <f>MONTH($B465)</f>
        <v/>
      </c>
      <c r="F465" s="235">
        <f>($B465+$C465+1)/2</f>
        <v/>
      </c>
      <c r="G465" s="201">
        <f>YEAR($B465)*12+MONTH($B465)-1</f>
        <v/>
      </c>
      <c r="H465" s="207">
        <f>IF(OR(nr_SeasonOn="OFF",$D$454=0,$E$454=0),1,12*INDEX(se_block,$D$454,$E465)/$E$454)</f>
        <v/>
      </c>
      <c r="I465" s="208">
        <f>EXP(SUMPRODUCT((rl_eff&lt;$B465)*(rl_key=$A$454)*rl_ln1p))</f>
        <v/>
      </c>
      <c r="J465" s="208">
        <f>EXP(SUMPRODUCT((rl_eff&lt;=$C465)*(rl_key=$A$454)*rl_ln1p))</f>
        <v/>
      </c>
      <c r="K465" s="201">
        <f>COUNTIFS(rl_key,$A$454,rl_eff,"&gt;="&amp;$B465,rl_eff,"&lt;="&amp;$C465)</f>
        <v/>
      </c>
      <c r="L465" s="201">
        <f>SUMIFS(rl_daysafter,rl_key,$A$454,rl_effmonth,$B465,rl_first,1)</f>
        <v/>
      </c>
      <c r="M465" s="209">
        <f>IF($K465=0,0,MIN(1,$L465/$D465))</f>
        <v/>
      </c>
      <c r="N465" s="208">
        <f>IF($K465=0,$J465,(1-$M465)*$I465+$M465*$J465)</f>
        <v/>
      </c>
      <c r="O465" s="209">
        <f>IF($F465&lt;$B$455,$E$455+$I$455*($F465-$A$455),IF($F465&lt;$C$455,$F$455+$J$455*($F465-$B$455),$G$455+$K$455*($F465-$C$455)))</f>
        <v/>
      </c>
      <c r="P465" s="208">
        <f>MIN(1,MAX(0,(nr_MEndPm1-$G465+0.5)/$C$454))-MIN(1,MAX(0,(nr_MStartPm1-1-$G465+0.5)/$C$454))</f>
        <v/>
      </c>
      <c r="Q465" s="208">
        <f>MIN(1,MAX(0,(nr_MEndP-$G465+0.5)/$C$454))-MIN(1,MAX(0,(nr_MStartP-1-$G465+0.5)/$C$454))</f>
        <v/>
      </c>
      <c r="R465" s="208">
        <f>MIN(1,MAX(0,(nr_MEndP1-$G465+0.5)/$C$454))-MIN(1,MAX(0,(nr_MStartP1-1-$G465+0.5)/$C$454))</f>
        <v/>
      </c>
      <c r="S465" s="208">
        <f>IF($L$454,$N465*IF($O$454=1,$O465/$F$454,1),"")</f>
        <v/>
      </c>
      <c r="T465" s="208">
        <f>IF(NOT($L$454),"",IF($G465&lt;nr_MStartP,$S465,$T453*(1+IF($G465&lt;nr_MStartP1,$M$454,$N$454))))</f>
        <v/>
      </c>
      <c r="U465" s="208">
        <f>IF($L$454,$T465,$N465)</f>
        <v/>
      </c>
    </row>
    <row r="466">
      <c r="A466" s="145" t="n">
        <v>10</v>
      </c>
      <c r="B466" s="204">
        <f>EDATE($B465,1)</f>
        <v/>
      </c>
      <c r="C466" s="205">
        <f>EOMONTH($B466,0)</f>
        <v/>
      </c>
      <c r="D466" s="201">
        <f>$C466-$B466+1</f>
        <v/>
      </c>
      <c r="E466" s="201">
        <f>MONTH($B466)</f>
        <v/>
      </c>
      <c r="F466" s="235">
        <f>($B466+$C466+1)/2</f>
        <v/>
      </c>
      <c r="G466" s="201">
        <f>YEAR($B466)*12+MONTH($B466)-1</f>
        <v/>
      </c>
      <c r="H466" s="207">
        <f>IF(OR(nr_SeasonOn="OFF",$D$454=0,$E$454=0),1,12*INDEX(se_block,$D$454,$E466)/$E$454)</f>
        <v/>
      </c>
      <c r="I466" s="208">
        <f>EXP(SUMPRODUCT((rl_eff&lt;$B466)*(rl_key=$A$454)*rl_ln1p))</f>
        <v/>
      </c>
      <c r="J466" s="208">
        <f>EXP(SUMPRODUCT((rl_eff&lt;=$C466)*(rl_key=$A$454)*rl_ln1p))</f>
        <v/>
      </c>
      <c r="K466" s="201">
        <f>COUNTIFS(rl_key,$A$454,rl_eff,"&gt;="&amp;$B466,rl_eff,"&lt;="&amp;$C466)</f>
        <v/>
      </c>
      <c r="L466" s="201">
        <f>SUMIFS(rl_daysafter,rl_key,$A$454,rl_effmonth,$B466,rl_first,1)</f>
        <v/>
      </c>
      <c r="M466" s="209">
        <f>IF($K466=0,0,MIN(1,$L466/$D466))</f>
        <v/>
      </c>
      <c r="N466" s="208">
        <f>IF($K466=0,$J466,(1-$M466)*$I466+$M466*$J466)</f>
        <v/>
      </c>
      <c r="O466" s="209">
        <f>IF($F466&lt;$B$455,$E$455+$I$455*($F466-$A$455),IF($F466&lt;$C$455,$F$455+$J$455*($F466-$B$455),$G$455+$K$455*($F466-$C$455)))</f>
        <v/>
      </c>
      <c r="P466" s="208">
        <f>MIN(1,MAX(0,(nr_MEndPm1-$G466+0.5)/$C$454))-MIN(1,MAX(0,(nr_MStartPm1-1-$G466+0.5)/$C$454))</f>
        <v/>
      </c>
      <c r="Q466" s="208">
        <f>MIN(1,MAX(0,(nr_MEndP-$G466+0.5)/$C$454))-MIN(1,MAX(0,(nr_MStartP-1-$G466+0.5)/$C$454))</f>
        <v/>
      </c>
      <c r="R466" s="208">
        <f>MIN(1,MAX(0,(nr_MEndP1-$G466+0.5)/$C$454))-MIN(1,MAX(0,(nr_MStartP1-1-$G466+0.5)/$C$454))</f>
        <v/>
      </c>
      <c r="S466" s="208">
        <f>IF($L$454,$N466*IF($O$454=1,$O466/$F$454,1),"")</f>
        <v/>
      </c>
      <c r="T466" s="208">
        <f>IF(NOT($L$454),"",IF($G466&lt;nr_MStartP,$S466,$T454*(1+IF($G466&lt;nr_MStartP1,$M$454,$N$454))))</f>
        <v/>
      </c>
      <c r="U466" s="208">
        <f>IF($L$454,$T466,$N466)</f>
        <v/>
      </c>
    </row>
    <row r="467">
      <c r="A467" s="145" t="n">
        <v>11</v>
      </c>
      <c r="B467" s="204">
        <f>EDATE($B466,1)</f>
        <v/>
      </c>
      <c r="C467" s="205">
        <f>EOMONTH($B467,0)</f>
        <v/>
      </c>
      <c r="D467" s="201">
        <f>$C467-$B467+1</f>
        <v/>
      </c>
      <c r="E467" s="201">
        <f>MONTH($B467)</f>
        <v/>
      </c>
      <c r="F467" s="235">
        <f>($B467+$C467+1)/2</f>
        <v/>
      </c>
      <c r="G467" s="201">
        <f>YEAR($B467)*12+MONTH($B467)-1</f>
        <v/>
      </c>
      <c r="H467" s="207">
        <f>IF(OR(nr_SeasonOn="OFF",$D$454=0,$E$454=0),1,12*INDEX(se_block,$D$454,$E467)/$E$454)</f>
        <v/>
      </c>
      <c r="I467" s="208">
        <f>EXP(SUMPRODUCT((rl_eff&lt;$B467)*(rl_key=$A$454)*rl_ln1p))</f>
        <v/>
      </c>
      <c r="J467" s="208">
        <f>EXP(SUMPRODUCT((rl_eff&lt;=$C467)*(rl_key=$A$454)*rl_ln1p))</f>
        <v/>
      </c>
      <c r="K467" s="201">
        <f>COUNTIFS(rl_key,$A$454,rl_eff,"&gt;="&amp;$B467,rl_eff,"&lt;="&amp;$C467)</f>
        <v/>
      </c>
      <c r="L467" s="201">
        <f>SUMIFS(rl_daysafter,rl_key,$A$454,rl_effmonth,$B467,rl_first,1)</f>
        <v/>
      </c>
      <c r="M467" s="209">
        <f>IF($K467=0,0,MIN(1,$L467/$D467))</f>
        <v/>
      </c>
      <c r="N467" s="208">
        <f>IF($K467=0,$J467,(1-$M467)*$I467+$M467*$J467)</f>
        <v/>
      </c>
      <c r="O467" s="209">
        <f>IF($F467&lt;$B$455,$E$455+$I$455*($F467-$A$455),IF($F467&lt;$C$455,$F$455+$J$455*($F467-$B$455),$G$455+$K$455*($F467-$C$455)))</f>
        <v/>
      </c>
      <c r="P467" s="208">
        <f>MIN(1,MAX(0,(nr_MEndPm1-$G467+0.5)/$C$454))-MIN(1,MAX(0,(nr_MStartPm1-1-$G467+0.5)/$C$454))</f>
        <v/>
      </c>
      <c r="Q467" s="208">
        <f>MIN(1,MAX(0,(nr_MEndP-$G467+0.5)/$C$454))-MIN(1,MAX(0,(nr_MStartP-1-$G467+0.5)/$C$454))</f>
        <v/>
      </c>
      <c r="R467" s="208">
        <f>MIN(1,MAX(0,(nr_MEndP1-$G467+0.5)/$C$454))-MIN(1,MAX(0,(nr_MStartP1-1-$G467+0.5)/$C$454))</f>
        <v/>
      </c>
      <c r="S467" s="208">
        <f>IF($L$454,$N467*IF($O$454=1,$O467/$F$454,1),"")</f>
        <v/>
      </c>
      <c r="T467" s="208">
        <f>IF(NOT($L$454),"",IF($G467&lt;nr_MStartP,$S467,$T455*(1+IF($G467&lt;nr_MStartP1,$M$454,$N$454))))</f>
        <v/>
      </c>
      <c r="U467" s="208">
        <f>IF($L$454,$T467,$N467)</f>
        <v/>
      </c>
    </row>
    <row r="468">
      <c r="A468" s="145" t="n">
        <v>12</v>
      </c>
      <c r="B468" s="204">
        <f>EDATE($B467,1)</f>
        <v/>
      </c>
      <c r="C468" s="205">
        <f>EOMONTH($B468,0)</f>
        <v/>
      </c>
      <c r="D468" s="201">
        <f>$C468-$B468+1</f>
        <v/>
      </c>
      <c r="E468" s="201">
        <f>MONTH($B468)</f>
        <v/>
      </c>
      <c r="F468" s="235">
        <f>($B468+$C468+1)/2</f>
        <v/>
      </c>
      <c r="G468" s="201">
        <f>YEAR($B468)*12+MONTH($B468)-1</f>
        <v/>
      </c>
      <c r="H468" s="207">
        <f>IF(OR(nr_SeasonOn="OFF",$D$454=0,$E$454=0),1,12*INDEX(se_block,$D$454,$E468)/$E$454)</f>
        <v/>
      </c>
      <c r="I468" s="208">
        <f>EXP(SUMPRODUCT((rl_eff&lt;$B468)*(rl_key=$A$454)*rl_ln1p))</f>
        <v/>
      </c>
      <c r="J468" s="208">
        <f>EXP(SUMPRODUCT((rl_eff&lt;=$C468)*(rl_key=$A$454)*rl_ln1p))</f>
        <v/>
      </c>
      <c r="K468" s="201">
        <f>COUNTIFS(rl_key,$A$454,rl_eff,"&gt;="&amp;$B468,rl_eff,"&lt;="&amp;$C468)</f>
        <v/>
      </c>
      <c r="L468" s="201">
        <f>SUMIFS(rl_daysafter,rl_key,$A$454,rl_effmonth,$B468,rl_first,1)</f>
        <v/>
      </c>
      <c r="M468" s="209">
        <f>IF($K468=0,0,MIN(1,$L468/$D468))</f>
        <v/>
      </c>
      <c r="N468" s="208">
        <f>IF($K468=0,$J468,(1-$M468)*$I468+$M468*$J468)</f>
        <v/>
      </c>
      <c r="O468" s="209">
        <f>IF($F468&lt;$B$455,$E$455+$I$455*($F468-$A$455),IF($F468&lt;$C$455,$F$455+$J$455*($F468-$B$455),$G$455+$K$455*($F468-$C$455)))</f>
        <v/>
      </c>
      <c r="P468" s="208">
        <f>MIN(1,MAX(0,(nr_MEndPm1-$G468+0.5)/$C$454))-MIN(1,MAX(0,(nr_MStartPm1-1-$G468+0.5)/$C$454))</f>
        <v/>
      </c>
      <c r="Q468" s="208">
        <f>MIN(1,MAX(0,(nr_MEndP-$G468+0.5)/$C$454))-MIN(1,MAX(0,(nr_MStartP-1-$G468+0.5)/$C$454))</f>
        <v/>
      </c>
      <c r="R468" s="208">
        <f>MIN(1,MAX(0,(nr_MEndP1-$G468+0.5)/$C$454))-MIN(1,MAX(0,(nr_MStartP1-1-$G468+0.5)/$C$454))</f>
        <v/>
      </c>
      <c r="S468" s="208">
        <f>IF($L$454,$N468*IF($O$454=1,$O468/$F$454,1),"")</f>
        <v/>
      </c>
      <c r="T468" s="208">
        <f>IF(NOT($L$454),"",IF($G468&lt;nr_MStartP,$S468,$T456*(1+IF($G468&lt;nr_MStartP1,$M$454,$N$454))))</f>
        <v/>
      </c>
      <c r="U468" s="208">
        <f>IF($L$454,$T468,$N468)</f>
        <v/>
      </c>
    </row>
    <row r="469">
      <c r="A469" s="145" t="n">
        <v>13</v>
      </c>
      <c r="B469" s="204">
        <f>EDATE($B468,1)</f>
        <v/>
      </c>
      <c r="C469" s="205">
        <f>EOMONTH($B469,0)</f>
        <v/>
      </c>
      <c r="D469" s="201">
        <f>$C469-$B469+1</f>
        <v/>
      </c>
      <c r="E469" s="201">
        <f>MONTH($B469)</f>
        <v/>
      </c>
      <c r="F469" s="235">
        <f>($B469+$C469+1)/2</f>
        <v/>
      </c>
      <c r="G469" s="201">
        <f>YEAR($B469)*12+MONTH($B469)-1</f>
        <v/>
      </c>
      <c r="H469" s="207">
        <f>IF(OR(nr_SeasonOn="OFF",$D$454=0,$E$454=0),1,12*INDEX(se_block,$D$454,$E469)/$E$454)</f>
        <v/>
      </c>
      <c r="I469" s="208">
        <f>EXP(SUMPRODUCT((rl_eff&lt;$B469)*(rl_key=$A$454)*rl_ln1p))</f>
        <v/>
      </c>
      <c r="J469" s="208">
        <f>EXP(SUMPRODUCT((rl_eff&lt;=$C469)*(rl_key=$A$454)*rl_ln1p))</f>
        <v/>
      </c>
      <c r="K469" s="201">
        <f>COUNTIFS(rl_key,$A$454,rl_eff,"&gt;="&amp;$B469,rl_eff,"&lt;="&amp;$C469)</f>
        <v/>
      </c>
      <c r="L469" s="201">
        <f>SUMIFS(rl_daysafter,rl_key,$A$454,rl_effmonth,$B469,rl_first,1)</f>
        <v/>
      </c>
      <c r="M469" s="209">
        <f>IF($K469=0,0,MIN(1,$L469/$D469))</f>
        <v/>
      </c>
      <c r="N469" s="208">
        <f>IF($K469=0,$J469,(1-$M469)*$I469+$M469*$J469)</f>
        <v/>
      </c>
      <c r="O469" s="209">
        <f>IF($F469&lt;$B$455,$E$455+$I$455*($F469-$A$455),IF($F469&lt;$C$455,$F$455+$J$455*($F469-$B$455),$G$455+$K$455*($F469-$C$455)))</f>
        <v/>
      </c>
      <c r="P469" s="208">
        <f>MIN(1,MAX(0,(nr_MEndPm1-$G469+0.5)/$C$454))-MIN(1,MAX(0,(nr_MStartPm1-1-$G469+0.5)/$C$454))</f>
        <v/>
      </c>
      <c r="Q469" s="208">
        <f>MIN(1,MAX(0,(nr_MEndP-$G469+0.5)/$C$454))-MIN(1,MAX(0,(nr_MStartP-1-$G469+0.5)/$C$454))</f>
        <v/>
      </c>
      <c r="R469" s="208">
        <f>MIN(1,MAX(0,(nr_MEndP1-$G469+0.5)/$C$454))-MIN(1,MAX(0,(nr_MStartP1-1-$G469+0.5)/$C$454))</f>
        <v/>
      </c>
      <c r="S469" s="208">
        <f>IF($L$454,$N469*IF($O$454=1,$O469/$F$454,1),"")</f>
        <v/>
      </c>
      <c r="T469" s="208">
        <f>IF(NOT($L$454),"",IF($G469&lt;nr_MStartP,$S469,$T457*(1+IF($G469&lt;nr_MStartP1,$M$454,$N$454))))</f>
        <v/>
      </c>
      <c r="U469" s="208">
        <f>IF($L$454,$T469,$N469)</f>
        <v/>
      </c>
    </row>
    <row r="470">
      <c r="A470" s="145" t="n">
        <v>14</v>
      </c>
      <c r="B470" s="204">
        <f>EDATE($B469,1)</f>
        <v/>
      </c>
      <c r="C470" s="205">
        <f>EOMONTH($B470,0)</f>
        <v/>
      </c>
      <c r="D470" s="201">
        <f>$C470-$B470+1</f>
        <v/>
      </c>
      <c r="E470" s="201">
        <f>MONTH($B470)</f>
        <v/>
      </c>
      <c r="F470" s="235">
        <f>($B470+$C470+1)/2</f>
        <v/>
      </c>
      <c r="G470" s="201">
        <f>YEAR($B470)*12+MONTH($B470)-1</f>
        <v/>
      </c>
      <c r="H470" s="207">
        <f>IF(OR(nr_SeasonOn="OFF",$D$454=0,$E$454=0),1,12*INDEX(se_block,$D$454,$E470)/$E$454)</f>
        <v/>
      </c>
      <c r="I470" s="208">
        <f>EXP(SUMPRODUCT((rl_eff&lt;$B470)*(rl_key=$A$454)*rl_ln1p))</f>
        <v/>
      </c>
      <c r="J470" s="208">
        <f>EXP(SUMPRODUCT((rl_eff&lt;=$C470)*(rl_key=$A$454)*rl_ln1p))</f>
        <v/>
      </c>
      <c r="K470" s="201">
        <f>COUNTIFS(rl_key,$A$454,rl_eff,"&gt;="&amp;$B470,rl_eff,"&lt;="&amp;$C470)</f>
        <v/>
      </c>
      <c r="L470" s="201">
        <f>SUMIFS(rl_daysafter,rl_key,$A$454,rl_effmonth,$B470,rl_first,1)</f>
        <v/>
      </c>
      <c r="M470" s="209">
        <f>IF($K470=0,0,MIN(1,$L470/$D470))</f>
        <v/>
      </c>
      <c r="N470" s="208">
        <f>IF($K470=0,$J470,(1-$M470)*$I470+$M470*$J470)</f>
        <v/>
      </c>
      <c r="O470" s="209">
        <f>IF($F470&lt;$B$455,$E$455+$I$455*($F470-$A$455),IF($F470&lt;$C$455,$F$455+$J$455*($F470-$B$455),$G$455+$K$455*($F470-$C$455)))</f>
        <v/>
      </c>
      <c r="P470" s="208">
        <f>MIN(1,MAX(0,(nr_MEndPm1-$G470+0.5)/$C$454))-MIN(1,MAX(0,(nr_MStartPm1-1-$G470+0.5)/$C$454))</f>
        <v/>
      </c>
      <c r="Q470" s="208">
        <f>MIN(1,MAX(0,(nr_MEndP-$G470+0.5)/$C$454))-MIN(1,MAX(0,(nr_MStartP-1-$G470+0.5)/$C$454))</f>
        <v/>
      </c>
      <c r="R470" s="208">
        <f>MIN(1,MAX(0,(nr_MEndP1-$G470+0.5)/$C$454))-MIN(1,MAX(0,(nr_MStartP1-1-$G470+0.5)/$C$454))</f>
        <v/>
      </c>
      <c r="S470" s="208">
        <f>IF($L$454,$N470*IF($O$454=1,$O470/$F$454,1),"")</f>
        <v/>
      </c>
      <c r="T470" s="208">
        <f>IF(NOT($L$454),"",IF($G470&lt;nr_MStartP,$S470,$T458*(1+IF($G470&lt;nr_MStartP1,$M$454,$N$454))))</f>
        <v/>
      </c>
      <c r="U470" s="208">
        <f>IF($L$454,$T470,$N470)</f>
        <v/>
      </c>
    </row>
    <row r="471">
      <c r="A471" s="145" t="n">
        <v>15</v>
      </c>
      <c r="B471" s="204">
        <f>EDATE($B470,1)</f>
        <v/>
      </c>
      <c r="C471" s="205">
        <f>EOMONTH($B471,0)</f>
        <v/>
      </c>
      <c r="D471" s="201">
        <f>$C471-$B471+1</f>
        <v/>
      </c>
      <c r="E471" s="201">
        <f>MONTH($B471)</f>
        <v/>
      </c>
      <c r="F471" s="235">
        <f>($B471+$C471+1)/2</f>
        <v/>
      </c>
      <c r="G471" s="201">
        <f>YEAR($B471)*12+MONTH($B471)-1</f>
        <v/>
      </c>
      <c r="H471" s="207">
        <f>IF(OR(nr_SeasonOn="OFF",$D$454=0,$E$454=0),1,12*INDEX(se_block,$D$454,$E471)/$E$454)</f>
        <v/>
      </c>
      <c r="I471" s="208">
        <f>EXP(SUMPRODUCT((rl_eff&lt;$B471)*(rl_key=$A$454)*rl_ln1p))</f>
        <v/>
      </c>
      <c r="J471" s="208">
        <f>EXP(SUMPRODUCT((rl_eff&lt;=$C471)*(rl_key=$A$454)*rl_ln1p))</f>
        <v/>
      </c>
      <c r="K471" s="201">
        <f>COUNTIFS(rl_key,$A$454,rl_eff,"&gt;="&amp;$B471,rl_eff,"&lt;="&amp;$C471)</f>
        <v/>
      </c>
      <c r="L471" s="201">
        <f>SUMIFS(rl_daysafter,rl_key,$A$454,rl_effmonth,$B471,rl_first,1)</f>
        <v/>
      </c>
      <c r="M471" s="209">
        <f>IF($K471=0,0,MIN(1,$L471/$D471))</f>
        <v/>
      </c>
      <c r="N471" s="208">
        <f>IF($K471=0,$J471,(1-$M471)*$I471+$M471*$J471)</f>
        <v/>
      </c>
      <c r="O471" s="209">
        <f>IF($F471&lt;$B$455,$E$455+$I$455*($F471-$A$455),IF($F471&lt;$C$455,$F$455+$J$455*($F471-$B$455),$G$455+$K$455*($F471-$C$455)))</f>
        <v/>
      </c>
      <c r="P471" s="208">
        <f>MIN(1,MAX(0,(nr_MEndPm1-$G471+0.5)/$C$454))-MIN(1,MAX(0,(nr_MStartPm1-1-$G471+0.5)/$C$454))</f>
        <v/>
      </c>
      <c r="Q471" s="208">
        <f>MIN(1,MAX(0,(nr_MEndP-$G471+0.5)/$C$454))-MIN(1,MAX(0,(nr_MStartP-1-$G471+0.5)/$C$454))</f>
        <v/>
      </c>
      <c r="R471" s="208">
        <f>MIN(1,MAX(0,(nr_MEndP1-$G471+0.5)/$C$454))-MIN(1,MAX(0,(nr_MStartP1-1-$G471+0.5)/$C$454))</f>
        <v/>
      </c>
      <c r="S471" s="208">
        <f>IF($L$454,$N471*IF($O$454=1,$O471/$F$454,1),"")</f>
        <v/>
      </c>
      <c r="T471" s="208">
        <f>IF(NOT($L$454),"",IF($G471&lt;nr_MStartP,$S471,$T459*(1+IF($G471&lt;nr_MStartP1,$M$454,$N$454))))</f>
        <v/>
      </c>
      <c r="U471" s="208">
        <f>IF($L$454,$T471,$N471)</f>
        <v/>
      </c>
    </row>
    <row r="472">
      <c r="A472" s="145" t="n">
        <v>16</v>
      </c>
      <c r="B472" s="204">
        <f>EDATE($B471,1)</f>
        <v/>
      </c>
      <c r="C472" s="205">
        <f>EOMONTH($B472,0)</f>
        <v/>
      </c>
      <c r="D472" s="201">
        <f>$C472-$B472+1</f>
        <v/>
      </c>
      <c r="E472" s="201">
        <f>MONTH($B472)</f>
        <v/>
      </c>
      <c r="F472" s="235">
        <f>($B472+$C472+1)/2</f>
        <v/>
      </c>
      <c r="G472" s="201">
        <f>YEAR($B472)*12+MONTH($B472)-1</f>
        <v/>
      </c>
      <c r="H472" s="207">
        <f>IF(OR(nr_SeasonOn="OFF",$D$454=0,$E$454=0),1,12*INDEX(se_block,$D$454,$E472)/$E$454)</f>
        <v/>
      </c>
      <c r="I472" s="208">
        <f>EXP(SUMPRODUCT((rl_eff&lt;$B472)*(rl_key=$A$454)*rl_ln1p))</f>
        <v/>
      </c>
      <c r="J472" s="208">
        <f>EXP(SUMPRODUCT((rl_eff&lt;=$C472)*(rl_key=$A$454)*rl_ln1p))</f>
        <v/>
      </c>
      <c r="K472" s="201">
        <f>COUNTIFS(rl_key,$A$454,rl_eff,"&gt;="&amp;$B472,rl_eff,"&lt;="&amp;$C472)</f>
        <v/>
      </c>
      <c r="L472" s="201">
        <f>SUMIFS(rl_daysafter,rl_key,$A$454,rl_effmonth,$B472,rl_first,1)</f>
        <v/>
      </c>
      <c r="M472" s="209">
        <f>IF($K472=0,0,MIN(1,$L472/$D472))</f>
        <v/>
      </c>
      <c r="N472" s="208">
        <f>IF($K472=0,$J472,(1-$M472)*$I472+$M472*$J472)</f>
        <v/>
      </c>
      <c r="O472" s="209">
        <f>IF($F472&lt;$B$455,$E$455+$I$455*($F472-$A$455),IF($F472&lt;$C$455,$F$455+$J$455*($F472-$B$455),$G$455+$K$455*($F472-$C$455)))</f>
        <v/>
      </c>
      <c r="P472" s="208">
        <f>MIN(1,MAX(0,(nr_MEndPm1-$G472+0.5)/$C$454))-MIN(1,MAX(0,(nr_MStartPm1-1-$G472+0.5)/$C$454))</f>
        <v/>
      </c>
      <c r="Q472" s="208">
        <f>MIN(1,MAX(0,(nr_MEndP-$G472+0.5)/$C$454))-MIN(1,MAX(0,(nr_MStartP-1-$G472+0.5)/$C$454))</f>
        <v/>
      </c>
      <c r="R472" s="208">
        <f>MIN(1,MAX(0,(nr_MEndP1-$G472+0.5)/$C$454))-MIN(1,MAX(0,(nr_MStartP1-1-$G472+0.5)/$C$454))</f>
        <v/>
      </c>
      <c r="S472" s="208">
        <f>IF($L$454,$N472*IF($O$454=1,$O472/$F$454,1),"")</f>
        <v/>
      </c>
      <c r="T472" s="208">
        <f>IF(NOT($L$454),"",IF($G472&lt;nr_MStartP,$S472,$T460*(1+IF($G472&lt;nr_MStartP1,$M$454,$N$454))))</f>
        <v/>
      </c>
      <c r="U472" s="208">
        <f>IF($L$454,$T472,$N472)</f>
        <v/>
      </c>
    </row>
    <row r="473">
      <c r="A473" s="145" t="n">
        <v>17</v>
      </c>
      <c r="B473" s="204">
        <f>EDATE($B472,1)</f>
        <v/>
      </c>
      <c r="C473" s="205">
        <f>EOMONTH($B473,0)</f>
        <v/>
      </c>
      <c r="D473" s="201">
        <f>$C473-$B473+1</f>
        <v/>
      </c>
      <c r="E473" s="201">
        <f>MONTH($B473)</f>
        <v/>
      </c>
      <c r="F473" s="235">
        <f>($B473+$C473+1)/2</f>
        <v/>
      </c>
      <c r="G473" s="201">
        <f>YEAR($B473)*12+MONTH($B473)-1</f>
        <v/>
      </c>
      <c r="H473" s="207">
        <f>IF(OR(nr_SeasonOn="OFF",$D$454=0,$E$454=0),1,12*INDEX(se_block,$D$454,$E473)/$E$454)</f>
        <v/>
      </c>
      <c r="I473" s="208">
        <f>EXP(SUMPRODUCT((rl_eff&lt;$B473)*(rl_key=$A$454)*rl_ln1p))</f>
        <v/>
      </c>
      <c r="J473" s="208">
        <f>EXP(SUMPRODUCT((rl_eff&lt;=$C473)*(rl_key=$A$454)*rl_ln1p))</f>
        <v/>
      </c>
      <c r="K473" s="201">
        <f>COUNTIFS(rl_key,$A$454,rl_eff,"&gt;="&amp;$B473,rl_eff,"&lt;="&amp;$C473)</f>
        <v/>
      </c>
      <c r="L473" s="201">
        <f>SUMIFS(rl_daysafter,rl_key,$A$454,rl_effmonth,$B473,rl_first,1)</f>
        <v/>
      </c>
      <c r="M473" s="209">
        <f>IF($K473=0,0,MIN(1,$L473/$D473))</f>
        <v/>
      </c>
      <c r="N473" s="208">
        <f>IF($K473=0,$J473,(1-$M473)*$I473+$M473*$J473)</f>
        <v/>
      </c>
      <c r="O473" s="209">
        <f>IF($F473&lt;$B$455,$E$455+$I$455*($F473-$A$455),IF($F473&lt;$C$455,$F$455+$J$455*($F473-$B$455),$G$455+$K$455*($F473-$C$455)))</f>
        <v/>
      </c>
      <c r="P473" s="208">
        <f>MIN(1,MAX(0,(nr_MEndPm1-$G473+0.5)/$C$454))-MIN(1,MAX(0,(nr_MStartPm1-1-$G473+0.5)/$C$454))</f>
        <v/>
      </c>
      <c r="Q473" s="208">
        <f>MIN(1,MAX(0,(nr_MEndP-$G473+0.5)/$C$454))-MIN(1,MAX(0,(nr_MStartP-1-$G473+0.5)/$C$454))</f>
        <v/>
      </c>
      <c r="R473" s="208">
        <f>MIN(1,MAX(0,(nr_MEndP1-$G473+0.5)/$C$454))-MIN(1,MAX(0,(nr_MStartP1-1-$G473+0.5)/$C$454))</f>
        <v/>
      </c>
      <c r="S473" s="208">
        <f>IF($L$454,$N473*IF($O$454=1,$O473/$F$454,1),"")</f>
        <v/>
      </c>
      <c r="T473" s="208">
        <f>IF(NOT($L$454),"",IF($G473&lt;nr_MStartP,$S473,$T461*(1+IF($G473&lt;nr_MStartP1,$M$454,$N$454))))</f>
        <v/>
      </c>
      <c r="U473" s="208">
        <f>IF($L$454,$T473,$N473)</f>
        <v/>
      </c>
    </row>
    <row r="474">
      <c r="A474" s="145" t="n">
        <v>18</v>
      </c>
      <c r="B474" s="204">
        <f>EDATE($B473,1)</f>
        <v/>
      </c>
      <c r="C474" s="205">
        <f>EOMONTH($B474,0)</f>
        <v/>
      </c>
      <c r="D474" s="201">
        <f>$C474-$B474+1</f>
        <v/>
      </c>
      <c r="E474" s="201">
        <f>MONTH($B474)</f>
        <v/>
      </c>
      <c r="F474" s="235">
        <f>($B474+$C474+1)/2</f>
        <v/>
      </c>
      <c r="G474" s="201">
        <f>YEAR($B474)*12+MONTH($B474)-1</f>
        <v/>
      </c>
      <c r="H474" s="207">
        <f>IF(OR(nr_SeasonOn="OFF",$D$454=0,$E$454=0),1,12*INDEX(se_block,$D$454,$E474)/$E$454)</f>
        <v/>
      </c>
      <c r="I474" s="208">
        <f>EXP(SUMPRODUCT((rl_eff&lt;$B474)*(rl_key=$A$454)*rl_ln1p))</f>
        <v/>
      </c>
      <c r="J474" s="208">
        <f>EXP(SUMPRODUCT((rl_eff&lt;=$C474)*(rl_key=$A$454)*rl_ln1p))</f>
        <v/>
      </c>
      <c r="K474" s="201">
        <f>COUNTIFS(rl_key,$A$454,rl_eff,"&gt;="&amp;$B474,rl_eff,"&lt;="&amp;$C474)</f>
        <v/>
      </c>
      <c r="L474" s="201">
        <f>SUMIFS(rl_daysafter,rl_key,$A$454,rl_effmonth,$B474,rl_first,1)</f>
        <v/>
      </c>
      <c r="M474" s="209">
        <f>IF($K474=0,0,MIN(1,$L474/$D474))</f>
        <v/>
      </c>
      <c r="N474" s="208">
        <f>IF($K474=0,$J474,(1-$M474)*$I474+$M474*$J474)</f>
        <v/>
      </c>
      <c r="O474" s="209">
        <f>IF($F474&lt;$B$455,$E$455+$I$455*($F474-$A$455),IF($F474&lt;$C$455,$F$455+$J$455*($F474-$B$455),$G$455+$K$455*($F474-$C$455)))</f>
        <v/>
      </c>
      <c r="P474" s="208">
        <f>MIN(1,MAX(0,(nr_MEndPm1-$G474+0.5)/$C$454))-MIN(1,MAX(0,(nr_MStartPm1-1-$G474+0.5)/$C$454))</f>
        <v/>
      </c>
      <c r="Q474" s="208">
        <f>MIN(1,MAX(0,(nr_MEndP-$G474+0.5)/$C$454))-MIN(1,MAX(0,(nr_MStartP-1-$G474+0.5)/$C$454))</f>
        <v/>
      </c>
      <c r="R474" s="208">
        <f>MIN(1,MAX(0,(nr_MEndP1-$G474+0.5)/$C$454))-MIN(1,MAX(0,(nr_MStartP1-1-$G474+0.5)/$C$454))</f>
        <v/>
      </c>
      <c r="S474" s="208">
        <f>IF($L$454,$N474*IF($O$454=1,$O474/$F$454,1),"")</f>
        <v/>
      </c>
      <c r="T474" s="208">
        <f>IF(NOT($L$454),"",IF($G474&lt;nr_MStartP,$S474,$T462*(1+IF($G474&lt;nr_MStartP1,$M$454,$N$454))))</f>
        <v/>
      </c>
      <c r="U474" s="208">
        <f>IF($L$454,$T474,$N474)</f>
        <v/>
      </c>
    </row>
    <row r="475">
      <c r="A475" s="145" t="n">
        <v>19</v>
      </c>
      <c r="B475" s="204">
        <f>EDATE($B474,1)</f>
        <v/>
      </c>
      <c r="C475" s="205">
        <f>EOMONTH($B475,0)</f>
        <v/>
      </c>
      <c r="D475" s="201">
        <f>$C475-$B475+1</f>
        <v/>
      </c>
      <c r="E475" s="201">
        <f>MONTH($B475)</f>
        <v/>
      </c>
      <c r="F475" s="235">
        <f>($B475+$C475+1)/2</f>
        <v/>
      </c>
      <c r="G475" s="201">
        <f>YEAR($B475)*12+MONTH($B475)-1</f>
        <v/>
      </c>
      <c r="H475" s="207">
        <f>IF(OR(nr_SeasonOn="OFF",$D$454=0,$E$454=0),1,12*INDEX(se_block,$D$454,$E475)/$E$454)</f>
        <v/>
      </c>
      <c r="I475" s="208">
        <f>EXP(SUMPRODUCT((rl_eff&lt;$B475)*(rl_key=$A$454)*rl_ln1p))</f>
        <v/>
      </c>
      <c r="J475" s="208">
        <f>EXP(SUMPRODUCT((rl_eff&lt;=$C475)*(rl_key=$A$454)*rl_ln1p))</f>
        <v/>
      </c>
      <c r="K475" s="201">
        <f>COUNTIFS(rl_key,$A$454,rl_eff,"&gt;="&amp;$B475,rl_eff,"&lt;="&amp;$C475)</f>
        <v/>
      </c>
      <c r="L475" s="201">
        <f>SUMIFS(rl_daysafter,rl_key,$A$454,rl_effmonth,$B475,rl_first,1)</f>
        <v/>
      </c>
      <c r="M475" s="209">
        <f>IF($K475=0,0,MIN(1,$L475/$D475))</f>
        <v/>
      </c>
      <c r="N475" s="208">
        <f>IF($K475=0,$J475,(1-$M475)*$I475+$M475*$J475)</f>
        <v/>
      </c>
      <c r="O475" s="209">
        <f>IF($F475&lt;$B$455,$E$455+$I$455*($F475-$A$455),IF($F475&lt;$C$455,$F$455+$J$455*($F475-$B$455),$G$455+$K$455*($F475-$C$455)))</f>
        <v/>
      </c>
      <c r="P475" s="208">
        <f>MIN(1,MAX(0,(nr_MEndPm1-$G475+0.5)/$C$454))-MIN(1,MAX(0,(nr_MStartPm1-1-$G475+0.5)/$C$454))</f>
        <v/>
      </c>
      <c r="Q475" s="208">
        <f>MIN(1,MAX(0,(nr_MEndP-$G475+0.5)/$C$454))-MIN(1,MAX(0,(nr_MStartP-1-$G475+0.5)/$C$454))</f>
        <v/>
      </c>
      <c r="R475" s="208">
        <f>MIN(1,MAX(0,(nr_MEndP1-$G475+0.5)/$C$454))-MIN(1,MAX(0,(nr_MStartP1-1-$G475+0.5)/$C$454))</f>
        <v/>
      </c>
      <c r="S475" s="208">
        <f>IF($L$454,$N475*IF($O$454=1,$O475/$F$454,1),"")</f>
        <v/>
      </c>
      <c r="T475" s="208">
        <f>IF(NOT($L$454),"",IF($G475&lt;nr_MStartP,$S475,$T463*(1+IF($G475&lt;nr_MStartP1,$M$454,$N$454))))</f>
        <v/>
      </c>
      <c r="U475" s="208">
        <f>IF($L$454,$T475,$N475)</f>
        <v/>
      </c>
    </row>
    <row r="476">
      <c r="A476" s="145" t="n">
        <v>20</v>
      </c>
      <c r="B476" s="204">
        <f>EDATE($B475,1)</f>
        <v/>
      </c>
      <c r="C476" s="205">
        <f>EOMONTH($B476,0)</f>
        <v/>
      </c>
      <c r="D476" s="201">
        <f>$C476-$B476+1</f>
        <v/>
      </c>
      <c r="E476" s="201">
        <f>MONTH($B476)</f>
        <v/>
      </c>
      <c r="F476" s="235">
        <f>($B476+$C476+1)/2</f>
        <v/>
      </c>
      <c r="G476" s="201">
        <f>YEAR($B476)*12+MONTH($B476)-1</f>
        <v/>
      </c>
      <c r="H476" s="207">
        <f>IF(OR(nr_SeasonOn="OFF",$D$454=0,$E$454=0),1,12*INDEX(se_block,$D$454,$E476)/$E$454)</f>
        <v/>
      </c>
      <c r="I476" s="208">
        <f>EXP(SUMPRODUCT((rl_eff&lt;$B476)*(rl_key=$A$454)*rl_ln1p))</f>
        <v/>
      </c>
      <c r="J476" s="208">
        <f>EXP(SUMPRODUCT((rl_eff&lt;=$C476)*(rl_key=$A$454)*rl_ln1p))</f>
        <v/>
      </c>
      <c r="K476" s="201">
        <f>COUNTIFS(rl_key,$A$454,rl_eff,"&gt;="&amp;$B476,rl_eff,"&lt;="&amp;$C476)</f>
        <v/>
      </c>
      <c r="L476" s="201">
        <f>SUMIFS(rl_daysafter,rl_key,$A$454,rl_effmonth,$B476,rl_first,1)</f>
        <v/>
      </c>
      <c r="M476" s="209">
        <f>IF($K476=0,0,MIN(1,$L476/$D476))</f>
        <v/>
      </c>
      <c r="N476" s="208">
        <f>IF($K476=0,$J476,(1-$M476)*$I476+$M476*$J476)</f>
        <v/>
      </c>
      <c r="O476" s="209">
        <f>IF($F476&lt;$B$455,$E$455+$I$455*($F476-$A$455),IF($F476&lt;$C$455,$F$455+$J$455*($F476-$B$455),$G$455+$K$455*($F476-$C$455)))</f>
        <v/>
      </c>
      <c r="P476" s="208">
        <f>MIN(1,MAX(0,(nr_MEndPm1-$G476+0.5)/$C$454))-MIN(1,MAX(0,(nr_MStartPm1-1-$G476+0.5)/$C$454))</f>
        <v/>
      </c>
      <c r="Q476" s="208">
        <f>MIN(1,MAX(0,(nr_MEndP-$G476+0.5)/$C$454))-MIN(1,MAX(0,(nr_MStartP-1-$G476+0.5)/$C$454))</f>
        <v/>
      </c>
      <c r="R476" s="208">
        <f>MIN(1,MAX(0,(nr_MEndP1-$G476+0.5)/$C$454))-MIN(1,MAX(0,(nr_MStartP1-1-$G476+0.5)/$C$454))</f>
        <v/>
      </c>
      <c r="S476" s="208">
        <f>IF($L$454,$N476*IF($O$454=1,$O476/$F$454,1),"")</f>
        <v/>
      </c>
      <c r="T476" s="208">
        <f>IF(NOT($L$454),"",IF($G476&lt;nr_MStartP,$S476,$T464*(1+IF($G476&lt;nr_MStartP1,$M$454,$N$454))))</f>
        <v/>
      </c>
      <c r="U476" s="208">
        <f>IF($L$454,$T476,$N476)</f>
        <v/>
      </c>
    </row>
    <row r="477">
      <c r="A477" s="145" t="n">
        <v>21</v>
      </c>
      <c r="B477" s="204">
        <f>EDATE($B476,1)</f>
        <v/>
      </c>
      <c r="C477" s="205">
        <f>EOMONTH($B477,0)</f>
        <v/>
      </c>
      <c r="D477" s="201">
        <f>$C477-$B477+1</f>
        <v/>
      </c>
      <c r="E477" s="201">
        <f>MONTH($B477)</f>
        <v/>
      </c>
      <c r="F477" s="235">
        <f>($B477+$C477+1)/2</f>
        <v/>
      </c>
      <c r="G477" s="201">
        <f>YEAR($B477)*12+MONTH($B477)-1</f>
        <v/>
      </c>
      <c r="H477" s="207">
        <f>IF(OR(nr_SeasonOn="OFF",$D$454=0,$E$454=0),1,12*INDEX(se_block,$D$454,$E477)/$E$454)</f>
        <v/>
      </c>
      <c r="I477" s="208">
        <f>EXP(SUMPRODUCT((rl_eff&lt;$B477)*(rl_key=$A$454)*rl_ln1p))</f>
        <v/>
      </c>
      <c r="J477" s="208">
        <f>EXP(SUMPRODUCT((rl_eff&lt;=$C477)*(rl_key=$A$454)*rl_ln1p))</f>
        <v/>
      </c>
      <c r="K477" s="201">
        <f>COUNTIFS(rl_key,$A$454,rl_eff,"&gt;="&amp;$B477,rl_eff,"&lt;="&amp;$C477)</f>
        <v/>
      </c>
      <c r="L477" s="201">
        <f>SUMIFS(rl_daysafter,rl_key,$A$454,rl_effmonth,$B477,rl_first,1)</f>
        <v/>
      </c>
      <c r="M477" s="209">
        <f>IF($K477=0,0,MIN(1,$L477/$D477))</f>
        <v/>
      </c>
      <c r="N477" s="208">
        <f>IF($K477=0,$J477,(1-$M477)*$I477+$M477*$J477)</f>
        <v/>
      </c>
      <c r="O477" s="209">
        <f>IF($F477&lt;$B$455,$E$455+$I$455*($F477-$A$455),IF($F477&lt;$C$455,$F$455+$J$455*($F477-$B$455),$G$455+$K$455*($F477-$C$455)))</f>
        <v/>
      </c>
      <c r="P477" s="208">
        <f>MIN(1,MAX(0,(nr_MEndPm1-$G477+0.5)/$C$454))-MIN(1,MAX(0,(nr_MStartPm1-1-$G477+0.5)/$C$454))</f>
        <v/>
      </c>
      <c r="Q477" s="208">
        <f>MIN(1,MAX(0,(nr_MEndP-$G477+0.5)/$C$454))-MIN(1,MAX(0,(nr_MStartP-1-$G477+0.5)/$C$454))</f>
        <v/>
      </c>
      <c r="R477" s="208">
        <f>MIN(1,MAX(0,(nr_MEndP1-$G477+0.5)/$C$454))-MIN(1,MAX(0,(nr_MStartP1-1-$G477+0.5)/$C$454))</f>
        <v/>
      </c>
      <c r="S477" s="208">
        <f>IF($L$454,$N477*IF($O$454=1,$O477/$F$454,1),"")</f>
        <v/>
      </c>
      <c r="T477" s="208">
        <f>IF(NOT($L$454),"",IF($G477&lt;nr_MStartP,$S477,$T465*(1+IF($G477&lt;nr_MStartP1,$M$454,$N$454))))</f>
        <v/>
      </c>
      <c r="U477" s="208">
        <f>IF($L$454,$T477,$N477)</f>
        <v/>
      </c>
    </row>
    <row r="478">
      <c r="A478" s="145" t="n">
        <v>22</v>
      </c>
      <c r="B478" s="204">
        <f>EDATE($B477,1)</f>
        <v/>
      </c>
      <c r="C478" s="205">
        <f>EOMONTH($B478,0)</f>
        <v/>
      </c>
      <c r="D478" s="201">
        <f>$C478-$B478+1</f>
        <v/>
      </c>
      <c r="E478" s="201">
        <f>MONTH($B478)</f>
        <v/>
      </c>
      <c r="F478" s="235">
        <f>($B478+$C478+1)/2</f>
        <v/>
      </c>
      <c r="G478" s="201">
        <f>YEAR($B478)*12+MONTH($B478)-1</f>
        <v/>
      </c>
      <c r="H478" s="207">
        <f>IF(OR(nr_SeasonOn="OFF",$D$454=0,$E$454=0),1,12*INDEX(se_block,$D$454,$E478)/$E$454)</f>
        <v/>
      </c>
      <c r="I478" s="208">
        <f>EXP(SUMPRODUCT((rl_eff&lt;$B478)*(rl_key=$A$454)*rl_ln1p))</f>
        <v/>
      </c>
      <c r="J478" s="208">
        <f>EXP(SUMPRODUCT((rl_eff&lt;=$C478)*(rl_key=$A$454)*rl_ln1p))</f>
        <v/>
      </c>
      <c r="K478" s="201">
        <f>COUNTIFS(rl_key,$A$454,rl_eff,"&gt;="&amp;$B478,rl_eff,"&lt;="&amp;$C478)</f>
        <v/>
      </c>
      <c r="L478" s="201">
        <f>SUMIFS(rl_daysafter,rl_key,$A$454,rl_effmonth,$B478,rl_first,1)</f>
        <v/>
      </c>
      <c r="M478" s="209">
        <f>IF($K478=0,0,MIN(1,$L478/$D478))</f>
        <v/>
      </c>
      <c r="N478" s="208">
        <f>IF($K478=0,$J478,(1-$M478)*$I478+$M478*$J478)</f>
        <v/>
      </c>
      <c r="O478" s="209">
        <f>IF($F478&lt;$B$455,$E$455+$I$455*($F478-$A$455),IF($F478&lt;$C$455,$F$455+$J$455*($F478-$B$455),$G$455+$K$455*($F478-$C$455)))</f>
        <v/>
      </c>
      <c r="P478" s="208">
        <f>MIN(1,MAX(0,(nr_MEndPm1-$G478+0.5)/$C$454))-MIN(1,MAX(0,(nr_MStartPm1-1-$G478+0.5)/$C$454))</f>
        <v/>
      </c>
      <c r="Q478" s="208">
        <f>MIN(1,MAX(0,(nr_MEndP-$G478+0.5)/$C$454))-MIN(1,MAX(0,(nr_MStartP-1-$G478+0.5)/$C$454))</f>
        <v/>
      </c>
      <c r="R478" s="208">
        <f>MIN(1,MAX(0,(nr_MEndP1-$G478+0.5)/$C$454))-MIN(1,MAX(0,(nr_MStartP1-1-$G478+0.5)/$C$454))</f>
        <v/>
      </c>
      <c r="S478" s="208">
        <f>IF($L$454,$N478*IF($O$454=1,$O478/$F$454,1),"")</f>
        <v/>
      </c>
      <c r="T478" s="208">
        <f>IF(NOT($L$454),"",IF($G478&lt;nr_MStartP,$S478,$T466*(1+IF($G478&lt;nr_MStartP1,$M$454,$N$454))))</f>
        <v/>
      </c>
      <c r="U478" s="208">
        <f>IF($L$454,$T478,$N478)</f>
        <v/>
      </c>
    </row>
    <row r="479">
      <c r="A479" s="145" t="n">
        <v>23</v>
      </c>
      <c r="B479" s="204">
        <f>EDATE($B478,1)</f>
        <v/>
      </c>
      <c r="C479" s="205">
        <f>EOMONTH($B479,0)</f>
        <v/>
      </c>
      <c r="D479" s="201">
        <f>$C479-$B479+1</f>
        <v/>
      </c>
      <c r="E479" s="201">
        <f>MONTH($B479)</f>
        <v/>
      </c>
      <c r="F479" s="235">
        <f>($B479+$C479+1)/2</f>
        <v/>
      </c>
      <c r="G479" s="201">
        <f>YEAR($B479)*12+MONTH($B479)-1</f>
        <v/>
      </c>
      <c r="H479" s="207">
        <f>IF(OR(nr_SeasonOn="OFF",$D$454=0,$E$454=0),1,12*INDEX(se_block,$D$454,$E479)/$E$454)</f>
        <v/>
      </c>
      <c r="I479" s="208">
        <f>EXP(SUMPRODUCT((rl_eff&lt;$B479)*(rl_key=$A$454)*rl_ln1p))</f>
        <v/>
      </c>
      <c r="J479" s="208">
        <f>EXP(SUMPRODUCT((rl_eff&lt;=$C479)*(rl_key=$A$454)*rl_ln1p))</f>
        <v/>
      </c>
      <c r="K479" s="201">
        <f>COUNTIFS(rl_key,$A$454,rl_eff,"&gt;="&amp;$B479,rl_eff,"&lt;="&amp;$C479)</f>
        <v/>
      </c>
      <c r="L479" s="201">
        <f>SUMIFS(rl_daysafter,rl_key,$A$454,rl_effmonth,$B479,rl_first,1)</f>
        <v/>
      </c>
      <c r="M479" s="209">
        <f>IF($K479=0,0,MIN(1,$L479/$D479))</f>
        <v/>
      </c>
      <c r="N479" s="208">
        <f>IF($K479=0,$J479,(1-$M479)*$I479+$M479*$J479)</f>
        <v/>
      </c>
      <c r="O479" s="209">
        <f>IF($F479&lt;$B$455,$E$455+$I$455*($F479-$A$455),IF($F479&lt;$C$455,$F$455+$J$455*($F479-$B$455),$G$455+$K$455*($F479-$C$455)))</f>
        <v/>
      </c>
      <c r="P479" s="208">
        <f>MIN(1,MAX(0,(nr_MEndPm1-$G479+0.5)/$C$454))-MIN(1,MAX(0,(nr_MStartPm1-1-$G479+0.5)/$C$454))</f>
        <v/>
      </c>
      <c r="Q479" s="208">
        <f>MIN(1,MAX(0,(nr_MEndP-$G479+0.5)/$C$454))-MIN(1,MAX(0,(nr_MStartP-1-$G479+0.5)/$C$454))</f>
        <v/>
      </c>
      <c r="R479" s="208">
        <f>MIN(1,MAX(0,(nr_MEndP1-$G479+0.5)/$C$454))-MIN(1,MAX(0,(nr_MStartP1-1-$G479+0.5)/$C$454))</f>
        <v/>
      </c>
      <c r="S479" s="208">
        <f>IF($L$454,$N479*IF($O$454=1,$O479/$F$454,1),"")</f>
        <v/>
      </c>
      <c r="T479" s="208">
        <f>IF(NOT($L$454),"",IF($G479&lt;nr_MStartP,$S479,$T467*(1+IF($G479&lt;nr_MStartP1,$M$454,$N$454))))</f>
        <v/>
      </c>
      <c r="U479" s="208">
        <f>IF($L$454,$T479,$N479)</f>
        <v/>
      </c>
    </row>
    <row r="480">
      <c r="A480" s="145" t="n">
        <v>24</v>
      </c>
      <c r="B480" s="204">
        <f>EDATE($B479,1)</f>
        <v/>
      </c>
      <c r="C480" s="205">
        <f>EOMONTH($B480,0)</f>
        <v/>
      </c>
      <c r="D480" s="201">
        <f>$C480-$B480+1</f>
        <v/>
      </c>
      <c r="E480" s="201">
        <f>MONTH($B480)</f>
        <v/>
      </c>
      <c r="F480" s="235">
        <f>($B480+$C480+1)/2</f>
        <v/>
      </c>
      <c r="G480" s="201">
        <f>YEAR($B480)*12+MONTH($B480)-1</f>
        <v/>
      </c>
      <c r="H480" s="207">
        <f>IF(OR(nr_SeasonOn="OFF",$D$454=0,$E$454=0),1,12*INDEX(se_block,$D$454,$E480)/$E$454)</f>
        <v/>
      </c>
      <c r="I480" s="208">
        <f>EXP(SUMPRODUCT((rl_eff&lt;$B480)*(rl_key=$A$454)*rl_ln1p))</f>
        <v/>
      </c>
      <c r="J480" s="208">
        <f>EXP(SUMPRODUCT((rl_eff&lt;=$C480)*(rl_key=$A$454)*rl_ln1p))</f>
        <v/>
      </c>
      <c r="K480" s="201">
        <f>COUNTIFS(rl_key,$A$454,rl_eff,"&gt;="&amp;$B480,rl_eff,"&lt;="&amp;$C480)</f>
        <v/>
      </c>
      <c r="L480" s="201">
        <f>SUMIFS(rl_daysafter,rl_key,$A$454,rl_effmonth,$B480,rl_first,1)</f>
        <v/>
      </c>
      <c r="M480" s="209">
        <f>IF($K480=0,0,MIN(1,$L480/$D480))</f>
        <v/>
      </c>
      <c r="N480" s="208">
        <f>IF($K480=0,$J480,(1-$M480)*$I480+$M480*$J480)</f>
        <v/>
      </c>
      <c r="O480" s="209">
        <f>IF($F480&lt;$B$455,$E$455+$I$455*($F480-$A$455),IF($F480&lt;$C$455,$F$455+$J$455*($F480-$B$455),$G$455+$K$455*($F480-$C$455)))</f>
        <v/>
      </c>
      <c r="P480" s="208">
        <f>MIN(1,MAX(0,(nr_MEndPm1-$G480+0.5)/$C$454))-MIN(1,MAX(0,(nr_MStartPm1-1-$G480+0.5)/$C$454))</f>
        <v/>
      </c>
      <c r="Q480" s="208">
        <f>MIN(1,MAX(0,(nr_MEndP-$G480+0.5)/$C$454))-MIN(1,MAX(0,(nr_MStartP-1-$G480+0.5)/$C$454))</f>
        <v/>
      </c>
      <c r="R480" s="208">
        <f>MIN(1,MAX(0,(nr_MEndP1-$G480+0.5)/$C$454))-MIN(1,MAX(0,(nr_MStartP1-1-$G480+0.5)/$C$454))</f>
        <v/>
      </c>
      <c r="S480" s="208">
        <f>IF($L$454,$N480*IF($O$454=1,$O480/$F$454,1),"")</f>
        <v/>
      </c>
      <c r="T480" s="208">
        <f>IF(NOT($L$454),"",IF($G480&lt;nr_MStartP,$S480,$T468*(1+IF($G480&lt;nr_MStartP1,$M$454,$N$454))))</f>
        <v/>
      </c>
      <c r="U480" s="208">
        <f>IF($L$454,$T480,$N480)</f>
        <v/>
      </c>
    </row>
    <row r="481">
      <c r="A481" s="145" t="n">
        <v>25</v>
      </c>
      <c r="B481" s="204">
        <f>EDATE($B480,1)</f>
        <v/>
      </c>
      <c r="C481" s="205">
        <f>EOMONTH($B481,0)</f>
        <v/>
      </c>
      <c r="D481" s="201">
        <f>$C481-$B481+1</f>
        <v/>
      </c>
      <c r="E481" s="201">
        <f>MONTH($B481)</f>
        <v/>
      </c>
      <c r="F481" s="235">
        <f>($B481+$C481+1)/2</f>
        <v/>
      </c>
      <c r="G481" s="201">
        <f>YEAR($B481)*12+MONTH($B481)-1</f>
        <v/>
      </c>
      <c r="H481" s="207">
        <f>IF(OR(nr_SeasonOn="OFF",$D$454=0,$E$454=0),1,12*INDEX(se_block,$D$454,$E481)/$E$454)</f>
        <v/>
      </c>
      <c r="I481" s="208">
        <f>EXP(SUMPRODUCT((rl_eff&lt;$B481)*(rl_key=$A$454)*rl_ln1p))</f>
        <v/>
      </c>
      <c r="J481" s="208">
        <f>EXP(SUMPRODUCT((rl_eff&lt;=$C481)*(rl_key=$A$454)*rl_ln1p))</f>
        <v/>
      </c>
      <c r="K481" s="201">
        <f>COUNTIFS(rl_key,$A$454,rl_eff,"&gt;="&amp;$B481,rl_eff,"&lt;="&amp;$C481)</f>
        <v/>
      </c>
      <c r="L481" s="201">
        <f>SUMIFS(rl_daysafter,rl_key,$A$454,rl_effmonth,$B481,rl_first,1)</f>
        <v/>
      </c>
      <c r="M481" s="209">
        <f>IF($K481=0,0,MIN(1,$L481/$D481))</f>
        <v/>
      </c>
      <c r="N481" s="208">
        <f>IF($K481=0,$J481,(1-$M481)*$I481+$M481*$J481)</f>
        <v/>
      </c>
      <c r="O481" s="209">
        <f>IF($F481&lt;$B$455,$E$455+$I$455*($F481-$A$455),IF($F481&lt;$C$455,$F$455+$J$455*($F481-$B$455),$G$455+$K$455*($F481-$C$455)))</f>
        <v/>
      </c>
      <c r="P481" s="208">
        <f>MIN(1,MAX(0,(nr_MEndPm1-$G481+0.5)/$C$454))-MIN(1,MAX(0,(nr_MStartPm1-1-$G481+0.5)/$C$454))</f>
        <v/>
      </c>
      <c r="Q481" s="208">
        <f>MIN(1,MAX(0,(nr_MEndP-$G481+0.5)/$C$454))-MIN(1,MAX(0,(nr_MStartP-1-$G481+0.5)/$C$454))</f>
        <v/>
      </c>
      <c r="R481" s="208">
        <f>MIN(1,MAX(0,(nr_MEndP1-$G481+0.5)/$C$454))-MIN(1,MAX(0,(nr_MStartP1-1-$G481+0.5)/$C$454))</f>
        <v/>
      </c>
      <c r="S481" s="208">
        <f>IF($L$454,$N481*IF($O$454=1,$O481/$F$454,1),"")</f>
        <v/>
      </c>
      <c r="T481" s="208">
        <f>IF(NOT($L$454),"",IF($G481&lt;nr_MStartP,$S481,$T469*(1+IF($G481&lt;nr_MStartP1,$M$454,$N$454))))</f>
        <v/>
      </c>
      <c r="U481" s="208">
        <f>IF($L$454,$T481,$N481)</f>
        <v/>
      </c>
    </row>
    <row r="482">
      <c r="A482" s="145" t="n">
        <v>26</v>
      </c>
      <c r="B482" s="204">
        <f>EDATE($B481,1)</f>
        <v/>
      </c>
      <c r="C482" s="205">
        <f>EOMONTH($B482,0)</f>
        <v/>
      </c>
      <c r="D482" s="201">
        <f>$C482-$B482+1</f>
        <v/>
      </c>
      <c r="E482" s="201">
        <f>MONTH($B482)</f>
        <v/>
      </c>
      <c r="F482" s="235">
        <f>($B482+$C482+1)/2</f>
        <v/>
      </c>
      <c r="G482" s="201">
        <f>YEAR($B482)*12+MONTH($B482)-1</f>
        <v/>
      </c>
      <c r="H482" s="207">
        <f>IF(OR(nr_SeasonOn="OFF",$D$454=0,$E$454=0),1,12*INDEX(se_block,$D$454,$E482)/$E$454)</f>
        <v/>
      </c>
      <c r="I482" s="208">
        <f>EXP(SUMPRODUCT((rl_eff&lt;$B482)*(rl_key=$A$454)*rl_ln1p))</f>
        <v/>
      </c>
      <c r="J482" s="208">
        <f>EXP(SUMPRODUCT((rl_eff&lt;=$C482)*(rl_key=$A$454)*rl_ln1p))</f>
        <v/>
      </c>
      <c r="K482" s="201">
        <f>COUNTIFS(rl_key,$A$454,rl_eff,"&gt;="&amp;$B482,rl_eff,"&lt;="&amp;$C482)</f>
        <v/>
      </c>
      <c r="L482" s="201">
        <f>SUMIFS(rl_daysafter,rl_key,$A$454,rl_effmonth,$B482,rl_first,1)</f>
        <v/>
      </c>
      <c r="M482" s="209">
        <f>IF($K482=0,0,MIN(1,$L482/$D482))</f>
        <v/>
      </c>
      <c r="N482" s="208">
        <f>IF($K482=0,$J482,(1-$M482)*$I482+$M482*$J482)</f>
        <v/>
      </c>
      <c r="O482" s="209">
        <f>IF($F482&lt;$B$455,$E$455+$I$455*($F482-$A$455),IF($F482&lt;$C$455,$F$455+$J$455*($F482-$B$455),$G$455+$K$455*($F482-$C$455)))</f>
        <v/>
      </c>
      <c r="P482" s="208">
        <f>MIN(1,MAX(0,(nr_MEndPm1-$G482+0.5)/$C$454))-MIN(1,MAX(0,(nr_MStartPm1-1-$G482+0.5)/$C$454))</f>
        <v/>
      </c>
      <c r="Q482" s="208">
        <f>MIN(1,MAX(0,(nr_MEndP-$G482+0.5)/$C$454))-MIN(1,MAX(0,(nr_MStartP-1-$G482+0.5)/$C$454))</f>
        <v/>
      </c>
      <c r="R482" s="208">
        <f>MIN(1,MAX(0,(nr_MEndP1-$G482+0.5)/$C$454))-MIN(1,MAX(0,(nr_MStartP1-1-$G482+0.5)/$C$454))</f>
        <v/>
      </c>
      <c r="S482" s="208">
        <f>IF($L$454,$N482*IF($O$454=1,$O482/$F$454,1),"")</f>
        <v/>
      </c>
      <c r="T482" s="208">
        <f>IF(NOT($L$454),"",IF($G482&lt;nr_MStartP,$S482,$T470*(1+IF($G482&lt;nr_MStartP1,$M$454,$N$454))))</f>
        <v/>
      </c>
      <c r="U482" s="208">
        <f>IF($L$454,$T482,$N482)</f>
        <v/>
      </c>
    </row>
    <row r="483">
      <c r="A483" s="145" t="n">
        <v>27</v>
      </c>
      <c r="B483" s="204">
        <f>EDATE($B482,1)</f>
        <v/>
      </c>
      <c r="C483" s="205">
        <f>EOMONTH($B483,0)</f>
        <v/>
      </c>
      <c r="D483" s="201">
        <f>$C483-$B483+1</f>
        <v/>
      </c>
      <c r="E483" s="201">
        <f>MONTH($B483)</f>
        <v/>
      </c>
      <c r="F483" s="235">
        <f>($B483+$C483+1)/2</f>
        <v/>
      </c>
      <c r="G483" s="201">
        <f>YEAR($B483)*12+MONTH($B483)-1</f>
        <v/>
      </c>
      <c r="H483" s="207">
        <f>IF(OR(nr_SeasonOn="OFF",$D$454=0,$E$454=0),1,12*INDEX(se_block,$D$454,$E483)/$E$454)</f>
        <v/>
      </c>
      <c r="I483" s="208">
        <f>EXP(SUMPRODUCT((rl_eff&lt;$B483)*(rl_key=$A$454)*rl_ln1p))</f>
        <v/>
      </c>
      <c r="J483" s="208">
        <f>EXP(SUMPRODUCT((rl_eff&lt;=$C483)*(rl_key=$A$454)*rl_ln1p))</f>
        <v/>
      </c>
      <c r="K483" s="201">
        <f>COUNTIFS(rl_key,$A$454,rl_eff,"&gt;="&amp;$B483,rl_eff,"&lt;="&amp;$C483)</f>
        <v/>
      </c>
      <c r="L483" s="201">
        <f>SUMIFS(rl_daysafter,rl_key,$A$454,rl_effmonth,$B483,rl_first,1)</f>
        <v/>
      </c>
      <c r="M483" s="209">
        <f>IF($K483=0,0,MIN(1,$L483/$D483))</f>
        <v/>
      </c>
      <c r="N483" s="208">
        <f>IF($K483=0,$J483,(1-$M483)*$I483+$M483*$J483)</f>
        <v/>
      </c>
      <c r="O483" s="209">
        <f>IF($F483&lt;$B$455,$E$455+$I$455*($F483-$A$455),IF($F483&lt;$C$455,$F$455+$J$455*($F483-$B$455),$G$455+$K$455*($F483-$C$455)))</f>
        <v/>
      </c>
      <c r="P483" s="208">
        <f>MIN(1,MAX(0,(nr_MEndPm1-$G483+0.5)/$C$454))-MIN(1,MAX(0,(nr_MStartPm1-1-$G483+0.5)/$C$454))</f>
        <v/>
      </c>
      <c r="Q483" s="208">
        <f>MIN(1,MAX(0,(nr_MEndP-$G483+0.5)/$C$454))-MIN(1,MAX(0,(nr_MStartP-1-$G483+0.5)/$C$454))</f>
        <v/>
      </c>
      <c r="R483" s="208">
        <f>MIN(1,MAX(0,(nr_MEndP1-$G483+0.5)/$C$454))-MIN(1,MAX(0,(nr_MStartP1-1-$G483+0.5)/$C$454))</f>
        <v/>
      </c>
      <c r="S483" s="208">
        <f>IF($L$454,$N483*IF($O$454=1,$O483/$F$454,1),"")</f>
        <v/>
      </c>
      <c r="T483" s="208">
        <f>IF(NOT($L$454),"",IF($G483&lt;nr_MStartP,$S483,$T471*(1+IF($G483&lt;nr_MStartP1,$M$454,$N$454))))</f>
        <v/>
      </c>
      <c r="U483" s="208">
        <f>IF($L$454,$T483,$N483)</f>
        <v/>
      </c>
    </row>
    <row r="484">
      <c r="A484" s="145" t="n">
        <v>28</v>
      </c>
      <c r="B484" s="204">
        <f>EDATE($B483,1)</f>
        <v/>
      </c>
      <c r="C484" s="205">
        <f>EOMONTH($B484,0)</f>
        <v/>
      </c>
      <c r="D484" s="201">
        <f>$C484-$B484+1</f>
        <v/>
      </c>
      <c r="E484" s="201">
        <f>MONTH($B484)</f>
        <v/>
      </c>
      <c r="F484" s="235">
        <f>($B484+$C484+1)/2</f>
        <v/>
      </c>
      <c r="G484" s="201">
        <f>YEAR($B484)*12+MONTH($B484)-1</f>
        <v/>
      </c>
      <c r="H484" s="207">
        <f>IF(OR(nr_SeasonOn="OFF",$D$454=0,$E$454=0),1,12*INDEX(se_block,$D$454,$E484)/$E$454)</f>
        <v/>
      </c>
      <c r="I484" s="208">
        <f>EXP(SUMPRODUCT((rl_eff&lt;$B484)*(rl_key=$A$454)*rl_ln1p))</f>
        <v/>
      </c>
      <c r="J484" s="208">
        <f>EXP(SUMPRODUCT((rl_eff&lt;=$C484)*(rl_key=$A$454)*rl_ln1p))</f>
        <v/>
      </c>
      <c r="K484" s="201">
        <f>COUNTIFS(rl_key,$A$454,rl_eff,"&gt;="&amp;$B484,rl_eff,"&lt;="&amp;$C484)</f>
        <v/>
      </c>
      <c r="L484" s="201">
        <f>SUMIFS(rl_daysafter,rl_key,$A$454,rl_effmonth,$B484,rl_first,1)</f>
        <v/>
      </c>
      <c r="M484" s="209">
        <f>IF($K484=0,0,MIN(1,$L484/$D484))</f>
        <v/>
      </c>
      <c r="N484" s="208">
        <f>IF($K484=0,$J484,(1-$M484)*$I484+$M484*$J484)</f>
        <v/>
      </c>
      <c r="O484" s="209">
        <f>IF($F484&lt;$B$455,$E$455+$I$455*($F484-$A$455),IF($F484&lt;$C$455,$F$455+$J$455*($F484-$B$455),$G$455+$K$455*($F484-$C$455)))</f>
        <v/>
      </c>
      <c r="P484" s="208">
        <f>MIN(1,MAX(0,(nr_MEndPm1-$G484+0.5)/$C$454))-MIN(1,MAX(0,(nr_MStartPm1-1-$G484+0.5)/$C$454))</f>
        <v/>
      </c>
      <c r="Q484" s="208">
        <f>MIN(1,MAX(0,(nr_MEndP-$G484+0.5)/$C$454))-MIN(1,MAX(0,(nr_MStartP-1-$G484+0.5)/$C$454))</f>
        <v/>
      </c>
      <c r="R484" s="208">
        <f>MIN(1,MAX(0,(nr_MEndP1-$G484+0.5)/$C$454))-MIN(1,MAX(0,(nr_MStartP1-1-$G484+0.5)/$C$454))</f>
        <v/>
      </c>
      <c r="S484" s="208">
        <f>IF($L$454,$N484*IF($O$454=1,$O484/$F$454,1),"")</f>
        <v/>
      </c>
      <c r="T484" s="208">
        <f>IF(NOT($L$454),"",IF($G484&lt;nr_MStartP,$S484,$T472*(1+IF($G484&lt;nr_MStartP1,$M$454,$N$454))))</f>
        <v/>
      </c>
      <c r="U484" s="208">
        <f>IF($L$454,$T484,$N484)</f>
        <v/>
      </c>
    </row>
    <row r="485">
      <c r="A485" s="145" t="n">
        <v>29</v>
      </c>
      <c r="B485" s="204">
        <f>EDATE($B484,1)</f>
        <v/>
      </c>
      <c r="C485" s="205">
        <f>EOMONTH($B485,0)</f>
        <v/>
      </c>
      <c r="D485" s="201">
        <f>$C485-$B485+1</f>
        <v/>
      </c>
      <c r="E485" s="201">
        <f>MONTH($B485)</f>
        <v/>
      </c>
      <c r="F485" s="235">
        <f>($B485+$C485+1)/2</f>
        <v/>
      </c>
      <c r="G485" s="201">
        <f>YEAR($B485)*12+MONTH($B485)-1</f>
        <v/>
      </c>
      <c r="H485" s="207">
        <f>IF(OR(nr_SeasonOn="OFF",$D$454=0,$E$454=0),1,12*INDEX(se_block,$D$454,$E485)/$E$454)</f>
        <v/>
      </c>
      <c r="I485" s="208">
        <f>EXP(SUMPRODUCT((rl_eff&lt;$B485)*(rl_key=$A$454)*rl_ln1p))</f>
        <v/>
      </c>
      <c r="J485" s="208">
        <f>EXP(SUMPRODUCT((rl_eff&lt;=$C485)*(rl_key=$A$454)*rl_ln1p))</f>
        <v/>
      </c>
      <c r="K485" s="201">
        <f>COUNTIFS(rl_key,$A$454,rl_eff,"&gt;="&amp;$B485,rl_eff,"&lt;="&amp;$C485)</f>
        <v/>
      </c>
      <c r="L485" s="201">
        <f>SUMIFS(rl_daysafter,rl_key,$A$454,rl_effmonth,$B485,rl_first,1)</f>
        <v/>
      </c>
      <c r="M485" s="209">
        <f>IF($K485=0,0,MIN(1,$L485/$D485))</f>
        <v/>
      </c>
      <c r="N485" s="208">
        <f>IF($K485=0,$J485,(1-$M485)*$I485+$M485*$J485)</f>
        <v/>
      </c>
      <c r="O485" s="209">
        <f>IF($F485&lt;$B$455,$E$455+$I$455*($F485-$A$455),IF($F485&lt;$C$455,$F$455+$J$455*($F485-$B$455),$G$455+$K$455*($F485-$C$455)))</f>
        <v/>
      </c>
      <c r="P485" s="208">
        <f>MIN(1,MAX(0,(nr_MEndPm1-$G485+0.5)/$C$454))-MIN(1,MAX(0,(nr_MStartPm1-1-$G485+0.5)/$C$454))</f>
        <v/>
      </c>
      <c r="Q485" s="208">
        <f>MIN(1,MAX(0,(nr_MEndP-$G485+0.5)/$C$454))-MIN(1,MAX(0,(nr_MStartP-1-$G485+0.5)/$C$454))</f>
        <v/>
      </c>
      <c r="R485" s="208">
        <f>MIN(1,MAX(0,(nr_MEndP1-$G485+0.5)/$C$454))-MIN(1,MAX(0,(nr_MStartP1-1-$G485+0.5)/$C$454))</f>
        <v/>
      </c>
      <c r="S485" s="208">
        <f>IF($L$454,$N485*IF($O$454=1,$O485/$F$454,1),"")</f>
        <v/>
      </c>
      <c r="T485" s="208">
        <f>IF(NOT($L$454),"",IF($G485&lt;nr_MStartP,$S485,$T473*(1+IF($G485&lt;nr_MStartP1,$M$454,$N$454))))</f>
        <v/>
      </c>
      <c r="U485" s="208">
        <f>IF($L$454,$T485,$N485)</f>
        <v/>
      </c>
    </row>
    <row r="486">
      <c r="A486" s="145" t="n">
        <v>30</v>
      </c>
      <c r="B486" s="204">
        <f>EDATE($B485,1)</f>
        <v/>
      </c>
      <c r="C486" s="205">
        <f>EOMONTH($B486,0)</f>
        <v/>
      </c>
      <c r="D486" s="201">
        <f>$C486-$B486+1</f>
        <v/>
      </c>
      <c r="E486" s="201">
        <f>MONTH($B486)</f>
        <v/>
      </c>
      <c r="F486" s="235">
        <f>($B486+$C486+1)/2</f>
        <v/>
      </c>
      <c r="G486" s="201">
        <f>YEAR($B486)*12+MONTH($B486)-1</f>
        <v/>
      </c>
      <c r="H486" s="207">
        <f>IF(OR(nr_SeasonOn="OFF",$D$454=0,$E$454=0),1,12*INDEX(se_block,$D$454,$E486)/$E$454)</f>
        <v/>
      </c>
      <c r="I486" s="208">
        <f>EXP(SUMPRODUCT((rl_eff&lt;$B486)*(rl_key=$A$454)*rl_ln1p))</f>
        <v/>
      </c>
      <c r="J486" s="208">
        <f>EXP(SUMPRODUCT((rl_eff&lt;=$C486)*(rl_key=$A$454)*rl_ln1p))</f>
        <v/>
      </c>
      <c r="K486" s="201">
        <f>COUNTIFS(rl_key,$A$454,rl_eff,"&gt;="&amp;$B486,rl_eff,"&lt;="&amp;$C486)</f>
        <v/>
      </c>
      <c r="L486" s="201">
        <f>SUMIFS(rl_daysafter,rl_key,$A$454,rl_effmonth,$B486,rl_first,1)</f>
        <v/>
      </c>
      <c r="M486" s="209">
        <f>IF($K486=0,0,MIN(1,$L486/$D486))</f>
        <v/>
      </c>
      <c r="N486" s="208">
        <f>IF($K486=0,$J486,(1-$M486)*$I486+$M486*$J486)</f>
        <v/>
      </c>
      <c r="O486" s="209">
        <f>IF($F486&lt;$B$455,$E$455+$I$455*($F486-$A$455),IF($F486&lt;$C$455,$F$455+$J$455*($F486-$B$455),$G$455+$K$455*($F486-$C$455)))</f>
        <v/>
      </c>
      <c r="P486" s="208">
        <f>MIN(1,MAX(0,(nr_MEndPm1-$G486+0.5)/$C$454))-MIN(1,MAX(0,(nr_MStartPm1-1-$G486+0.5)/$C$454))</f>
        <v/>
      </c>
      <c r="Q486" s="208">
        <f>MIN(1,MAX(0,(nr_MEndP-$G486+0.5)/$C$454))-MIN(1,MAX(0,(nr_MStartP-1-$G486+0.5)/$C$454))</f>
        <v/>
      </c>
      <c r="R486" s="208">
        <f>MIN(1,MAX(0,(nr_MEndP1-$G486+0.5)/$C$454))-MIN(1,MAX(0,(nr_MStartP1-1-$G486+0.5)/$C$454))</f>
        <v/>
      </c>
      <c r="S486" s="208">
        <f>IF($L$454,$N486*IF($O$454=1,$O486/$F$454,1),"")</f>
        <v/>
      </c>
      <c r="T486" s="208">
        <f>IF(NOT($L$454),"",IF($G486&lt;nr_MStartP,$S486,$T474*(1+IF($G486&lt;nr_MStartP1,$M$454,$N$454))))</f>
        <v/>
      </c>
      <c r="U486" s="208">
        <f>IF($L$454,$T486,$N486)</f>
        <v/>
      </c>
    </row>
    <row r="487">
      <c r="A487" s="145" t="n">
        <v>31</v>
      </c>
      <c r="B487" s="204">
        <f>EDATE($B486,1)</f>
        <v/>
      </c>
      <c r="C487" s="205">
        <f>EOMONTH($B487,0)</f>
        <v/>
      </c>
      <c r="D487" s="201">
        <f>$C487-$B487+1</f>
        <v/>
      </c>
      <c r="E487" s="201">
        <f>MONTH($B487)</f>
        <v/>
      </c>
      <c r="F487" s="235">
        <f>($B487+$C487+1)/2</f>
        <v/>
      </c>
      <c r="G487" s="201">
        <f>YEAR($B487)*12+MONTH($B487)-1</f>
        <v/>
      </c>
      <c r="H487" s="207">
        <f>IF(OR(nr_SeasonOn="OFF",$D$454=0,$E$454=0),1,12*INDEX(se_block,$D$454,$E487)/$E$454)</f>
        <v/>
      </c>
      <c r="I487" s="208">
        <f>EXP(SUMPRODUCT((rl_eff&lt;$B487)*(rl_key=$A$454)*rl_ln1p))</f>
        <v/>
      </c>
      <c r="J487" s="208">
        <f>EXP(SUMPRODUCT((rl_eff&lt;=$C487)*(rl_key=$A$454)*rl_ln1p))</f>
        <v/>
      </c>
      <c r="K487" s="201">
        <f>COUNTIFS(rl_key,$A$454,rl_eff,"&gt;="&amp;$B487,rl_eff,"&lt;="&amp;$C487)</f>
        <v/>
      </c>
      <c r="L487" s="201">
        <f>SUMIFS(rl_daysafter,rl_key,$A$454,rl_effmonth,$B487,rl_first,1)</f>
        <v/>
      </c>
      <c r="M487" s="209">
        <f>IF($K487=0,0,MIN(1,$L487/$D487))</f>
        <v/>
      </c>
      <c r="N487" s="208">
        <f>IF($K487=0,$J487,(1-$M487)*$I487+$M487*$J487)</f>
        <v/>
      </c>
      <c r="O487" s="209">
        <f>IF($F487&lt;$B$455,$E$455+$I$455*($F487-$A$455),IF($F487&lt;$C$455,$F$455+$J$455*($F487-$B$455),$G$455+$K$455*($F487-$C$455)))</f>
        <v/>
      </c>
      <c r="P487" s="208">
        <f>MIN(1,MAX(0,(nr_MEndPm1-$G487+0.5)/$C$454))-MIN(1,MAX(0,(nr_MStartPm1-1-$G487+0.5)/$C$454))</f>
        <v/>
      </c>
      <c r="Q487" s="208">
        <f>MIN(1,MAX(0,(nr_MEndP-$G487+0.5)/$C$454))-MIN(1,MAX(0,(nr_MStartP-1-$G487+0.5)/$C$454))</f>
        <v/>
      </c>
      <c r="R487" s="208">
        <f>MIN(1,MAX(0,(nr_MEndP1-$G487+0.5)/$C$454))-MIN(1,MAX(0,(nr_MStartP1-1-$G487+0.5)/$C$454))</f>
        <v/>
      </c>
      <c r="S487" s="208">
        <f>IF($L$454,$N487*IF($O$454=1,$O487/$F$454,1),"")</f>
        <v/>
      </c>
      <c r="T487" s="208">
        <f>IF(NOT($L$454),"",IF($G487&lt;nr_MStartP,$S487,$T475*(1+IF($G487&lt;nr_MStartP1,$M$454,$N$454))))</f>
        <v/>
      </c>
      <c r="U487" s="208">
        <f>IF($L$454,$T487,$N487)</f>
        <v/>
      </c>
    </row>
    <row r="488">
      <c r="A488" s="145" t="n">
        <v>32</v>
      </c>
      <c r="B488" s="204">
        <f>EDATE($B487,1)</f>
        <v/>
      </c>
      <c r="C488" s="205">
        <f>EOMONTH($B488,0)</f>
        <v/>
      </c>
      <c r="D488" s="201">
        <f>$C488-$B488+1</f>
        <v/>
      </c>
      <c r="E488" s="201">
        <f>MONTH($B488)</f>
        <v/>
      </c>
      <c r="F488" s="235">
        <f>($B488+$C488+1)/2</f>
        <v/>
      </c>
      <c r="G488" s="201">
        <f>YEAR($B488)*12+MONTH($B488)-1</f>
        <v/>
      </c>
      <c r="H488" s="207">
        <f>IF(OR(nr_SeasonOn="OFF",$D$454=0,$E$454=0),1,12*INDEX(se_block,$D$454,$E488)/$E$454)</f>
        <v/>
      </c>
      <c r="I488" s="208">
        <f>EXP(SUMPRODUCT((rl_eff&lt;$B488)*(rl_key=$A$454)*rl_ln1p))</f>
        <v/>
      </c>
      <c r="J488" s="208">
        <f>EXP(SUMPRODUCT((rl_eff&lt;=$C488)*(rl_key=$A$454)*rl_ln1p))</f>
        <v/>
      </c>
      <c r="K488" s="201">
        <f>COUNTIFS(rl_key,$A$454,rl_eff,"&gt;="&amp;$B488,rl_eff,"&lt;="&amp;$C488)</f>
        <v/>
      </c>
      <c r="L488" s="201">
        <f>SUMIFS(rl_daysafter,rl_key,$A$454,rl_effmonth,$B488,rl_first,1)</f>
        <v/>
      </c>
      <c r="M488" s="209">
        <f>IF($K488=0,0,MIN(1,$L488/$D488))</f>
        <v/>
      </c>
      <c r="N488" s="208">
        <f>IF($K488=0,$J488,(1-$M488)*$I488+$M488*$J488)</f>
        <v/>
      </c>
      <c r="O488" s="209">
        <f>IF($F488&lt;$B$455,$E$455+$I$455*($F488-$A$455),IF($F488&lt;$C$455,$F$455+$J$455*($F488-$B$455),$G$455+$K$455*($F488-$C$455)))</f>
        <v/>
      </c>
      <c r="P488" s="208">
        <f>MIN(1,MAX(0,(nr_MEndPm1-$G488+0.5)/$C$454))-MIN(1,MAX(0,(nr_MStartPm1-1-$G488+0.5)/$C$454))</f>
        <v/>
      </c>
      <c r="Q488" s="208">
        <f>MIN(1,MAX(0,(nr_MEndP-$G488+0.5)/$C$454))-MIN(1,MAX(0,(nr_MStartP-1-$G488+0.5)/$C$454))</f>
        <v/>
      </c>
      <c r="R488" s="208">
        <f>MIN(1,MAX(0,(nr_MEndP1-$G488+0.5)/$C$454))-MIN(1,MAX(0,(nr_MStartP1-1-$G488+0.5)/$C$454))</f>
        <v/>
      </c>
      <c r="S488" s="208">
        <f>IF($L$454,$N488*IF($O$454=1,$O488/$F$454,1),"")</f>
        <v/>
      </c>
      <c r="T488" s="208">
        <f>IF(NOT($L$454),"",IF($G488&lt;nr_MStartP,$S488,$T476*(1+IF($G488&lt;nr_MStartP1,$M$454,$N$454))))</f>
        <v/>
      </c>
      <c r="U488" s="208">
        <f>IF($L$454,$T488,$N488)</f>
        <v/>
      </c>
    </row>
    <row r="489">
      <c r="A489" s="145" t="n">
        <v>33</v>
      </c>
      <c r="B489" s="204">
        <f>EDATE($B488,1)</f>
        <v/>
      </c>
      <c r="C489" s="205">
        <f>EOMONTH($B489,0)</f>
        <v/>
      </c>
      <c r="D489" s="201">
        <f>$C489-$B489+1</f>
        <v/>
      </c>
      <c r="E489" s="201">
        <f>MONTH($B489)</f>
        <v/>
      </c>
      <c r="F489" s="235">
        <f>($B489+$C489+1)/2</f>
        <v/>
      </c>
      <c r="G489" s="201">
        <f>YEAR($B489)*12+MONTH($B489)-1</f>
        <v/>
      </c>
      <c r="H489" s="207">
        <f>IF(OR(nr_SeasonOn="OFF",$D$454=0,$E$454=0),1,12*INDEX(se_block,$D$454,$E489)/$E$454)</f>
        <v/>
      </c>
      <c r="I489" s="208">
        <f>EXP(SUMPRODUCT((rl_eff&lt;$B489)*(rl_key=$A$454)*rl_ln1p))</f>
        <v/>
      </c>
      <c r="J489" s="208">
        <f>EXP(SUMPRODUCT((rl_eff&lt;=$C489)*(rl_key=$A$454)*rl_ln1p))</f>
        <v/>
      </c>
      <c r="K489" s="201">
        <f>COUNTIFS(rl_key,$A$454,rl_eff,"&gt;="&amp;$B489,rl_eff,"&lt;="&amp;$C489)</f>
        <v/>
      </c>
      <c r="L489" s="201">
        <f>SUMIFS(rl_daysafter,rl_key,$A$454,rl_effmonth,$B489,rl_first,1)</f>
        <v/>
      </c>
      <c r="M489" s="209">
        <f>IF($K489=0,0,MIN(1,$L489/$D489))</f>
        <v/>
      </c>
      <c r="N489" s="208">
        <f>IF($K489=0,$J489,(1-$M489)*$I489+$M489*$J489)</f>
        <v/>
      </c>
      <c r="O489" s="209">
        <f>IF($F489&lt;$B$455,$E$455+$I$455*($F489-$A$455),IF($F489&lt;$C$455,$F$455+$J$455*($F489-$B$455),$G$455+$K$455*($F489-$C$455)))</f>
        <v/>
      </c>
      <c r="P489" s="208">
        <f>MIN(1,MAX(0,(nr_MEndPm1-$G489+0.5)/$C$454))-MIN(1,MAX(0,(nr_MStartPm1-1-$G489+0.5)/$C$454))</f>
        <v/>
      </c>
      <c r="Q489" s="208">
        <f>MIN(1,MAX(0,(nr_MEndP-$G489+0.5)/$C$454))-MIN(1,MAX(0,(nr_MStartP-1-$G489+0.5)/$C$454))</f>
        <v/>
      </c>
      <c r="R489" s="208">
        <f>MIN(1,MAX(0,(nr_MEndP1-$G489+0.5)/$C$454))-MIN(1,MAX(0,(nr_MStartP1-1-$G489+0.5)/$C$454))</f>
        <v/>
      </c>
      <c r="S489" s="208">
        <f>IF($L$454,$N489*IF($O$454=1,$O489/$F$454,1),"")</f>
        <v/>
      </c>
      <c r="T489" s="208">
        <f>IF(NOT($L$454),"",IF($G489&lt;nr_MStartP,$S489,$T477*(1+IF($G489&lt;nr_MStartP1,$M$454,$N$454))))</f>
        <v/>
      </c>
      <c r="U489" s="208">
        <f>IF($L$454,$T489,$N489)</f>
        <v/>
      </c>
    </row>
    <row r="490">
      <c r="A490" s="145" t="n">
        <v>34</v>
      </c>
      <c r="B490" s="204">
        <f>EDATE($B489,1)</f>
        <v/>
      </c>
      <c r="C490" s="205">
        <f>EOMONTH($B490,0)</f>
        <v/>
      </c>
      <c r="D490" s="201">
        <f>$C490-$B490+1</f>
        <v/>
      </c>
      <c r="E490" s="201">
        <f>MONTH($B490)</f>
        <v/>
      </c>
      <c r="F490" s="235">
        <f>($B490+$C490+1)/2</f>
        <v/>
      </c>
      <c r="G490" s="201">
        <f>YEAR($B490)*12+MONTH($B490)-1</f>
        <v/>
      </c>
      <c r="H490" s="207">
        <f>IF(OR(nr_SeasonOn="OFF",$D$454=0,$E$454=0),1,12*INDEX(se_block,$D$454,$E490)/$E$454)</f>
        <v/>
      </c>
      <c r="I490" s="208">
        <f>EXP(SUMPRODUCT((rl_eff&lt;$B490)*(rl_key=$A$454)*rl_ln1p))</f>
        <v/>
      </c>
      <c r="J490" s="208">
        <f>EXP(SUMPRODUCT((rl_eff&lt;=$C490)*(rl_key=$A$454)*rl_ln1p))</f>
        <v/>
      </c>
      <c r="K490" s="201">
        <f>COUNTIFS(rl_key,$A$454,rl_eff,"&gt;="&amp;$B490,rl_eff,"&lt;="&amp;$C490)</f>
        <v/>
      </c>
      <c r="L490" s="201">
        <f>SUMIFS(rl_daysafter,rl_key,$A$454,rl_effmonth,$B490,rl_first,1)</f>
        <v/>
      </c>
      <c r="M490" s="209">
        <f>IF($K490=0,0,MIN(1,$L490/$D490))</f>
        <v/>
      </c>
      <c r="N490" s="208">
        <f>IF($K490=0,$J490,(1-$M490)*$I490+$M490*$J490)</f>
        <v/>
      </c>
      <c r="O490" s="209">
        <f>IF($F490&lt;$B$455,$E$455+$I$455*($F490-$A$455),IF($F490&lt;$C$455,$F$455+$J$455*($F490-$B$455),$G$455+$K$455*($F490-$C$455)))</f>
        <v/>
      </c>
      <c r="P490" s="208">
        <f>MIN(1,MAX(0,(nr_MEndPm1-$G490+0.5)/$C$454))-MIN(1,MAX(0,(nr_MStartPm1-1-$G490+0.5)/$C$454))</f>
        <v/>
      </c>
      <c r="Q490" s="208">
        <f>MIN(1,MAX(0,(nr_MEndP-$G490+0.5)/$C$454))-MIN(1,MAX(0,(nr_MStartP-1-$G490+0.5)/$C$454))</f>
        <v/>
      </c>
      <c r="R490" s="208">
        <f>MIN(1,MAX(0,(nr_MEndP1-$G490+0.5)/$C$454))-MIN(1,MAX(0,(nr_MStartP1-1-$G490+0.5)/$C$454))</f>
        <v/>
      </c>
      <c r="S490" s="208">
        <f>IF($L$454,$N490*IF($O$454=1,$O490/$F$454,1),"")</f>
        <v/>
      </c>
      <c r="T490" s="208">
        <f>IF(NOT($L$454),"",IF($G490&lt;nr_MStartP,$S490,$T478*(1+IF($G490&lt;nr_MStartP1,$M$454,$N$454))))</f>
        <v/>
      </c>
      <c r="U490" s="208">
        <f>IF($L$454,$T490,$N490)</f>
        <v/>
      </c>
    </row>
    <row r="491">
      <c r="A491" s="145" t="n">
        <v>35</v>
      </c>
      <c r="B491" s="204">
        <f>EDATE($B490,1)</f>
        <v/>
      </c>
      <c r="C491" s="205">
        <f>EOMONTH($B491,0)</f>
        <v/>
      </c>
      <c r="D491" s="201">
        <f>$C491-$B491+1</f>
        <v/>
      </c>
      <c r="E491" s="201">
        <f>MONTH($B491)</f>
        <v/>
      </c>
      <c r="F491" s="235">
        <f>($B491+$C491+1)/2</f>
        <v/>
      </c>
      <c r="G491" s="201">
        <f>YEAR($B491)*12+MONTH($B491)-1</f>
        <v/>
      </c>
      <c r="H491" s="207">
        <f>IF(OR(nr_SeasonOn="OFF",$D$454=0,$E$454=0),1,12*INDEX(se_block,$D$454,$E491)/$E$454)</f>
        <v/>
      </c>
      <c r="I491" s="208">
        <f>EXP(SUMPRODUCT((rl_eff&lt;$B491)*(rl_key=$A$454)*rl_ln1p))</f>
        <v/>
      </c>
      <c r="J491" s="208">
        <f>EXP(SUMPRODUCT((rl_eff&lt;=$C491)*(rl_key=$A$454)*rl_ln1p))</f>
        <v/>
      </c>
      <c r="K491" s="201">
        <f>COUNTIFS(rl_key,$A$454,rl_eff,"&gt;="&amp;$B491,rl_eff,"&lt;="&amp;$C491)</f>
        <v/>
      </c>
      <c r="L491" s="201">
        <f>SUMIFS(rl_daysafter,rl_key,$A$454,rl_effmonth,$B491,rl_first,1)</f>
        <v/>
      </c>
      <c r="M491" s="209">
        <f>IF($K491=0,0,MIN(1,$L491/$D491))</f>
        <v/>
      </c>
      <c r="N491" s="208">
        <f>IF($K491=0,$J491,(1-$M491)*$I491+$M491*$J491)</f>
        <v/>
      </c>
      <c r="O491" s="209">
        <f>IF($F491&lt;$B$455,$E$455+$I$455*($F491-$A$455),IF($F491&lt;$C$455,$F$455+$J$455*($F491-$B$455),$G$455+$K$455*($F491-$C$455)))</f>
        <v/>
      </c>
      <c r="P491" s="208">
        <f>MIN(1,MAX(0,(nr_MEndPm1-$G491+0.5)/$C$454))-MIN(1,MAX(0,(nr_MStartPm1-1-$G491+0.5)/$C$454))</f>
        <v/>
      </c>
      <c r="Q491" s="208">
        <f>MIN(1,MAX(0,(nr_MEndP-$G491+0.5)/$C$454))-MIN(1,MAX(0,(nr_MStartP-1-$G491+0.5)/$C$454))</f>
        <v/>
      </c>
      <c r="R491" s="208">
        <f>MIN(1,MAX(0,(nr_MEndP1-$G491+0.5)/$C$454))-MIN(1,MAX(0,(nr_MStartP1-1-$G491+0.5)/$C$454))</f>
        <v/>
      </c>
      <c r="S491" s="208">
        <f>IF($L$454,$N491*IF($O$454=1,$O491/$F$454,1),"")</f>
        <v/>
      </c>
      <c r="T491" s="208">
        <f>IF(NOT($L$454),"",IF($G491&lt;nr_MStartP,$S491,$T479*(1+IF($G491&lt;nr_MStartP1,$M$454,$N$454))))</f>
        <v/>
      </c>
      <c r="U491" s="208">
        <f>IF($L$454,$T491,$N491)</f>
        <v/>
      </c>
    </row>
    <row r="492">
      <c r="A492" s="145" t="n">
        <v>36</v>
      </c>
      <c r="B492" s="204">
        <f>EDATE($B491,1)</f>
        <v/>
      </c>
      <c r="C492" s="205">
        <f>EOMONTH($B492,0)</f>
        <v/>
      </c>
      <c r="D492" s="201">
        <f>$C492-$B492+1</f>
        <v/>
      </c>
      <c r="E492" s="201">
        <f>MONTH($B492)</f>
        <v/>
      </c>
      <c r="F492" s="235">
        <f>($B492+$C492+1)/2</f>
        <v/>
      </c>
      <c r="G492" s="201">
        <f>YEAR($B492)*12+MONTH($B492)-1</f>
        <v/>
      </c>
      <c r="H492" s="207">
        <f>IF(OR(nr_SeasonOn="OFF",$D$454=0,$E$454=0),1,12*INDEX(se_block,$D$454,$E492)/$E$454)</f>
        <v/>
      </c>
      <c r="I492" s="208">
        <f>EXP(SUMPRODUCT((rl_eff&lt;$B492)*(rl_key=$A$454)*rl_ln1p))</f>
        <v/>
      </c>
      <c r="J492" s="208">
        <f>EXP(SUMPRODUCT((rl_eff&lt;=$C492)*(rl_key=$A$454)*rl_ln1p))</f>
        <v/>
      </c>
      <c r="K492" s="201">
        <f>COUNTIFS(rl_key,$A$454,rl_eff,"&gt;="&amp;$B492,rl_eff,"&lt;="&amp;$C492)</f>
        <v/>
      </c>
      <c r="L492" s="201">
        <f>SUMIFS(rl_daysafter,rl_key,$A$454,rl_effmonth,$B492,rl_first,1)</f>
        <v/>
      </c>
      <c r="M492" s="209">
        <f>IF($K492=0,0,MIN(1,$L492/$D492))</f>
        <v/>
      </c>
      <c r="N492" s="208">
        <f>IF($K492=0,$J492,(1-$M492)*$I492+$M492*$J492)</f>
        <v/>
      </c>
      <c r="O492" s="209">
        <f>IF($F492&lt;$B$455,$E$455+$I$455*($F492-$A$455),IF($F492&lt;$C$455,$F$455+$J$455*($F492-$B$455),$G$455+$K$455*($F492-$C$455)))</f>
        <v/>
      </c>
      <c r="P492" s="208">
        <f>MIN(1,MAX(0,(nr_MEndPm1-$G492+0.5)/$C$454))-MIN(1,MAX(0,(nr_MStartPm1-1-$G492+0.5)/$C$454))</f>
        <v/>
      </c>
      <c r="Q492" s="208">
        <f>MIN(1,MAX(0,(nr_MEndP-$G492+0.5)/$C$454))-MIN(1,MAX(0,(nr_MStartP-1-$G492+0.5)/$C$454))</f>
        <v/>
      </c>
      <c r="R492" s="208">
        <f>MIN(1,MAX(0,(nr_MEndP1-$G492+0.5)/$C$454))-MIN(1,MAX(0,(nr_MStartP1-1-$G492+0.5)/$C$454))</f>
        <v/>
      </c>
      <c r="S492" s="208">
        <f>IF($L$454,$N492*IF($O$454=1,$O492/$F$454,1),"")</f>
        <v/>
      </c>
      <c r="T492" s="208">
        <f>IF(NOT($L$454),"",IF($G492&lt;nr_MStartP,$S492,$T480*(1+IF($G492&lt;nr_MStartP1,$M$454,$N$454))))</f>
        <v/>
      </c>
      <c r="U492" s="208">
        <f>IF($L$454,$T492,$N492)</f>
        <v/>
      </c>
    </row>
    <row r="493">
      <c r="A493" s="145" t="n">
        <v>37</v>
      </c>
      <c r="B493" s="204">
        <f>EDATE($B492,1)</f>
        <v/>
      </c>
      <c r="C493" s="205">
        <f>EOMONTH($B493,0)</f>
        <v/>
      </c>
      <c r="D493" s="201">
        <f>$C493-$B493+1</f>
        <v/>
      </c>
      <c r="E493" s="201">
        <f>MONTH($B493)</f>
        <v/>
      </c>
      <c r="F493" s="235">
        <f>($B493+$C493+1)/2</f>
        <v/>
      </c>
      <c r="G493" s="201">
        <f>YEAR($B493)*12+MONTH($B493)-1</f>
        <v/>
      </c>
      <c r="H493" s="207">
        <f>IF(OR(nr_SeasonOn="OFF",$D$454=0,$E$454=0),1,12*INDEX(se_block,$D$454,$E493)/$E$454)</f>
        <v/>
      </c>
      <c r="I493" s="208">
        <f>EXP(SUMPRODUCT((rl_eff&lt;$B493)*(rl_key=$A$454)*rl_ln1p))</f>
        <v/>
      </c>
      <c r="J493" s="208">
        <f>EXP(SUMPRODUCT((rl_eff&lt;=$C493)*(rl_key=$A$454)*rl_ln1p))</f>
        <v/>
      </c>
      <c r="K493" s="201">
        <f>COUNTIFS(rl_key,$A$454,rl_eff,"&gt;="&amp;$B493,rl_eff,"&lt;="&amp;$C493)</f>
        <v/>
      </c>
      <c r="L493" s="201">
        <f>SUMIFS(rl_daysafter,rl_key,$A$454,rl_effmonth,$B493,rl_first,1)</f>
        <v/>
      </c>
      <c r="M493" s="209">
        <f>IF($K493=0,0,MIN(1,$L493/$D493))</f>
        <v/>
      </c>
      <c r="N493" s="208">
        <f>IF($K493=0,$J493,(1-$M493)*$I493+$M493*$J493)</f>
        <v/>
      </c>
      <c r="O493" s="209">
        <f>IF($F493&lt;$B$455,$E$455+$I$455*($F493-$A$455),IF($F493&lt;$C$455,$F$455+$J$455*($F493-$B$455),$G$455+$K$455*($F493-$C$455)))</f>
        <v/>
      </c>
      <c r="P493" s="208">
        <f>MIN(1,MAX(0,(nr_MEndPm1-$G493+0.5)/$C$454))-MIN(1,MAX(0,(nr_MStartPm1-1-$G493+0.5)/$C$454))</f>
        <v/>
      </c>
      <c r="Q493" s="208">
        <f>MIN(1,MAX(0,(nr_MEndP-$G493+0.5)/$C$454))-MIN(1,MAX(0,(nr_MStartP-1-$G493+0.5)/$C$454))</f>
        <v/>
      </c>
      <c r="R493" s="208">
        <f>MIN(1,MAX(0,(nr_MEndP1-$G493+0.5)/$C$454))-MIN(1,MAX(0,(nr_MStartP1-1-$G493+0.5)/$C$454))</f>
        <v/>
      </c>
      <c r="S493" s="208">
        <f>IF($L$454,$N493*IF($O$454=1,$O493/$F$454,1),"")</f>
        <v/>
      </c>
      <c r="T493" s="208">
        <f>IF(NOT($L$454),"",IF($G493&lt;nr_MStartP,$S493,$T481*(1+IF($G493&lt;nr_MStartP1,$M$454,$N$454))))</f>
        <v/>
      </c>
      <c r="U493" s="208">
        <f>IF($L$454,$T493,$N493)</f>
        <v/>
      </c>
    </row>
    <row r="494">
      <c r="A494" s="145" t="n">
        <v>38</v>
      </c>
      <c r="B494" s="204">
        <f>EDATE($B493,1)</f>
        <v/>
      </c>
      <c r="C494" s="205">
        <f>EOMONTH($B494,0)</f>
        <v/>
      </c>
      <c r="D494" s="201">
        <f>$C494-$B494+1</f>
        <v/>
      </c>
      <c r="E494" s="201">
        <f>MONTH($B494)</f>
        <v/>
      </c>
      <c r="F494" s="235">
        <f>($B494+$C494+1)/2</f>
        <v/>
      </c>
      <c r="G494" s="201">
        <f>YEAR($B494)*12+MONTH($B494)-1</f>
        <v/>
      </c>
      <c r="H494" s="207">
        <f>IF(OR(nr_SeasonOn="OFF",$D$454=0,$E$454=0),1,12*INDEX(se_block,$D$454,$E494)/$E$454)</f>
        <v/>
      </c>
      <c r="I494" s="208">
        <f>EXP(SUMPRODUCT((rl_eff&lt;$B494)*(rl_key=$A$454)*rl_ln1p))</f>
        <v/>
      </c>
      <c r="J494" s="208">
        <f>EXP(SUMPRODUCT((rl_eff&lt;=$C494)*(rl_key=$A$454)*rl_ln1p))</f>
        <v/>
      </c>
      <c r="K494" s="201">
        <f>COUNTIFS(rl_key,$A$454,rl_eff,"&gt;="&amp;$B494,rl_eff,"&lt;="&amp;$C494)</f>
        <v/>
      </c>
      <c r="L494" s="201">
        <f>SUMIFS(rl_daysafter,rl_key,$A$454,rl_effmonth,$B494,rl_first,1)</f>
        <v/>
      </c>
      <c r="M494" s="209">
        <f>IF($K494=0,0,MIN(1,$L494/$D494))</f>
        <v/>
      </c>
      <c r="N494" s="208">
        <f>IF($K494=0,$J494,(1-$M494)*$I494+$M494*$J494)</f>
        <v/>
      </c>
      <c r="O494" s="209">
        <f>IF($F494&lt;$B$455,$E$455+$I$455*($F494-$A$455),IF($F494&lt;$C$455,$F$455+$J$455*($F494-$B$455),$G$455+$K$455*($F494-$C$455)))</f>
        <v/>
      </c>
      <c r="P494" s="208">
        <f>MIN(1,MAX(0,(nr_MEndPm1-$G494+0.5)/$C$454))-MIN(1,MAX(0,(nr_MStartPm1-1-$G494+0.5)/$C$454))</f>
        <v/>
      </c>
      <c r="Q494" s="208">
        <f>MIN(1,MAX(0,(nr_MEndP-$G494+0.5)/$C$454))-MIN(1,MAX(0,(nr_MStartP-1-$G494+0.5)/$C$454))</f>
        <v/>
      </c>
      <c r="R494" s="208">
        <f>MIN(1,MAX(0,(nr_MEndP1-$G494+0.5)/$C$454))-MIN(1,MAX(0,(nr_MStartP1-1-$G494+0.5)/$C$454))</f>
        <v/>
      </c>
      <c r="S494" s="208">
        <f>IF($L$454,$N494*IF($O$454=1,$O494/$F$454,1),"")</f>
        <v/>
      </c>
      <c r="T494" s="208">
        <f>IF(NOT($L$454),"",IF($G494&lt;nr_MStartP,$S494,$T482*(1+IF($G494&lt;nr_MStartP1,$M$454,$N$454))))</f>
        <v/>
      </c>
      <c r="U494" s="208">
        <f>IF($L$454,$T494,$N494)</f>
        <v/>
      </c>
    </row>
    <row r="495">
      <c r="A495" s="145" t="n">
        <v>39</v>
      </c>
      <c r="B495" s="204">
        <f>EDATE($B494,1)</f>
        <v/>
      </c>
      <c r="C495" s="205">
        <f>EOMONTH($B495,0)</f>
        <v/>
      </c>
      <c r="D495" s="201">
        <f>$C495-$B495+1</f>
        <v/>
      </c>
      <c r="E495" s="201">
        <f>MONTH($B495)</f>
        <v/>
      </c>
      <c r="F495" s="235">
        <f>($B495+$C495+1)/2</f>
        <v/>
      </c>
      <c r="G495" s="201">
        <f>YEAR($B495)*12+MONTH($B495)-1</f>
        <v/>
      </c>
      <c r="H495" s="207">
        <f>IF(OR(nr_SeasonOn="OFF",$D$454=0,$E$454=0),1,12*INDEX(se_block,$D$454,$E495)/$E$454)</f>
        <v/>
      </c>
      <c r="I495" s="208">
        <f>EXP(SUMPRODUCT((rl_eff&lt;$B495)*(rl_key=$A$454)*rl_ln1p))</f>
        <v/>
      </c>
      <c r="J495" s="208">
        <f>EXP(SUMPRODUCT((rl_eff&lt;=$C495)*(rl_key=$A$454)*rl_ln1p))</f>
        <v/>
      </c>
      <c r="K495" s="201">
        <f>COUNTIFS(rl_key,$A$454,rl_eff,"&gt;="&amp;$B495,rl_eff,"&lt;="&amp;$C495)</f>
        <v/>
      </c>
      <c r="L495" s="201">
        <f>SUMIFS(rl_daysafter,rl_key,$A$454,rl_effmonth,$B495,rl_first,1)</f>
        <v/>
      </c>
      <c r="M495" s="209">
        <f>IF($K495=0,0,MIN(1,$L495/$D495))</f>
        <v/>
      </c>
      <c r="N495" s="208">
        <f>IF($K495=0,$J495,(1-$M495)*$I495+$M495*$J495)</f>
        <v/>
      </c>
      <c r="O495" s="209">
        <f>IF($F495&lt;$B$455,$E$455+$I$455*($F495-$A$455),IF($F495&lt;$C$455,$F$455+$J$455*($F495-$B$455),$G$455+$K$455*($F495-$C$455)))</f>
        <v/>
      </c>
      <c r="P495" s="208">
        <f>MIN(1,MAX(0,(nr_MEndPm1-$G495+0.5)/$C$454))-MIN(1,MAX(0,(nr_MStartPm1-1-$G495+0.5)/$C$454))</f>
        <v/>
      </c>
      <c r="Q495" s="208">
        <f>MIN(1,MAX(0,(nr_MEndP-$G495+0.5)/$C$454))-MIN(1,MAX(0,(nr_MStartP-1-$G495+0.5)/$C$454))</f>
        <v/>
      </c>
      <c r="R495" s="208">
        <f>MIN(1,MAX(0,(nr_MEndP1-$G495+0.5)/$C$454))-MIN(1,MAX(0,(nr_MStartP1-1-$G495+0.5)/$C$454))</f>
        <v/>
      </c>
      <c r="S495" s="208">
        <f>IF($L$454,$N495*IF($O$454=1,$O495/$F$454,1),"")</f>
        <v/>
      </c>
      <c r="T495" s="208">
        <f>IF(NOT($L$454),"",IF($G495&lt;nr_MStartP,$S495,$T483*(1+IF($G495&lt;nr_MStartP1,$M$454,$N$454))))</f>
        <v/>
      </c>
      <c r="U495" s="208">
        <f>IF($L$454,$T495,$N495)</f>
        <v/>
      </c>
    </row>
    <row r="496">
      <c r="A496" s="145" t="n">
        <v>40</v>
      </c>
      <c r="B496" s="204">
        <f>EDATE($B495,1)</f>
        <v/>
      </c>
      <c r="C496" s="205">
        <f>EOMONTH($B496,0)</f>
        <v/>
      </c>
      <c r="D496" s="201">
        <f>$C496-$B496+1</f>
        <v/>
      </c>
      <c r="E496" s="201">
        <f>MONTH($B496)</f>
        <v/>
      </c>
      <c r="F496" s="235">
        <f>($B496+$C496+1)/2</f>
        <v/>
      </c>
      <c r="G496" s="201">
        <f>YEAR($B496)*12+MONTH($B496)-1</f>
        <v/>
      </c>
      <c r="H496" s="207">
        <f>IF(OR(nr_SeasonOn="OFF",$D$454=0,$E$454=0),1,12*INDEX(se_block,$D$454,$E496)/$E$454)</f>
        <v/>
      </c>
      <c r="I496" s="208">
        <f>EXP(SUMPRODUCT((rl_eff&lt;$B496)*(rl_key=$A$454)*rl_ln1p))</f>
        <v/>
      </c>
      <c r="J496" s="208">
        <f>EXP(SUMPRODUCT((rl_eff&lt;=$C496)*(rl_key=$A$454)*rl_ln1p))</f>
        <v/>
      </c>
      <c r="K496" s="201">
        <f>COUNTIFS(rl_key,$A$454,rl_eff,"&gt;="&amp;$B496,rl_eff,"&lt;="&amp;$C496)</f>
        <v/>
      </c>
      <c r="L496" s="201">
        <f>SUMIFS(rl_daysafter,rl_key,$A$454,rl_effmonth,$B496,rl_first,1)</f>
        <v/>
      </c>
      <c r="M496" s="209">
        <f>IF($K496=0,0,MIN(1,$L496/$D496))</f>
        <v/>
      </c>
      <c r="N496" s="208">
        <f>IF($K496=0,$J496,(1-$M496)*$I496+$M496*$J496)</f>
        <v/>
      </c>
      <c r="O496" s="209">
        <f>IF($F496&lt;$B$455,$E$455+$I$455*($F496-$A$455),IF($F496&lt;$C$455,$F$455+$J$455*($F496-$B$455),$G$455+$K$455*($F496-$C$455)))</f>
        <v/>
      </c>
      <c r="P496" s="208">
        <f>MIN(1,MAX(0,(nr_MEndPm1-$G496+0.5)/$C$454))-MIN(1,MAX(0,(nr_MStartPm1-1-$G496+0.5)/$C$454))</f>
        <v/>
      </c>
      <c r="Q496" s="208">
        <f>MIN(1,MAX(0,(nr_MEndP-$G496+0.5)/$C$454))-MIN(1,MAX(0,(nr_MStartP-1-$G496+0.5)/$C$454))</f>
        <v/>
      </c>
      <c r="R496" s="208">
        <f>MIN(1,MAX(0,(nr_MEndP1-$G496+0.5)/$C$454))-MIN(1,MAX(0,(nr_MStartP1-1-$G496+0.5)/$C$454))</f>
        <v/>
      </c>
      <c r="S496" s="208">
        <f>IF($L$454,$N496*IF($O$454=1,$O496/$F$454,1),"")</f>
        <v/>
      </c>
      <c r="T496" s="208">
        <f>IF(NOT($L$454),"",IF($G496&lt;nr_MStartP,$S496,$T484*(1+IF($G496&lt;nr_MStartP1,$M$454,$N$454))))</f>
        <v/>
      </c>
      <c r="U496" s="208">
        <f>IF($L$454,$T496,$N496)</f>
        <v/>
      </c>
    </row>
    <row r="497">
      <c r="A497" s="145" t="n">
        <v>41</v>
      </c>
      <c r="B497" s="204">
        <f>EDATE($B496,1)</f>
        <v/>
      </c>
      <c r="C497" s="205">
        <f>EOMONTH($B497,0)</f>
        <v/>
      </c>
      <c r="D497" s="201">
        <f>$C497-$B497+1</f>
        <v/>
      </c>
      <c r="E497" s="201">
        <f>MONTH($B497)</f>
        <v/>
      </c>
      <c r="F497" s="235">
        <f>($B497+$C497+1)/2</f>
        <v/>
      </c>
      <c r="G497" s="201">
        <f>YEAR($B497)*12+MONTH($B497)-1</f>
        <v/>
      </c>
      <c r="H497" s="207">
        <f>IF(OR(nr_SeasonOn="OFF",$D$454=0,$E$454=0),1,12*INDEX(se_block,$D$454,$E497)/$E$454)</f>
        <v/>
      </c>
      <c r="I497" s="208">
        <f>EXP(SUMPRODUCT((rl_eff&lt;$B497)*(rl_key=$A$454)*rl_ln1p))</f>
        <v/>
      </c>
      <c r="J497" s="208">
        <f>EXP(SUMPRODUCT((rl_eff&lt;=$C497)*(rl_key=$A$454)*rl_ln1p))</f>
        <v/>
      </c>
      <c r="K497" s="201">
        <f>COUNTIFS(rl_key,$A$454,rl_eff,"&gt;="&amp;$B497,rl_eff,"&lt;="&amp;$C497)</f>
        <v/>
      </c>
      <c r="L497" s="201">
        <f>SUMIFS(rl_daysafter,rl_key,$A$454,rl_effmonth,$B497,rl_first,1)</f>
        <v/>
      </c>
      <c r="M497" s="209">
        <f>IF($K497=0,0,MIN(1,$L497/$D497))</f>
        <v/>
      </c>
      <c r="N497" s="208">
        <f>IF($K497=0,$J497,(1-$M497)*$I497+$M497*$J497)</f>
        <v/>
      </c>
      <c r="O497" s="209">
        <f>IF($F497&lt;$B$455,$E$455+$I$455*($F497-$A$455),IF($F497&lt;$C$455,$F$455+$J$455*($F497-$B$455),$G$455+$K$455*($F497-$C$455)))</f>
        <v/>
      </c>
      <c r="P497" s="208">
        <f>MIN(1,MAX(0,(nr_MEndPm1-$G497+0.5)/$C$454))-MIN(1,MAX(0,(nr_MStartPm1-1-$G497+0.5)/$C$454))</f>
        <v/>
      </c>
      <c r="Q497" s="208">
        <f>MIN(1,MAX(0,(nr_MEndP-$G497+0.5)/$C$454))-MIN(1,MAX(0,(nr_MStartP-1-$G497+0.5)/$C$454))</f>
        <v/>
      </c>
      <c r="R497" s="208">
        <f>MIN(1,MAX(0,(nr_MEndP1-$G497+0.5)/$C$454))-MIN(1,MAX(0,(nr_MStartP1-1-$G497+0.5)/$C$454))</f>
        <v/>
      </c>
      <c r="S497" s="208">
        <f>IF($L$454,$N497*IF($O$454=1,$O497/$F$454,1),"")</f>
        <v/>
      </c>
      <c r="T497" s="208">
        <f>IF(NOT($L$454),"",IF($G497&lt;nr_MStartP,$S497,$T485*(1+IF($G497&lt;nr_MStartP1,$M$454,$N$454))))</f>
        <v/>
      </c>
      <c r="U497" s="208">
        <f>IF($L$454,$T497,$N497)</f>
        <v/>
      </c>
    </row>
    <row r="498">
      <c r="A498" s="145" t="n">
        <v>42</v>
      </c>
      <c r="B498" s="204">
        <f>EDATE($B497,1)</f>
        <v/>
      </c>
      <c r="C498" s="205">
        <f>EOMONTH($B498,0)</f>
        <v/>
      </c>
      <c r="D498" s="201">
        <f>$C498-$B498+1</f>
        <v/>
      </c>
      <c r="E498" s="201">
        <f>MONTH($B498)</f>
        <v/>
      </c>
      <c r="F498" s="235">
        <f>($B498+$C498+1)/2</f>
        <v/>
      </c>
      <c r="G498" s="201">
        <f>YEAR($B498)*12+MONTH($B498)-1</f>
        <v/>
      </c>
      <c r="H498" s="207">
        <f>IF(OR(nr_SeasonOn="OFF",$D$454=0,$E$454=0),1,12*INDEX(se_block,$D$454,$E498)/$E$454)</f>
        <v/>
      </c>
      <c r="I498" s="208">
        <f>EXP(SUMPRODUCT((rl_eff&lt;$B498)*(rl_key=$A$454)*rl_ln1p))</f>
        <v/>
      </c>
      <c r="J498" s="208">
        <f>EXP(SUMPRODUCT((rl_eff&lt;=$C498)*(rl_key=$A$454)*rl_ln1p))</f>
        <v/>
      </c>
      <c r="K498" s="201">
        <f>COUNTIFS(rl_key,$A$454,rl_eff,"&gt;="&amp;$B498,rl_eff,"&lt;="&amp;$C498)</f>
        <v/>
      </c>
      <c r="L498" s="201">
        <f>SUMIFS(rl_daysafter,rl_key,$A$454,rl_effmonth,$B498,rl_first,1)</f>
        <v/>
      </c>
      <c r="M498" s="209">
        <f>IF($K498=0,0,MIN(1,$L498/$D498))</f>
        <v/>
      </c>
      <c r="N498" s="208">
        <f>IF($K498=0,$J498,(1-$M498)*$I498+$M498*$J498)</f>
        <v/>
      </c>
      <c r="O498" s="209">
        <f>IF($F498&lt;$B$455,$E$455+$I$455*($F498-$A$455),IF($F498&lt;$C$455,$F$455+$J$455*($F498-$B$455),$G$455+$K$455*($F498-$C$455)))</f>
        <v/>
      </c>
      <c r="P498" s="208">
        <f>MIN(1,MAX(0,(nr_MEndPm1-$G498+0.5)/$C$454))-MIN(1,MAX(0,(nr_MStartPm1-1-$G498+0.5)/$C$454))</f>
        <v/>
      </c>
      <c r="Q498" s="208">
        <f>MIN(1,MAX(0,(nr_MEndP-$G498+0.5)/$C$454))-MIN(1,MAX(0,(nr_MStartP-1-$G498+0.5)/$C$454))</f>
        <v/>
      </c>
      <c r="R498" s="208">
        <f>MIN(1,MAX(0,(nr_MEndP1-$G498+0.5)/$C$454))-MIN(1,MAX(0,(nr_MStartP1-1-$G498+0.5)/$C$454))</f>
        <v/>
      </c>
      <c r="S498" s="208">
        <f>IF($L$454,$N498*IF($O$454=1,$O498/$F$454,1),"")</f>
        <v/>
      </c>
      <c r="T498" s="208">
        <f>IF(NOT($L$454),"",IF($G498&lt;nr_MStartP,$S498,$T486*(1+IF($G498&lt;nr_MStartP1,$M$454,$N$454))))</f>
        <v/>
      </c>
      <c r="U498" s="208">
        <f>IF($L$454,$T498,$N498)</f>
        <v/>
      </c>
    </row>
    <row r="499">
      <c r="A499" s="145" t="n">
        <v>43</v>
      </c>
      <c r="B499" s="204">
        <f>EDATE($B498,1)</f>
        <v/>
      </c>
      <c r="C499" s="205">
        <f>EOMONTH($B499,0)</f>
        <v/>
      </c>
      <c r="D499" s="201">
        <f>$C499-$B499+1</f>
        <v/>
      </c>
      <c r="E499" s="201">
        <f>MONTH($B499)</f>
        <v/>
      </c>
      <c r="F499" s="235">
        <f>($B499+$C499+1)/2</f>
        <v/>
      </c>
      <c r="G499" s="201">
        <f>YEAR($B499)*12+MONTH($B499)-1</f>
        <v/>
      </c>
      <c r="H499" s="207">
        <f>IF(OR(nr_SeasonOn="OFF",$D$454=0,$E$454=0),1,12*INDEX(se_block,$D$454,$E499)/$E$454)</f>
        <v/>
      </c>
      <c r="I499" s="208">
        <f>EXP(SUMPRODUCT((rl_eff&lt;$B499)*(rl_key=$A$454)*rl_ln1p))</f>
        <v/>
      </c>
      <c r="J499" s="208">
        <f>EXP(SUMPRODUCT((rl_eff&lt;=$C499)*(rl_key=$A$454)*rl_ln1p))</f>
        <v/>
      </c>
      <c r="K499" s="201">
        <f>COUNTIFS(rl_key,$A$454,rl_eff,"&gt;="&amp;$B499,rl_eff,"&lt;="&amp;$C499)</f>
        <v/>
      </c>
      <c r="L499" s="201">
        <f>SUMIFS(rl_daysafter,rl_key,$A$454,rl_effmonth,$B499,rl_first,1)</f>
        <v/>
      </c>
      <c r="M499" s="209">
        <f>IF($K499=0,0,MIN(1,$L499/$D499))</f>
        <v/>
      </c>
      <c r="N499" s="208">
        <f>IF($K499=0,$J499,(1-$M499)*$I499+$M499*$J499)</f>
        <v/>
      </c>
      <c r="O499" s="209">
        <f>IF($F499&lt;$B$455,$E$455+$I$455*($F499-$A$455),IF($F499&lt;$C$455,$F$455+$J$455*($F499-$B$455),$G$455+$K$455*($F499-$C$455)))</f>
        <v/>
      </c>
      <c r="P499" s="208">
        <f>MIN(1,MAX(0,(nr_MEndPm1-$G499+0.5)/$C$454))-MIN(1,MAX(0,(nr_MStartPm1-1-$G499+0.5)/$C$454))</f>
        <v/>
      </c>
      <c r="Q499" s="208">
        <f>MIN(1,MAX(0,(nr_MEndP-$G499+0.5)/$C$454))-MIN(1,MAX(0,(nr_MStartP-1-$G499+0.5)/$C$454))</f>
        <v/>
      </c>
      <c r="R499" s="208">
        <f>MIN(1,MAX(0,(nr_MEndP1-$G499+0.5)/$C$454))-MIN(1,MAX(0,(nr_MStartP1-1-$G499+0.5)/$C$454))</f>
        <v/>
      </c>
      <c r="S499" s="208">
        <f>IF($L$454,$N499*IF($O$454=1,$O499/$F$454,1),"")</f>
        <v/>
      </c>
      <c r="T499" s="208">
        <f>IF(NOT($L$454),"",IF($G499&lt;nr_MStartP,$S499,$T487*(1+IF($G499&lt;nr_MStartP1,$M$454,$N$454))))</f>
        <v/>
      </c>
      <c r="U499" s="208">
        <f>IF($L$454,$T499,$N499)</f>
        <v/>
      </c>
    </row>
    <row r="500">
      <c r="A500" s="145" t="n">
        <v>44</v>
      </c>
      <c r="B500" s="204">
        <f>EDATE($B499,1)</f>
        <v/>
      </c>
      <c r="C500" s="205">
        <f>EOMONTH($B500,0)</f>
        <v/>
      </c>
      <c r="D500" s="201">
        <f>$C500-$B500+1</f>
        <v/>
      </c>
      <c r="E500" s="201">
        <f>MONTH($B500)</f>
        <v/>
      </c>
      <c r="F500" s="235">
        <f>($B500+$C500+1)/2</f>
        <v/>
      </c>
      <c r="G500" s="201">
        <f>YEAR($B500)*12+MONTH($B500)-1</f>
        <v/>
      </c>
      <c r="H500" s="207">
        <f>IF(OR(nr_SeasonOn="OFF",$D$454=0,$E$454=0),1,12*INDEX(se_block,$D$454,$E500)/$E$454)</f>
        <v/>
      </c>
      <c r="I500" s="208">
        <f>EXP(SUMPRODUCT((rl_eff&lt;$B500)*(rl_key=$A$454)*rl_ln1p))</f>
        <v/>
      </c>
      <c r="J500" s="208">
        <f>EXP(SUMPRODUCT((rl_eff&lt;=$C500)*(rl_key=$A$454)*rl_ln1p))</f>
        <v/>
      </c>
      <c r="K500" s="201">
        <f>COUNTIFS(rl_key,$A$454,rl_eff,"&gt;="&amp;$B500,rl_eff,"&lt;="&amp;$C500)</f>
        <v/>
      </c>
      <c r="L500" s="201">
        <f>SUMIFS(rl_daysafter,rl_key,$A$454,rl_effmonth,$B500,rl_first,1)</f>
        <v/>
      </c>
      <c r="M500" s="209">
        <f>IF($K500=0,0,MIN(1,$L500/$D500))</f>
        <v/>
      </c>
      <c r="N500" s="208">
        <f>IF($K500=0,$J500,(1-$M500)*$I500+$M500*$J500)</f>
        <v/>
      </c>
      <c r="O500" s="209">
        <f>IF($F500&lt;$B$455,$E$455+$I$455*($F500-$A$455),IF($F500&lt;$C$455,$F$455+$J$455*($F500-$B$455),$G$455+$K$455*($F500-$C$455)))</f>
        <v/>
      </c>
      <c r="P500" s="208">
        <f>MIN(1,MAX(0,(nr_MEndPm1-$G500+0.5)/$C$454))-MIN(1,MAX(0,(nr_MStartPm1-1-$G500+0.5)/$C$454))</f>
        <v/>
      </c>
      <c r="Q500" s="208">
        <f>MIN(1,MAX(0,(nr_MEndP-$G500+0.5)/$C$454))-MIN(1,MAX(0,(nr_MStartP-1-$G500+0.5)/$C$454))</f>
        <v/>
      </c>
      <c r="R500" s="208">
        <f>MIN(1,MAX(0,(nr_MEndP1-$G500+0.5)/$C$454))-MIN(1,MAX(0,(nr_MStartP1-1-$G500+0.5)/$C$454))</f>
        <v/>
      </c>
      <c r="S500" s="208">
        <f>IF($L$454,$N500*IF($O$454=1,$O500/$F$454,1),"")</f>
        <v/>
      </c>
      <c r="T500" s="208">
        <f>IF(NOT($L$454),"",IF($G500&lt;nr_MStartP,$S500,$T488*(1+IF($G500&lt;nr_MStartP1,$M$454,$N$454))))</f>
        <v/>
      </c>
      <c r="U500" s="208">
        <f>IF($L$454,$T500,$N500)</f>
        <v/>
      </c>
    </row>
    <row r="501">
      <c r="A501" s="145" t="n">
        <v>45</v>
      </c>
      <c r="B501" s="204">
        <f>EDATE($B500,1)</f>
        <v/>
      </c>
      <c r="C501" s="205">
        <f>EOMONTH($B501,0)</f>
        <v/>
      </c>
      <c r="D501" s="201">
        <f>$C501-$B501+1</f>
        <v/>
      </c>
      <c r="E501" s="201">
        <f>MONTH($B501)</f>
        <v/>
      </c>
      <c r="F501" s="235">
        <f>($B501+$C501+1)/2</f>
        <v/>
      </c>
      <c r="G501" s="201">
        <f>YEAR($B501)*12+MONTH($B501)-1</f>
        <v/>
      </c>
      <c r="H501" s="207">
        <f>IF(OR(nr_SeasonOn="OFF",$D$454=0,$E$454=0),1,12*INDEX(se_block,$D$454,$E501)/$E$454)</f>
        <v/>
      </c>
      <c r="I501" s="208">
        <f>EXP(SUMPRODUCT((rl_eff&lt;$B501)*(rl_key=$A$454)*rl_ln1p))</f>
        <v/>
      </c>
      <c r="J501" s="208">
        <f>EXP(SUMPRODUCT((rl_eff&lt;=$C501)*(rl_key=$A$454)*rl_ln1p))</f>
        <v/>
      </c>
      <c r="K501" s="201">
        <f>COUNTIFS(rl_key,$A$454,rl_eff,"&gt;="&amp;$B501,rl_eff,"&lt;="&amp;$C501)</f>
        <v/>
      </c>
      <c r="L501" s="201">
        <f>SUMIFS(rl_daysafter,rl_key,$A$454,rl_effmonth,$B501,rl_first,1)</f>
        <v/>
      </c>
      <c r="M501" s="209">
        <f>IF($K501=0,0,MIN(1,$L501/$D501))</f>
        <v/>
      </c>
      <c r="N501" s="208">
        <f>IF($K501=0,$J501,(1-$M501)*$I501+$M501*$J501)</f>
        <v/>
      </c>
      <c r="O501" s="209">
        <f>IF($F501&lt;$B$455,$E$455+$I$455*($F501-$A$455),IF($F501&lt;$C$455,$F$455+$J$455*($F501-$B$455),$G$455+$K$455*($F501-$C$455)))</f>
        <v/>
      </c>
      <c r="P501" s="208">
        <f>MIN(1,MAX(0,(nr_MEndPm1-$G501+0.5)/$C$454))-MIN(1,MAX(0,(nr_MStartPm1-1-$G501+0.5)/$C$454))</f>
        <v/>
      </c>
      <c r="Q501" s="208">
        <f>MIN(1,MAX(0,(nr_MEndP-$G501+0.5)/$C$454))-MIN(1,MAX(0,(nr_MStartP-1-$G501+0.5)/$C$454))</f>
        <v/>
      </c>
      <c r="R501" s="208">
        <f>MIN(1,MAX(0,(nr_MEndP1-$G501+0.5)/$C$454))-MIN(1,MAX(0,(nr_MStartP1-1-$G501+0.5)/$C$454))</f>
        <v/>
      </c>
      <c r="S501" s="208">
        <f>IF($L$454,$N501*IF($O$454=1,$O501/$F$454,1),"")</f>
        <v/>
      </c>
      <c r="T501" s="208">
        <f>IF(NOT($L$454),"",IF($G501&lt;nr_MStartP,$S501,$T489*(1+IF($G501&lt;nr_MStartP1,$M$454,$N$454))))</f>
        <v/>
      </c>
      <c r="U501" s="208">
        <f>IF($L$454,$T501,$N501)</f>
        <v/>
      </c>
    </row>
    <row r="502">
      <c r="A502" s="145" t="n">
        <v>46</v>
      </c>
      <c r="B502" s="204">
        <f>EDATE($B501,1)</f>
        <v/>
      </c>
      <c r="C502" s="205">
        <f>EOMONTH($B502,0)</f>
        <v/>
      </c>
      <c r="D502" s="201">
        <f>$C502-$B502+1</f>
        <v/>
      </c>
      <c r="E502" s="201">
        <f>MONTH($B502)</f>
        <v/>
      </c>
      <c r="F502" s="235">
        <f>($B502+$C502+1)/2</f>
        <v/>
      </c>
      <c r="G502" s="201">
        <f>YEAR($B502)*12+MONTH($B502)-1</f>
        <v/>
      </c>
      <c r="H502" s="207">
        <f>IF(OR(nr_SeasonOn="OFF",$D$454=0,$E$454=0),1,12*INDEX(se_block,$D$454,$E502)/$E$454)</f>
        <v/>
      </c>
      <c r="I502" s="208">
        <f>EXP(SUMPRODUCT((rl_eff&lt;$B502)*(rl_key=$A$454)*rl_ln1p))</f>
        <v/>
      </c>
      <c r="J502" s="208">
        <f>EXP(SUMPRODUCT((rl_eff&lt;=$C502)*(rl_key=$A$454)*rl_ln1p))</f>
        <v/>
      </c>
      <c r="K502" s="201">
        <f>COUNTIFS(rl_key,$A$454,rl_eff,"&gt;="&amp;$B502,rl_eff,"&lt;="&amp;$C502)</f>
        <v/>
      </c>
      <c r="L502" s="201">
        <f>SUMIFS(rl_daysafter,rl_key,$A$454,rl_effmonth,$B502,rl_first,1)</f>
        <v/>
      </c>
      <c r="M502" s="209">
        <f>IF($K502=0,0,MIN(1,$L502/$D502))</f>
        <v/>
      </c>
      <c r="N502" s="208">
        <f>IF($K502=0,$J502,(1-$M502)*$I502+$M502*$J502)</f>
        <v/>
      </c>
      <c r="O502" s="209">
        <f>IF($F502&lt;$B$455,$E$455+$I$455*($F502-$A$455),IF($F502&lt;$C$455,$F$455+$J$455*($F502-$B$455),$G$455+$K$455*($F502-$C$455)))</f>
        <v/>
      </c>
      <c r="P502" s="208">
        <f>MIN(1,MAX(0,(nr_MEndPm1-$G502+0.5)/$C$454))-MIN(1,MAX(0,(nr_MStartPm1-1-$G502+0.5)/$C$454))</f>
        <v/>
      </c>
      <c r="Q502" s="208">
        <f>MIN(1,MAX(0,(nr_MEndP-$G502+0.5)/$C$454))-MIN(1,MAX(0,(nr_MStartP-1-$G502+0.5)/$C$454))</f>
        <v/>
      </c>
      <c r="R502" s="208">
        <f>MIN(1,MAX(0,(nr_MEndP1-$G502+0.5)/$C$454))-MIN(1,MAX(0,(nr_MStartP1-1-$G502+0.5)/$C$454))</f>
        <v/>
      </c>
      <c r="S502" s="208">
        <f>IF($L$454,$N502*IF($O$454=1,$O502/$F$454,1),"")</f>
        <v/>
      </c>
      <c r="T502" s="208">
        <f>IF(NOT($L$454),"",IF($G502&lt;nr_MStartP,$S502,$T490*(1+IF($G502&lt;nr_MStartP1,$M$454,$N$454))))</f>
        <v/>
      </c>
      <c r="U502" s="208">
        <f>IF($L$454,$T502,$N502)</f>
        <v/>
      </c>
    </row>
    <row r="503">
      <c r="A503" s="145" t="n">
        <v>47</v>
      </c>
      <c r="B503" s="204">
        <f>EDATE($B502,1)</f>
        <v/>
      </c>
      <c r="C503" s="205">
        <f>EOMONTH($B503,0)</f>
        <v/>
      </c>
      <c r="D503" s="201">
        <f>$C503-$B503+1</f>
        <v/>
      </c>
      <c r="E503" s="201">
        <f>MONTH($B503)</f>
        <v/>
      </c>
      <c r="F503" s="235">
        <f>($B503+$C503+1)/2</f>
        <v/>
      </c>
      <c r="G503" s="201">
        <f>YEAR($B503)*12+MONTH($B503)-1</f>
        <v/>
      </c>
      <c r="H503" s="207">
        <f>IF(OR(nr_SeasonOn="OFF",$D$454=0,$E$454=0),1,12*INDEX(se_block,$D$454,$E503)/$E$454)</f>
        <v/>
      </c>
      <c r="I503" s="208">
        <f>EXP(SUMPRODUCT((rl_eff&lt;$B503)*(rl_key=$A$454)*rl_ln1p))</f>
        <v/>
      </c>
      <c r="J503" s="208">
        <f>EXP(SUMPRODUCT((rl_eff&lt;=$C503)*(rl_key=$A$454)*rl_ln1p))</f>
        <v/>
      </c>
      <c r="K503" s="201">
        <f>COUNTIFS(rl_key,$A$454,rl_eff,"&gt;="&amp;$B503,rl_eff,"&lt;="&amp;$C503)</f>
        <v/>
      </c>
      <c r="L503" s="201">
        <f>SUMIFS(rl_daysafter,rl_key,$A$454,rl_effmonth,$B503,rl_first,1)</f>
        <v/>
      </c>
      <c r="M503" s="209">
        <f>IF($K503=0,0,MIN(1,$L503/$D503))</f>
        <v/>
      </c>
      <c r="N503" s="208">
        <f>IF($K503=0,$J503,(1-$M503)*$I503+$M503*$J503)</f>
        <v/>
      </c>
      <c r="O503" s="209">
        <f>IF($F503&lt;$B$455,$E$455+$I$455*($F503-$A$455),IF($F503&lt;$C$455,$F$455+$J$455*($F503-$B$455),$G$455+$K$455*($F503-$C$455)))</f>
        <v/>
      </c>
      <c r="P503" s="208">
        <f>MIN(1,MAX(0,(nr_MEndPm1-$G503+0.5)/$C$454))-MIN(1,MAX(0,(nr_MStartPm1-1-$G503+0.5)/$C$454))</f>
        <v/>
      </c>
      <c r="Q503" s="208">
        <f>MIN(1,MAX(0,(nr_MEndP-$G503+0.5)/$C$454))-MIN(1,MAX(0,(nr_MStartP-1-$G503+0.5)/$C$454))</f>
        <v/>
      </c>
      <c r="R503" s="208">
        <f>MIN(1,MAX(0,(nr_MEndP1-$G503+0.5)/$C$454))-MIN(1,MAX(0,(nr_MStartP1-1-$G503+0.5)/$C$454))</f>
        <v/>
      </c>
      <c r="S503" s="208">
        <f>IF($L$454,$N503*IF($O$454=1,$O503/$F$454,1),"")</f>
        <v/>
      </c>
      <c r="T503" s="208">
        <f>IF(NOT($L$454),"",IF($G503&lt;nr_MStartP,$S503,$T491*(1+IF($G503&lt;nr_MStartP1,$M$454,$N$454))))</f>
        <v/>
      </c>
      <c r="U503" s="208">
        <f>IF($L$454,$T503,$N503)</f>
        <v/>
      </c>
    </row>
    <row r="504">
      <c r="A504" s="145" t="n">
        <v>48</v>
      </c>
      <c r="B504" s="204">
        <f>EDATE($B503,1)</f>
        <v/>
      </c>
      <c r="C504" s="205">
        <f>EOMONTH($B504,0)</f>
        <v/>
      </c>
      <c r="D504" s="201">
        <f>$C504-$B504+1</f>
        <v/>
      </c>
      <c r="E504" s="201">
        <f>MONTH($B504)</f>
        <v/>
      </c>
      <c r="F504" s="235">
        <f>($B504+$C504+1)/2</f>
        <v/>
      </c>
      <c r="G504" s="201">
        <f>YEAR($B504)*12+MONTH($B504)-1</f>
        <v/>
      </c>
      <c r="H504" s="207">
        <f>IF(OR(nr_SeasonOn="OFF",$D$454=0,$E$454=0),1,12*INDEX(se_block,$D$454,$E504)/$E$454)</f>
        <v/>
      </c>
      <c r="I504" s="208">
        <f>EXP(SUMPRODUCT((rl_eff&lt;$B504)*(rl_key=$A$454)*rl_ln1p))</f>
        <v/>
      </c>
      <c r="J504" s="208">
        <f>EXP(SUMPRODUCT((rl_eff&lt;=$C504)*(rl_key=$A$454)*rl_ln1p))</f>
        <v/>
      </c>
      <c r="K504" s="201">
        <f>COUNTIFS(rl_key,$A$454,rl_eff,"&gt;="&amp;$B504,rl_eff,"&lt;="&amp;$C504)</f>
        <v/>
      </c>
      <c r="L504" s="201">
        <f>SUMIFS(rl_daysafter,rl_key,$A$454,rl_effmonth,$B504,rl_first,1)</f>
        <v/>
      </c>
      <c r="M504" s="209">
        <f>IF($K504=0,0,MIN(1,$L504/$D504))</f>
        <v/>
      </c>
      <c r="N504" s="208">
        <f>IF($K504=0,$J504,(1-$M504)*$I504+$M504*$J504)</f>
        <v/>
      </c>
      <c r="O504" s="209">
        <f>IF($F504&lt;$B$455,$E$455+$I$455*($F504-$A$455),IF($F504&lt;$C$455,$F$455+$J$455*($F504-$B$455),$G$455+$K$455*($F504-$C$455)))</f>
        <v/>
      </c>
      <c r="P504" s="208">
        <f>MIN(1,MAX(0,(nr_MEndPm1-$G504+0.5)/$C$454))-MIN(1,MAX(0,(nr_MStartPm1-1-$G504+0.5)/$C$454))</f>
        <v/>
      </c>
      <c r="Q504" s="208">
        <f>MIN(1,MAX(0,(nr_MEndP-$G504+0.5)/$C$454))-MIN(1,MAX(0,(nr_MStartP-1-$G504+0.5)/$C$454))</f>
        <v/>
      </c>
      <c r="R504" s="208">
        <f>MIN(1,MAX(0,(nr_MEndP1-$G504+0.5)/$C$454))-MIN(1,MAX(0,(nr_MStartP1-1-$G504+0.5)/$C$454))</f>
        <v/>
      </c>
      <c r="S504" s="208">
        <f>IF($L$454,$N504*IF($O$454=1,$O504/$F$454,1),"")</f>
        <v/>
      </c>
      <c r="T504" s="208">
        <f>IF(NOT($L$454),"",IF($G504&lt;nr_MStartP,$S504,$T492*(1+IF($G504&lt;nr_MStartP1,$M$454,$N$454))))</f>
        <v/>
      </c>
      <c r="U504" s="208">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184">
        <f>SUMPRODUCT($H$457:$H$504,$Q$457:$Q$504,$O$457:$O$504)/SUMPRODUCT($H$457:$H$504,$Q$457:$Q$504)</f>
        <v/>
      </c>
      <c r="G505" s="184">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184">
        <f>IF(N(INDEX(lr_mind,9))=0,1,INDEX(lr_mind,9))</f>
        <v/>
      </c>
      <c r="G508" s="184">
        <f>IF(N(INDEX(lr_m0,9))=0,1,INDEX(lr_m0,9))</f>
        <v/>
      </c>
      <c r="H508" s="73">
        <f>IF(N(INDEX(lr_m0asof,9))=0,DATE(nr_PlanYear-1,10,1),INDEX(lr_m0asof,9))</f>
        <v/>
      </c>
      <c r="I508" s="184">
        <f>IF(N(INDEX(lr_m1,9))=0,1,INDEX(lr_m1,9))</f>
        <v/>
      </c>
      <c r="J508" s="184">
        <f>INDEX(lr_mprior,9)</f>
        <v/>
      </c>
      <c r="K508" s="184">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145" t="n">
        <v>1</v>
      </c>
      <c r="B511" s="204">
        <f>DATE(nr_PlanYear-2,1,1)</f>
        <v/>
      </c>
      <c r="C511" s="205">
        <f>EOMONTH($B511,0)</f>
        <v/>
      </c>
      <c r="D511" s="201">
        <f>$C511-$B511+1</f>
        <v/>
      </c>
      <c r="E511" s="201">
        <f>MONTH($B511)</f>
        <v/>
      </c>
      <c r="F511" s="235">
        <f>($B511+$C511+1)/2</f>
        <v/>
      </c>
      <c r="G511" s="201">
        <f>YEAR($B511)*12+MONTH($B511)-1</f>
        <v/>
      </c>
      <c r="H511" s="207">
        <f>IF(OR(nr_SeasonOn="OFF",$D$508=0,$E$508=0),1,12*INDEX(se_block,$D$508,$E511)/$E$508)</f>
        <v/>
      </c>
      <c r="I511" s="208">
        <f>EXP(SUMPRODUCT((rl_eff&lt;$B511)*(rl_key=$A$508)*rl_ln1p))</f>
        <v/>
      </c>
      <c r="J511" s="208">
        <f>EXP(SUMPRODUCT((rl_eff&lt;=$C511)*(rl_key=$A$508)*rl_ln1p))</f>
        <v/>
      </c>
      <c r="K511" s="201">
        <f>COUNTIFS(rl_key,$A$508,rl_eff,"&gt;="&amp;$B511,rl_eff,"&lt;="&amp;$C511)</f>
        <v/>
      </c>
      <c r="L511" s="201">
        <f>SUMIFS(rl_daysafter,rl_key,$A$508,rl_effmonth,$B511,rl_first,1)</f>
        <v/>
      </c>
      <c r="M511" s="209">
        <f>IF($K511=0,0,MIN(1,$L511/$D511))</f>
        <v/>
      </c>
      <c r="N511" s="208">
        <f>IF($K511=0,$J511,(1-$M511)*$I511+$M511*$J511)</f>
        <v/>
      </c>
      <c r="O511" s="209">
        <f>IF($F511&lt;$B$509,$E$509+$I$509*($F511-$A$509),IF($F511&lt;$C$509,$F$509+$J$509*($F511-$B$509),$G$509+$K$509*($F511-$C$509)))</f>
        <v/>
      </c>
      <c r="P511" s="208">
        <f>MIN(1,MAX(0,(nr_MEndPm1-$G511+0.5)/$C$508))-MIN(1,MAX(0,(nr_MStartPm1-1-$G511+0.5)/$C$508))</f>
        <v/>
      </c>
      <c r="Q511" s="208">
        <f>MIN(1,MAX(0,(nr_MEndP-$G511+0.5)/$C$508))-MIN(1,MAX(0,(nr_MStartP-1-$G511+0.5)/$C$508))</f>
        <v/>
      </c>
      <c r="R511" s="208">
        <f>MIN(1,MAX(0,(nr_MEndP1-$G511+0.5)/$C$508))-MIN(1,MAX(0,(nr_MStartP1-1-$G511+0.5)/$C$508))</f>
        <v/>
      </c>
      <c r="S511" s="208">
        <f>IF($L$508,$N511*IF($O$508=1,$O511/$F$508,1),"")</f>
        <v/>
      </c>
      <c r="T511" s="208">
        <f>IF(NOT($L$508),"",IF($G511&lt;nr_MStartP,$S511,$T499*(1+IF($G511&lt;nr_MStartP1,$M$508,$N$508))))</f>
        <v/>
      </c>
      <c r="U511" s="208">
        <f>IF($L$508,$T511,$N511)</f>
        <v/>
      </c>
    </row>
    <row r="512">
      <c r="A512" s="145" t="n">
        <v>2</v>
      </c>
      <c r="B512" s="204">
        <f>EDATE($B511,1)</f>
        <v/>
      </c>
      <c r="C512" s="205">
        <f>EOMONTH($B512,0)</f>
        <v/>
      </c>
      <c r="D512" s="201">
        <f>$C512-$B512+1</f>
        <v/>
      </c>
      <c r="E512" s="201">
        <f>MONTH($B512)</f>
        <v/>
      </c>
      <c r="F512" s="235">
        <f>($B512+$C512+1)/2</f>
        <v/>
      </c>
      <c r="G512" s="201">
        <f>YEAR($B512)*12+MONTH($B512)-1</f>
        <v/>
      </c>
      <c r="H512" s="207">
        <f>IF(OR(nr_SeasonOn="OFF",$D$508=0,$E$508=0),1,12*INDEX(se_block,$D$508,$E512)/$E$508)</f>
        <v/>
      </c>
      <c r="I512" s="208">
        <f>EXP(SUMPRODUCT((rl_eff&lt;$B512)*(rl_key=$A$508)*rl_ln1p))</f>
        <v/>
      </c>
      <c r="J512" s="208">
        <f>EXP(SUMPRODUCT((rl_eff&lt;=$C512)*(rl_key=$A$508)*rl_ln1p))</f>
        <v/>
      </c>
      <c r="K512" s="201">
        <f>COUNTIFS(rl_key,$A$508,rl_eff,"&gt;="&amp;$B512,rl_eff,"&lt;="&amp;$C512)</f>
        <v/>
      </c>
      <c r="L512" s="201">
        <f>SUMIFS(rl_daysafter,rl_key,$A$508,rl_effmonth,$B512,rl_first,1)</f>
        <v/>
      </c>
      <c r="M512" s="209">
        <f>IF($K512=0,0,MIN(1,$L512/$D512))</f>
        <v/>
      </c>
      <c r="N512" s="208">
        <f>IF($K512=0,$J512,(1-$M512)*$I512+$M512*$J512)</f>
        <v/>
      </c>
      <c r="O512" s="209">
        <f>IF($F512&lt;$B$509,$E$509+$I$509*($F512-$A$509),IF($F512&lt;$C$509,$F$509+$J$509*($F512-$B$509),$G$509+$K$509*($F512-$C$509)))</f>
        <v/>
      </c>
      <c r="P512" s="208">
        <f>MIN(1,MAX(0,(nr_MEndPm1-$G512+0.5)/$C$508))-MIN(1,MAX(0,(nr_MStartPm1-1-$G512+0.5)/$C$508))</f>
        <v/>
      </c>
      <c r="Q512" s="208">
        <f>MIN(1,MAX(0,(nr_MEndP-$G512+0.5)/$C$508))-MIN(1,MAX(0,(nr_MStartP-1-$G512+0.5)/$C$508))</f>
        <v/>
      </c>
      <c r="R512" s="208">
        <f>MIN(1,MAX(0,(nr_MEndP1-$G512+0.5)/$C$508))-MIN(1,MAX(0,(nr_MStartP1-1-$G512+0.5)/$C$508))</f>
        <v/>
      </c>
      <c r="S512" s="208">
        <f>IF($L$508,$N512*IF($O$508=1,$O512/$F$508,1),"")</f>
        <v/>
      </c>
      <c r="T512" s="208">
        <f>IF(NOT($L$508),"",IF($G512&lt;nr_MStartP,$S512,$T500*(1+IF($G512&lt;nr_MStartP1,$M$508,$N$508))))</f>
        <v/>
      </c>
      <c r="U512" s="208">
        <f>IF($L$508,$T512,$N512)</f>
        <v/>
      </c>
    </row>
    <row r="513">
      <c r="A513" s="145" t="n">
        <v>3</v>
      </c>
      <c r="B513" s="204">
        <f>EDATE($B512,1)</f>
        <v/>
      </c>
      <c r="C513" s="205">
        <f>EOMONTH($B513,0)</f>
        <v/>
      </c>
      <c r="D513" s="201">
        <f>$C513-$B513+1</f>
        <v/>
      </c>
      <c r="E513" s="201">
        <f>MONTH($B513)</f>
        <v/>
      </c>
      <c r="F513" s="235">
        <f>($B513+$C513+1)/2</f>
        <v/>
      </c>
      <c r="G513" s="201">
        <f>YEAR($B513)*12+MONTH($B513)-1</f>
        <v/>
      </c>
      <c r="H513" s="207">
        <f>IF(OR(nr_SeasonOn="OFF",$D$508=0,$E$508=0),1,12*INDEX(se_block,$D$508,$E513)/$E$508)</f>
        <v/>
      </c>
      <c r="I513" s="208">
        <f>EXP(SUMPRODUCT((rl_eff&lt;$B513)*(rl_key=$A$508)*rl_ln1p))</f>
        <v/>
      </c>
      <c r="J513" s="208">
        <f>EXP(SUMPRODUCT((rl_eff&lt;=$C513)*(rl_key=$A$508)*rl_ln1p))</f>
        <v/>
      </c>
      <c r="K513" s="201">
        <f>COUNTIFS(rl_key,$A$508,rl_eff,"&gt;="&amp;$B513,rl_eff,"&lt;="&amp;$C513)</f>
        <v/>
      </c>
      <c r="L513" s="201">
        <f>SUMIFS(rl_daysafter,rl_key,$A$508,rl_effmonth,$B513,rl_first,1)</f>
        <v/>
      </c>
      <c r="M513" s="209">
        <f>IF($K513=0,0,MIN(1,$L513/$D513))</f>
        <v/>
      </c>
      <c r="N513" s="208">
        <f>IF($K513=0,$J513,(1-$M513)*$I513+$M513*$J513)</f>
        <v/>
      </c>
      <c r="O513" s="209">
        <f>IF($F513&lt;$B$509,$E$509+$I$509*($F513-$A$509),IF($F513&lt;$C$509,$F$509+$J$509*($F513-$B$509),$G$509+$K$509*($F513-$C$509)))</f>
        <v/>
      </c>
      <c r="P513" s="208">
        <f>MIN(1,MAX(0,(nr_MEndPm1-$G513+0.5)/$C$508))-MIN(1,MAX(0,(nr_MStartPm1-1-$G513+0.5)/$C$508))</f>
        <v/>
      </c>
      <c r="Q513" s="208">
        <f>MIN(1,MAX(0,(nr_MEndP-$G513+0.5)/$C$508))-MIN(1,MAX(0,(nr_MStartP-1-$G513+0.5)/$C$508))</f>
        <v/>
      </c>
      <c r="R513" s="208">
        <f>MIN(1,MAX(0,(nr_MEndP1-$G513+0.5)/$C$508))-MIN(1,MAX(0,(nr_MStartP1-1-$G513+0.5)/$C$508))</f>
        <v/>
      </c>
      <c r="S513" s="208">
        <f>IF($L$508,$N513*IF($O$508=1,$O513/$F$508,1),"")</f>
        <v/>
      </c>
      <c r="T513" s="208">
        <f>IF(NOT($L$508),"",IF($G513&lt;nr_MStartP,$S513,$T501*(1+IF($G513&lt;nr_MStartP1,$M$508,$N$508))))</f>
        <v/>
      </c>
      <c r="U513" s="208">
        <f>IF($L$508,$T513,$N513)</f>
        <v/>
      </c>
    </row>
    <row r="514">
      <c r="A514" s="145" t="n">
        <v>4</v>
      </c>
      <c r="B514" s="204">
        <f>EDATE($B513,1)</f>
        <v/>
      </c>
      <c r="C514" s="205">
        <f>EOMONTH($B514,0)</f>
        <v/>
      </c>
      <c r="D514" s="201">
        <f>$C514-$B514+1</f>
        <v/>
      </c>
      <c r="E514" s="201">
        <f>MONTH($B514)</f>
        <v/>
      </c>
      <c r="F514" s="235">
        <f>($B514+$C514+1)/2</f>
        <v/>
      </c>
      <c r="G514" s="201">
        <f>YEAR($B514)*12+MONTH($B514)-1</f>
        <v/>
      </c>
      <c r="H514" s="207">
        <f>IF(OR(nr_SeasonOn="OFF",$D$508=0,$E$508=0),1,12*INDEX(se_block,$D$508,$E514)/$E$508)</f>
        <v/>
      </c>
      <c r="I514" s="208">
        <f>EXP(SUMPRODUCT((rl_eff&lt;$B514)*(rl_key=$A$508)*rl_ln1p))</f>
        <v/>
      </c>
      <c r="J514" s="208">
        <f>EXP(SUMPRODUCT((rl_eff&lt;=$C514)*(rl_key=$A$508)*rl_ln1p))</f>
        <v/>
      </c>
      <c r="K514" s="201">
        <f>COUNTIFS(rl_key,$A$508,rl_eff,"&gt;="&amp;$B514,rl_eff,"&lt;="&amp;$C514)</f>
        <v/>
      </c>
      <c r="L514" s="201">
        <f>SUMIFS(rl_daysafter,rl_key,$A$508,rl_effmonth,$B514,rl_first,1)</f>
        <v/>
      </c>
      <c r="M514" s="209">
        <f>IF($K514=0,0,MIN(1,$L514/$D514))</f>
        <v/>
      </c>
      <c r="N514" s="208">
        <f>IF($K514=0,$J514,(1-$M514)*$I514+$M514*$J514)</f>
        <v/>
      </c>
      <c r="O514" s="209">
        <f>IF($F514&lt;$B$509,$E$509+$I$509*($F514-$A$509),IF($F514&lt;$C$509,$F$509+$J$509*($F514-$B$509),$G$509+$K$509*($F514-$C$509)))</f>
        <v/>
      </c>
      <c r="P514" s="208">
        <f>MIN(1,MAX(0,(nr_MEndPm1-$G514+0.5)/$C$508))-MIN(1,MAX(0,(nr_MStartPm1-1-$G514+0.5)/$C$508))</f>
        <v/>
      </c>
      <c r="Q514" s="208">
        <f>MIN(1,MAX(0,(nr_MEndP-$G514+0.5)/$C$508))-MIN(1,MAX(0,(nr_MStartP-1-$G514+0.5)/$C$508))</f>
        <v/>
      </c>
      <c r="R514" s="208">
        <f>MIN(1,MAX(0,(nr_MEndP1-$G514+0.5)/$C$508))-MIN(1,MAX(0,(nr_MStartP1-1-$G514+0.5)/$C$508))</f>
        <v/>
      </c>
      <c r="S514" s="208">
        <f>IF($L$508,$N514*IF($O$508=1,$O514/$F$508,1),"")</f>
        <v/>
      </c>
      <c r="T514" s="208">
        <f>IF(NOT($L$508),"",IF($G514&lt;nr_MStartP,$S514,$T502*(1+IF($G514&lt;nr_MStartP1,$M$508,$N$508))))</f>
        <v/>
      </c>
      <c r="U514" s="208">
        <f>IF($L$508,$T514,$N514)</f>
        <v/>
      </c>
    </row>
    <row r="515">
      <c r="A515" s="145" t="n">
        <v>5</v>
      </c>
      <c r="B515" s="204">
        <f>EDATE($B514,1)</f>
        <v/>
      </c>
      <c r="C515" s="205">
        <f>EOMONTH($B515,0)</f>
        <v/>
      </c>
      <c r="D515" s="201">
        <f>$C515-$B515+1</f>
        <v/>
      </c>
      <c r="E515" s="201">
        <f>MONTH($B515)</f>
        <v/>
      </c>
      <c r="F515" s="235">
        <f>($B515+$C515+1)/2</f>
        <v/>
      </c>
      <c r="G515" s="201">
        <f>YEAR($B515)*12+MONTH($B515)-1</f>
        <v/>
      </c>
      <c r="H515" s="207">
        <f>IF(OR(nr_SeasonOn="OFF",$D$508=0,$E$508=0),1,12*INDEX(se_block,$D$508,$E515)/$E$508)</f>
        <v/>
      </c>
      <c r="I515" s="208">
        <f>EXP(SUMPRODUCT((rl_eff&lt;$B515)*(rl_key=$A$508)*rl_ln1p))</f>
        <v/>
      </c>
      <c r="J515" s="208">
        <f>EXP(SUMPRODUCT((rl_eff&lt;=$C515)*(rl_key=$A$508)*rl_ln1p))</f>
        <v/>
      </c>
      <c r="K515" s="201">
        <f>COUNTIFS(rl_key,$A$508,rl_eff,"&gt;="&amp;$B515,rl_eff,"&lt;="&amp;$C515)</f>
        <v/>
      </c>
      <c r="L515" s="201">
        <f>SUMIFS(rl_daysafter,rl_key,$A$508,rl_effmonth,$B515,rl_first,1)</f>
        <v/>
      </c>
      <c r="M515" s="209">
        <f>IF($K515=0,0,MIN(1,$L515/$D515))</f>
        <v/>
      </c>
      <c r="N515" s="208">
        <f>IF($K515=0,$J515,(1-$M515)*$I515+$M515*$J515)</f>
        <v/>
      </c>
      <c r="O515" s="209">
        <f>IF($F515&lt;$B$509,$E$509+$I$509*($F515-$A$509),IF($F515&lt;$C$509,$F$509+$J$509*($F515-$B$509),$G$509+$K$509*($F515-$C$509)))</f>
        <v/>
      </c>
      <c r="P515" s="208">
        <f>MIN(1,MAX(0,(nr_MEndPm1-$G515+0.5)/$C$508))-MIN(1,MAX(0,(nr_MStartPm1-1-$G515+0.5)/$C$508))</f>
        <v/>
      </c>
      <c r="Q515" s="208">
        <f>MIN(1,MAX(0,(nr_MEndP-$G515+0.5)/$C$508))-MIN(1,MAX(0,(nr_MStartP-1-$G515+0.5)/$C$508))</f>
        <v/>
      </c>
      <c r="R515" s="208">
        <f>MIN(1,MAX(0,(nr_MEndP1-$G515+0.5)/$C$508))-MIN(1,MAX(0,(nr_MStartP1-1-$G515+0.5)/$C$508))</f>
        <v/>
      </c>
      <c r="S515" s="208">
        <f>IF($L$508,$N515*IF($O$508=1,$O515/$F$508,1),"")</f>
        <v/>
      </c>
      <c r="T515" s="208">
        <f>IF(NOT($L$508),"",IF($G515&lt;nr_MStartP,$S515,$T503*(1+IF($G515&lt;nr_MStartP1,$M$508,$N$508))))</f>
        <v/>
      </c>
      <c r="U515" s="208">
        <f>IF($L$508,$T515,$N515)</f>
        <v/>
      </c>
    </row>
    <row r="516">
      <c r="A516" s="145" t="n">
        <v>6</v>
      </c>
      <c r="B516" s="204">
        <f>EDATE($B515,1)</f>
        <v/>
      </c>
      <c r="C516" s="205">
        <f>EOMONTH($B516,0)</f>
        <v/>
      </c>
      <c r="D516" s="201">
        <f>$C516-$B516+1</f>
        <v/>
      </c>
      <c r="E516" s="201">
        <f>MONTH($B516)</f>
        <v/>
      </c>
      <c r="F516" s="235">
        <f>($B516+$C516+1)/2</f>
        <v/>
      </c>
      <c r="G516" s="201">
        <f>YEAR($B516)*12+MONTH($B516)-1</f>
        <v/>
      </c>
      <c r="H516" s="207">
        <f>IF(OR(nr_SeasonOn="OFF",$D$508=0,$E$508=0),1,12*INDEX(se_block,$D$508,$E516)/$E$508)</f>
        <v/>
      </c>
      <c r="I516" s="208">
        <f>EXP(SUMPRODUCT((rl_eff&lt;$B516)*(rl_key=$A$508)*rl_ln1p))</f>
        <v/>
      </c>
      <c r="J516" s="208">
        <f>EXP(SUMPRODUCT((rl_eff&lt;=$C516)*(rl_key=$A$508)*rl_ln1p))</f>
        <v/>
      </c>
      <c r="K516" s="201">
        <f>COUNTIFS(rl_key,$A$508,rl_eff,"&gt;="&amp;$B516,rl_eff,"&lt;="&amp;$C516)</f>
        <v/>
      </c>
      <c r="L516" s="201">
        <f>SUMIFS(rl_daysafter,rl_key,$A$508,rl_effmonth,$B516,rl_first,1)</f>
        <v/>
      </c>
      <c r="M516" s="209">
        <f>IF($K516=0,0,MIN(1,$L516/$D516))</f>
        <v/>
      </c>
      <c r="N516" s="208">
        <f>IF($K516=0,$J516,(1-$M516)*$I516+$M516*$J516)</f>
        <v/>
      </c>
      <c r="O516" s="209">
        <f>IF($F516&lt;$B$509,$E$509+$I$509*($F516-$A$509),IF($F516&lt;$C$509,$F$509+$J$509*($F516-$B$509),$G$509+$K$509*($F516-$C$509)))</f>
        <v/>
      </c>
      <c r="P516" s="208">
        <f>MIN(1,MAX(0,(nr_MEndPm1-$G516+0.5)/$C$508))-MIN(1,MAX(0,(nr_MStartPm1-1-$G516+0.5)/$C$508))</f>
        <v/>
      </c>
      <c r="Q516" s="208">
        <f>MIN(1,MAX(0,(nr_MEndP-$G516+0.5)/$C$508))-MIN(1,MAX(0,(nr_MStartP-1-$G516+0.5)/$C$508))</f>
        <v/>
      </c>
      <c r="R516" s="208">
        <f>MIN(1,MAX(0,(nr_MEndP1-$G516+0.5)/$C$508))-MIN(1,MAX(0,(nr_MStartP1-1-$G516+0.5)/$C$508))</f>
        <v/>
      </c>
      <c r="S516" s="208">
        <f>IF($L$508,$N516*IF($O$508=1,$O516/$F$508,1),"")</f>
        <v/>
      </c>
      <c r="T516" s="208">
        <f>IF(NOT($L$508),"",IF($G516&lt;nr_MStartP,$S516,$T504*(1+IF($G516&lt;nr_MStartP1,$M$508,$N$508))))</f>
        <v/>
      </c>
      <c r="U516" s="208">
        <f>IF($L$508,$T516,$N516)</f>
        <v/>
      </c>
    </row>
    <row r="517">
      <c r="A517" s="145" t="n">
        <v>7</v>
      </c>
      <c r="B517" s="204">
        <f>EDATE($B516,1)</f>
        <v/>
      </c>
      <c r="C517" s="205">
        <f>EOMONTH($B517,0)</f>
        <v/>
      </c>
      <c r="D517" s="201">
        <f>$C517-$B517+1</f>
        <v/>
      </c>
      <c r="E517" s="201">
        <f>MONTH($B517)</f>
        <v/>
      </c>
      <c r="F517" s="235">
        <f>($B517+$C517+1)/2</f>
        <v/>
      </c>
      <c r="G517" s="201">
        <f>YEAR($B517)*12+MONTH($B517)-1</f>
        <v/>
      </c>
      <c r="H517" s="207">
        <f>IF(OR(nr_SeasonOn="OFF",$D$508=0,$E$508=0),1,12*INDEX(se_block,$D$508,$E517)/$E$508)</f>
        <v/>
      </c>
      <c r="I517" s="208">
        <f>EXP(SUMPRODUCT((rl_eff&lt;$B517)*(rl_key=$A$508)*rl_ln1p))</f>
        <v/>
      </c>
      <c r="J517" s="208">
        <f>EXP(SUMPRODUCT((rl_eff&lt;=$C517)*(rl_key=$A$508)*rl_ln1p))</f>
        <v/>
      </c>
      <c r="K517" s="201">
        <f>COUNTIFS(rl_key,$A$508,rl_eff,"&gt;="&amp;$B517,rl_eff,"&lt;="&amp;$C517)</f>
        <v/>
      </c>
      <c r="L517" s="201">
        <f>SUMIFS(rl_daysafter,rl_key,$A$508,rl_effmonth,$B517,rl_first,1)</f>
        <v/>
      </c>
      <c r="M517" s="209">
        <f>IF($K517=0,0,MIN(1,$L517/$D517))</f>
        <v/>
      </c>
      <c r="N517" s="208">
        <f>IF($K517=0,$J517,(1-$M517)*$I517+$M517*$J517)</f>
        <v/>
      </c>
      <c r="O517" s="209">
        <f>IF($F517&lt;$B$509,$E$509+$I$509*($F517-$A$509),IF($F517&lt;$C$509,$F$509+$J$509*($F517-$B$509),$G$509+$K$509*($F517-$C$509)))</f>
        <v/>
      </c>
      <c r="P517" s="208">
        <f>MIN(1,MAX(0,(nr_MEndPm1-$G517+0.5)/$C$508))-MIN(1,MAX(0,(nr_MStartPm1-1-$G517+0.5)/$C$508))</f>
        <v/>
      </c>
      <c r="Q517" s="208">
        <f>MIN(1,MAX(0,(nr_MEndP-$G517+0.5)/$C$508))-MIN(1,MAX(0,(nr_MStartP-1-$G517+0.5)/$C$508))</f>
        <v/>
      </c>
      <c r="R517" s="208">
        <f>MIN(1,MAX(0,(nr_MEndP1-$G517+0.5)/$C$508))-MIN(1,MAX(0,(nr_MStartP1-1-$G517+0.5)/$C$508))</f>
        <v/>
      </c>
      <c r="S517" s="208">
        <f>IF($L$508,$N517*IF($O$508=1,$O517/$F$508,1),"")</f>
        <v/>
      </c>
      <c r="T517" s="208">
        <f>IF(NOT($L$508),"",IF($G517&lt;nr_MStartP,$S517,$T505*(1+IF($G517&lt;nr_MStartP1,$M$508,$N$508))))</f>
        <v/>
      </c>
      <c r="U517" s="208">
        <f>IF($L$508,$T517,$N517)</f>
        <v/>
      </c>
    </row>
    <row r="518">
      <c r="A518" s="145" t="n">
        <v>8</v>
      </c>
      <c r="B518" s="204">
        <f>EDATE($B517,1)</f>
        <v/>
      </c>
      <c r="C518" s="205">
        <f>EOMONTH($B518,0)</f>
        <v/>
      </c>
      <c r="D518" s="201">
        <f>$C518-$B518+1</f>
        <v/>
      </c>
      <c r="E518" s="201">
        <f>MONTH($B518)</f>
        <v/>
      </c>
      <c r="F518" s="235">
        <f>($B518+$C518+1)/2</f>
        <v/>
      </c>
      <c r="G518" s="201">
        <f>YEAR($B518)*12+MONTH($B518)-1</f>
        <v/>
      </c>
      <c r="H518" s="207">
        <f>IF(OR(nr_SeasonOn="OFF",$D$508=0,$E$508=0),1,12*INDEX(se_block,$D$508,$E518)/$E$508)</f>
        <v/>
      </c>
      <c r="I518" s="208">
        <f>EXP(SUMPRODUCT((rl_eff&lt;$B518)*(rl_key=$A$508)*rl_ln1p))</f>
        <v/>
      </c>
      <c r="J518" s="208">
        <f>EXP(SUMPRODUCT((rl_eff&lt;=$C518)*(rl_key=$A$508)*rl_ln1p))</f>
        <v/>
      </c>
      <c r="K518" s="201">
        <f>COUNTIFS(rl_key,$A$508,rl_eff,"&gt;="&amp;$B518,rl_eff,"&lt;="&amp;$C518)</f>
        <v/>
      </c>
      <c r="L518" s="201">
        <f>SUMIFS(rl_daysafter,rl_key,$A$508,rl_effmonth,$B518,rl_first,1)</f>
        <v/>
      </c>
      <c r="M518" s="209">
        <f>IF($K518=0,0,MIN(1,$L518/$D518))</f>
        <v/>
      </c>
      <c r="N518" s="208">
        <f>IF($K518=0,$J518,(1-$M518)*$I518+$M518*$J518)</f>
        <v/>
      </c>
      <c r="O518" s="209">
        <f>IF($F518&lt;$B$509,$E$509+$I$509*($F518-$A$509),IF($F518&lt;$C$509,$F$509+$J$509*($F518-$B$509),$G$509+$K$509*($F518-$C$509)))</f>
        <v/>
      </c>
      <c r="P518" s="208">
        <f>MIN(1,MAX(0,(nr_MEndPm1-$G518+0.5)/$C$508))-MIN(1,MAX(0,(nr_MStartPm1-1-$G518+0.5)/$C$508))</f>
        <v/>
      </c>
      <c r="Q518" s="208">
        <f>MIN(1,MAX(0,(nr_MEndP-$G518+0.5)/$C$508))-MIN(1,MAX(0,(nr_MStartP-1-$G518+0.5)/$C$508))</f>
        <v/>
      </c>
      <c r="R518" s="208">
        <f>MIN(1,MAX(0,(nr_MEndP1-$G518+0.5)/$C$508))-MIN(1,MAX(0,(nr_MStartP1-1-$G518+0.5)/$C$508))</f>
        <v/>
      </c>
      <c r="S518" s="208">
        <f>IF($L$508,$N518*IF($O$508=1,$O518/$F$508,1),"")</f>
        <v/>
      </c>
      <c r="T518" s="208">
        <f>IF(NOT($L$508),"",IF($G518&lt;nr_MStartP,$S518,$T506*(1+IF($G518&lt;nr_MStartP1,$M$508,$N$508))))</f>
        <v/>
      </c>
      <c r="U518" s="208">
        <f>IF($L$508,$T518,$N518)</f>
        <v/>
      </c>
    </row>
    <row r="519">
      <c r="A519" s="145" t="n">
        <v>9</v>
      </c>
      <c r="B519" s="204">
        <f>EDATE($B518,1)</f>
        <v/>
      </c>
      <c r="C519" s="205">
        <f>EOMONTH($B519,0)</f>
        <v/>
      </c>
      <c r="D519" s="201">
        <f>$C519-$B519+1</f>
        <v/>
      </c>
      <c r="E519" s="201">
        <f>MONTH($B519)</f>
        <v/>
      </c>
      <c r="F519" s="235">
        <f>($B519+$C519+1)/2</f>
        <v/>
      </c>
      <c r="G519" s="201">
        <f>YEAR($B519)*12+MONTH($B519)-1</f>
        <v/>
      </c>
      <c r="H519" s="207">
        <f>IF(OR(nr_SeasonOn="OFF",$D$508=0,$E$508=0),1,12*INDEX(se_block,$D$508,$E519)/$E$508)</f>
        <v/>
      </c>
      <c r="I519" s="208">
        <f>EXP(SUMPRODUCT((rl_eff&lt;$B519)*(rl_key=$A$508)*rl_ln1p))</f>
        <v/>
      </c>
      <c r="J519" s="208">
        <f>EXP(SUMPRODUCT((rl_eff&lt;=$C519)*(rl_key=$A$508)*rl_ln1p))</f>
        <v/>
      </c>
      <c r="K519" s="201">
        <f>COUNTIFS(rl_key,$A$508,rl_eff,"&gt;="&amp;$B519,rl_eff,"&lt;="&amp;$C519)</f>
        <v/>
      </c>
      <c r="L519" s="201">
        <f>SUMIFS(rl_daysafter,rl_key,$A$508,rl_effmonth,$B519,rl_first,1)</f>
        <v/>
      </c>
      <c r="M519" s="209">
        <f>IF($K519=0,0,MIN(1,$L519/$D519))</f>
        <v/>
      </c>
      <c r="N519" s="208">
        <f>IF($K519=0,$J519,(1-$M519)*$I519+$M519*$J519)</f>
        <v/>
      </c>
      <c r="O519" s="209">
        <f>IF($F519&lt;$B$509,$E$509+$I$509*($F519-$A$509),IF($F519&lt;$C$509,$F$509+$J$509*($F519-$B$509),$G$509+$K$509*($F519-$C$509)))</f>
        <v/>
      </c>
      <c r="P519" s="208">
        <f>MIN(1,MAX(0,(nr_MEndPm1-$G519+0.5)/$C$508))-MIN(1,MAX(0,(nr_MStartPm1-1-$G519+0.5)/$C$508))</f>
        <v/>
      </c>
      <c r="Q519" s="208">
        <f>MIN(1,MAX(0,(nr_MEndP-$G519+0.5)/$C$508))-MIN(1,MAX(0,(nr_MStartP-1-$G519+0.5)/$C$508))</f>
        <v/>
      </c>
      <c r="R519" s="208">
        <f>MIN(1,MAX(0,(nr_MEndP1-$G519+0.5)/$C$508))-MIN(1,MAX(0,(nr_MStartP1-1-$G519+0.5)/$C$508))</f>
        <v/>
      </c>
      <c r="S519" s="208">
        <f>IF($L$508,$N519*IF($O$508=1,$O519/$F$508,1),"")</f>
        <v/>
      </c>
      <c r="T519" s="208">
        <f>IF(NOT($L$508),"",IF($G519&lt;nr_MStartP,$S519,$T507*(1+IF($G519&lt;nr_MStartP1,$M$508,$N$508))))</f>
        <v/>
      </c>
      <c r="U519" s="208">
        <f>IF($L$508,$T519,$N519)</f>
        <v/>
      </c>
    </row>
    <row r="520">
      <c r="A520" s="145" t="n">
        <v>10</v>
      </c>
      <c r="B520" s="204">
        <f>EDATE($B519,1)</f>
        <v/>
      </c>
      <c r="C520" s="205">
        <f>EOMONTH($B520,0)</f>
        <v/>
      </c>
      <c r="D520" s="201">
        <f>$C520-$B520+1</f>
        <v/>
      </c>
      <c r="E520" s="201">
        <f>MONTH($B520)</f>
        <v/>
      </c>
      <c r="F520" s="235">
        <f>($B520+$C520+1)/2</f>
        <v/>
      </c>
      <c r="G520" s="201">
        <f>YEAR($B520)*12+MONTH($B520)-1</f>
        <v/>
      </c>
      <c r="H520" s="207">
        <f>IF(OR(nr_SeasonOn="OFF",$D$508=0,$E$508=0),1,12*INDEX(se_block,$D$508,$E520)/$E$508)</f>
        <v/>
      </c>
      <c r="I520" s="208">
        <f>EXP(SUMPRODUCT((rl_eff&lt;$B520)*(rl_key=$A$508)*rl_ln1p))</f>
        <v/>
      </c>
      <c r="J520" s="208">
        <f>EXP(SUMPRODUCT((rl_eff&lt;=$C520)*(rl_key=$A$508)*rl_ln1p))</f>
        <v/>
      </c>
      <c r="K520" s="201">
        <f>COUNTIFS(rl_key,$A$508,rl_eff,"&gt;="&amp;$B520,rl_eff,"&lt;="&amp;$C520)</f>
        <v/>
      </c>
      <c r="L520" s="201">
        <f>SUMIFS(rl_daysafter,rl_key,$A$508,rl_effmonth,$B520,rl_first,1)</f>
        <v/>
      </c>
      <c r="M520" s="209">
        <f>IF($K520=0,0,MIN(1,$L520/$D520))</f>
        <v/>
      </c>
      <c r="N520" s="208">
        <f>IF($K520=0,$J520,(1-$M520)*$I520+$M520*$J520)</f>
        <v/>
      </c>
      <c r="O520" s="209">
        <f>IF($F520&lt;$B$509,$E$509+$I$509*($F520-$A$509),IF($F520&lt;$C$509,$F$509+$J$509*($F520-$B$509),$G$509+$K$509*($F520-$C$509)))</f>
        <v/>
      </c>
      <c r="P520" s="208">
        <f>MIN(1,MAX(0,(nr_MEndPm1-$G520+0.5)/$C$508))-MIN(1,MAX(0,(nr_MStartPm1-1-$G520+0.5)/$C$508))</f>
        <v/>
      </c>
      <c r="Q520" s="208">
        <f>MIN(1,MAX(0,(nr_MEndP-$G520+0.5)/$C$508))-MIN(1,MAX(0,(nr_MStartP-1-$G520+0.5)/$C$508))</f>
        <v/>
      </c>
      <c r="R520" s="208">
        <f>MIN(1,MAX(0,(nr_MEndP1-$G520+0.5)/$C$508))-MIN(1,MAX(0,(nr_MStartP1-1-$G520+0.5)/$C$508))</f>
        <v/>
      </c>
      <c r="S520" s="208">
        <f>IF($L$508,$N520*IF($O$508=1,$O520/$F$508,1),"")</f>
        <v/>
      </c>
      <c r="T520" s="208">
        <f>IF(NOT($L$508),"",IF($G520&lt;nr_MStartP,$S520,$T508*(1+IF($G520&lt;nr_MStartP1,$M$508,$N$508))))</f>
        <v/>
      </c>
      <c r="U520" s="208">
        <f>IF($L$508,$T520,$N520)</f>
        <v/>
      </c>
    </row>
    <row r="521">
      <c r="A521" s="145" t="n">
        <v>11</v>
      </c>
      <c r="B521" s="204">
        <f>EDATE($B520,1)</f>
        <v/>
      </c>
      <c r="C521" s="205">
        <f>EOMONTH($B521,0)</f>
        <v/>
      </c>
      <c r="D521" s="201">
        <f>$C521-$B521+1</f>
        <v/>
      </c>
      <c r="E521" s="201">
        <f>MONTH($B521)</f>
        <v/>
      </c>
      <c r="F521" s="235">
        <f>($B521+$C521+1)/2</f>
        <v/>
      </c>
      <c r="G521" s="201">
        <f>YEAR($B521)*12+MONTH($B521)-1</f>
        <v/>
      </c>
      <c r="H521" s="207">
        <f>IF(OR(nr_SeasonOn="OFF",$D$508=0,$E$508=0),1,12*INDEX(se_block,$D$508,$E521)/$E$508)</f>
        <v/>
      </c>
      <c r="I521" s="208">
        <f>EXP(SUMPRODUCT((rl_eff&lt;$B521)*(rl_key=$A$508)*rl_ln1p))</f>
        <v/>
      </c>
      <c r="J521" s="208">
        <f>EXP(SUMPRODUCT((rl_eff&lt;=$C521)*(rl_key=$A$508)*rl_ln1p))</f>
        <v/>
      </c>
      <c r="K521" s="201">
        <f>COUNTIFS(rl_key,$A$508,rl_eff,"&gt;="&amp;$B521,rl_eff,"&lt;="&amp;$C521)</f>
        <v/>
      </c>
      <c r="L521" s="201">
        <f>SUMIFS(rl_daysafter,rl_key,$A$508,rl_effmonth,$B521,rl_first,1)</f>
        <v/>
      </c>
      <c r="M521" s="209">
        <f>IF($K521=0,0,MIN(1,$L521/$D521))</f>
        <v/>
      </c>
      <c r="N521" s="208">
        <f>IF($K521=0,$J521,(1-$M521)*$I521+$M521*$J521)</f>
        <v/>
      </c>
      <c r="O521" s="209">
        <f>IF($F521&lt;$B$509,$E$509+$I$509*($F521-$A$509),IF($F521&lt;$C$509,$F$509+$J$509*($F521-$B$509),$G$509+$K$509*($F521-$C$509)))</f>
        <v/>
      </c>
      <c r="P521" s="208">
        <f>MIN(1,MAX(0,(nr_MEndPm1-$G521+0.5)/$C$508))-MIN(1,MAX(0,(nr_MStartPm1-1-$G521+0.5)/$C$508))</f>
        <v/>
      </c>
      <c r="Q521" s="208">
        <f>MIN(1,MAX(0,(nr_MEndP-$G521+0.5)/$C$508))-MIN(1,MAX(0,(nr_MStartP-1-$G521+0.5)/$C$508))</f>
        <v/>
      </c>
      <c r="R521" s="208">
        <f>MIN(1,MAX(0,(nr_MEndP1-$G521+0.5)/$C$508))-MIN(1,MAX(0,(nr_MStartP1-1-$G521+0.5)/$C$508))</f>
        <v/>
      </c>
      <c r="S521" s="208">
        <f>IF($L$508,$N521*IF($O$508=1,$O521/$F$508,1),"")</f>
        <v/>
      </c>
      <c r="T521" s="208">
        <f>IF(NOT($L$508),"",IF($G521&lt;nr_MStartP,$S521,$T509*(1+IF($G521&lt;nr_MStartP1,$M$508,$N$508))))</f>
        <v/>
      </c>
      <c r="U521" s="208">
        <f>IF($L$508,$T521,$N521)</f>
        <v/>
      </c>
    </row>
    <row r="522">
      <c r="A522" s="145" t="n">
        <v>12</v>
      </c>
      <c r="B522" s="204">
        <f>EDATE($B521,1)</f>
        <v/>
      </c>
      <c r="C522" s="205">
        <f>EOMONTH($B522,0)</f>
        <v/>
      </c>
      <c r="D522" s="201">
        <f>$C522-$B522+1</f>
        <v/>
      </c>
      <c r="E522" s="201">
        <f>MONTH($B522)</f>
        <v/>
      </c>
      <c r="F522" s="235">
        <f>($B522+$C522+1)/2</f>
        <v/>
      </c>
      <c r="G522" s="201">
        <f>YEAR($B522)*12+MONTH($B522)-1</f>
        <v/>
      </c>
      <c r="H522" s="207">
        <f>IF(OR(nr_SeasonOn="OFF",$D$508=0,$E$508=0),1,12*INDEX(se_block,$D$508,$E522)/$E$508)</f>
        <v/>
      </c>
      <c r="I522" s="208">
        <f>EXP(SUMPRODUCT((rl_eff&lt;$B522)*(rl_key=$A$508)*rl_ln1p))</f>
        <v/>
      </c>
      <c r="J522" s="208">
        <f>EXP(SUMPRODUCT((rl_eff&lt;=$C522)*(rl_key=$A$508)*rl_ln1p))</f>
        <v/>
      </c>
      <c r="K522" s="201">
        <f>COUNTIFS(rl_key,$A$508,rl_eff,"&gt;="&amp;$B522,rl_eff,"&lt;="&amp;$C522)</f>
        <v/>
      </c>
      <c r="L522" s="201">
        <f>SUMIFS(rl_daysafter,rl_key,$A$508,rl_effmonth,$B522,rl_first,1)</f>
        <v/>
      </c>
      <c r="M522" s="209">
        <f>IF($K522=0,0,MIN(1,$L522/$D522))</f>
        <v/>
      </c>
      <c r="N522" s="208">
        <f>IF($K522=0,$J522,(1-$M522)*$I522+$M522*$J522)</f>
        <v/>
      </c>
      <c r="O522" s="209">
        <f>IF($F522&lt;$B$509,$E$509+$I$509*($F522-$A$509),IF($F522&lt;$C$509,$F$509+$J$509*($F522-$B$509),$G$509+$K$509*($F522-$C$509)))</f>
        <v/>
      </c>
      <c r="P522" s="208">
        <f>MIN(1,MAX(0,(nr_MEndPm1-$G522+0.5)/$C$508))-MIN(1,MAX(0,(nr_MStartPm1-1-$G522+0.5)/$C$508))</f>
        <v/>
      </c>
      <c r="Q522" s="208">
        <f>MIN(1,MAX(0,(nr_MEndP-$G522+0.5)/$C$508))-MIN(1,MAX(0,(nr_MStartP-1-$G522+0.5)/$C$508))</f>
        <v/>
      </c>
      <c r="R522" s="208">
        <f>MIN(1,MAX(0,(nr_MEndP1-$G522+0.5)/$C$508))-MIN(1,MAX(0,(nr_MStartP1-1-$G522+0.5)/$C$508))</f>
        <v/>
      </c>
      <c r="S522" s="208">
        <f>IF($L$508,$N522*IF($O$508=1,$O522/$F$508,1),"")</f>
        <v/>
      </c>
      <c r="T522" s="208">
        <f>IF(NOT($L$508),"",IF($G522&lt;nr_MStartP,$S522,$T510*(1+IF($G522&lt;nr_MStartP1,$M$508,$N$508))))</f>
        <v/>
      </c>
      <c r="U522" s="208">
        <f>IF($L$508,$T522,$N522)</f>
        <v/>
      </c>
    </row>
    <row r="523">
      <c r="A523" s="145" t="n">
        <v>13</v>
      </c>
      <c r="B523" s="204">
        <f>EDATE($B522,1)</f>
        <v/>
      </c>
      <c r="C523" s="205">
        <f>EOMONTH($B523,0)</f>
        <v/>
      </c>
      <c r="D523" s="201">
        <f>$C523-$B523+1</f>
        <v/>
      </c>
      <c r="E523" s="201">
        <f>MONTH($B523)</f>
        <v/>
      </c>
      <c r="F523" s="235">
        <f>($B523+$C523+1)/2</f>
        <v/>
      </c>
      <c r="G523" s="201">
        <f>YEAR($B523)*12+MONTH($B523)-1</f>
        <v/>
      </c>
      <c r="H523" s="207">
        <f>IF(OR(nr_SeasonOn="OFF",$D$508=0,$E$508=0),1,12*INDEX(se_block,$D$508,$E523)/$E$508)</f>
        <v/>
      </c>
      <c r="I523" s="208">
        <f>EXP(SUMPRODUCT((rl_eff&lt;$B523)*(rl_key=$A$508)*rl_ln1p))</f>
        <v/>
      </c>
      <c r="J523" s="208">
        <f>EXP(SUMPRODUCT((rl_eff&lt;=$C523)*(rl_key=$A$508)*rl_ln1p))</f>
        <v/>
      </c>
      <c r="K523" s="201">
        <f>COUNTIFS(rl_key,$A$508,rl_eff,"&gt;="&amp;$B523,rl_eff,"&lt;="&amp;$C523)</f>
        <v/>
      </c>
      <c r="L523" s="201">
        <f>SUMIFS(rl_daysafter,rl_key,$A$508,rl_effmonth,$B523,rl_first,1)</f>
        <v/>
      </c>
      <c r="M523" s="209">
        <f>IF($K523=0,0,MIN(1,$L523/$D523))</f>
        <v/>
      </c>
      <c r="N523" s="208">
        <f>IF($K523=0,$J523,(1-$M523)*$I523+$M523*$J523)</f>
        <v/>
      </c>
      <c r="O523" s="209">
        <f>IF($F523&lt;$B$509,$E$509+$I$509*($F523-$A$509),IF($F523&lt;$C$509,$F$509+$J$509*($F523-$B$509),$G$509+$K$509*($F523-$C$509)))</f>
        <v/>
      </c>
      <c r="P523" s="208">
        <f>MIN(1,MAX(0,(nr_MEndPm1-$G523+0.5)/$C$508))-MIN(1,MAX(0,(nr_MStartPm1-1-$G523+0.5)/$C$508))</f>
        <v/>
      </c>
      <c r="Q523" s="208">
        <f>MIN(1,MAX(0,(nr_MEndP-$G523+0.5)/$C$508))-MIN(1,MAX(0,(nr_MStartP-1-$G523+0.5)/$C$508))</f>
        <v/>
      </c>
      <c r="R523" s="208">
        <f>MIN(1,MAX(0,(nr_MEndP1-$G523+0.5)/$C$508))-MIN(1,MAX(0,(nr_MStartP1-1-$G523+0.5)/$C$508))</f>
        <v/>
      </c>
      <c r="S523" s="208">
        <f>IF($L$508,$N523*IF($O$508=1,$O523/$F$508,1),"")</f>
        <v/>
      </c>
      <c r="T523" s="208">
        <f>IF(NOT($L$508),"",IF($G523&lt;nr_MStartP,$S523,$T511*(1+IF($G523&lt;nr_MStartP1,$M$508,$N$508))))</f>
        <v/>
      </c>
      <c r="U523" s="208">
        <f>IF($L$508,$T523,$N523)</f>
        <v/>
      </c>
    </row>
    <row r="524">
      <c r="A524" s="145" t="n">
        <v>14</v>
      </c>
      <c r="B524" s="204">
        <f>EDATE($B523,1)</f>
        <v/>
      </c>
      <c r="C524" s="205">
        <f>EOMONTH($B524,0)</f>
        <v/>
      </c>
      <c r="D524" s="201">
        <f>$C524-$B524+1</f>
        <v/>
      </c>
      <c r="E524" s="201">
        <f>MONTH($B524)</f>
        <v/>
      </c>
      <c r="F524" s="235">
        <f>($B524+$C524+1)/2</f>
        <v/>
      </c>
      <c r="G524" s="201">
        <f>YEAR($B524)*12+MONTH($B524)-1</f>
        <v/>
      </c>
      <c r="H524" s="207">
        <f>IF(OR(nr_SeasonOn="OFF",$D$508=0,$E$508=0),1,12*INDEX(se_block,$D$508,$E524)/$E$508)</f>
        <v/>
      </c>
      <c r="I524" s="208">
        <f>EXP(SUMPRODUCT((rl_eff&lt;$B524)*(rl_key=$A$508)*rl_ln1p))</f>
        <v/>
      </c>
      <c r="J524" s="208">
        <f>EXP(SUMPRODUCT((rl_eff&lt;=$C524)*(rl_key=$A$508)*rl_ln1p))</f>
        <v/>
      </c>
      <c r="K524" s="201">
        <f>COUNTIFS(rl_key,$A$508,rl_eff,"&gt;="&amp;$B524,rl_eff,"&lt;="&amp;$C524)</f>
        <v/>
      </c>
      <c r="L524" s="201">
        <f>SUMIFS(rl_daysafter,rl_key,$A$508,rl_effmonth,$B524,rl_first,1)</f>
        <v/>
      </c>
      <c r="M524" s="209">
        <f>IF($K524=0,0,MIN(1,$L524/$D524))</f>
        <v/>
      </c>
      <c r="N524" s="208">
        <f>IF($K524=0,$J524,(1-$M524)*$I524+$M524*$J524)</f>
        <v/>
      </c>
      <c r="O524" s="209">
        <f>IF($F524&lt;$B$509,$E$509+$I$509*($F524-$A$509),IF($F524&lt;$C$509,$F$509+$J$509*($F524-$B$509),$G$509+$K$509*($F524-$C$509)))</f>
        <v/>
      </c>
      <c r="P524" s="208">
        <f>MIN(1,MAX(0,(nr_MEndPm1-$G524+0.5)/$C$508))-MIN(1,MAX(0,(nr_MStartPm1-1-$G524+0.5)/$C$508))</f>
        <v/>
      </c>
      <c r="Q524" s="208">
        <f>MIN(1,MAX(0,(nr_MEndP-$G524+0.5)/$C$508))-MIN(1,MAX(0,(nr_MStartP-1-$G524+0.5)/$C$508))</f>
        <v/>
      </c>
      <c r="R524" s="208">
        <f>MIN(1,MAX(0,(nr_MEndP1-$G524+0.5)/$C$508))-MIN(1,MAX(0,(nr_MStartP1-1-$G524+0.5)/$C$508))</f>
        <v/>
      </c>
      <c r="S524" s="208">
        <f>IF($L$508,$N524*IF($O$508=1,$O524/$F$508,1),"")</f>
        <v/>
      </c>
      <c r="T524" s="208">
        <f>IF(NOT($L$508),"",IF($G524&lt;nr_MStartP,$S524,$T512*(1+IF($G524&lt;nr_MStartP1,$M$508,$N$508))))</f>
        <v/>
      </c>
      <c r="U524" s="208">
        <f>IF($L$508,$T524,$N524)</f>
        <v/>
      </c>
    </row>
    <row r="525">
      <c r="A525" s="145" t="n">
        <v>15</v>
      </c>
      <c r="B525" s="204">
        <f>EDATE($B524,1)</f>
        <v/>
      </c>
      <c r="C525" s="205">
        <f>EOMONTH($B525,0)</f>
        <v/>
      </c>
      <c r="D525" s="201">
        <f>$C525-$B525+1</f>
        <v/>
      </c>
      <c r="E525" s="201">
        <f>MONTH($B525)</f>
        <v/>
      </c>
      <c r="F525" s="235">
        <f>($B525+$C525+1)/2</f>
        <v/>
      </c>
      <c r="G525" s="201">
        <f>YEAR($B525)*12+MONTH($B525)-1</f>
        <v/>
      </c>
      <c r="H525" s="207">
        <f>IF(OR(nr_SeasonOn="OFF",$D$508=0,$E$508=0),1,12*INDEX(se_block,$D$508,$E525)/$E$508)</f>
        <v/>
      </c>
      <c r="I525" s="208">
        <f>EXP(SUMPRODUCT((rl_eff&lt;$B525)*(rl_key=$A$508)*rl_ln1p))</f>
        <v/>
      </c>
      <c r="J525" s="208">
        <f>EXP(SUMPRODUCT((rl_eff&lt;=$C525)*(rl_key=$A$508)*rl_ln1p))</f>
        <v/>
      </c>
      <c r="K525" s="201">
        <f>COUNTIFS(rl_key,$A$508,rl_eff,"&gt;="&amp;$B525,rl_eff,"&lt;="&amp;$C525)</f>
        <v/>
      </c>
      <c r="L525" s="201">
        <f>SUMIFS(rl_daysafter,rl_key,$A$508,rl_effmonth,$B525,rl_first,1)</f>
        <v/>
      </c>
      <c r="M525" s="209">
        <f>IF($K525=0,0,MIN(1,$L525/$D525))</f>
        <v/>
      </c>
      <c r="N525" s="208">
        <f>IF($K525=0,$J525,(1-$M525)*$I525+$M525*$J525)</f>
        <v/>
      </c>
      <c r="O525" s="209">
        <f>IF($F525&lt;$B$509,$E$509+$I$509*($F525-$A$509),IF($F525&lt;$C$509,$F$509+$J$509*($F525-$B$509),$G$509+$K$509*($F525-$C$509)))</f>
        <v/>
      </c>
      <c r="P525" s="208">
        <f>MIN(1,MAX(0,(nr_MEndPm1-$G525+0.5)/$C$508))-MIN(1,MAX(0,(nr_MStartPm1-1-$G525+0.5)/$C$508))</f>
        <v/>
      </c>
      <c r="Q525" s="208">
        <f>MIN(1,MAX(0,(nr_MEndP-$G525+0.5)/$C$508))-MIN(1,MAX(0,(nr_MStartP-1-$G525+0.5)/$C$508))</f>
        <v/>
      </c>
      <c r="R525" s="208">
        <f>MIN(1,MAX(0,(nr_MEndP1-$G525+0.5)/$C$508))-MIN(1,MAX(0,(nr_MStartP1-1-$G525+0.5)/$C$508))</f>
        <v/>
      </c>
      <c r="S525" s="208">
        <f>IF($L$508,$N525*IF($O$508=1,$O525/$F$508,1),"")</f>
        <v/>
      </c>
      <c r="T525" s="208">
        <f>IF(NOT($L$508),"",IF($G525&lt;nr_MStartP,$S525,$T513*(1+IF($G525&lt;nr_MStartP1,$M$508,$N$508))))</f>
        <v/>
      </c>
      <c r="U525" s="208">
        <f>IF($L$508,$T525,$N525)</f>
        <v/>
      </c>
    </row>
    <row r="526">
      <c r="A526" s="145" t="n">
        <v>16</v>
      </c>
      <c r="B526" s="204">
        <f>EDATE($B525,1)</f>
        <v/>
      </c>
      <c r="C526" s="205">
        <f>EOMONTH($B526,0)</f>
        <v/>
      </c>
      <c r="D526" s="201">
        <f>$C526-$B526+1</f>
        <v/>
      </c>
      <c r="E526" s="201">
        <f>MONTH($B526)</f>
        <v/>
      </c>
      <c r="F526" s="235">
        <f>($B526+$C526+1)/2</f>
        <v/>
      </c>
      <c r="G526" s="201">
        <f>YEAR($B526)*12+MONTH($B526)-1</f>
        <v/>
      </c>
      <c r="H526" s="207">
        <f>IF(OR(nr_SeasonOn="OFF",$D$508=0,$E$508=0),1,12*INDEX(se_block,$D$508,$E526)/$E$508)</f>
        <v/>
      </c>
      <c r="I526" s="208">
        <f>EXP(SUMPRODUCT((rl_eff&lt;$B526)*(rl_key=$A$508)*rl_ln1p))</f>
        <v/>
      </c>
      <c r="J526" s="208">
        <f>EXP(SUMPRODUCT((rl_eff&lt;=$C526)*(rl_key=$A$508)*rl_ln1p))</f>
        <v/>
      </c>
      <c r="K526" s="201">
        <f>COUNTIFS(rl_key,$A$508,rl_eff,"&gt;="&amp;$B526,rl_eff,"&lt;="&amp;$C526)</f>
        <v/>
      </c>
      <c r="L526" s="201">
        <f>SUMIFS(rl_daysafter,rl_key,$A$508,rl_effmonth,$B526,rl_first,1)</f>
        <v/>
      </c>
      <c r="M526" s="209">
        <f>IF($K526=0,0,MIN(1,$L526/$D526))</f>
        <v/>
      </c>
      <c r="N526" s="208">
        <f>IF($K526=0,$J526,(1-$M526)*$I526+$M526*$J526)</f>
        <v/>
      </c>
      <c r="O526" s="209">
        <f>IF($F526&lt;$B$509,$E$509+$I$509*($F526-$A$509),IF($F526&lt;$C$509,$F$509+$J$509*($F526-$B$509),$G$509+$K$509*($F526-$C$509)))</f>
        <v/>
      </c>
      <c r="P526" s="208">
        <f>MIN(1,MAX(0,(nr_MEndPm1-$G526+0.5)/$C$508))-MIN(1,MAX(0,(nr_MStartPm1-1-$G526+0.5)/$C$508))</f>
        <v/>
      </c>
      <c r="Q526" s="208">
        <f>MIN(1,MAX(0,(nr_MEndP-$G526+0.5)/$C$508))-MIN(1,MAX(0,(nr_MStartP-1-$G526+0.5)/$C$508))</f>
        <v/>
      </c>
      <c r="R526" s="208">
        <f>MIN(1,MAX(0,(nr_MEndP1-$G526+0.5)/$C$508))-MIN(1,MAX(0,(nr_MStartP1-1-$G526+0.5)/$C$508))</f>
        <v/>
      </c>
      <c r="S526" s="208">
        <f>IF($L$508,$N526*IF($O$508=1,$O526/$F$508,1),"")</f>
        <v/>
      </c>
      <c r="T526" s="208">
        <f>IF(NOT($L$508),"",IF($G526&lt;nr_MStartP,$S526,$T514*(1+IF($G526&lt;nr_MStartP1,$M$508,$N$508))))</f>
        <v/>
      </c>
      <c r="U526" s="208">
        <f>IF($L$508,$T526,$N526)</f>
        <v/>
      </c>
    </row>
    <row r="527">
      <c r="A527" s="145" t="n">
        <v>17</v>
      </c>
      <c r="B527" s="204">
        <f>EDATE($B526,1)</f>
        <v/>
      </c>
      <c r="C527" s="205">
        <f>EOMONTH($B527,0)</f>
        <v/>
      </c>
      <c r="D527" s="201">
        <f>$C527-$B527+1</f>
        <v/>
      </c>
      <c r="E527" s="201">
        <f>MONTH($B527)</f>
        <v/>
      </c>
      <c r="F527" s="235">
        <f>($B527+$C527+1)/2</f>
        <v/>
      </c>
      <c r="G527" s="201">
        <f>YEAR($B527)*12+MONTH($B527)-1</f>
        <v/>
      </c>
      <c r="H527" s="207">
        <f>IF(OR(nr_SeasonOn="OFF",$D$508=0,$E$508=0),1,12*INDEX(se_block,$D$508,$E527)/$E$508)</f>
        <v/>
      </c>
      <c r="I527" s="208">
        <f>EXP(SUMPRODUCT((rl_eff&lt;$B527)*(rl_key=$A$508)*rl_ln1p))</f>
        <v/>
      </c>
      <c r="J527" s="208">
        <f>EXP(SUMPRODUCT((rl_eff&lt;=$C527)*(rl_key=$A$508)*rl_ln1p))</f>
        <v/>
      </c>
      <c r="K527" s="201">
        <f>COUNTIFS(rl_key,$A$508,rl_eff,"&gt;="&amp;$B527,rl_eff,"&lt;="&amp;$C527)</f>
        <v/>
      </c>
      <c r="L527" s="201">
        <f>SUMIFS(rl_daysafter,rl_key,$A$508,rl_effmonth,$B527,rl_first,1)</f>
        <v/>
      </c>
      <c r="M527" s="209">
        <f>IF($K527=0,0,MIN(1,$L527/$D527))</f>
        <v/>
      </c>
      <c r="N527" s="208">
        <f>IF($K527=0,$J527,(1-$M527)*$I527+$M527*$J527)</f>
        <v/>
      </c>
      <c r="O527" s="209">
        <f>IF($F527&lt;$B$509,$E$509+$I$509*($F527-$A$509),IF($F527&lt;$C$509,$F$509+$J$509*($F527-$B$509),$G$509+$K$509*($F527-$C$509)))</f>
        <v/>
      </c>
      <c r="P527" s="208">
        <f>MIN(1,MAX(0,(nr_MEndPm1-$G527+0.5)/$C$508))-MIN(1,MAX(0,(nr_MStartPm1-1-$G527+0.5)/$C$508))</f>
        <v/>
      </c>
      <c r="Q527" s="208">
        <f>MIN(1,MAX(0,(nr_MEndP-$G527+0.5)/$C$508))-MIN(1,MAX(0,(nr_MStartP-1-$G527+0.5)/$C$508))</f>
        <v/>
      </c>
      <c r="R527" s="208">
        <f>MIN(1,MAX(0,(nr_MEndP1-$G527+0.5)/$C$508))-MIN(1,MAX(0,(nr_MStartP1-1-$G527+0.5)/$C$508))</f>
        <v/>
      </c>
      <c r="S527" s="208">
        <f>IF($L$508,$N527*IF($O$508=1,$O527/$F$508,1),"")</f>
        <v/>
      </c>
      <c r="T527" s="208">
        <f>IF(NOT($L$508),"",IF($G527&lt;nr_MStartP,$S527,$T515*(1+IF($G527&lt;nr_MStartP1,$M$508,$N$508))))</f>
        <v/>
      </c>
      <c r="U527" s="208">
        <f>IF($L$508,$T527,$N527)</f>
        <v/>
      </c>
    </row>
    <row r="528">
      <c r="A528" s="145" t="n">
        <v>18</v>
      </c>
      <c r="B528" s="204">
        <f>EDATE($B527,1)</f>
        <v/>
      </c>
      <c r="C528" s="205">
        <f>EOMONTH($B528,0)</f>
        <v/>
      </c>
      <c r="D528" s="201">
        <f>$C528-$B528+1</f>
        <v/>
      </c>
      <c r="E528" s="201">
        <f>MONTH($B528)</f>
        <v/>
      </c>
      <c r="F528" s="235">
        <f>($B528+$C528+1)/2</f>
        <v/>
      </c>
      <c r="G528" s="201">
        <f>YEAR($B528)*12+MONTH($B528)-1</f>
        <v/>
      </c>
      <c r="H528" s="207">
        <f>IF(OR(nr_SeasonOn="OFF",$D$508=0,$E$508=0),1,12*INDEX(se_block,$D$508,$E528)/$E$508)</f>
        <v/>
      </c>
      <c r="I528" s="208">
        <f>EXP(SUMPRODUCT((rl_eff&lt;$B528)*(rl_key=$A$508)*rl_ln1p))</f>
        <v/>
      </c>
      <c r="J528" s="208">
        <f>EXP(SUMPRODUCT((rl_eff&lt;=$C528)*(rl_key=$A$508)*rl_ln1p))</f>
        <v/>
      </c>
      <c r="K528" s="201">
        <f>COUNTIFS(rl_key,$A$508,rl_eff,"&gt;="&amp;$B528,rl_eff,"&lt;="&amp;$C528)</f>
        <v/>
      </c>
      <c r="L528" s="201">
        <f>SUMIFS(rl_daysafter,rl_key,$A$508,rl_effmonth,$B528,rl_first,1)</f>
        <v/>
      </c>
      <c r="M528" s="209">
        <f>IF($K528=0,0,MIN(1,$L528/$D528))</f>
        <v/>
      </c>
      <c r="N528" s="208">
        <f>IF($K528=0,$J528,(1-$M528)*$I528+$M528*$J528)</f>
        <v/>
      </c>
      <c r="O528" s="209">
        <f>IF($F528&lt;$B$509,$E$509+$I$509*($F528-$A$509),IF($F528&lt;$C$509,$F$509+$J$509*($F528-$B$509),$G$509+$K$509*($F528-$C$509)))</f>
        <v/>
      </c>
      <c r="P528" s="208">
        <f>MIN(1,MAX(0,(nr_MEndPm1-$G528+0.5)/$C$508))-MIN(1,MAX(0,(nr_MStartPm1-1-$G528+0.5)/$C$508))</f>
        <v/>
      </c>
      <c r="Q528" s="208">
        <f>MIN(1,MAX(0,(nr_MEndP-$G528+0.5)/$C$508))-MIN(1,MAX(0,(nr_MStartP-1-$G528+0.5)/$C$508))</f>
        <v/>
      </c>
      <c r="R528" s="208">
        <f>MIN(1,MAX(0,(nr_MEndP1-$G528+0.5)/$C$508))-MIN(1,MAX(0,(nr_MStartP1-1-$G528+0.5)/$C$508))</f>
        <v/>
      </c>
      <c r="S528" s="208">
        <f>IF($L$508,$N528*IF($O$508=1,$O528/$F$508,1),"")</f>
        <v/>
      </c>
      <c r="T528" s="208">
        <f>IF(NOT($L$508),"",IF($G528&lt;nr_MStartP,$S528,$T516*(1+IF($G528&lt;nr_MStartP1,$M$508,$N$508))))</f>
        <v/>
      </c>
      <c r="U528" s="208">
        <f>IF($L$508,$T528,$N528)</f>
        <v/>
      </c>
    </row>
    <row r="529">
      <c r="A529" s="145" t="n">
        <v>19</v>
      </c>
      <c r="B529" s="204">
        <f>EDATE($B528,1)</f>
        <v/>
      </c>
      <c r="C529" s="205">
        <f>EOMONTH($B529,0)</f>
        <v/>
      </c>
      <c r="D529" s="201">
        <f>$C529-$B529+1</f>
        <v/>
      </c>
      <c r="E529" s="201">
        <f>MONTH($B529)</f>
        <v/>
      </c>
      <c r="F529" s="235">
        <f>($B529+$C529+1)/2</f>
        <v/>
      </c>
      <c r="G529" s="201">
        <f>YEAR($B529)*12+MONTH($B529)-1</f>
        <v/>
      </c>
      <c r="H529" s="207">
        <f>IF(OR(nr_SeasonOn="OFF",$D$508=0,$E$508=0),1,12*INDEX(se_block,$D$508,$E529)/$E$508)</f>
        <v/>
      </c>
      <c r="I529" s="208">
        <f>EXP(SUMPRODUCT((rl_eff&lt;$B529)*(rl_key=$A$508)*rl_ln1p))</f>
        <v/>
      </c>
      <c r="J529" s="208">
        <f>EXP(SUMPRODUCT((rl_eff&lt;=$C529)*(rl_key=$A$508)*rl_ln1p))</f>
        <v/>
      </c>
      <c r="K529" s="201">
        <f>COUNTIFS(rl_key,$A$508,rl_eff,"&gt;="&amp;$B529,rl_eff,"&lt;="&amp;$C529)</f>
        <v/>
      </c>
      <c r="L529" s="201">
        <f>SUMIFS(rl_daysafter,rl_key,$A$508,rl_effmonth,$B529,rl_first,1)</f>
        <v/>
      </c>
      <c r="M529" s="209">
        <f>IF($K529=0,0,MIN(1,$L529/$D529))</f>
        <v/>
      </c>
      <c r="N529" s="208">
        <f>IF($K529=0,$J529,(1-$M529)*$I529+$M529*$J529)</f>
        <v/>
      </c>
      <c r="O529" s="209">
        <f>IF($F529&lt;$B$509,$E$509+$I$509*($F529-$A$509),IF($F529&lt;$C$509,$F$509+$J$509*($F529-$B$509),$G$509+$K$509*($F529-$C$509)))</f>
        <v/>
      </c>
      <c r="P529" s="208">
        <f>MIN(1,MAX(0,(nr_MEndPm1-$G529+0.5)/$C$508))-MIN(1,MAX(0,(nr_MStartPm1-1-$G529+0.5)/$C$508))</f>
        <v/>
      </c>
      <c r="Q529" s="208">
        <f>MIN(1,MAX(0,(nr_MEndP-$G529+0.5)/$C$508))-MIN(1,MAX(0,(nr_MStartP-1-$G529+0.5)/$C$508))</f>
        <v/>
      </c>
      <c r="R529" s="208">
        <f>MIN(1,MAX(0,(nr_MEndP1-$G529+0.5)/$C$508))-MIN(1,MAX(0,(nr_MStartP1-1-$G529+0.5)/$C$508))</f>
        <v/>
      </c>
      <c r="S529" s="208">
        <f>IF($L$508,$N529*IF($O$508=1,$O529/$F$508,1),"")</f>
        <v/>
      </c>
      <c r="T529" s="208">
        <f>IF(NOT($L$508),"",IF($G529&lt;nr_MStartP,$S529,$T517*(1+IF($G529&lt;nr_MStartP1,$M$508,$N$508))))</f>
        <v/>
      </c>
      <c r="U529" s="208">
        <f>IF($L$508,$T529,$N529)</f>
        <v/>
      </c>
    </row>
    <row r="530">
      <c r="A530" s="145" t="n">
        <v>20</v>
      </c>
      <c r="B530" s="204">
        <f>EDATE($B529,1)</f>
        <v/>
      </c>
      <c r="C530" s="205">
        <f>EOMONTH($B530,0)</f>
        <v/>
      </c>
      <c r="D530" s="201">
        <f>$C530-$B530+1</f>
        <v/>
      </c>
      <c r="E530" s="201">
        <f>MONTH($B530)</f>
        <v/>
      </c>
      <c r="F530" s="235">
        <f>($B530+$C530+1)/2</f>
        <v/>
      </c>
      <c r="G530" s="201">
        <f>YEAR($B530)*12+MONTH($B530)-1</f>
        <v/>
      </c>
      <c r="H530" s="207">
        <f>IF(OR(nr_SeasonOn="OFF",$D$508=0,$E$508=0),1,12*INDEX(se_block,$D$508,$E530)/$E$508)</f>
        <v/>
      </c>
      <c r="I530" s="208">
        <f>EXP(SUMPRODUCT((rl_eff&lt;$B530)*(rl_key=$A$508)*rl_ln1p))</f>
        <v/>
      </c>
      <c r="J530" s="208">
        <f>EXP(SUMPRODUCT((rl_eff&lt;=$C530)*(rl_key=$A$508)*rl_ln1p))</f>
        <v/>
      </c>
      <c r="K530" s="201">
        <f>COUNTIFS(rl_key,$A$508,rl_eff,"&gt;="&amp;$B530,rl_eff,"&lt;="&amp;$C530)</f>
        <v/>
      </c>
      <c r="L530" s="201">
        <f>SUMIFS(rl_daysafter,rl_key,$A$508,rl_effmonth,$B530,rl_first,1)</f>
        <v/>
      </c>
      <c r="M530" s="209">
        <f>IF($K530=0,0,MIN(1,$L530/$D530))</f>
        <v/>
      </c>
      <c r="N530" s="208">
        <f>IF($K530=0,$J530,(1-$M530)*$I530+$M530*$J530)</f>
        <v/>
      </c>
      <c r="O530" s="209">
        <f>IF($F530&lt;$B$509,$E$509+$I$509*($F530-$A$509),IF($F530&lt;$C$509,$F$509+$J$509*($F530-$B$509),$G$509+$K$509*($F530-$C$509)))</f>
        <v/>
      </c>
      <c r="P530" s="208">
        <f>MIN(1,MAX(0,(nr_MEndPm1-$G530+0.5)/$C$508))-MIN(1,MAX(0,(nr_MStartPm1-1-$G530+0.5)/$C$508))</f>
        <v/>
      </c>
      <c r="Q530" s="208">
        <f>MIN(1,MAX(0,(nr_MEndP-$G530+0.5)/$C$508))-MIN(1,MAX(0,(nr_MStartP-1-$G530+0.5)/$C$508))</f>
        <v/>
      </c>
      <c r="R530" s="208">
        <f>MIN(1,MAX(0,(nr_MEndP1-$G530+0.5)/$C$508))-MIN(1,MAX(0,(nr_MStartP1-1-$G530+0.5)/$C$508))</f>
        <v/>
      </c>
      <c r="S530" s="208">
        <f>IF($L$508,$N530*IF($O$508=1,$O530/$F$508,1),"")</f>
        <v/>
      </c>
      <c r="T530" s="208">
        <f>IF(NOT($L$508),"",IF($G530&lt;nr_MStartP,$S530,$T518*(1+IF($G530&lt;nr_MStartP1,$M$508,$N$508))))</f>
        <v/>
      </c>
      <c r="U530" s="208">
        <f>IF($L$508,$T530,$N530)</f>
        <v/>
      </c>
    </row>
    <row r="531">
      <c r="A531" s="145" t="n">
        <v>21</v>
      </c>
      <c r="B531" s="204">
        <f>EDATE($B530,1)</f>
        <v/>
      </c>
      <c r="C531" s="205">
        <f>EOMONTH($B531,0)</f>
        <v/>
      </c>
      <c r="D531" s="201">
        <f>$C531-$B531+1</f>
        <v/>
      </c>
      <c r="E531" s="201">
        <f>MONTH($B531)</f>
        <v/>
      </c>
      <c r="F531" s="235">
        <f>($B531+$C531+1)/2</f>
        <v/>
      </c>
      <c r="G531" s="201">
        <f>YEAR($B531)*12+MONTH($B531)-1</f>
        <v/>
      </c>
      <c r="H531" s="207">
        <f>IF(OR(nr_SeasonOn="OFF",$D$508=0,$E$508=0),1,12*INDEX(se_block,$D$508,$E531)/$E$508)</f>
        <v/>
      </c>
      <c r="I531" s="208">
        <f>EXP(SUMPRODUCT((rl_eff&lt;$B531)*(rl_key=$A$508)*rl_ln1p))</f>
        <v/>
      </c>
      <c r="J531" s="208">
        <f>EXP(SUMPRODUCT((rl_eff&lt;=$C531)*(rl_key=$A$508)*rl_ln1p))</f>
        <v/>
      </c>
      <c r="K531" s="201">
        <f>COUNTIFS(rl_key,$A$508,rl_eff,"&gt;="&amp;$B531,rl_eff,"&lt;="&amp;$C531)</f>
        <v/>
      </c>
      <c r="L531" s="201">
        <f>SUMIFS(rl_daysafter,rl_key,$A$508,rl_effmonth,$B531,rl_first,1)</f>
        <v/>
      </c>
      <c r="M531" s="209">
        <f>IF($K531=0,0,MIN(1,$L531/$D531))</f>
        <v/>
      </c>
      <c r="N531" s="208">
        <f>IF($K531=0,$J531,(1-$M531)*$I531+$M531*$J531)</f>
        <v/>
      </c>
      <c r="O531" s="209">
        <f>IF($F531&lt;$B$509,$E$509+$I$509*($F531-$A$509),IF($F531&lt;$C$509,$F$509+$J$509*($F531-$B$509),$G$509+$K$509*($F531-$C$509)))</f>
        <v/>
      </c>
      <c r="P531" s="208">
        <f>MIN(1,MAX(0,(nr_MEndPm1-$G531+0.5)/$C$508))-MIN(1,MAX(0,(nr_MStartPm1-1-$G531+0.5)/$C$508))</f>
        <v/>
      </c>
      <c r="Q531" s="208">
        <f>MIN(1,MAX(0,(nr_MEndP-$G531+0.5)/$C$508))-MIN(1,MAX(0,(nr_MStartP-1-$G531+0.5)/$C$508))</f>
        <v/>
      </c>
      <c r="R531" s="208">
        <f>MIN(1,MAX(0,(nr_MEndP1-$G531+0.5)/$C$508))-MIN(1,MAX(0,(nr_MStartP1-1-$G531+0.5)/$C$508))</f>
        <v/>
      </c>
      <c r="S531" s="208">
        <f>IF($L$508,$N531*IF($O$508=1,$O531/$F$508,1),"")</f>
        <v/>
      </c>
      <c r="T531" s="208">
        <f>IF(NOT($L$508),"",IF($G531&lt;nr_MStartP,$S531,$T519*(1+IF($G531&lt;nr_MStartP1,$M$508,$N$508))))</f>
        <v/>
      </c>
      <c r="U531" s="208">
        <f>IF($L$508,$T531,$N531)</f>
        <v/>
      </c>
    </row>
    <row r="532">
      <c r="A532" s="145" t="n">
        <v>22</v>
      </c>
      <c r="B532" s="204">
        <f>EDATE($B531,1)</f>
        <v/>
      </c>
      <c r="C532" s="205">
        <f>EOMONTH($B532,0)</f>
        <v/>
      </c>
      <c r="D532" s="201">
        <f>$C532-$B532+1</f>
        <v/>
      </c>
      <c r="E532" s="201">
        <f>MONTH($B532)</f>
        <v/>
      </c>
      <c r="F532" s="235">
        <f>($B532+$C532+1)/2</f>
        <v/>
      </c>
      <c r="G532" s="201">
        <f>YEAR($B532)*12+MONTH($B532)-1</f>
        <v/>
      </c>
      <c r="H532" s="207">
        <f>IF(OR(nr_SeasonOn="OFF",$D$508=0,$E$508=0),1,12*INDEX(se_block,$D$508,$E532)/$E$508)</f>
        <v/>
      </c>
      <c r="I532" s="208">
        <f>EXP(SUMPRODUCT((rl_eff&lt;$B532)*(rl_key=$A$508)*rl_ln1p))</f>
        <v/>
      </c>
      <c r="J532" s="208">
        <f>EXP(SUMPRODUCT((rl_eff&lt;=$C532)*(rl_key=$A$508)*rl_ln1p))</f>
        <v/>
      </c>
      <c r="K532" s="201">
        <f>COUNTIFS(rl_key,$A$508,rl_eff,"&gt;="&amp;$B532,rl_eff,"&lt;="&amp;$C532)</f>
        <v/>
      </c>
      <c r="L532" s="201">
        <f>SUMIFS(rl_daysafter,rl_key,$A$508,rl_effmonth,$B532,rl_first,1)</f>
        <v/>
      </c>
      <c r="M532" s="209">
        <f>IF($K532=0,0,MIN(1,$L532/$D532))</f>
        <v/>
      </c>
      <c r="N532" s="208">
        <f>IF($K532=0,$J532,(1-$M532)*$I532+$M532*$J532)</f>
        <v/>
      </c>
      <c r="O532" s="209">
        <f>IF($F532&lt;$B$509,$E$509+$I$509*($F532-$A$509),IF($F532&lt;$C$509,$F$509+$J$509*($F532-$B$509),$G$509+$K$509*($F532-$C$509)))</f>
        <v/>
      </c>
      <c r="P532" s="208">
        <f>MIN(1,MAX(0,(nr_MEndPm1-$G532+0.5)/$C$508))-MIN(1,MAX(0,(nr_MStartPm1-1-$G532+0.5)/$C$508))</f>
        <v/>
      </c>
      <c r="Q532" s="208">
        <f>MIN(1,MAX(0,(nr_MEndP-$G532+0.5)/$C$508))-MIN(1,MAX(0,(nr_MStartP-1-$G532+0.5)/$C$508))</f>
        <v/>
      </c>
      <c r="R532" s="208">
        <f>MIN(1,MAX(0,(nr_MEndP1-$G532+0.5)/$C$508))-MIN(1,MAX(0,(nr_MStartP1-1-$G532+0.5)/$C$508))</f>
        <v/>
      </c>
      <c r="S532" s="208">
        <f>IF($L$508,$N532*IF($O$508=1,$O532/$F$508,1),"")</f>
        <v/>
      </c>
      <c r="T532" s="208">
        <f>IF(NOT($L$508),"",IF($G532&lt;nr_MStartP,$S532,$T520*(1+IF($G532&lt;nr_MStartP1,$M$508,$N$508))))</f>
        <v/>
      </c>
      <c r="U532" s="208">
        <f>IF($L$508,$T532,$N532)</f>
        <v/>
      </c>
    </row>
    <row r="533">
      <c r="A533" s="145" t="n">
        <v>23</v>
      </c>
      <c r="B533" s="204">
        <f>EDATE($B532,1)</f>
        <v/>
      </c>
      <c r="C533" s="205">
        <f>EOMONTH($B533,0)</f>
        <v/>
      </c>
      <c r="D533" s="201">
        <f>$C533-$B533+1</f>
        <v/>
      </c>
      <c r="E533" s="201">
        <f>MONTH($B533)</f>
        <v/>
      </c>
      <c r="F533" s="235">
        <f>($B533+$C533+1)/2</f>
        <v/>
      </c>
      <c r="G533" s="201">
        <f>YEAR($B533)*12+MONTH($B533)-1</f>
        <v/>
      </c>
      <c r="H533" s="207">
        <f>IF(OR(nr_SeasonOn="OFF",$D$508=0,$E$508=0),1,12*INDEX(se_block,$D$508,$E533)/$E$508)</f>
        <v/>
      </c>
      <c r="I533" s="208">
        <f>EXP(SUMPRODUCT((rl_eff&lt;$B533)*(rl_key=$A$508)*rl_ln1p))</f>
        <v/>
      </c>
      <c r="J533" s="208">
        <f>EXP(SUMPRODUCT((rl_eff&lt;=$C533)*(rl_key=$A$508)*rl_ln1p))</f>
        <v/>
      </c>
      <c r="K533" s="201">
        <f>COUNTIFS(rl_key,$A$508,rl_eff,"&gt;="&amp;$B533,rl_eff,"&lt;="&amp;$C533)</f>
        <v/>
      </c>
      <c r="L533" s="201">
        <f>SUMIFS(rl_daysafter,rl_key,$A$508,rl_effmonth,$B533,rl_first,1)</f>
        <v/>
      </c>
      <c r="M533" s="209">
        <f>IF($K533=0,0,MIN(1,$L533/$D533))</f>
        <v/>
      </c>
      <c r="N533" s="208">
        <f>IF($K533=0,$J533,(1-$M533)*$I533+$M533*$J533)</f>
        <v/>
      </c>
      <c r="O533" s="209">
        <f>IF($F533&lt;$B$509,$E$509+$I$509*($F533-$A$509),IF($F533&lt;$C$509,$F$509+$J$509*($F533-$B$509),$G$509+$K$509*($F533-$C$509)))</f>
        <v/>
      </c>
      <c r="P533" s="208">
        <f>MIN(1,MAX(0,(nr_MEndPm1-$G533+0.5)/$C$508))-MIN(1,MAX(0,(nr_MStartPm1-1-$G533+0.5)/$C$508))</f>
        <v/>
      </c>
      <c r="Q533" s="208">
        <f>MIN(1,MAX(0,(nr_MEndP-$G533+0.5)/$C$508))-MIN(1,MAX(0,(nr_MStartP-1-$G533+0.5)/$C$508))</f>
        <v/>
      </c>
      <c r="R533" s="208">
        <f>MIN(1,MAX(0,(nr_MEndP1-$G533+0.5)/$C$508))-MIN(1,MAX(0,(nr_MStartP1-1-$G533+0.5)/$C$508))</f>
        <v/>
      </c>
      <c r="S533" s="208">
        <f>IF($L$508,$N533*IF($O$508=1,$O533/$F$508,1),"")</f>
        <v/>
      </c>
      <c r="T533" s="208">
        <f>IF(NOT($L$508),"",IF($G533&lt;nr_MStartP,$S533,$T521*(1+IF($G533&lt;nr_MStartP1,$M$508,$N$508))))</f>
        <v/>
      </c>
      <c r="U533" s="208">
        <f>IF($L$508,$T533,$N533)</f>
        <v/>
      </c>
    </row>
    <row r="534">
      <c r="A534" s="145" t="n">
        <v>24</v>
      </c>
      <c r="B534" s="204">
        <f>EDATE($B533,1)</f>
        <v/>
      </c>
      <c r="C534" s="205">
        <f>EOMONTH($B534,0)</f>
        <v/>
      </c>
      <c r="D534" s="201">
        <f>$C534-$B534+1</f>
        <v/>
      </c>
      <c r="E534" s="201">
        <f>MONTH($B534)</f>
        <v/>
      </c>
      <c r="F534" s="235">
        <f>($B534+$C534+1)/2</f>
        <v/>
      </c>
      <c r="G534" s="201">
        <f>YEAR($B534)*12+MONTH($B534)-1</f>
        <v/>
      </c>
      <c r="H534" s="207">
        <f>IF(OR(nr_SeasonOn="OFF",$D$508=0,$E$508=0),1,12*INDEX(se_block,$D$508,$E534)/$E$508)</f>
        <v/>
      </c>
      <c r="I534" s="208">
        <f>EXP(SUMPRODUCT((rl_eff&lt;$B534)*(rl_key=$A$508)*rl_ln1p))</f>
        <v/>
      </c>
      <c r="J534" s="208">
        <f>EXP(SUMPRODUCT((rl_eff&lt;=$C534)*(rl_key=$A$508)*rl_ln1p))</f>
        <v/>
      </c>
      <c r="K534" s="201">
        <f>COUNTIFS(rl_key,$A$508,rl_eff,"&gt;="&amp;$B534,rl_eff,"&lt;="&amp;$C534)</f>
        <v/>
      </c>
      <c r="L534" s="201">
        <f>SUMIFS(rl_daysafter,rl_key,$A$508,rl_effmonth,$B534,rl_first,1)</f>
        <v/>
      </c>
      <c r="M534" s="209">
        <f>IF($K534=0,0,MIN(1,$L534/$D534))</f>
        <v/>
      </c>
      <c r="N534" s="208">
        <f>IF($K534=0,$J534,(1-$M534)*$I534+$M534*$J534)</f>
        <v/>
      </c>
      <c r="O534" s="209">
        <f>IF($F534&lt;$B$509,$E$509+$I$509*($F534-$A$509),IF($F534&lt;$C$509,$F$509+$J$509*($F534-$B$509),$G$509+$K$509*($F534-$C$509)))</f>
        <v/>
      </c>
      <c r="P534" s="208">
        <f>MIN(1,MAX(0,(nr_MEndPm1-$G534+0.5)/$C$508))-MIN(1,MAX(0,(nr_MStartPm1-1-$G534+0.5)/$C$508))</f>
        <v/>
      </c>
      <c r="Q534" s="208">
        <f>MIN(1,MAX(0,(nr_MEndP-$G534+0.5)/$C$508))-MIN(1,MAX(0,(nr_MStartP-1-$G534+0.5)/$C$508))</f>
        <v/>
      </c>
      <c r="R534" s="208">
        <f>MIN(1,MAX(0,(nr_MEndP1-$G534+0.5)/$C$508))-MIN(1,MAX(0,(nr_MStartP1-1-$G534+0.5)/$C$508))</f>
        <v/>
      </c>
      <c r="S534" s="208">
        <f>IF($L$508,$N534*IF($O$508=1,$O534/$F$508,1),"")</f>
        <v/>
      </c>
      <c r="T534" s="208">
        <f>IF(NOT($L$508),"",IF($G534&lt;nr_MStartP,$S534,$T522*(1+IF($G534&lt;nr_MStartP1,$M$508,$N$508))))</f>
        <v/>
      </c>
      <c r="U534" s="208">
        <f>IF($L$508,$T534,$N534)</f>
        <v/>
      </c>
    </row>
    <row r="535">
      <c r="A535" s="145" t="n">
        <v>25</v>
      </c>
      <c r="B535" s="204">
        <f>EDATE($B534,1)</f>
        <v/>
      </c>
      <c r="C535" s="205">
        <f>EOMONTH($B535,0)</f>
        <v/>
      </c>
      <c r="D535" s="201">
        <f>$C535-$B535+1</f>
        <v/>
      </c>
      <c r="E535" s="201">
        <f>MONTH($B535)</f>
        <v/>
      </c>
      <c r="F535" s="235">
        <f>($B535+$C535+1)/2</f>
        <v/>
      </c>
      <c r="G535" s="201">
        <f>YEAR($B535)*12+MONTH($B535)-1</f>
        <v/>
      </c>
      <c r="H535" s="207">
        <f>IF(OR(nr_SeasonOn="OFF",$D$508=0,$E$508=0),1,12*INDEX(se_block,$D$508,$E535)/$E$508)</f>
        <v/>
      </c>
      <c r="I535" s="208">
        <f>EXP(SUMPRODUCT((rl_eff&lt;$B535)*(rl_key=$A$508)*rl_ln1p))</f>
        <v/>
      </c>
      <c r="J535" s="208">
        <f>EXP(SUMPRODUCT((rl_eff&lt;=$C535)*(rl_key=$A$508)*rl_ln1p))</f>
        <v/>
      </c>
      <c r="K535" s="201">
        <f>COUNTIFS(rl_key,$A$508,rl_eff,"&gt;="&amp;$B535,rl_eff,"&lt;="&amp;$C535)</f>
        <v/>
      </c>
      <c r="L535" s="201">
        <f>SUMIFS(rl_daysafter,rl_key,$A$508,rl_effmonth,$B535,rl_first,1)</f>
        <v/>
      </c>
      <c r="M535" s="209">
        <f>IF($K535=0,0,MIN(1,$L535/$D535))</f>
        <v/>
      </c>
      <c r="N535" s="208">
        <f>IF($K535=0,$J535,(1-$M535)*$I535+$M535*$J535)</f>
        <v/>
      </c>
      <c r="O535" s="209">
        <f>IF($F535&lt;$B$509,$E$509+$I$509*($F535-$A$509),IF($F535&lt;$C$509,$F$509+$J$509*($F535-$B$509),$G$509+$K$509*($F535-$C$509)))</f>
        <v/>
      </c>
      <c r="P535" s="208">
        <f>MIN(1,MAX(0,(nr_MEndPm1-$G535+0.5)/$C$508))-MIN(1,MAX(0,(nr_MStartPm1-1-$G535+0.5)/$C$508))</f>
        <v/>
      </c>
      <c r="Q535" s="208">
        <f>MIN(1,MAX(0,(nr_MEndP-$G535+0.5)/$C$508))-MIN(1,MAX(0,(nr_MStartP-1-$G535+0.5)/$C$508))</f>
        <v/>
      </c>
      <c r="R535" s="208">
        <f>MIN(1,MAX(0,(nr_MEndP1-$G535+0.5)/$C$508))-MIN(1,MAX(0,(nr_MStartP1-1-$G535+0.5)/$C$508))</f>
        <v/>
      </c>
      <c r="S535" s="208">
        <f>IF($L$508,$N535*IF($O$508=1,$O535/$F$508,1),"")</f>
        <v/>
      </c>
      <c r="T535" s="208">
        <f>IF(NOT($L$508),"",IF($G535&lt;nr_MStartP,$S535,$T523*(1+IF($G535&lt;nr_MStartP1,$M$508,$N$508))))</f>
        <v/>
      </c>
      <c r="U535" s="208">
        <f>IF($L$508,$T535,$N535)</f>
        <v/>
      </c>
    </row>
    <row r="536">
      <c r="A536" s="145" t="n">
        <v>26</v>
      </c>
      <c r="B536" s="204">
        <f>EDATE($B535,1)</f>
        <v/>
      </c>
      <c r="C536" s="205">
        <f>EOMONTH($B536,0)</f>
        <v/>
      </c>
      <c r="D536" s="201">
        <f>$C536-$B536+1</f>
        <v/>
      </c>
      <c r="E536" s="201">
        <f>MONTH($B536)</f>
        <v/>
      </c>
      <c r="F536" s="235">
        <f>($B536+$C536+1)/2</f>
        <v/>
      </c>
      <c r="G536" s="201">
        <f>YEAR($B536)*12+MONTH($B536)-1</f>
        <v/>
      </c>
      <c r="H536" s="207">
        <f>IF(OR(nr_SeasonOn="OFF",$D$508=0,$E$508=0),1,12*INDEX(se_block,$D$508,$E536)/$E$508)</f>
        <v/>
      </c>
      <c r="I536" s="208">
        <f>EXP(SUMPRODUCT((rl_eff&lt;$B536)*(rl_key=$A$508)*rl_ln1p))</f>
        <v/>
      </c>
      <c r="J536" s="208">
        <f>EXP(SUMPRODUCT((rl_eff&lt;=$C536)*(rl_key=$A$508)*rl_ln1p))</f>
        <v/>
      </c>
      <c r="K536" s="201">
        <f>COUNTIFS(rl_key,$A$508,rl_eff,"&gt;="&amp;$B536,rl_eff,"&lt;="&amp;$C536)</f>
        <v/>
      </c>
      <c r="L536" s="201">
        <f>SUMIFS(rl_daysafter,rl_key,$A$508,rl_effmonth,$B536,rl_first,1)</f>
        <v/>
      </c>
      <c r="M536" s="209">
        <f>IF($K536=0,0,MIN(1,$L536/$D536))</f>
        <v/>
      </c>
      <c r="N536" s="208">
        <f>IF($K536=0,$J536,(1-$M536)*$I536+$M536*$J536)</f>
        <v/>
      </c>
      <c r="O536" s="209">
        <f>IF($F536&lt;$B$509,$E$509+$I$509*($F536-$A$509),IF($F536&lt;$C$509,$F$509+$J$509*($F536-$B$509),$G$509+$K$509*($F536-$C$509)))</f>
        <v/>
      </c>
      <c r="P536" s="208">
        <f>MIN(1,MAX(0,(nr_MEndPm1-$G536+0.5)/$C$508))-MIN(1,MAX(0,(nr_MStartPm1-1-$G536+0.5)/$C$508))</f>
        <v/>
      </c>
      <c r="Q536" s="208">
        <f>MIN(1,MAX(0,(nr_MEndP-$G536+0.5)/$C$508))-MIN(1,MAX(0,(nr_MStartP-1-$G536+0.5)/$C$508))</f>
        <v/>
      </c>
      <c r="R536" s="208">
        <f>MIN(1,MAX(0,(nr_MEndP1-$G536+0.5)/$C$508))-MIN(1,MAX(0,(nr_MStartP1-1-$G536+0.5)/$C$508))</f>
        <v/>
      </c>
      <c r="S536" s="208">
        <f>IF($L$508,$N536*IF($O$508=1,$O536/$F$508,1),"")</f>
        <v/>
      </c>
      <c r="T536" s="208">
        <f>IF(NOT($L$508),"",IF($G536&lt;nr_MStartP,$S536,$T524*(1+IF($G536&lt;nr_MStartP1,$M$508,$N$508))))</f>
        <v/>
      </c>
      <c r="U536" s="208">
        <f>IF($L$508,$T536,$N536)</f>
        <v/>
      </c>
    </row>
    <row r="537">
      <c r="A537" s="145" t="n">
        <v>27</v>
      </c>
      <c r="B537" s="204">
        <f>EDATE($B536,1)</f>
        <v/>
      </c>
      <c r="C537" s="205">
        <f>EOMONTH($B537,0)</f>
        <v/>
      </c>
      <c r="D537" s="201">
        <f>$C537-$B537+1</f>
        <v/>
      </c>
      <c r="E537" s="201">
        <f>MONTH($B537)</f>
        <v/>
      </c>
      <c r="F537" s="235">
        <f>($B537+$C537+1)/2</f>
        <v/>
      </c>
      <c r="G537" s="201">
        <f>YEAR($B537)*12+MONTH($B537)-1</f>
        <v/>
      </c>
      <c r="H537" s="207">
        <f>IF(OR(nr_SeasonOn="OFF",$D$508=0,$E$508=0),1,12*INDEX(se_block,$D$508,$E537)/$E$508)</f>
        <v/>
      </c>
      <c r="I537" s="208">
        <f>EXP(SUMPRODUCT((rl_eff&lt;$B537)*(rl_key=$A$508)*rl_ln1p))</f>
        <v/>
      </c>
      <c r="J537" s="208">
        <f>EXP(SUMPRODUCT((rl_eff&lt;=$C537)*(rl_key=$A$508)*rl_ln1p))</f>
        <v/>
      </c>
      <c r="K537" s="201">
        <f>COUNTIFS(rl_key,$A$508,rl_eff,"&gt;="&amp;$B537,rl_eff,"&lt;="&amp;$C537)</f>
        <v/>
      </c>
      <c r="L537" s="201">
        <f>SUMIFS(rl_daysafter,rl_key,$A$508,rl_effmonth,$B537,rl_first,1)</f>
        <v/>
      </c>
      <c r="M537" s="209">
        <f>IF($K537=0,0,MIN(1,$L537/$D537))</f>
        <v/>
      </c>
      <c r="N537" s="208">
        <f>IF($K537=0,$J537,(1-$M537)*$I537+$M537*$J537)</f>
        <v/>
      </c>
      <c r="O537" s="209">
        <f>IF($F537&lt;$B$509,$E$509+$I$509*($F537-$A$509),IF($F537&lt;$C$509,$F$509+$J$509*($F537-$B$509),$G$509+$K$509*($F537-$C$509)))</f>
        <v/>
      </c>
      <c r="P537" s="208">
        <f>MIN(1,MAX(0,(nr_MEndPm1-$G537+0.5)/$C$508))-MIN(1,MAX(0,(nr_MStartPm1-1-$G537+0.5)/$C$508))</f>
        <v/>
      </c>
      <c r="Q537" s="208">
        <f>MIN(1,MAX(0,(nr_MEndP-$G537+0.5)/$C$508))-MIN(1,MAX(0,(nr_MStartP-1-$G537+0.5)/$C$508))</f>
        <v/>
      </c>
      <c r="R537" s="208">
        <f>MIN(1,MAX(0,(nr_MEndP1-$G537+0.5)/$C$508))-MIN(1,MAX(0,(nr_MStartP1-1-$G537+0.5)/$C$508))</f>
        <v/>
      </c>
      <c r="S537" s="208">
        <f>IF($L$508,$N537*IF($O$508=1,$O537/$F$508,1),"")</f>
        <v/>
      </c>
      <c r="T537" s="208">
        <f>IF(NOT($L$508),"",IF($G537&lt;nr_MStartP,$S537,$T525*(1+IF($G537&lt;nr_MStartP1,$M$508,$N$508))))</f>
        <v/>
      </c>
      <c r="U537" s="208">
        <f>IF($L$508,$T537,$N537)</f>
        <v/>
      </c>
    </row>
    <row r="538">
      <c r="A538" s="145" t="n">
        <v>28</v>
      </c>
      <c r="B538" s="204">
        <f>EDATE($B537,1)</f>
        <v/>
      </c>
      <c r="C538" s="205">
        <f>EOMONTH($B538,0)</f>
        <v/>
      </c>
      <c r="D538" s="201">
        <f>$C538-$B538+1</f>
        <v/>
      </c>
      <c r="E538" s="201">
        <f>MONTH($B538)</f>
        <v/>
      </c>
      <c r="F538" s="235">
        <f>($B538+$C538+1)/2</f>
        <v/>
      </c>
      <c r="G538" s="201">
        <f>YEAR($B538)*12+MONTH($B538)-1</f>
        <v/>
      </c>
      <c r="H538" s="207">
        <f>IF(OR(nr_SeasonOn="OFF",$D$508=0,$E$508=0),1,12*INDEX(se_block,$D$508,$E538)/$E$508)</f>
        <v/>
      </c>
      <c r="I538" s="208">
        <f>EXP(SUMPRODUCT((rl_eff&lt;$B538)*(rl_key=$A$508)*rl_ln1p))</f>
        <v/>
      </c>
      <c r="J538" s="208">
        <f>EXP(SUMPRODUCT((rl_eff&lt;=$C538)*(rl_key=$A$508)*rl_ln1p))</f>
        <v/>
      </c>
      <c r="K538" s="201">
        <f>COUNTIFS(rl_key,$A$508,rl_eff,"&gt;="&amp;$B538,rl_eff,"&lt;="&amp;$C538)</f>
        <v/>
      </c>
      <c r="L538" s="201">
        <f>SUMIFS(rl_daysafter,rl_key,$A$508,rl_effmonth,$B538,rl_first,1)</f>
        <v/>
      </c>
      <c r="M538" s="209">
        <f>IF($K538=0,0,MIN(1,$L538/$D538))</f>
        <v/>
      </c>
      <c r="N538" s="208">
        <f>IF($K538=0,$J538,(1-$M538)*$I538+$M538*$J538)</f>
        <v/>
      </c>
      <c r="O538" s="209">
        <f>IF($F538&lt;$B$509,$E$509+$I$509*($F538-$A$509),IF($F538&lt;$C$509,$F$509+$J$509*($F538-$B$509),$G$509+$K$509*($F538-$C$509)))</f>
        <v/>
      </c>
      <c r="P538" s="208">
        <f>MIN(1,MAX(0,(nr_MEndPm1-$G538+0.5)/$C$508))-MIN(1,MAX(0,(nr_MStartPm1-1-$G538+0.5)/$C$508))</f>
        <v/>
      </c>
      <c r="Q538" s="208">
        <f>MIN(1,MAX(0,(nr_MEndP-$G538+0.5)/$C$508))-MIN(1,MAX(0,(nr_MStartP-1-$G538+0.5)/$C$508))</f>
        <v/>
      </c>
      <c r="R538" s="208">
        <f>MIN(1,MAX(0,(nr_MEndP1-$G538+0.5)/$C$508))-MIN(1,MAX(0,(nr_MStartP1-1-$G538+0.5)/$C$508))</f>
        <v/>
      </c>
      <c r="S538" s="208">
        <f>IF($L$508,$N538*IF($O$508=1,$O538/$F$508,1),"")</f>
        <v/>
      </c>
      <c r="T538" s="208">
        <f>IF(NOT($L$508),"",IF($G538&lt;nr_MStartP,$S538,$T526*(1+IF($G538&lt;nr_MStartP1,$M$508,$N$508))))</f>
        <v/>
      </c>
      <c r="U538" s="208">
        <f>IF($L$508,$T538,$N538)</f>
        <v/>
      </c>
    </row>
    <row r="539">
      <c r="A539" s="145" t="n">
        <v>29</v>
      </c>
      <c r="B539" s="204">
        <f>EDATE($B538,1)</f>
        <v/>
      </c>
      <c r="C539" s="205">
        <f>EOMONTH($B539,0)</f>
        <v/>
      </c>
      <c r="D539" s="201">
        <f>$C539-$B539+1</f>
        <v/>
      </c>
      <c r="E539" s="201">
        <f>MONTH($B539)</f>
        <v/>
      </c>
      <c r="F539" s="235">
        <f>($B539+$C539+1)/2</f>
        <v/>
      </c>
      <c r="G539" s="201">
        <f>YEAR($B539)*12+MONTH($B539)-1</f>
        <v/>
      </c>
      <c r="H539" s="207">
        <f>IF(OR(nr_SeasonOn="OFF",$D$508=0,$E$508=0),1,12*INDEX(se_block,$D$508,$E539)/$E$508)</f>
        <v/>
      </c>
      <c r="I539" s="208">
        <f>EXP(SUMPRODUCT((rl_eff&lt;$B539)*(rl_key=$A$508)*rl_ln1p))</f>
        <v/>
      </c>
      <c r="J539" s="208">
        <f>EXP(SUMPRODUCT((rl_eff&lt;=$C539)*(rl_key=$A$508)*rl_ln1p))</f>
        <v/>
      </c>
      <c r="K539" s="201">
        <f>COUNTIFS(rl_key,$A$508,rl_eff,"&gt;="&amp;$B539,rl_eff,"&lt;="&amp;$C539)</f>
        <v/>
      </c>
      <c r="L539" s="201">
        <f>SUMIFS(rl_daysafter,rl_key,$A$508,rl_effmonth,$B539,rl_first,1)</f>
        <v/>
      </c>
      <c r="M539" s="209">
        <f>IF($K539=0,0,MIN(1,$L539/$D539))</f>
        <v/>
      </c>
      <c r="N539" s="208">
        <f>IF($K539=0,$J539,(1-$M539)*$I539+$M539*$J539)</f>
        <v/>
      </c>
      <c r="O539" s="209">
        <f>IF($F539&lt;$B$509,$E$509+$I$509*($F539-$A$509),IF($F539&lt;$C$509,$F$509+$J$509*($F539-$B$509),$G$509+$K$509*($F539-$C$509)))</f>
        <v/>
      </c>
      <c r="P539" s="208">
        <f>MIN(1,MAX(0,(nr_MEndPm1-$G539+0.5)/$C$508))-MIN(1,MAX(0,(nr_MStartPm1-1-$G539+0.5)/$C$508))</f>
        <v/>
      </c>
      <c r="Q539" s="208">
        <f>MIN(1,MAX(0,(nr_MEndP-$G539+0.5)/$C$508))-MIN(1,MAX(0,(nr_MStartP-1-$G539+0.5)/$C$508))</f>
        <v/>
      </c>
      <c r="R539" s="208">
        <f>MIN(1,MAX(0,(nr_MEndP1-$G539+0.5)/$C$508))-MIN(1,MAX(0,(nr_MStartP1-1-$G539+0.5)/$C$508))</f>
        <v/>
      </c>
      <c r="S539" s="208">
        <f>IF($L$508,$N539*IF($O$508=1,$O539/$F$508,1),"")</f>
        <v/>
      </c>
      <c r="T539" s="208">
        <f>IF(NOT($L$508),"",IF($G539&lt;nr_MStartP,$S539,$T527*(1+IF($G539&lt;nr_MStartP1,$M$508,$N$508))))</f>
        <v/>
      </c>
      <c r="U539" s="208">
        <f>IF($L$508,$T539,$N539)</f>
        <v/>
      </c>
    </row>
    <row r="540">
      <c r="A540" s="145" t="n">
        <v>30</v>
      </c>
      <c r="B540" s="204">
        <f>EDATE($B539,1)</f>
        <v/>
      </c>
      <c r="C540" s="205">
        <f>EOMONTH($B540,0)</f>
        <v/>
      </c>
      <c r="D540" s="201">
        <f>$C540-$B540+1</f>
        <v/>
      </c>
      <c r="E540" s="201">
        <f>MONTH($B540)</f>
        <v/>
      </c>
      <c r="F540" s="235">
        <f>($B540+$C540+1)/2</f>
        <v/>
      </c>
      <c r="G540" s="201">
        <f>YEAR($B540)*12+MONTH($B540)-1</f>
        <v/>
      </c>
      <c r="H540" s="207">
        <f>IF(OR(nr_SeasonOn="OFF",$D$508=0,$E$508=0),1,12*INDEX(se_block,$D$508,$E540)/$E$508)</f>
        <v/>
      </c>
      <c r="I540" s="208">
        <f>EXP(SUMPRODUCT((rl_eff&lt;$B540)*(rl_key=$A$508)*rl_ln1p))</f>
        <v/>
      </c>
      <c r="J540" s="208">
        <f>EXP(SUMPRODUCT((rl_eff&lt;=$C540)*(rl_key=$A$508)*rl_ln1p))</f>
        <v/>
      </c>
      <c r="K540" s="201">
        <f>COUNTIFS(rl_key,$A$508,rl_eff,"&gt;="&amp;$B540,rl_eff,"&lt;="&amp;$C540)</f>
        <v/>
      </c>
      <c r="L540" s="201">
        <f>SUMIFS(rl_daysafter,rl_key,$A$508,rl_effmonth,$B540,rl_first,1)</f>
        <v/>
      </c>
      <c r="M540" s="209">
        <f>IF($K540=0,0,MIN(1,$L540/$D540))</f>
        <v/>
      </c>
      <c r="N540" s="208">
        <f>IF($K540=0,$J540,(1-$M540)*$I540+$M540*$J540)</f>
        <v/>
      </c>
      <c r="O540" s="209">
        <f>IF($F540&lt;$B$509,$E$509+$I$509*($F540-$A$509),IF($F540&lt;$C$509,$F$509+$J$509*($F540-$B$509),$G$509+$K$509*($F540-$C$509)))</f>
        <v/>
      </c>
      <c r="P540" s="208">
        <f>MIN(1,MAX(0,(nr_MEndPm1-$G540+0.5)/$C$508))-MIN(1,MAX(0,(nr_MStartPm1-1-$G540+0.5)/$C$508))</f>
        <v/>
      </c>
      <c r="Q540" s="208">
        <f>MIN(1,MAX(0,(nr_MEndP-$G540+0.5)/$C$508))-MIN(1,MAX(0,(nr_MStartP-1-$G540+0.5)/$C$508))</f>
        <v/>
      </c>
      <c r="R540" s="208">
        <f>MIN(1,MAX(0,(nr_MEndP1-$G540+0.5)/$C$508))-MIN(1,MAX(0,(nr_MStartP1-1-$G540+0.5)/$C$508))</f>
        <v/>
      </c>
      <c r="S540" s="208">
        <f>IF($L$508,$N540*IF($O$508=1,$O540/$F$508,1),"")</f>
        <v/>
      </c>
      <c r="T540" s="208">
        <f>IF(NOT($L$508),"",IF($G540&lt;nr_MStartP,$S540,$T528*(1+IF($G540&lt;nr_MStartP1,$M$508,$N$508))))</f>
        <v/>
      </c>
      <c r="U540" s="208">
        <f>IF($L$508,$T540,$N540)</f>
        <v/>
      </c>
    </row>
    <row r="541">
      <c r="A541" s="145" t="n">
        <v>31</v>
      </c>
      <c r="B541" s="204">
        <f>EDATE($B540,1)</f>
        <v/>
      </c>
      <c r="C541" s="205">
        <f>EOMONTH($B541,0)</f>
        <v/>
      </c>
      <c r="D541" s="201">
        <f>$C541-$B541+1</f>
        <v/>
      </c>
      <c r="E541" s="201">
        <f>MONTH($B541)</f>
        <v/>
      </c>
      <c r="F541" s="235">
        <f>($B541+$C541+1)/2</f>
        <v/>
      </c>
      <c r="G541" s="201">
        <f>YEAR($B541)*12+MONTH($B541)-1</f>
        <v/>
      </c>
      <c r="H541" s="207">
        <f>IF(OR(nr_SeasonOn="OFF",$D$508=0,$E$508=0),1,12*INDEX(se_block,$D$508,$E541)/$E$508)</f>
        <v/>
      </c>
      <c r="I541" s="208">
        <f>EXP(SUMPRODUCT((rl_eff&lt;$B541)*(rl_key=$A$508)*rl_ln1p))</f>
        <v/>
      </c>
      <c r="J541" s="208">
        <f>EXP(SUMPRODUCT((rl_eff&lt;=$C541)*(rl_key=$A$508)*rl_ln1p))</f>
        <v/>
      </c>
      <c r="K541" s="201">
        <f>COUNTIFS(rl_key,$A$508,rl_eff,"&gt;="&amp;$B541,rl_eff,"&lt;="&amp;$C541)</f>
        <v/>
      </c>
      <c r="L541" s="201">
        <f>SUMIFS(rl_daysafter,rl_key,$A$508,rl_effmonth,$B541,rl_first,1)</f>
        <v/>
      </c>
      <c r="M541" s="209">
        <f>IF($K541=0,0,MIN(1,$L541/$D541))</f>
        <v/>
      </c>
      <c r="N541" s="208">
        <f>IF($K541=0,$J541,(1-$M541)*$I541+$M541*$J541)</f>
        <v/>
      </c>
      <c r="O541" s="209">
        <f>IF($F541&lt;$B$509,$E$509+$I$509*($F541-$A$509),IF($F541&lt;$C$509,$F$509+$J$509*($F541-$B$509),$G$509+$K$509*($F541-$C$509)))</f>
        <v/>
      </c>
      <c r="P541" s="208">
        <f>MIN(1,MAX(0,(nr_MEndPm1-$G541+0.5)/$C$508))-MIN(1,MAX(0,(nr_MStartPm1-1-$G541+0.5)/$C$508))</f>
        <v/>
      </c>
      <c r="Q541" s="208">
        <f>MIN(1,MAX(0,(nr_MEndP-$G541+0.5)/$C$508))-MIN(1,MAX(0,(nr_MStartP-1-$G541+0.5)/$C$508))</f>
        <v/>
      </c>
      <c r="R541" s="208">
        <f>MIN(1,MAX(0,(nr_MEndP1-$G541+0.5)/$C$508))-MIN(1,MAX(0,(nr_MStartP1-1-$G541+0.5)/$C$508))</f>
        <v/>
      </c>
      <c r="S541" s="208">
        <f>IF($L$508,$N541*IF($O$508=1,$O541/$F$508,1),"")</f>
        <v/>
      </c>
      <c r="T541" s="208">
        <f>IF(NOT($L$508),"",IF($G541&lt;nr_MStartP,$S541,$T529*(1+IF($G541&lt;nr_MStartP1,$M$508,$N$508))))</f>
        <v/>
      </c>
      <c r="U541" s="208">
        <f>IF($L$508,$T541,$N541)</f>
        <v/>
      </c>
    </row>
    <row r="542">
      <c r="A542" s="145" t="n">
        <v>32</v>
      </c>
      <c r="B542" s="204">
        <f>EDATE($B541,1)</f>
        <v/>
      </c>
      <c r="C542" s="205">
        <f>EOMONTH($B542,0)</f>
        <v/>
      </c>
      <c r="D542" s="201">
        <f>$C542-$B542+1</f>
        <v/>
      </c>
      <c r="E542" s="201">
        <f>MONTH($B542)</f>
        <v/>
      </c>
      <c r="F542" s="235">
        <f>($B542+$C542+1)/2</f>
        <v/>
      </c>
      <c r="G542" s="201">
        <f>YEAR($B542)*12+MONTH($B542)-1</f>
        <v/>
      </c>
      <c r="H542" s="207">
        <f>IF(OR(nr_SeasonOn="OFF",$D$508=0,$E$508=0),1,12*INDEX(se_block,$D$508,$E542)/$E$508)</f>
        <v/>
      </c>
      <c r="I542" s="208">
        <f>EXP(SUMPRODUCT((rl_eff&lt;$B542)*(rl_key=$A$508)*rl_ln1p))</f>
        <v/>
      </c>
      <c r="J542" s="208">
        <f>EXP(SUMPRODUCT((rl_eff&lt;=$C542)*(rl_key=$A$508)*rl_ln1p))</f>
        <v/>
      </c>
      <c r="K542" s="201">
        <f>COUNTIFS(rl_key,$A$508,rl_eff,"&gt;="&amp;$B542,rl_eff,"&lt;="&amp;$C542)</f>
        <v/>
      </c>
      <c r="L542" s="201">
        <f>SUMIFS(rl_daysafter,rl_key,$A$508,rl_effmonth,$B542,rl_first,1)</f>
        <v/>
      </c>
      <c r="M542" s="209">
        <f>IF($K542=0,0,MIN(1,$L542/$D542))</f>
        <v/>
      </c>
      <c r="N542" s="208">
        <f>IF($K542=0,$J542,(1-$M542)*$I542+$M542*$J542)</f>
        <v/>
      </c>
      <c r="O542" s="209">
        <f>IF($F542&lt;$B$509,$E$509+$I$509*($F542-$A$509),IF($F542&lt;$C$509,$F$509+$J$509*($F542-$B$509),$G$509+$K$509*($F542-$C$509)))</f>
        <v/>
      </c>
      <c r="P542" s="208">
        <f>MIN(1,MAX(0,(nr_MEndPm1-$G542+0.5)/$C$508))-MIN(1,MAX(0,(nr_MStartPm1-1-$G542+0.5)/$C$508))</f>
        <v/>
      </c>
      <c r="Q542" s="208">
        <f>MIN(1,MAX(0,(nr_MEndP-$G542+0.5)/$C$508))-MIN(1,MAX(0,(nr_MStartP-1-$G542+0.5)/$C$508))</f>
        <v/>
      </c>
      <c r="R542" s="208">
        <f>MIN(1,MAX(0,(nr_MEndP1-$G542+0.5)/$C$508))-MIN(1,MAX(0,(nr_MStartP1-1-$G542+0.5)/$C$508))</f>
        <v/>
      </c>
      <c r="S542" s="208">
        <f>IF($L$508,$N542*IF($O$508=1,$O542/$F$508,1),"")</f>
        <v/>
      </c>
      <c r="T542" s="208">
        <f>IF(NOT($L$508),"",IF($G542&lt;nr_MStartP,$S542,$T530*(1+IF($G542&lt;nr_MStartP1,$M$508,$N$508))))</f>
        <v/>
      </c>
      <c r="U542" s="208">
        <f>IF($L$508,$T542,$N542)</f>
        <v/>
      </c>
    </row>
    <row r="543">
      <c r="A543" s="145" t="n">
        <v>33</v>
      </c>
      <c r="B543" s="204">
        <f>EDATE($B542,1)</f>
        <v/>
      </c>
      <c r="C543" s="205">
        <f>EOMONTH($B543,0)</f>
        <v/>
      </c>
      <c r="D543" s="201">
        <f>$C543-$B543+1</f>
        <v/>
      </c>
      <c r="E543" s="201">
        <f>MONTH($B543)</f>
        <v/>
      </c>
      <c r="F543" s="235">
        <f>($B543+$C543+1)/2</f>
        <v/>
      </c>
      <c r="G543" s="201">
        <f>YEAR($B543)*12+MONTH($B543)-1</f>
        <v/>
      </c>
      <c r="H543" s="207">
        <f>IF(OR(nr_SeasonOn="OFF",$D$508=0,$E$508=0),1,12*INDEX(se_block,$D$508,$E543)/$E$508)</f>
        <v/>
      </c>
      <c r="I543" s="208">
        <f>EXP(SUMPRODUCT((rl_eff&lt;$B543)*(rl_key=$A$508)*rl_ln1p))</f>
        <v/>
      </c>
      <c r="J543" s="208">
        <f>EXP(SUMPRODUCT((rl_eff&lt;=$C543)*(rl_key=$A$508)*rl_ln1p))</f>
        <v/>
      </c>
      <c r="K543" s="201">
        <f>COUNTIFS(rl_key,$A$508,rl_eff,"&gt;="&amp;$B543,rl_eff,"&lt;="&amp;$C543)</f>
        <v/>
      </c>
      <c r="L543" s="201">
        <f>SUMIFS(rl_daysafter,rl_key,$A$508,rl_effmonth,$B543,rl_first,1)</f>
        <v/>
      </c>
      <c r="M543" s="209">
        <f>IF($K543=0,0,MIN(1,$L543/$D543))</f>
        <v/>
      </c>
      <c r="N543" s="208">
        <f>IF($K543=0,$J543,(1-$M543)*$I543+$M543*$J543)</f>
        <v/>
      </c>
      <c r="O543" s="209">
        <f>IF($F543&lt;$B$509,$E$509+$I$509*($F543-$A$509),IF($F543&lt;$C$509,$F$509+$J$509*($F543-$B$509),$G$509+$K$509*($F543-$C$509)))</f>
        <v/>
      </c>
      <c r="P543" s="208">
        <f>MIN(1,MAX(0,(nr_MEndPm1-$G543+0.5)/$C$508))-MIN(1,MAX(0,(nr_MStartPm1-1-$G543+0.5)/$C$508))</f>
        <v/>
      </c>
      <c r="Q543" s="208">
        <f>MIN(1,MAX(0,(nr_MEndP-$G543+0.5)/$C$508))-MIN(1,MAX(0,(nr_MStartP-1-$G543+0.5)/$C$508))</f>
        <v/>
      </c>
      <c r="R543" s="208">
        <f>MIN(1,MAX(0,(nr_MEndP1-$G543+0.5)/$C$508))-MIN(1,MAX(0,(nr_MStartP1-1-$G543+0.5)/$C$508))</f>
        <v/>
      </c>
      <c r="S543" s="208">
        <f>IF($L$508,$N543*IF($O$508=1,$O543/$F$508,1),"")</f>
        <v/>
      </c>
      <c r="T543" s="208">
        <f>IF(NOT($L$508),"",IF($G543&lt;nr_MStartP,$S543,$T531*(1+IF($G543&lt;nr_MStartP1,$M$508,$N$508))))</f>
        <v/>
      </c>
      <c r="U543" s="208">
        <f>IF($L$508,$T543,$N543)</f>
        <v/>
      </c>
    </row>
    <row r="544">
      <c r="A544" s="145" t="n">
        <v>34</v>
      </c>
      <c r="B544" s="204">
        <f>EDATE($B543,1)</f>
        <v/>
      </c>
      <c r="C544" s="205">
        <f>EOMONTH($B544,0)</f>
        <v/>
      </c>
      <c r="D544" s="201">
        <f>$C544-$B544+1</f>
        <v/>
      </c>
      <c r="E544" s="201">
        <f>MONTH($B544)</f>
        <v/>
      </c>
      <c r="F544" s="235">
        <f>($B544+$C544+1)/2</f>
        <v/>
      </c>
      <c r="G544" s="201">
        <f>YEAR($B544)*12+MONTH($B544)-1</f>
        <v/>
      </c>
      <c r="H544" s="207">
        <f>IF(OR(nr_SeasonOn="OFF",$D$508=0,$E$508=0),1,12*INDEX(se_block,$D$508,$E544)/$E$508)</f>
        <v/>
      </c>
      <c r="I544" s="208">
        <f>EXP(SUMPRODUCT((rl_eff&lt;$B544)*(rl_key=$A$508)*rl_ln1p))</f>
        <v/>
      </c>
      <c r="J544" s="208">
        <f>EXP(SUMPRODUCT((rl_eff&lt;=$C544)*(rl_key=$A$508)*rl_ln1p))</f>
        <v/>
      </c>
      <c r="K544" s="201">
        <f>COUNTIFS(rl_key,$A$508,rl_eff,"&gt;="&amp;$B544,rl_eff,"&lt;="&amp;$C544)</f>
        <v/>
      </c>
      <c r="L544" s="201">
        <f>SUMIFS(rl_daysafter,rl_key,$A$508,rl_effmonth,$B544,rl_first,1)</f>
        <v/>
      </c>
      <c r="M544" s="209">
        <f>IF($K544=0,0,MIN(1,$L544/$D544))</f>
        <v/>
      </c>
      <c r="N544" s="208">
        <f>IF($K544=0,$J544,(1-$M544)*$I544+$M544*$J544)</f>
        <v/>
      </c>
      <c r="O544" s="209">
        <f>IF($F544&lt;$B$509,$E$509+$I$509*($F544-$A$509),IF($F544&lt;$C$509,$F$509+$J$509*($F544-$B$509),$G$509+$K$509*($F544-$C$509)))</f>
        <v/>
      </c>
      <c r="P544" s="208">
        <f>MIN(1,MAX(0,(nr_MEndPm1-$G544+0.5)/$C$508))-MIN(1,MAX(0,(nr_MStartPm1-1-$G544+0.5)/$C$508))</f>
        <v/>
      </c>
      <c r="Q544" s="208">
        <f>MIN(1,MAX(0,(nr_MEndP-$G544+0.5)/$C$508))-MIN(1,MAX(0,(nr_MStartP-1-$G544+0.5)/$C$508))</f>
        <v/>
      </c>
      <c r="R544" s="208">
        <f>MIN(1,MAX(0,(nr_MEndP1-$G544+0.5)/$C$508))-MIN(1,MAX(0,(nr_MStartP1-1-$G544+0.5)/$C$508))</f>
        <v/>
      </c>
      <c r="S544" s="208">
        <f>IF($L$508,$N544*IF($O$508=1,$O544/$F$508,1),"")</f>
        <v/>
      </c>
      <c r="T544" s="208">
        <f>IF(NOT($L$508),"",IF($G544&lt;nr_MStartP,$S544,$T532*(1+IF($G544&lt;nr_MStartP1,$M$508,$N$508))))</f>
        <v/>
      </c>
      <c r="U544" s="208">
        <f>IF($L$508,$T544,$N544)</f>
        <v/>
      </c>
    </row>
    <row r="545">
      <c r="A545" s="145" t="n">
        <v>35</v>
      </c>
      <c r="B545" s="204">
        <f>EDATE($B544,1)</f>
        <v/>
      </c>
      <c r="C545" s="205">
        <f>EOMONTH($B545,0)</f>
        <v/>
      </c>
      <c r="D545" s="201">
        <f>$C545-$B545+1</f>
        <v/>
      </c>
      <c r="E545" s="201">
        <f>MONTH($B545)</f>
        <v/>
      </c>
      <c r="F545" s="235">
        <f>($B545+$C545+1)/2</f>
        <v/>
      </c>
      <c r="G545" s="201">
        <f>YEAR($B545)*12+MONTH($B545)-1</f>
        <v/>
      </c>
      <c r="H545" s="207">
        <f>IF(OR(nr_SeasonOn="OFF",$D$508=0,$E$508=0),1,12*INDEX(se_block,$D$508,$E545)/$E$508)</f>
        <v/>
      </c>
      <c r="I545" s="208">
        <f>EXP(SUMPRODUCT((rl_eff&lt;$B545)*(rl_key=$A$508)*rl_ln1p))</f>
        <v/>
      </c>
      <c r="J545" s="208">
        <f>EXP(SUMPRODUCT((rl_eff&lt;=$C545)*(rl_key=$A$508)*rl_ln1p))</f>
        <v/>
      </c>
      <c r="K545" s="201">
        <f>COUNTIFS(rl_key,$A$508,rl_eff,"&gt;="&amp;$B545,rl_eff,"&lt;="&amp;$C545)</f>
        <v/>
      </c>
      <c r="L545" s="201">
        <f>SUMIFS(rl_daysafter,rl_key,$A$508,rl_effmonth,$B545,rl_first,1)</f>
        <v/>
      </c>
      <c r="M545" s="209">
        <f>IF($K545=0,0,MIN(1,$L545/$D545))</f>
        <v/>
      </c>
      <c r="N545" s="208">
        <f>IF($K545=0,$J545,(1-$M545)*$I545+$M545*$J545)</f>
        <v/>
      </c>
      <c r="O545" s="209">
        <f>IF($F545&lt;$B$509,$E$509+$I$509*($F545-$A$509),IF($F545&lt;$C$509,$F$509+$J$509*($F545-$B$509),$G$509+$K$509*($F545-$C$509)))</f>
        <v/>
      </c>
      <c r="P545" s="208">
        <f>MIN(1,MAX(0,(nr_MEndPm1-$G545+0.5)/$C$508))-MIN(1,MAX(0,(nr_MStartPm1-1-$G545+0.5)/$C$508))</f>
        <v/>
      </c>
      <c r="Q545" s="208">
        <f>MIN(1,MAX(0,(nr_MEndP-$G545+0.5)/$C$508))-MIN(1,MAX(0,(nr_MStartP-1-$G545+0.5)/$C$508))</f>
        <v/>
      </c>
      <c r="R545" s="208">
        <f>MIN(1,MAX(0,(nr_MEndP1-$G545+0.5)/$C$508))-MIN(1,MAX(0,(nr_MStartP1-1-$G545+0.5)/$C$508))</f>
        <v/>
      </c>
      <c r="S545" s="208">
        <f>IF($L$508,$N545*IF($O$508=1,$O545/$F$508,1),"")</f>
        <v/>
      </c>
      <c r="T545" s="208">
        <f>IF(NOT($L$508),"",IF($G545&lt;nr_MStartP,$S545,$T533*(1+IF($G545&lt;nr_MStartP1,$M$508,$N$508))))</f>
        <v/>
      </c>
      <c r="U545" s="208">
        <f>IF($L$508,$T545,$N545)</f>
        <v/>
      </c>
    </row>
    <row r="546">
      <c r="A546" s="145" t="n">
        <v>36</v>
      </c>
      <c r="B546" s="204">
        <f>EDATE($B545,1)</f>
        <v/>
      </c>
      <c r="C546" s="205">
        <f>EOMONTH($B546,0)</f>
        <v/>
      </c>
      <c r="D546" s="201">
        <f>$C546-$B546+1</f>
        <v/>
      </c>
      <c r="E546" s="201">
        <f>MONTH($B546)</f>
        <v/>
      </c>
      <c r="F546" s="235">
        <f>($B546+$C546+1)/2</f>
        <v/>
      </c>
      <c r="G546" s="201">
        <f>YEAR($B546)*12+MONTH($B546)-1</f>
        <v/>
      </c>
      <c r="H546" s="207">
        <f>IF(OR(nr_SeasonOn="OFF",$D$508=0,$E$508=0),1,12*INDEX(se_block,$D$508,$E546)/$E$508)</f>
        <v/>
      </c>
      <c r="I546" s="208">
        <f>EXP(SUMPRODUCT((rl_eff&lt;$B546)*(rl_key=$A$508)*rl_ln1p))</f>
        <v/>
      </c>
      <c r="J546" s="208">
        <f>EXP(SUMPRODUCT((rl_eff&lt;=$C546)*(rl_key=$A$508)*rl_ln1p))</f>
        <v/>
      </c>
      <c r="K546" s="201">
        <f>COUNTIFS(rl_key,$A$508,rl_eff,"&gt;="&amp;$B546,rl_eff,"&lt;="&amp;$C546)</f>
        <v/>
      </c>
      <c r="L546" s="201">
        <f>SUMIFS(rl_daysafter,rl_key,$A$508,rl_effmonth,$B546,rl_first,1)</f>
        <v/>
      </c>
      <c r="M546" s="209">
        <f>IF($K546=0,0,MIN(1,$L546/$D546))</f>
        <v/>
      </c>
      <c r="N546" s="208">
        <f>IF($K546=0,$J546,(1-$M546)*$I546+$M546*$J546)</f>
        <v/>
      </c>
      <c r="O546" s="209">
        <f>IF($F546&lt;$B$509,$E$509+$I$509*($F546-$A$509),IF($F546&lt;$C$509,$F$509+$J$509*($F546-$B$509),$G$509+$K$509*($F546-$C$509)))</f>
        <v/>
      </c>
      <c r="P546" s="208">
        <f>MIN(1,MAX(0,(nr_MEndPm1-$G546+0.5)/$C$508))-MIN(1,MAX(0,(nr_MStartPm1-1-$G546+0.5)/$C$508))</f>
        <v/>
      </c>
      <c r="Q546" s="208">
        <f>MIN(1,MAX(0,(nr_MEndP-$G546+0.5)/$C$508))-MIN(1,MAX(0,(nr_MStartP-1-$G546+0.5)/$C$508))</f>
        <v/>
      </c>
      <c r="R546" s="208">
        <f>MIN(1,MAX(0,(nr_MEndP1-$G546+0.5)/$C$508))-MIN(1,MAX(0,(nr_MStartP1-1-$G546+0.5)/$C$508))</f>
        <v/>
      </c>
      <c r="S546" s="208">
        <f>IF($L$508,$N546*IF($O$508=1,$O546/$F$508,1),"")</f>
        <v/>
      </c>
      <c r="T546" s="208">
        <f>IF(NOT($L$508),"",IF($G546&lt;nr_MStartP,$S546,$T534*(1+IF($G546&lt;nr_MStartP1,$M$508,$N$508))))</f>
        <v/>
      </c>
      <c r="U546" s="208">
        <f>IF($L$508,$T546,$N546)</f>
        <v/>
      </c>
    </row>
    <row r="547">
      <c r="A547" s="145" t="n">
        <v>37</v>
      </c>
      <c r="B547" s="204">
        <f>EDATE($B546,1)</f>
        <v/>
      </c>
      <c r="C547" s="205">
        <f>EOMONTH($B547,0)</f>
        <v/>
      </c>
      <c r="D547" s="201">
        <f>$C547-$B547+1</f>
        <v/>
      </c>
      <c r="E547" s="201">
        <f>MONTH($B547)</f>
        <v/>
      </c>
      <c r="F547" s="235">
        <f>($B547+$C547+1)/2</f>
        <v/>
      </c>
      <c r="G547" s="201">
        <f>YEAR($B547)*12+MONTH($B547)-1</f>
        <v/>
      </c>
      <c r="H547" s="207">
        <f>IF(OR(nr_SeasonOn="OFF",$D$508=0,$E$508=0),1,12*INDEX(se_block,$D$508,$E547)/$E$508)</f>
        <v/>
      </c>
      <c r="I547" s="208">
        <f>EXP(SUMPRODUCT((rl_eff&lt;$B547)*(rl_key=$A$508)*rl_ln1p))</f>
        <v/>
      </c>
      <c r="J547" s="208">
        <f>EXP(SUMPRODUCT((rl_eff&lt;=$C547)*(rl_key=$A$508)*rl_ln1p))</f>
        <v/>
      </c>
      <c r="K547" s="201">
        <f>COUNTIFS(rl_key,$A$508,rl_eff,"&gt;="&amp;$B547,rl_eff,"&lt;="&amp;$C547)</f>
        <v/>
      </c>
      <c r="L547" s="201">
        <f>SUMIFS(rl_daysafter,rl_key,$A$508,rl_effmonth,$B547,rl_first,1)</f>
        <v/>
      </c>
      <c r="M547" s="209">
        <f>IF($K547=0,0,MIN(1,$L547/$D547))</f>
        <v/>
      </c>
      <c r="N547" s="208">
        <f>IF($K547=0,$J547,(1-$M547)*$I547+$M547*$J547)</f>
        <v/>
      </c>
      <c r="O547" s="209">
        <f>IF($F547&lt;$B$509,$E$509+$I$509*($F547-$A$509),IF($F547&lt;$C$509,$F$509+$J$509*($F547-$B$509),$G$509+$K$509*($F547-$C$509)))</f>
        <v/>
      </c>
      <c r="P547" s="208">
        <f>MIN(1,MAX(0,(nr_MEndPm1-$G547+0.5)/$C$508))-MIN(1,MAX(0,(nr_MStartPm1-1-$G547+0.5)/$C$508))</f>
        <v/>
      </c>
      <c r="Q547" s="208">
        <f>MIN(1,MAX(0,(nr_MEndP-$G547+0.5)/$C$508))-MIN(1,MAX(0,(nr_MStartP-1-$G547+0.5)/$C$508))</f>
        <v/>
      </c>
      <c r="R547" s="208">
        <f>MIN(1,MAX(0,(nr_MEndP1-$G547+0.5)/$C$508))-MIN(1,MAX(0,(nr_MStartP1-1-$G547+0.5)/$C$508))</f>
        <v/>
      </c>
      <c r="S547" s="208">
        <f>IF($L$508,$N547*IF($O$508=1,$O547/$F$508,1),"")</f>
        <v/>
      </c>
      <c r="T547" s="208">
        <f>IF(NOT($L$508),"",IF($G547&lt;nr_MStartP,$S547,$T535*(1+IF($G547&lt;nr_MStartP1,$M$508,$N$508))))</f>
        <v/>
      </c>
      <c r="U547" s="208">
        <f>IF($L$508,$T547,$N547)</f>
        <v/>
      </c>
    </row>
    <row r="548">
      <c r="A548" s="145" t="n">
        <v>38</v>
      </c>
      <c r="B548" s="204">
        <f>EDATE($B547,1)</f>
        <v/>
      </c>
      <c r="C548" s="205">
        <f>EOMONTH($B548,0)</f>
        <v/>
      </c>
      <c r="D548" s="201">
        <f>$C548-$B548+1</f>
        <v/>
      </c>
      <c r="E548" s="201">
        <f>MONTH($B548)</f>
        <v/>
      </c>
      <c r="F548" s="235">
        <f>($B548+$C548+1)/2</f>
        <v/>
      </c>
      <c r="G548" s="201">
        <f>YEAR($B548)*12+MONTH($B548)-1</f>
        <v/>
      </c>
      <c r="H548" s="207">
        <f>IF(OR(nr_SeasonOn="OFF",$D$508=0,$E$508=0),1,12*INDEX(se_block,$D$508,$E548)/$E$508)</f>
        <v/>
      </c>
      <c r="I548" s="208">
        <f>EXP(SUMPRODUCT((rl_eff&lt;$B548)*(rl_key=$A$508)*rl_ln1p))</f>
        <v/>
      </c>
      <c r="J548" s="208">
        <f>EXP(SUMPRODUCT((rl_eff&lt;=$C548)*(rl_key=$A$508)*rl_ln1p))</f>
        <v/>
      </c>
      <c r="K548" s="201">
        <f>COUNTIFS(rl_key,$A$508,rl_eff,"&gt;="&amp;$B548,rl_eff,"&lt;="&amp;$C548)</f>
        <v/>
      </c>
      <c r="L548" s="201">
        <f>SUMIFS(rl_daysafter,rl_key,$A$508,rl_effmonth,$B548,rl_first,1)</f>
        <v/>
      </c>
      <c r="M548" s="209">
        <f>IF($K548=0,0,MIN(1,$L548/$D548))</f>
        <v/>
      </c>
      <c r="N548" s="208">
        <f>IF($K548=0,$J548,(1-$M548)*$I548+$M548*$J548)</f>
        <v/>
      </c>
      <c r="O548" s="209">
        <f>IF($F548&lt;$B$509,$E$509+$I$509*($F548-$A$509),IF($F548&lt;$C$509,$F$509+$J$509*($F548-$B$509),$G$509+$K$509*($F548-$C$509)))</f>
        <v/>
      </c>
      <c r="P548" s="208">
        <f>MIN(1,MAX(0,(nr_MEndPm1-$G548+0.5)/$C$508))-MIN(1,MAX(0,(nr_MStartPm1-1-$G548+0.5)/$C$508))</f>
        <v/>
      </c>
      <c r="Q548" s="208">
        <f>MIN(1,MAX(0,(nr_MEndP-$G548+0.5)/$C$508))-MIN(1,MAX(0,(nr_MStartP-1-$G548+0.5)/$C$508))</f>
        <v/>
      </c>
      <c r="R548" s="208">
        <f>MIN(1,MAX(0,(nr_MEndP1-$G548+0.5)/$C$508))-MIN(1,MAX(0,(nr_MStartP1-1-$G548+0.5)/$C$508))</f>
        <v/>
      </c>
      <c r="S548" s="208">
        <f>IF($L$508,$N548*IF($O$508=1,$O548/$F$508,1),"")</f>
        <v/>
      </c>
      <c r="T548" s="208">
        <f>IF(NOT($L$508),"",IF($G548&lt;nr_MStartP,$S548,$T536*(1+IF($G548&lt;nr_MStartP1,$M$508,$N$508))))</f>
        <v/>
      </c>
      <c r="U548" s="208">
        <f>IF($L$508,$T548,$N548)</f>
        <v/>
      </c>
    </row>
    <row r="549">
      <c r="A549" s="145" t="n">
        <v>39</v>
      </c>
      <c r="B549" s="204">
        <f>EDATE($B548,1)</f>
        <v/>
      </c>
      <c r="C549" s="205">
        <f>EOMONTH($B549,0)</f>
        <v/>
      </c>
      <c r="D549" s="201">
        <f>$C549-$B549+1</f>
        <v/>
      </c>
      <c r="E549" s="201">
        <f>MONTH($B549)</f>
        <v/>
      </c>
      <c r="F549" s="235">
        <f>($B549+$C549+1)/2</f>
        <v/>
      </c>
      <c r="G549" s="201">
        <f>YEAR($B549)*12+MONTH($B549)-1</f>
        <v/>
      </c>
      <c r="H549" s="207">
        <f>IF(OR(nr_SeasonOn="OFF",$D$508=0,$E$508=0),1,12*INDEX(se_block,$D$508,$E549)/$E$508)</f>
        <v/>
      </c>
      <c r="I549" s="208">
        <f>EXP(SUMPRODUCT((rl_eff&lt;$B549)*(rl_key=$A$508)*rl_ln1p))</f>
        <v/>
      </c>
      <c r="J549" s="208">
        <f>EXP(SUMPRODUCT((rl_eff&lt;=$C549)*(rl_key=$A$508)*rl_ln1p))</f>
        <v/>
      </c>
      <c r="K549" s="201">
        <f>COUNTIFS(rl_key,$A$508,rl_eff,"&gt;="&amp;$B549,rl_eff,"&lt;="&amp;$C549)</f>
        <v/>
      </c>
      <c r="L549" s="201">
        <f>SUMIFS(rl_daysafter,rl_key,$A$508,rl_effmonth,$B549,rl_first,1)</f>
        <v/>
      </c>
      <c r="M549" s="209">
        <f>IF($K549=0,0,MIN(1,$L549/$D549))</f>
        <v/>
      </c>
      <c r="N549" s="208">
        <f>IF($K549=0,$J549,(1-$M549)*$I549+$M549*$J549)</f>
        <v/>
      </c>
      <c r="O549" s="209">
        <f>IF($F549&lt;$B$509,$E$509+$I$509*($F549-$A$509),IF($F549&lt;$C$509,$F$509+$J$509*($F549-$B$509),$G$509+$K$509*($F549-$C$509)))</f>
        <v/>
      </c>
      <c r="P549" s="208">
        <f>MIN(1,MAX(0,(nr_MEndPm1-$G549+0.5)/$C$508))-MIN(1,MAX(0,(nr_MStartPm1-1-$G549+0.5)/$C$508))</f>
        <v/>
      </c>
      <c r="Q549" s="208">
        <f>MIN(1,MAX(0,(nr_MEndP-$G549+0.5)/$C$508))-MIN(1,MAX(0,(nr_MStartP-1-$G549+0.5)/$C$508))</f>
        <v/>
      </c>
      <c r="R549" s="208">
        <f>MIN(1,MAX(0,(nr_MEndP1-$G549+0.5)/$C$508))-MIN(1,MAX(0,(nr_MStartP1-1-$G549+0.5)/$C$508))</f>
        <v/>
      </c>
      <c r="S549" s="208">
        <f>IF($L$508,$N549*IF($O$508=1,$O549/$F$508,1),"")</f>
        <v/>
      </c>
      <c r="T549" s="208">
        <f>IF(NOT($L$508),"",IF($G549&lt;nr_MStartP,$S549,$T537*(1+IF($G549&lt;nr_MStartP1,$M$508,$N$508))))</f>
        <v/>
      </c>
      <c r="U549" s="208">
        <f>IF($L$508,$T549,$N549)</f>
        <v/>
      </c>
    </row>
    <row r="550">
      <c r="A550" s="145" t="n">
        <v>40</v>
      </c>
      <c r="B550" s="204">
        <f>EDATE($B549,1)</f>
        <v/>
      </c>
      <c r="C550" s="205">
        <f>EOMONTH($B550,0)</f>
        <v/>
      </c>
      <c r="D550" s="201">
        <f>$C550-$B550+1</f>
        <v/>
      </c>
      <c r="E550" s="201">
        <f>MONTH($B550)</f>
        <v/>
      </c>
      <c r="F550" s="235">
        <f>($B550+$C550+1)/2</f>
        <v/>
      </c>
      <c r="G550" s="201">
        <f>YEAR($B550)*12+MONTH($B550)-1</f>
        <v/>
      </c>
      <c r="H550" s="207">
        <f>IF(OR(nr_SeasonOn="OFF",$D$508=0,$E$508=0),1,12*INDEX(se_block,$D$508,$E550)/$E$508)</f>
        <v/>
      </c>
      <c r="I550" s="208">
        <f>EXP(SUMPRODUCT((rl_eff&lt;$B550)*(rl_key=$A$508)*rl_ln1p))</f>
        <v/>
      </c>
      <c r="J550" s="208">
        <f>EXP(SUMPRODUCT((rl_eff&lt;=$C550)*(rl_key=$A$508)*rl_ln1p))</f>
        <v/>
      </c>
      <c r="K550" s="201">
        <f>COUNTIFS(rl_key,$A$508,rl_eff,"&gt;="&amp;$B550,rl_eff,"&lt;="&amp;$C550)</f>
        <v/>
      </c>
      <c r="L550" s="201">
        <f>SUMIFS(rl_daysafter,rl_key,$A$508,rl_effmonth,$B550,rl_first,1)</f>
        <v/>
      </c>
      <c r="M550" s="209">
        <f>IF($K550=0,0,MIN(1,$L550/$D550))</f>
        <v/>
      </c>
      <c r="N550" s="208">
        <f>IF($K550=0,$J550,(1-$M550)*$I550+$M550*$J550)</f>
        <v/>
      </c>
      <c r="O550" s="209">
        <f>IF($F550&lt;$B$509,$E$509+$I$509*($F550-$A$509),IF($F550&lt;$C$509,$F$509+$J$509*($F550-$B$509),$G$509+$K$509*($F550-$C$509)))</f>
        <v/>
      </c>
      <c r="P550" s="208">
        <f>MIN(1,MAX(0,(nr_MEndPm1-$G550+0.5)/$C$508))-MIN(1,MAX(0,(nr_MStartPm1-1-$G550+0.5)/$C$508))</f>
        <v/>
      </c>
      <c r="Q550" s="208">
        <f>MIN(1,MAX(0,(nr_MEndP-$G550+0.5)/$C$508))-MIN(1,MAX(0,(nr_MStartP-1-$G550+0.5)/$C$508))</f>
        <v/>
      </c>
      <c r="R550" s="208">
        <f>MIN(1,MAX(0,(nr_MEndP1-$G550+0.5)/$C$508))-MIN(1,MAX(0,(nr_MStartP1-1-$G550+0.5)/$C$508))</f>
        <v/>
      </c>
      <c r="S550" s="208">
        <f>IF($L$508,$N550*IF($O$508=1,$O550/$F$508,1),"")</f>
        <v/>
      </c>
      <c r="T550" s="208">
        <f>IF(NOT($L$508),"",IF($G550&lt;nr_MStartP,$S550,$T538*(1+IF($G550&lt;nr_MStartP1,$M$508,$N$508))))</f>
        <v/>
      </c>
      <c r="U550" s="208">
        <f>IF($L$508,$T550,$N550)</f>
        <v/>
      </c>
    </row>
    <row r="551">
      <c r="A551" s="145" t="n">
        <v>41</v>
      </c>
      <c r="B551" s="204">
        <f>EDATE($B550,1)</f>
        <v/>
      </c>
      <c r="C551" s="205">
        <f>EOMONTH($B551,0)</f>
        <v/>
      </c>
      <c r="D551" s="201">
        <f>$C551-$B551+1</f>
        <v/>
      </c>
      <c r="E551" s="201">
        <f>MONTH($B551)</f>
        <v/>
      </c>
      <c r="F551" s="235">
        <f>($B551+$C551+1)/2</f>
        <v/>
      </c>
      <c r="G551" s="201">
        <f>YEAR($B551)*12+MONTH($B551)-1</f>
        <v/>
      </c>
      <c r="H551" s="207">
        <f>IF(OR(nr_SeasonOn="OFF",$D$508=0,$E$508=0),1,12*INDEX(se_block,$D$508,$E551)/$E$508)</f>
        <v/>
      </c>
      <c r="I551" s="208">
        <f>EXP(SUMPRODUCT((rl_eff&lt;$B551)*(rl_key=$A$508)*rl_ln1p))</f>
        <v/>
      </c>
      <c r="J551" s="208">
        <f>EXP(SUMPRODUCT((rl_eff&lt;=$C551)*(rl_key=$A$508)*rl_ln1p))</f>
        <v/>
      </c>
      <c r="K551" s="201">
        <f>COUNTIFS(rl_key,$A$508,rl_eff,"&gt;="&amp;$B551,rl_eff,"&lt;="&amp;$C551)</f>
        <v/>
      </c>
      <c r="L551" s="201">
        <f>SUMIFS(rl_daysafter,rl_key,$A$508,rl_effmonth,$B551,rl_first,1)</f>
        <v/>
      </c>
      <c r="M551" s="209">
        <f>IF($K551=0,0,MIN(1,$L551/$D551))</f>
        <v/>
      </c>
      <c r="N551" s="208">
        <f>IF($K551=0,$J551,(1-$M551)*$I551+$M551*$J551)</f>
        <v/>
      </c>
      <c r="O551" s="209">
        <f>IF($F551&lt;$B$509,$E$509+$I$509*($F551-$A$509),IF($F551&lt;$C$509,$F$509+$J$509*($F551-$B$509),$G$509+$K$509*($F551-$C$509)))</f>
        <v/>
      </c>
      <c r="P551" s="208">
        <f>MIN(1,MAX(0,(nr_MEndPm1-$G551+0.5)/$C$508))-MIN(1,MAX(0,(nr_MStartPm1-1-$G551+0.5)/$C$508))</f>
        <v/>
      </c>
      <c r="Q551" s="208">
        <f>MIN(1,MAX(0,(nr_MEndP-$G551+0.5)/$C$508))-MIN(1,MAX(0,(nr_MStartP-1-$G551+0.5)/$C$508))</f>
        <v/>
      </c>
      <c r="R551" s="208">
        <f>MIN(1,MAX(0,(nr_MEndP1-$G551+0.5)/$C$508))-MIN(1,MAX(0,(nr_MStartP1-1-$G551+0.5)/$C$508))</f>
        <v/>
      </c>
      <c r="S551" s="208">
        <f>IF($L$508,$N551*IF($O$508=1,$O551/$F$508,1),"")</f>
        <v/>
      </c>
      <c r="T551" s="208">
        <f>IF(NOT($L$508),"",IF($G551&lt;nr_MStartP,$S551,$T539*(1+IF($G551&lt;nr_MStartP1,$M$508,$N$508))))</f>
        <v/>
      </c>
      <c r="U551" s="208">
        <f>IF($L$508,$T551,$N551)</f>
        <v/>
      </c>
    </row>
    <row r="552">
      <c r="A552" s="145" t="n">
        <v>42</v>
      </c>
      <c r="B552" s="204">
        <f>EDATE($B551,1)</f>
        <v/>
      </c>
      <c r="C552" s="205">
        <f>EOMONTH($B552,0)</f>
        <v/>
      </c>
      <c r="D552" s="201">
        <f>$C552-$B552+1</f>
        <v/>
      </c>
      <c r="E552" s="201">
        <f>MONTH($B552)</f>
        <v/>
      </c>
      <c r="F552" s="235">
        <f>($B552+$C552+1)/2</f>
        <v/>
      </c>
      <c r="G552" s="201">
        <f>YEAR($B552)*12+MONTH($B552)-1</f>
        <v/>
      </c>
      <c r="H552" s="207">
        <f>IF(OR(nr_SeasonOn="OFF",$D$508=0,$E$508=0),1,12*INDEX(se_block,$D$508,$E552)/$E$508)</f>
        <v/>
      </c>
      <c r="I552" s="208">
        <f>EXP(SUMPRODUCT((rl_eff&lt;$B552)*(rl_key=$A$508)*rl_ln1p))</f>
        <v/>
      </c>
      <c r="J552" s="208">
        <f>EXP(SUMPRODUCT((rl_eff&lt;=$C552)*(rl_key=$A$508)*rl_ln1p))</f>
        <v/>
      </c>
      <c r="K552" s="201">
        <f>COUNTIFS(rl_key,$A$508,rl_eff,"&gt;="&amp;$B552,rl_eff,"&lt;="&amp;$C552)</f>
        <v/>
      </c>
      <c r="L552" s="201">
        <f>SUMIFS(rl_daysafter,rl_key,$A$508,rl_effmonth,$B552,rl_first,1)</f>
        <v/>
      </c>
      <c r="M552" s="209">
        <f>IF($K552=0,0,MIN(1,$L552/$D552))</f>
        <v/>
      </c>
      <c r="N552" s="208">
        <f>IF($K552=0,$J552,(1-$M552)*$I552+$M552*$J552)</f>
        <v/>
      </c>
      <c r="O552" s="209">
        <f>IF($F552&lt;$B$509,$E$509+$I$509*($F552-$A$509),IF($F552&lt;$C$509,$F$509+$J$509*($F552-$B$509),$G$509+$K$509*($F552-$C$509)))</f>
        <v/>
      </c>
      <c r="P552" s="208">
        <f>MIN(1,MAX(0,(nr_MEndPm1-$G552+0.5)/$C$508))-MIN(1,MAX(0,(nr_MStartPm1-1-$G552+0.5)/$C$508))</f>
        <v/>
      </c>
      <c r="Q552" s="208">
        <f>MIN(1,MAX(0,(nr_MEndP-$G552+0.5)/$C$508))-MIN(1,MAX(0,(nr_MStartP-1-$G552+0.5)/$C$508))</f>
        <v/>
      </c>
      <c r="R552" s="208">
        <f>MIN(1,MAX(0,(nr_MEndP1-$G552+0.5)/$C$508))-MIN(1,MAX(0,(nr_MStartP1-1-$G552+0.5)/$C$508))</f>
        <v/>
      </c>
      <c r="S552" s="208">
        <f>IF($L$508,$N552*IF($O$508=1,$O552/$F$508,1),"")</f>
        <v/>
      </c>
      <c r="T552" s="208">
        <f>IF(NOT($L$508),"",IF($G552&lt;nr_MStartP,$S552,$T540*(1+IF($G552&lt;nr_MStartP1,$M$508,$N$508))))</f>
        <v/>
      </c>
      <c r="U552" s="208">
        <f>IF($L$508,$T552,$N552)</f>
        <v/>
      </c>
    </row>
    <row r="553">
      <c r="A553" s="145" t="n">
        <v>43</v>
      </c>
      <c r="B553" s="204">
        <f>EDATE($B552,1)</f>
        <v/>
      </c>
      <c r="C553" s="205">
        <f>EOMONTH($B553,0)</f>
        <v/>
      </c>
      <c r="D553" s="201">
        <f>$C553-$B553+1</f>
        <v/>
      </c>
      <c r="E553" s="201">
        <f>MONTH($B553)</f>
        <v/>
      </c>
      <c r="F553" s="235">
        <f>($B553+$C553+1)/2</f>
        <v/>
      </c>
      <c r="G553" s="201">
        <f>YEAR($B553)*12+MONTH($B553)-1</f>
        <v/>
      </c>
      <c r="H553" s="207">
        <f>IF(OR(nr_SeasonOn="OFF",$D$508=0,$E$508=0),1,12*INDEX(se_block,$D$508,$E553)/$E$508)</f>
        <v/>
      </c>
      <c r="I553" s="208">
        <f>EXP(SUMPRODUCT((rl_eff&lt;$B553)*(rl_key=$A$508)*rl_ln1p))</f>
        <v/>
      </c>
      <c r="J553" s="208">
        <f>EXP(SUMPRODUCT((rl_eff&lt;=$C553)*(rl_key=$A$508)*rl_ln1p))</f>
        <v/>
      </c>
      <c r="K553" s="201">
        <f>COUNTIFS(rl_key,$A$508,rl_eff,"&gt;="&amp;$B553,rl_eff,"&lt;="&amp;$C553)</f>
        <v/>
      </c>
      <c r="L553" s="201">
        <f>SUMIFS(rl_daysafter,rl_key,$A$508,rl_effmonth,$B553,rl_first,1)</f>
        <v/>
      </c>
      <c r="M553" s="209">
        <f>IF($K553=0,0,MIN(1,$L553/$D553))</f>
        <v/>
      </c>
      <c r="N553" s="208">
        <f>IF($K553=0,$J553,(1-$M553)*$I553+$M553*$J553)</f>
        <v/>
      </c>
      <c r="O553" s="209">
        <f>IF($F553&lt;$B$509,$E$509+$I$509*($F553-$A$509),IF($F553&lt;$C$509,$F$509+$J$509*($F553-$B$509),$G$509+$K$509*($F553-$C$509)))</f>
        <v/>
      </c>
      <c r="P553" s="208">
        <f>MIN(1,MAX(0,(nr_MEndPm1-$G553+0.5)/$C$508))-MIN(1,MAX(0,(nr_MStartPm1-1-$G553+0.5)/$C$508))</f>
        <v/>
      </c>
      <c r="Q553" s="208">
        <f>MIN(1,MAX(0,(nr_MEndP-$G553+0.5)/$C$508))-MIN(1,MAX(0,(nr_MStartP-1-$G553+0.5)/$C$508))</f>
        <v/>
      </c>
      <c r="R553" s="208">
        <f>MIN(1,MAX(0,(nr_MEndP1-$G553+0.5)/$C$508))-MIN(1,MAX(0,(nr_MStartP1-1-$G553+0.5)/$C$508))</f>
        <v/>
      </c>
      <c r="S553" s="208">
        <f>IF($L$508,$N553*IF($O$508=1,$O553/$F$508,1),"")</f>
        <v/>
      </c>
      <c r="T553" s="208">
        <f>IF(NOT($L$508),"",IF($G553&lt;nr_MStartP,$S553,$T541*(1+IF($G553&lt;nr_MStartP1,$M$508,$N$508))))</f>
        <v/>
      </c>
      <c r="U553" s="208">
        <f>IF($L$508,$T553,$N553)</f>
        <v/>
      </c>
    </row>
    <row r="554">
      <c r="A554" s="145" t="n">
        <v>44</v>
      </c>
      <c r="B554" s="204">
        <f>EDATE($B553,1)</f>
        <v/>
      </c>
      <c r="C554" s="205">
        <f>EOMONTH($B554,0)</f>
        <v/>
      </c>
      <c r="D554" s="201">
        <f>$C554-$B554+1</f>
        <v/>
      </c>
      <c r="E554" s="201">
        <f>MONTH($B554)</f>
        <v/>
      </c>
      <c r="F554" s="235">
        <f>($B554+$C554+1)/2</f>
        <v/>
      </c>
      <c r="G554" s="201">
        <f>YEAR($B554)*12+MONTH($B554)-1</f>
        <v/>
      </c>
      <c r="H554" s="207">
        <f>IF(OR(nr_SeasonOn="OFF",$D$508=0,$E$508=0),1,12*INDEX(se_block,$D$508,$E554)/$E$508)</f>
        <v/>
      </c>
      <c r="I554" s="208">
        <f>EXP(SUMPRODUCT((rl_eff&lt;$B554)*(rl_key=$A$508)*rl_ln1p))</f>
        <v/>
      </c>
      <c r="J554" s="208">
        <f>EXP(SUMPRODUCT((rl_eff&lt;=$C554)*(rl_key=$A$508)*rl_ln1p))</f>
        <v/>
      </c>
      <c r="K554" s="201">
        <f>COUNTIFS(rl_key,$A$508,rl_eff,"&gt;="&amp;$B554,rl_eff,"&lt;="&amp;$C554)</f>
        <v/>
      </c>
      <c r="L554" s="201">
        <f>SUMIFS(rl_daysafter,rl_key,$A$508,rl_effmonth,$B554,rl_first,1)</f>
        <v/>
      </c>
      <c r="M554" s="209">
        <f>IF($K554=0,0,MIN(1,$L554/$D554))</f>
        <v/>
      </c>
      <c r="N554" s="208">
        <f>IF($K554=0,$J554,(1-$M554)*$I554+$M554*$J554)</f>
        <v/>
      </c>
      <c r="O554" s="209">
        <f>IF($F554&lt;$B$509,$E$509+$I$509*($F554-$A$509),IF($F554&lt;$C$509,$F$509+$J$509*($F554-$B$509),$G$509+$K$509*($F554-$C$509)))</f>
        <v/>
      </c>
      <c r="P554" s="208">
        <f>MIN(1,MAX(0,(nr_MEndPm1-$G554+0.5)/$C$508))-MIN(1,MAX(0,(nr_MStartPm1-1-$G554+0.5)/$C$508))</f>
        <v/>
      </c>
      <c r="Q554" s="208">
        <f>MIN(1,MAX(0,(nr_MEndP-$G554+0.5)/$C$508))-MIN(1,MAX(0,(nr_MStartP-1-$G554+0.5)/$C$508))</f>
        <v/>
      </c>
      <c r="R554" s="208">
        <f>MIN(1,MAX(0,(nr_MEndP1-$G554+0.5)/$C$508))-MIN(1,MAX(0,(nr_MStartP1-1-$G554+0.5)/$C$508))</f>
        <v/>
      </c>
      <c r="S554" s="208">
        <f>IF($L$508,$N554*IF($O$508=1,$O554/$F$508,1),"")</f>
        <v/>
      </c>
      <c r="T554" s="208">
        <f>IF(NOT($L$508),"",IF($G554&lt;nr_MStartP,$S554,$T542*(1+IF($G554&lt;nr_MStartP1,$M$508,$N$508))))</f>
        <v/>
      </c>
      <c r="U554" s="208">
        <f>IF($L$508,$T554,$N554)</f>
        <v/>
      </c>
    </row>
    <row r="555">
      <c r="A555" s="145" t="n">
        <v>45</v>
      </c>
      <c r="B555" s="204">
        <f>EDATE($B554,1)</f>
        <v/>
      </c>
      <c r="C555" s="205">
        <f>EOMONTH($B555,0)</f>
        <v/>
      </c>
      <c r="D555" s="201">
        <f>$C555-$B555+1</f>
        <v/>
      </c>
      <c r="E555" s="201">
        <f>MONTH($B555)</f>
        <v/>
      </c>
      <c r="F555" s="235">
        <f>($B555+$C555+1)/2</f>
        <v/>
      </c>
      <c r="G555" s="201">
        <f>YEAR($B555)*12+MONTH($B555)-1</f>
        <v/>
      </c>
      <c r="H555" s="207">
        <f>IF(OR(nr_SeasonOn="OFF",$D$508=0,$E$508=0),1,12*INDEX(se_block,$D$508,$E555)/$E$508)</f>
        <v/>
      </c>
      <c r="I555" s="208">
        <f>EXP(SUMPRODUCT((rl_eff&lt;$B555)*(rl_key=$A$508)*rl_ln1p))</f>
        <v/>
      </c>
      <c r="J555" s="208">
        <f>EXP(SUMPRODUCT((rl_eff&lt;=$C555)*(rl_key=$A$508)*rl_ln1p))</f>
        <v/>
      </c>
      <c r="K555" s="201">
        <f>COUNTIFS(rl_key,$A$508,rl_eff,"&gt;="&amp;$B555,rl_eff,"&lt;="&amp;$C555)</f>
        <v/>
      </c>
      <c r="L555" s="201">
        <f>SUMIFS(rl_daysafter,rl_key,$A$508,rl_effmonth,$B555,rl_first,1)</f>
        <v/>
      </c>
      <c r="M555" s="209">
        <f>IF($K555=0,0,MIN(1,$L555/$D555))</f>
        <v/>
      </c>
      <c r="N555" s="208">
        <f>IF($K555=0,$J555,(1-$M555)*$I555+$M555*$J555)</f>
        <v/>
      </c>
      <c r="O555" s="209">
        <f>IF($F555&lt;$B$509,$E$509+$I$509*($F555-$A$509),IF($F555&lt;$C$509,$F$509+$J$509*($F555-$B$509),$G$509+$K$509*($F555-$C$509)))</f>
        <v/>
      </c>
      <c r="P555" s="208">
        <f>MIN(1,MAX(0,(nr_MEndPm1-$G555+0.5)/$C$508))-MIN(1,MAX(0,(nr_MStartPm1-1-$G555+0.5)/$C$508))</f>
        <v/>
      </c>
      <c r="Q555" s="208">
        <f>MIN(1,MAX(0,(nr_MEndP-$G555+0.5)/$C$508))-MIN(1,MAX(0,(nr_MStartP-1-$G555+0.5)/$C$508))</f>
        <v/>
      </c>
      <c r="R555" s="208">
        <f>MIN(1,MAX(0,(nr_MEndP1-$G555+0.5)/$C$508))-MIN(1,MAX(0,(nr_MStartP1-1-$G555+0.5)/$C$508))</f>
        <v/>
      </c>
      <c r="S555" s="208">
        <f>IF($L$508,$N555*IF($O$508=1,$O555/$F$508,1),"")</f>
        <v/>
      </c>
      <c r="T555" s="208">
        <f>IF(NOT($L$508),"",IF($G555&lt;nr_MStartP,$S555,$T543*(1+IF($G555&lt;nr_MStartP1,$M$508,$N$508))))</f>
        <v/>
      </c>
      <c r="U555" s="208">
        <f>IF($L$508,$T555,$N555)</f>
        <v/>
      </c>
    </row>
    <row r="556">
      <c r="A556" s="145" t="n">
        <v>46</v>
      </c>
      <c r="B556" s="204">
        <f>EDATE($B555,1)</f>
        <v/>
      </c>
      <c r="C556" s="205">
        <f>EOMONTH($B556,0)</f>
        <v/>
      </c>
      <c r="D556" s="201">
        <f>$C556-$B556+1</f>
        <v/>
      </c>
      <c r="E556" s="201">
        <f>MONTH($B556)</f>
        <v/>
      </c>
      <c r="F556" s="235">
        <f>($B556+$C556+1)/2</f>
        <v/>
      </c>
      <c r="G556" s="201">
        <f>YEAR($B556)*12+MONTH($B556)-1</f>
        <v/>
      </c>
      <c r="H556" s="207">
        <f>IF(OR(nr_SeasonOn="OFF",$D$508=0,$E$508=0),1,12*INDEX(se_block,$D$508,$E556)/$E$508)</f>
        <v/>
      </c>
      <c r="I556" s="208">
        <f>EXP(SUMPRODUCT((rl_eff&lt;$B556)*(rl_key=$A$508)*rl_ln1p))</f>
        <v/>
      </c>
      <c r="J556" s="208">
        <f>EXP(SUMPRODUCT((rl_eff&lt;=$C556)*(rl_key=$A$508)*rl_ln1p))</f>
        <v/>
      </c>
      <c r="K556" s="201">
        <f>COUNTIFS(rl_key,$A$508,rl_eff,"&gt;="&amp;$B556,rl_eff,"&lt;="&amp;$C556)</f>
        <v/>
      </c>
      <c r="L556" s="201">
        <f>SUMIFS(rl_daysafter,rl_key,$A$508,rl_effmonth,$B556,rl_first,1)</f>
        <v/>
      </c>
      <c r="M556" s="209">
        <f>IF($K556=0,0,MIN(1,$L556/$D556))</f>
        <v/>
      </c>
      <c r="N556" s="208">
        <f>IF($K556=0,$J556,(1-$M556)*$I556+$M556*$J556)</f>
        <v/>
      </c>
      <c r="O556" s="209">
        <f>IF($F556&lt;$B$509,$E$509+$I$509*($F556-$A$509),IF($F556&lt;$C$509,$F$509+$J$509*($F556-$B$509),$G$509+$K$509*($F556-$C$509)))</f>
        <v/>
      </c>
      <c r="P556" s="208">
        <f>MIN(1,MAX(0,(nr_MEndPm1-$G556+0.5)/$C$508))-MIN(1,MAX(0,(nr_MStartPm1-1-$G556+0.5)/$C$508))</f>
        <v/>
      </c>
      <c r="Q556" s="208">
        <f>MIN(1,MAX(0,(nr_MEndP-$G556+0.5)/$C$508))-MIN(1,MAX(0,(nr_MStartP-1-$G556+0.5)/$C$508))</f>
        <v/>
      </c>
      <c r="R556" s="208">
        <f>MIN(1,MAX(0,(nr_MEndP1-$G556+0.5)/$C$508))-MIN(1,MAX(0,(nr_MStartP1-1-$G556+0.5)/$C$508))</f>
        <v/>
      </c>
      <c r="S556" s="208">
        <f>IF($L$508,$N556*IF($O$508=1,$O556/$F$508,1),"")</f>
        <v/>
      </c>
      <c r="T556" s="208">
        <f>IF(NOT($L$508),"",IF($G556&lt;nr_MStartP,$S556,$T544*(1+IF($G556&lt;nr_MStartP1,$M$508,$N$508))))</f>
        <v/>
      </c>
      <c r="U556" s="208">
        <f>IF($L$508,$T556,$N556)</f>
        <v/>
      </c>
    </row>
    <row r="557">
      <c r="A557" s="145" t="n">
        <v>47</v>
      </c>
      <c r="B557" s="204">
        <f>EDATE($B556,1)</f>
        <v/>
      </c>
      <c r="C557" s="205">
        <f>EOMONTH($B557,0)</f>
        <v/>
      </c>
      <c r="D557" s="201">
        <f>$C557-$B557+1</f>
        <v/>
      </c>
      <c r="E557" s="201">
        <f>MONTH($B557)</f>
        <v/>
      </c>
      <c r="F557" s="235">
        <f>($B557+$C557+1)/2</f>
        <v/>
      </c>
      <c r="G557" s="201">
        <f>YEAR($B557)*12+MONTH($B557)-1</f>
        <v/>
      </c>
      <c r="H557" s="207">
        <f>IF(OR(nr_SeasonOn="OFF",$D$508=0,$E$508=0),1,12*INDEX(se_block,$D$508,$E557)/$E$508)</f>
        <v/>
      </c>
      <c r="I557" s="208">
        <f>EXP(SUMPRODUCT((rl_eff&lt;$B557)*(rl_key=$A$508)*rl_ln1p))</f>
        <v/>
      </c>
      <c r="J557" s="208">
        <f>EXP(SUMPRODUCT((rl_eff&lt;=$C557)*(rl_key=$A$508)*rl_ln1p))</f>
        <v/>
      </c>
      <c r="K557" s="201">
        <f>COUNTIFS(rl_key,$A$508,rl_eff,"&gt;="&amp;$B557,rl_eff,"&lt;="&amp;$C557)</f>
        <v/>
      </c>
      <c r="L557" s="201">
        <f>SUMIFS(rl_daysafter,rl_key,$A$508,rl_effmonth,$B557,rl_first,1)</f>
        <v/>
      </c>
      <c r="M557" s="209">
        <f>IF($K557=0,0,MIN(1,$L557/$D557))</f>
        <v/>
      </c>
      <c r="N557" s="208">
        <f>IF($K557=0,$J557,(1-$M557)*$I557+$M557*$J557)</f>
        <v/>
      </c>
      <c r="O557" s="209">
        <f>IF($F557&lt;$B$509,$E$509+$I$509*($F557-$A$509),IF($F557&lt;$C$509,$F$509+$J$509*($F557-$B$509),$G$509+$K$509*($F557-$C$509)))</f>
        <v/>
      </c>
      <c r="P557" s="208">
        <f>MIN(1,MAX(0,(nr_MEndPm1-$G557+0.5)/$C$508))-MIN(1,MAX(0,(nr_MStartPm1-1-$G557+0.5)/$C$508))</f>
        <v/>
      </c>
      <c r="Q557" s="208">
        <f>MIN(1,MAX(0,(nr_MEndP-$G557+0.5)/$C$508))-MIN(1,MAX(0,(nr_MStartP-1-$G557+0.5)/$C$508))</f>
        <v/>
      </c>
      <c r="R557" s="208">
        <f>MIN(1,MAX(0,(nr_MEndP1-$G557+0.5)/$C$508))-MIN(1,MAX(0,(nr_MStartP1-1-$G557+0.5)/$C$508))</f>
        <v/>
      </c>
      <c r="S557" s="208">
        <f>IF($L$508,$N557*IF($O$508=1,$O557/$F$508,1),"")</f>
        <v/>
      </c>
      <c r="T557" s="208">
        <f>IF(NOT($L$508),"",IF($G557&lt;nr_MStartP,$S557,$T545*(1+IF($G557&lt;nr_MStartP1,$M$508,$N$508))))</f>
        <v/>
      </c>
      <c r="U557" s="208">
        <f>IF($L$508,$T557,$N557)</f>
        <v/>
      </c>
    </row>
    <row r="558">
      <c r="A558" s="145" t="n">
        <v>48</v>
      </c>
      <c r="B558" s="204">
        <f>EDATE($B557,1)</f>
        <v/>
      </c>
      <c r="C558" s="205">
        <f>EOMONTH($B558,0)</f>
        <v/>
      </c>
      <c r="D558" s="201">
        <f>$C558-$B558+1</f>
        <v/>
      </c>
      <c r="E558" s="201">
        <f>MONTH($B558)</f>
        <v/>
      </c>
      <c r="F558" s="235">
        <f>($B558+$C558+1)/2</f>
        <v/>
      </c>
      <c r="G558" s="201">
        <f>YEAR($B558)*12+MONTH($B558)-1</f>
        <v/>
      </c>
      <c r="H558" s="207">
        <f>IF(OR(nr_SeasonOn="OFF",$D$508=0,$E$508=0),1,12*INDEX(se_block,$D$508,$E558)/$E$508)</f>
        <v/>
      </c>
      <c r="I558" s="208">
        <f>EXP(SUMPRODUCT((rl_eff&lt;$B558)*(rl_key=$A$508)*rl_ln1p))</f>
        <v/>
      </c>
      <c r="J558" s="208">
        <f>EXP(SUMPRODUCT((rl_eff&lt;=$C558)*(rl_key=$A$508)*rl_ln1p))</f>
        <v/>
      </c>
      <c r="K558" s="201">
        <f>COUNTIFS(rl_key,$A$508,rl_eff,"&gt;="&amp;$B558,rl_eff,"&lt;="&amp;$C558)</f>
        <v/>
      </c>
      <c r="L558" s="201">
        <f>SUMIFS(rl_daysafter,rl_key,$A$508,rl_effmonth,$B558,rl_first,1)</f>
        <v/>
      </c>
      <c r="M558" s="209">
        <f>IF($K558=0,0,MIN(1,$L558/$D558))</f>
        <v/>
      </c>
      <c r="N558" s="208">
        <f>IF($K558=0,$J558,(1-$M558)*$I558+$M558*$J558)</f>
        <v/>
      </c>
      <c r="O558" s="209">
        <f>IF($F558&lt;$B$509,$E$509+$I$509*($F558-$A$509),IF($F558&lt;$C$509,$F$509+$J$509*($F558-$B$509),$G$509+$K$509*($F558-$C$509)))</f>
        <v/>
      </c>
      <c r="P558" s="208">
        <f>MIN(1,MAX(0,(nr_MEndPm1-$G558+0.5)/$C$508))-MIN(1,MAX(0,(nr_MStartPm1-1-$G558+0.5)/$C$508))</f>
        <v/>
      </c>
      <c r="Q558" s="208">
        <f>MIN(1,MAX(0,(nr_MEndP-$G558+0.5)/$C$508))-MIN(1,MAX(0,(nr_MStartP-1-$G558+0.5)/$C$508))</f>
        <v/>
      </c>
      <c r="R558" s="208">
        <f>MIN(1,MAX(0,(nr_MEndP1-$G558+0.5)/$C$508))-MIN(1,MAX(0,(nr_MStartP1-1-$G558+0.5)/$C$508))</f>
        <v/>
      </c>
      <c r="S558" s="208">
        <f>IF($L$508,$N558*IF($O$508=1,$O558/$F$508,1),"")</f>
        <v/>
      </c>
      <c r="T558" s="208">
        <f>IF(NOT($L$508),"",IF($G558&lt;nr_MStartP,$S558,$T546*(1+IF($G558&lt;nr_MStartP1,$M$508,$N$508))))</f>
        <v/>
      </c>
      <c r="U558" s="208">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184">
        <f>SUMPRODUCT($H$511:$H$558,$Q$511:$Q$558,$O$511:$O$558)/SUMPRODUCT($H$511:$H$558,$Q$511:$Q$558)</f>
        <v/>
      </c>
      <c r="G559" s="184">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184">
        <f>IF(N(INDEX(lr_mind,10))=0,1,INDEX(lr_mind,10))</f>
        <v/>
      </c>
      <c r="G562" s="184">
        <f>IF(N(INDEX(lr_m0,10))=0,1,INDEX(lr_m0,10))</f>
        <v/>
      </c>
      <c r="H562" s="73">
        <f>IF(N(INDEX(lr_m0asof,10))=0,DATE(nr_PlanYear-1,10,1),INDEX(lr_m0asof,10))</f>
        <v/>
      </c>
      <c r="I562" s="184">
        <f>IF(N(INDEX(lr_m1,10))=0,1,INDEX(lr_m1,10))</f>
        <v/>
      </c>
      <c r="J562" s="184">
        <f>INDEX(lr_mprior,10)</f>
        <v/>
      </c>
      <c r="K562" s="184">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145" t="n">
        <v>1</v>
      </c>
      <c r="B565" s="204">
        <f>DATE(nr_PlanYear-2,1,1)</f>
        <v/>
      </c>
      <c r="C565" s="205">
        <f>EOMONTH($B565,0)</f>
        <v/>
      </c>
      <c r="D565" s="201">
        <f>$C565-$B565+1</f>
        <v/>
      </c>
      <c r="E565" s="201">
        <f>MONTH($B565)</f>
        <v/>
      </c>
      <c r="F565" s="235">
        <f>($B565+$C565+1)/2</f>
        <v/>
      </c>
      <c r="G565" s="201">
        <f>YEAR($B565)*12+MONTH($B565)-1</f>
        <v/>
      </c>
      <c r="H565" s="207">
        <f>IF(OR(nr_SeasonOn="OFF",$D$562=0,$E$562=0),1,12*INDEX(se_block,$D$562,$E565)/$E$562)</f>
        <v/>
      </c>
      <c r="I565" s="208">
        <f>EXP(SUMPRODUCT((rl_eff&lt;$B565)*(rl_key=$A$562)*rl_ln1p))</f>
        <v/>
      </c>
      <c r="J565" s="208">
        <f>EXP(SUMPRODUCT((rl_eff&lt;=$C565)*(rl_key=$A$562)*rl_ln1p))</f>
        <v/>
      </c>
      <c r="K565" s="201">
        <f>COUNTIFS(rl_key,$A$562,rl_eff,"&gt;="&amp;$B565,rl_eff,"&lt;="&amp;$C565)</f>
        <v/>
      </c>
      <c r="L565" s="201">
        <f>SUMIFS(rl_daysafter,rl_key,$A$562,rl_effmonth,$B565,rl_first,1)</f>
        <v/>
      </c>
      <c r="M565" s="209">
        <f>IF($K565=0,0,MIN(1,$L565/$D565))</f>
        <v/>
      </c>
      <c r="N565" s="208">
        <f>IF($K565=0,$J565,(1-$M565)*$I565+$M565*$J565)</f>
        <v/>
      </c>
      <c r="O565" s="209">
        <f>IF($F565&lt;$B$563,$E$563+$I$563*($F565-$A$563),IF($F565&lt;$C$563,$F$563+$J$563*($F565-$B$563),$G$563+$K$563*($F565-$C$563)))</f>
        <v/>
      </c>
      <c r="P565" s="208">
        <f>MIN(1,MAX(0,(nr_MEndPm1-$G565+0.5)/$C$562))-MIN(1,MAX(0,(nr_MStartPm1-1-$G565+0.5)/$C$562))</f>
        <v/>
      </c>
      <c r="Q565" s="208">
        <f>MIN(1,MAX(0,(nr_MEndP-$G565+0.5)/$C$562))-MIN(1,MAX(0,(nr_MStartP-1-$G565+0.5)/$C$562))</f>
        <v/>
      </c>
      <c r="R565" s="208">
        <f>MIN(1,MAX(0,(nr_MEndP1-$G565+0.5)/$C$562))-MIN(1,MAX(0,(nr_MStartP1-1-$G565+0.5)/$C$562))</f>
        <v/>
      </c>
      <c r="S565" s="208">
        <f>IF($L$562,$N565*IF($O$562=1,$O565/$F$562,1),"")</f>
        <v/>
      </c>
      <c r="T565" s="208">
        <f>IF(NOT($L$562),"",IF($G565&lt;nr_MStartP,$S565,$T553*(1+IF($G565&lt;nr_MStartP1,$M$562,$N$562))))</f>
        <v/>
      </c>
      <c r="U565" s="208">
        <f>IF($L$562,$T565,$N565)</f>
        <v/>
      </c>
    </row>
    <row r="566">
      <c r="A566" s="145" t="n">
        <v>2</v>
      </c>
      <c r="B566" s="204">
        <f>EDATE($B565,1)</f>
        <v/>
      </c>
      <c r="C566" s="205">
        <f>EOMONTH($B566,0)</f>
        <v/>
      </c>
      <c r="D566" s="201">
        <f>$C566-$B566+1</f>
        <v/>
      </c>
      <c r="E566" s="201">
        <f>MONTH($B566)</f>
        <v/>
      </c>
      <c r="F566" s="235">
        <f>($B566+$C566+1)/2</f>
        <v/>
      </c>
      <c r="G566" s="201">
        <f>YEAR($B566)*12+MONTH($B566)-1</f>
        <v/>
      </c>
      <c r="H566" s="207">
        <f>IF(OR(nr_SeasonOn="OFF",$D$562=0,$E$562=0),1,12*INDEX(se_block,$D$562,$E566)/$E$562)</f>
        <v/>
      </c>
      <c r="I566" s="208">
        <f>EXP(SUMPRODUCT((rl_eff&lt;$B566)*(rl_key=$A$562)*rl_ln1p))</f>
        <v/>
      </c>
      <c r="J566" s="208">
        <f>EXP(SUMPRODUCT((rl_eff&lt;=$C566)*(rl_key=$A$562)*rl_ln1p))</f>
        <v/>
      </c>
      <c r="K566" s="201">
        <f>COUNTIFS(rl_key,$A$562,rl_eff,"&gt;="&amp;$B566,rl_eff,"&lt;="&amp;$C566)</f>
        <v/>
      </c>
      <c r="L566" s="201">
        <f>SUMIFS(rl_daysafter,rl_key,$A$562,rl_effmonth,$B566,rl_first,1)</f>
        <v/>
      </c>
      <c r="M566" s="209">
        <f>IF($K566=0,0,MIN(1,$L566/$D566))</f>
        <v/>
      </c>
      <c r="N566" s="208">
        <f>IF($K566=0,$J566,(1-$M566)*$I566+$M566*$J566)</f>
        <v/>
      </c>
      <c r="O566" s="209">
        <f>IF($F566&lt;$B$563,$E$563+$I$563*($F566-$A$563),IF($F566&lt;$C$563,$F$563+$J$563*($F566-$B$563),$G$563+$K$563*($F566-$C$563)))</f>
        <v/>
      </c>
      <c r="P566" s="208">
        <f>MIN(1,MAX(0,(nr_MEndPm1-$G566+0.5)/$C$562))-MIN(1,MAX(0,(nr_MStartPm1-1-$G566+0.5)/$C$562))</f>
        <v/>
      </c>
      <c r="Q566" s="208">
        <f>MIN(1,MAX(0,(nr_MEndP-$G566+0.5)/$C$562))-MIN(1,MAX(0,(nr_MStartP-1-$G566+0.5)/$C$562))</f>
        <v/>
      </c>
      <c r="R566" s="208">
        <f>MIN(1,MAX(0,(nr_MEndP1-$G566+0.5)/$C$562))-MIN(1,MAX(0,(nr_MStartP1-1-$G566+0.5)/$C$562))</f>
        <v/>
      </c>
      <c r="S566" s="208">
        <f>IF($L$562,$N566*IF($O$562=1,$O566/$F$562,1),"")</f>
        <v/>
      </c>
      <c r="T566" s="208">
        <f>IF(NOT($L$562),"",IF($G566&lt;nr_MStartP,$S566,$T554*(1+IF($G566&lt;nr_MStartP1,$M$562,$N$562))))</f>
        <v/>
      </c>
      <c r="U566" s="208">
        <f>IF($L$562,$T566,$N566)</f>
        <v/>
      </c>
    </row>
    <row r="567">
      <c r="A567" s="145" t="n">
        <v>3</v>
      </c>
      <c r="B567" s="204">
        <f>EDATE($B566,1)</f>
        <v/>
      </c>
      <c r="C567" s="205">
        <f>EOMONTH($B567,0)</f>
        <v/>
      </c>
      <c r="D567" s="201">
        <f>$C567-$B567+1</f>
        <v/>
      </c>
      <c r="E567" s="201">
        <f>MONTH($B567)</f>
        <v/>
      </c>
      <c r="F567" s="235">
        <f>($B567+$C567+1)/2</f>
        <v/>
      </c>
      <c r="G567" s="201">
        <f>YEAR($B567)*12+MONTH($B567)-1</f>
        <v/>
      </c>
      <c r="H567" s="207">
        <f>IF(OR(nr_SeasonOn="OFF",$D$562=0,$E$562=0),1,12*INDEX(se_block,$D$562,$E567)/$E$562)</f>
        <v/>
      </c>
      <c r="I567" s="208">
        <f>EXP(SUMPRODUCT((rl_eff&lt;$B567)*(rl_key=$A$562)*rl_ln1p))</f>
        <v/>
      </c>
      <c r="J567" s="208">
        <f>EXP(SUMPRODUCT((rl_eff&lt;=$C567)*(rl_key=$A$562)*rl_ln1p))</f>
        <v/>
      </c>
      <c r="K567" s="201">
        <f>COUNTIFS(rl_key,$A$562,rl_eff,"&gt;="&amp;$B567,rl_eff,"&lt;="&amp;$C567)</f>
        <v/>
      </c>
      <c r="L567" s="201">
        <f>SUMIFS(rl_daysafter,rl_key,$A$562,rl_effmonth,$B567,rl_first,1)</f>
        <v/>
      </c>
      <c r="M567" s="209">
        <f>IF($K567=0,0,MIN(1,$L567/$D567))</f>
        <v/>
      </c>
      <c r="N567" s="208">
        <f>IF($K567=0,$J567,(1-$M567)*$I567+$M567*$J567)</f>
        <v/>
      </c>
      <c r="O567" s="209">
        <f>IF($F567&lt;$B$563,$E$563+$I$563*($F567-$A$563),IF($F567&lt;$C$563,$F$563+$J$563*($F567-$B$563),$G$563+$K$563*($F567-$C$563)))</f>
        <v/>
      </c>
      <c r="P567" s="208">
        <f>MIN(1,MAX(0,(nr_MEndPm1-$G567+0.5)/$C$562))-MIN(1,MAX(0,(nr_MStartPm1-1-$G567+0.5)/$C$562))</f>
        <v/>
      </c>
      <c r="Q567" s="208">
        <f>MIN(1,MAX(0,(nr_MEndP-$G567+0.5)/$C$562))-MIN(1,MAX(0,(nr_MStartP-1-$G567+0.5)/$C$562))</f>
        <v/>
      </c>
      <c r="R567" s="208">
        <f>MIN(1,MAX(0,(nr_MEndP1-$G567+0.5)/$C$562))-MIN(1,MAX(0,(nr_MStartP1-1-$G567+0.5)/$C$562))</f>
        <v/>
      </c>
      <c r="S567" s="208">
        <f>IF($L$562,$N567*IF($O$562=1,$O567/$F$562,1),"")</f>
        <v/>
      </c>
      <c r="T567" s="208">
        <f>IF(NOT($L$562),"",IF($G567&lt;nr_MStartP,$S567,$T555*(1+IF($G567&lt;nr_MStartP1,$M$562,$N$562))))</f>
        <v/>
      </c>
      <c r="U567" s="208">
        <f>IF($L$562,$T567,$N567)</f>
        <v/>
      </c>
    </row>
    <row r="568">
      <c r="A568" s="145" t="n">
        <v>4</v>
      </c>
      <c r="B568" s="204">
        <f>EDATE($B567,1)</f>
        <v/>
      </c>
      <c r="C568" s="205">
        <f>EOMONTH($B568,0)</f>
        <v/>
      </c>
      <c r="D568" s="201">
        <f>$C568-$B568+1</f>
        <v/>
      </c>
      <c r="E568" s="201">
        <f>MONTH($B568)</f>
        <v/>
      </c>
      <c r="F568" s="235">
        <f>($B568+$C568+1)/2</f>
        <v/>
      </c>
      <c r="G568" s="201">
        <f>YEAR($B568)*12+MONTH($B568)-1</f>
        <v/>
      </c>
      <c r="H568" s="207">
        <f>IF(OR(nr_SeasonOn="OFF",$D$562=0,$E$562=0),1,12*INDEX(se_block,$D$562,$E568)/$E$562)</f>
        <v/>
      </c>
      <c r="I568" s="208">
        <f>EXP(SUMPRODUCT((rl_eff&lt;$B568)*(rl_key=$A$562)*rl_ln1p))</f>
        <v/>
      </c>
      <c r="J568" s="208">
        <f>EXP(SUMPRODUCT((rl_eff&lt;=$C568)*(rl_key=$A$562)*rl_ln1p))</f>
        <v/>
      </c>
      <c r="K568" s="201">
        <f>COUNTIFS(rl_key,$A$562,rl_eff,"&gt;="&amp;$B568,rl_eff,"&lt;="&amp;$C568)</f>
        <v/>
      </c>
      <c r="L568" s="201">
        <f>SUMIFS(rl_daysafter,rl_key,$A$562,rl_effmonth,$B568,rl_first,1)</f>
        <v/>
      </c>
      <c r="M568" s="209">
        <f>IF($K568=0,0,MIN(1,$L568/$D568))</f>
        <v/>
      </c>
      <c r="N568" s="208">
        <f>IF($K568=0,$J568,(1-$M568)*$I568+$M568*$J568)</f>
        <v/>
      </c>
      <c r="O568" s="209">
        <f>IF($F568&lt;$B$563,$E$563+$I$563*($F568-$A$563),IF($F568&lt;$C$563,$F$563+$J$563*($F568-$B$563),$G$563+$K$563*($F568-$C$563)))</f>
        <v/>
      </c>
      <c r="P568" s="208">
        <f>MIN(1,MAX(0,(nr_MEndPm1-$G568+0.5)/$C$562))-MIN(1,MAX(0,(nr_MStartPm1-1-$G568+0.5)/$C$562))</f>
        <v/>
      </c>
      <c r="Q568" s="208">
        <f>MIN(1,MAX(0,(nr_MEndP-$G568+0.5)/$C$562))-MIN(1,MAX(0,(nr_MStartP-1-$G568+0.5)/$C$562))</f>
        <v/>
      </c>
      <c r="R568" s="208">
        <f>MIN(1,MAX(0,(nr_MEndP1-$G568+0.5)/$C$562))-MIN(1,MAX(0,(nr_MStartP1-1-$G568+0.5)/$C$562))</f>
        <v/>
      </c>
      <c r="S568" s="208">
        <f>IF($L$562,$N568*IF($O$562=1,$O568/$F$562,1),"")</f>
        <v/>
      </c>
      <c r="T568" s="208">
        <f>IF(NOT($L$562),"",IF($G568&lt;nr_MStartP,$S568,$T556*(1+IF($G568&lt;nr_MStartP1,$M$562,$N$562))))</f>
        <v/>
      </c>
      <c r="U568" s="208">
        <f>IF($L$562,$T568,$N568)</f>
        <v/>
      </c>
    </row>
    <row r="569">
      <c r="A569" s="145" t="n">
        <v>5</v>
      </c>
      <c r="B569" s="204">
        <f>EDATE($B568,1)</f>
        <v/>
      </c>
      <c r="C569" s="205">
        <f>EOMONTH($B569,0)</f>
        <v/>
      </c>
      <c r="D569" s="201">
        <f>$C569-$B569+1</f>
        <v/>
      </c>
      <c r="E569" s="201">
        <f>MONTH($B569)</f>
        <v/>
      </c>
      <c r="F569" s="235">
        <f>($B569+$C569+1)/2</f>
        <v/>
      </c>
      <c r="G569" s="201">
        <f>YEAR($B569)*12+MONTH($B569)-1</f>
        <v/>
      </c>
      <c r="H569" s="207">
        <f>IF(OR(nr_SeasonOn="OFF",$D$562=0,$E$562=0),1,12*INDEX(se_block,$D$562,$E569)/$E$562)</f>
        <v/>
      </c>
      <c r="I569" s="208">
        <f>EXP(SUMPRODUCT((rl_eff&lt;$B569)*(rl_key=$A$562)*rl_ln1p))</f>
        <v/>
      </c>
      <c r="J569" s="208">
        <f>EXP(SUMPRODUCT((rl_eff&lt;=$C569)*(rl_key=$A$562)*rl_ln1p))</f>
        <v/>
      </c>
      <c r="K569" s="201">
        <f>COUNTIFS(rl_key,$A$562,rl_eff,"&gt;="&amp;$B569,rl_eff,"&lt;="&amp;$C569)</f>
        <v/>
      </c>
      <c r="L569" s="201">
        <f>SUMIFS(rl_daysafter,rl_key,$A$562,rl_effmonth,$B569,rl_first,1)</f>
        <v/>
      </c>
      <c r="M569" s="209">
        <f>IF($K569=0,0,MIN(1,$L569/$D569))</f>
        <v/>
      </c>
      <c r="N569" s="208">
        <f>IF($K569=0,$J569,(1-$M569)*$I569+$M569*$J569)</f>
        <v/>
      </c>
      <c r="O569" s="209">
        <f>IF($F569&lt;$B$563,$E$563+$I$563*($F569-$A$563),IF($F569&lt;$C$563,$F$563+$J$563*($F569-$B$563),$G$563+$K$563*($F569-$C$563)))</f>
        <v/>
      </c>
      <c r="P569" s="208">
        <f>MIN(1,MAX(0,(nr_MEndPm1-$G569+0.5)/$C$562))-MIN(1,MAX(0,(nr_MStartPm1-1-$G569+0.5)/$C$562))</f>
        <v/>
      </c>
      <c r="Q569" s="208">
        <f>MIN(1,MAX(0,(nr_MEndP-$G569+0.5)/$C$562))-MIN(1,MAX(0,(nr_MStartP-1-$G569+0.5)/$C$562))</f>
        <v/>
      </c>
      <c r="R569" s="208">
        <f>MIN(1,MAX(0,(nr_MEndP1-$G569+0.5)/$C$562))-MIN(1,MAX(0,(nr_MStartP1-1-$G569+0.5)/$C$562))</f>
        <v/>
      </c>
      <c r="S569" s="208">
        <f>IF($L$562,$N569*IF($O$562=1,$O569/$F$562,1),"")</f>
        <v/>
      </c>
      <c r="T569" s="208">
        <f>IF(NOT($L$562),"",IF($G569&lt;nr_MStartP,$S569,$T557*(1+IF($G569&lt;nr_MStartP1,$M$562,$N$562))))</f>
        <v/>
      </c>
      <c r="U569" s="208">
        <f>IF($L$562,$T569,$N569)</f>
        <v/>
      </c>
    </row>
    <row r="570">
      <c r="A570" s="145" t="n">
        <v>6</v>
      </c>
      <c r="B570" s="204">
        <f>EDATE($B569,1)</f>
        <v/>
      </c>
      <c r="C570" s="205">
        <f>EOMONTH($B570,0)</f>
        <v/>
      </c>
      <c r="D570" s="201">
        <f>$C570-$B570+1</f>
        <v/>
      </c>
      <c r="E570" s="201">
        <f>MONTH($B570)</f>
        <v/>
      </c>
      <c r="F570" s="235">
        <f>($B570+$C570+1)/2</f>
        <v/>
      </c>
      <c r="G570" s="201">
        <f>YEAR($B570)*12+MONTH($B570)-1</f>
        <v/>
      </c>
      <c r="H570" s="207">
        <f>IF(OR(nr_SeasonOn="OFF",$D$562=0,$E$562=0),1,12*INDEX(se_block,$D$562,$E570)/$E$562)</f>
        <v/>
      </c>
      <c r="I570" s="208">
        <f>EXP(SUMPRODUCT((rl_eff&lt;$B570)*(rl_key=$A$562)*rl_ln1p))</f>
        <v/>
      </c>
      <c r="J570" s="208">
        <f>EXP(SUMPRODUCT((rl_eff&lt;=$C570)*(rl_key=$A$562)*rl_ln1p))</f>
        <v/>
      </c>
      <c r="K570" s="201">
        <f>COUNTIFS(rl_key,$A$562,rl_eff,"&gt;="&amp;$B570,rl_eff,"&lt;="&amp;$C570)</f>
        <v/>
      </c>
      <c r="L570" s="201">
        <f>SUMIFS(rl_daysafter,rl_key,$A$562,rl_effmonth,$B570,rl_first,1)</f>
        <v/>
      </c>
      <c r="M570" s="209">
        <f>IF($K570=0,0,MIN(1,$L570/$D570))</f>
        <v/>
      </c>
      <c r="N570" s="208">
        <f>IF($K570=0,$J570,(1-$M570)*$I570+$M570*$J570)</f>
        <v/>
      </c>
      <c r="O570" s="209">
        <f>IF($F570&lt;$B$563,$E$563+$I$563*($F570-$A$563),IF($F570&lt;$C$563,$F$563+$J$563*($F570-$B$563),$G$563+$K$563*($F570-$C$563)))</f>
        <v/>
      </c>
      <c r="P570" s="208">
        <f>MIN(1,MAX(0,(nr_MEndPm1-$G570+0.5)/$C$562))-MIN(1,MAX(0,(nr_MStartPm1-1-$G570+0.5)/$C$562))</f>
        <v/>
      </c>
      <c r="Q570" s="208">
        <f>MIN(1,MAX(0,(nr_MEndP-$G570+0.5)/$C$562))-MIN(1,MAX(0,(nr_MStartP-1-$G570+0.5)/$C$562))</f>
        <v/>
      </c>
      <c r="R570" s="208">
        <f>MIN(1,MAX(0,(nr_MEndP1-$G570+0.5)/$C$562))-MIN(1,MAX(0,(nr_MStartP1-1-$G570+0.5)/$C$562))</f>
        <v/>
      </c>
      <c r="S570" s="208">
        <f>IF($L$562,$N570*IF($O$562=1,$O570/$F$562,1),"")</f>
        <v/>
      </c>
      <c r="T570" s="208">
        <f>IF(NOT($L$562),"",IF($G570&lt;nr_MStartP,$S570,$T558*(1+IF($G570&lt;nr_MStartP1,$M$562,$N$562))))</f>
        <v/>
      </c>
      <c r="U570" s="208">
        <f>IF($L$562,$T570,$N570)</f>
        <v/>
      </c>
    </row>
    <row r="571">
      <c r="A571" s="145" t="n">
        <v>7</v>
      </c>
      <c r="B571" s="204">
        <f>EDATE($B570,1)</f>
        <v/>
      </c>
      <c r="C571" s="205">
        <f>EOMONTH($B571,0)</f>
        <v/>
      </c>
      <c r="D571" s="201">
        <f>$C571-$B571+1</f>
        <v/>
      </c>
      <c r="E571" s="201">
        <f>MONTH($B571)</f>
        <v/>
      </c>
      <c r="F571" s="235">
        <f>($B571+$C571+1)/2</f>
        <v/>
      </c>
      <c r="G571" s="201">
        <f>YEAR($B571)*12+MONTH($B571)-1</f>
        <v/>
      </c>
      <c r="H571" s="207">
        <f>IF(OR(nr_SeasonOn="OFF",$D$562=0,$E$562=0),1,12*INDEX(se_block,$D$562,$E571)/$E$562)</f>
        <v/>
      </c>
      <c r="I571" s="208">
        <f>EXP(SUMPRODUCT((rl_eff&lt;$B571)*(rl_key=$A$562)*rl_ln1p))</f>
        <v/>
      </c>
      <c r="J571" s="208">
        <f>EXP(SUMPRODUCT((rl_eff&lt;=$C571)*(rl_key=$A$562)*rl_ln1p))</f>
        <v/>
      </c>
      <c r="K571" s="201">
        <f>COUNTIFS(rl_key,$A$562,rl_eff,"&gt;="&amp;$B571,rl_eff,"&lt;="&amp;$C571)</f>
        <v/>
      </c>
      <c r="L571" s="201">
        <f>SUMIFS(rl_daysafter,rl_key,$A$562,rl_effmonth,$B571,rl_first,1)</f>
        <v/>
      </c>
      <c r="M571" s="209">
        <f>IF($K571=0,0,MIN(1,$L571/$D571))</f>
        <v/>
      </c>
      <c r="N571" s="208">
        <f>IF($K571=0,$J571,(1-$M571)*$I571+$M571*$J571)</f>
        <v/>
      </c>
      <c r="O571" s="209">
        <f>IF($F571&lt;$B$563,$E$563+$I$563*($F571-$A$563),IF($F571&lt;$C$563,$F$563+$J$563*($F571-$B$563),$G$563+$K$563*($F571-$C$563)))</f>
        <v/>
      </c>
      <c r="P571" s="208">
        <f>MIN(1,MAX(0,(nr_MEndPm1-$G571+0.5)/$C$562))-MIN(1,MAX(0,(nr_MStartPm1-1-$G571+0.5)/$C$562))</f>
        <v/>
      </c>
      <c r="Q571" s="208">
        <f>MIN(1,MAX(0,(nr_MEndP-$G571+0.5)/$C$562))-MIN(1,MAX(0,(nr_MStartP-1-$G571+0.5)/$C$562))</f>
        <v/>
      </c>
      <c r="R571" s="208">
        <f>MIN(1,MAX(0,(nr_MEndP1-$G571+0.5)/$C$562))-MIN(1,MAX(0,(nr_MStartP1-1-$G571+0.5)/$C$562))</f>
        <v/>
      </c>
      <c r="S571" s="208">
        <f>IF($L$562,$N571*IF($O$562=1,$O571/$F$562,1),"")</f>
        <v/>
      </c>
      <c r="T571" s="208">
        <f>IF(NOT($L$562),"",IF($G571&lt;nr_MStartP,$S571,$T559*(1+IF($G571&lt;nr_MStartP1,$M$562,$N$562))))</f>
        <v/>
      </c>
      <c r="U571" s="208">
        <f>IF($L$562,$T571,$N571)</f>
        <v/>
      </c>
    </row>
    <row r="572">
      <c r="A572" s="145" t="n">
        <v>8</v>
      </c>
      <c r="B572" s="204">
        <f>EDATE($B571,1)</f>
        <v/>
      </c>
      <c r="C572" s="205">
        <f>EOMONTH($B572,0)</f>
        <v/>
      </c>
      <c r="D572" s="201">
        <f>$C572-$B572+1</f>
        <v/>
      </c>
      <c r="E572" s="201">
        <f>MONTH($B572)</f>
        <v/>
      </c>
      <c r="F572" s="235">
        <f>($B572+$C572+1)/2</f>
        <v/>
      </c>
      <c r="G572" s="201">
        <f>YEAR($B572)*12+MONTH($B572)-1</f>
        <v/>
      </c>
      <c r="H572" s="207">
        <f>IF(OR(nr_SeasonOn="OFF",$D$562=0,$E$562=0),1,12*INDEX(se_block,$D$562,$E572)/$E$562)</f>
        <v/>
      </c>
      <c r="I572" s="208">
        <f>EXP(SUMPRODUCT((rl_eff&lt;$B572)*(rl_key=$A$562)*rl_ln1p))</f>
        <v/>
      </c>
      <c r="J572" s="208">
        <f>EXP(SUMPRODUCT((rl_eff&lt;=$C572)*(rl_key=$A$562)*rl_ln1p))</f>
        <v/>
      </c>
      <c r="K572" s="201">
        <f>COUNTIFS(rl_key,$A$562,rl_eff,"&gt;="&amp;$B572,rl_eff,"&lt;="&amp;$C572)</f>
        <v/>
      </c>
      <c r="L572" s="201">
        <f>SUMIFS(rl_daysafter,rl_key,$A$562,rl_effmonth,$B572,rl_first,1)</f>
        <v/>
      </c>
      <c r="M572" s="209">
        <f>IF($K572=0,0,MIN(1,$L572/$D572))</f>
        <v/>
      </c>
      <c r="N572" s="208">
        <f>IF($K572=0,$J572,(1-$M572)*$I572+$M572*$J572)</f>
        <v/>
      </c>
      <c r="O572" s="209">
        <f>IF($F572&lt;$B$563,$E$563+$I$563*($F572-$A$563),IF($F572&lt;$C$563,$F$563+$J$563*($F572-$B$563),$G$563+$K$563*($F572-$C$563)))</f>
        <v/>
      </c>
      <c r="P572" s="208">
        <f>MIN(1,MAX(0,(nr_MEndPm1-$G572+0.5)/$C$562))-MIN(1,MAX(0,(nr_MStartPm1-1-$G572+0.5)/$C$562))</f>
        <v/>
      </c>
      <c r="Q572" s="208">
        <f>MIN(1,MAX(0,(nr_MEndP-$G572+0.5)/$C$562))-MIN(1,MAX(0,(nr_MStartP-1-$G572+0.5)/$C$562))</f>
        <v/>
      </c>
      <c r="R572" s="208">
        <f>MIN(1,MAX(0,(nr_MEndP1-$G572+0.5)/$C$562))-MIN(1,MAX(0,(nr_MStartP1-1-$G572+0.5)/$C$562))</f>
        <v/>
      </c>
      <c r="S572" s="208">
        <f>IF($L$562,$N572*IF($O$562=1,$O572/$F$562,1),"")</f>
        <v/>
      </c>
      <c r="T572" s="208">
        <f>IF(NOT($L$562),"",IF($G572&lt;nr_MStartP,$S572,$T560*(1+IF($G572&lt;nr_MStartP1,$M$562,$N$562))))</f>
        <v/>
      </c>
      <c r="U572" s="208">
        <f>IF($L$562,$T572,$N572)</f>
        <v/>
      </c>
    </row>
    <row r="573">
      <c r="A573" s="145" t="n">
        <v>9</v>
      </c>
      <c r="B573" s="204">
        <f>EDATE($B572,1)</f>
        <v/>
      </c>
      <c r="C573" s="205">
        <f>EOMONTH($B573,0)</f>
        <v/>
      </c>
      <c r="D573" s="201">
        <f>$C573-$B573+1</f>
        <v/>
      </c>
      <c r="E573" s="201">
        <f>MONTH($B573)</f>
        <v/>
      </c>
      <c r="F573" s="235">
        <f>($B573+$C573+1)/2</f>
        <v/>
      </c>
      <c r="G573" s="201">
        <f>YEAR($B573)*12+MONTH($B573)-1</f>
        <v/>
      </c>
      <c r="H573" s="207">
        <f>IF(OR(nr_SeasonOn="OFF",$D$562=0,$E$562=0),1,12*INDEX(se_block,$D$562,$E573)/$E$562)</f>
        <v/>
      </c>
      <c r="I573" s="208">
        <f>EXP(SUMPRODUCT((rl_eff&lt;$B573)*(rl_key=$A$562)*rl_ln1p))</f>
        <v/>
      </c>
      <c r="J573" s="208">
        <f>EXP(SUMPRODUCT((rl_eff&lt;=$C573)*(rl_key=$A$562)*rl_ln1p))</f>
        <v/>
      </c>
      <c r="K573" s="201">
        <f>COUNTIFS(rl_key,$A$562,rl_eff,"&gt;="&amp;$B573,rl_eff,"&lt;="&amp;$C573)</f>
        <v/>
      </c>
      <c r="L573" s="201">
        <f>SUMIFS(rl_daysafter,rl_key,$A$562,rl_effmonth,$B573,rl_first,1)</f>
        <v/>
      </c>
      <c r="M573" s="209">
        <f>IF($K573=0,0,MIN(1,$L573/$D573))</f>
        <v/>
      </c>
      <c r="N573" s="208">
        <f>IF($K573=0,$J573,(1-$M573)*$I573+$M573*$J573)</f>
        <v/>
      </c>
      <c r="O573" s="209">
        <f>IF($F573&lt;$B$563,$E$563+$I$563*($F573-$A$563),IF($F573&lt;$C$563,$F$563+$J$563*($F573-$B$563),$G$563+$K$563*($F573-$C$563)))</f>
        <v/>
      </c>
      <c r="P573" s="208">
        <f>MIN(1,MAX(0,(nr_MEndPm1-$G573+0.5)/$C$562))-MIN(1,MAX(0,(nr_MStartPm1-1-$G573+0.5)/$C$562))</f>
        <v/>
      </c>
      <c r="Q573" s="208">
        <f>MIN(1,MAX(0,(nr_MEndP-$G573+0.5)/$C$562))-MIN(1,MAX(0,(nr_MStartP-1-$G573+0.5)/$C$562))</f>
        <v/>
      </c>
      <c r="R573" s="208">
        <f>MIN(1,MAX(0,(nr_MEndP1-$G573+0.5)/$C$562))-MIN(1,MAX(0,(nr_MStartP1-1-$G573+0.5)/$C$562))</f>
        <v/>
      </c>
      <c r="S573" s="208">
        <f>IF($L$562,$N573*IF($O$562=1,$O573/$F$562,1),"")</f>
        <v/>
      </c>
      <c r="T573" s="208">
        <f>IF(NOT($L$562),"",IF($G573&lt;nr_MStartP,$S573,$T561*(1+IF($G573&lt;nr_MStartP1,$M$562,$N$562))))</f>
        <v/>
      </c>
      <c r="U573" s="208">
        <f>IF($L$562,$T573,$N573)</f>
        <v/>
      </c>
    </row>
    <row r="574">
      <c r="A574" s="145" t="n">
        <v>10</v>
      </c>
      <c r="B574" s="204">
        <f>EDATE($B573,1)</f>
        <v/>
      </c>
      <c r="C574" s="205">
        <f>EOMONTH($B574,0)</f>
        <v/>
      </c>
      <c r="D574" s="201">
        <f>$C574-$B574+1</f>
        <v/>
      </c>
      <c r="E574" s="201">
        <f>MONTH($B574)</f>
        <v/>
      </c>
      <c r="F574" s="235">
        <f>($B574+$C574+1)/2</f>
        <v/>
      </c>
      <c r="G574" s="201">
        <f>YEAR($B574)*12+MONTH($B574)-1</f>
        <v/>
      </c>
      <c r="H574" s="207">
        <f>IF(OR(nr_SeasonOn="OFF",$D$562=0,$E$562=0),1,12*INDEX(se_block,$D$562,$E574)/$E$562)</f>
        <v/>
      </c>
      <c r="I574" s="208">
        <f>EXP(SUMPRODUCT((rl_eff&lt;$B574)*(rl_key=$A$562)*rl_ln1p))</f>
        <v/>
      </c>
      <c r="J574" s="208">
        <f>EXP(SUMPRODUCT((rl_eff&lt;=$C574)*(rl_key=$A$562)*rl_ln1p))</f>
        <v/>
      </c>
      <c r="K574" s="201">
        <f>COUNTIFS(rl_key,$A$562,rl_eff,"&gt;="&amp;$B574,rl_eff,"&lt;="&amp;$C574)</f>
        <v/>
      </c>
      <c r="L574" s="201">
        <f>SUMIFS(rl_daysafter,rl_key,$A$562,rl_effmonth,$B574,rl_first,1)</f>
        <v/>
      </c>
      <c r="M574" s="209">
        <f>IF($K574=0,0,MIN(1,$L574/$D574))</f>
        <v/>
      </c>
      <c r="N574" s="208">
        <f>IF($K574=0,$J574,(1-$M574)*$I574+$M574*$J574)</f>
        <v/>
      </c>
      <c r="O574" s="209">
        <f>IF($F574&lt;$B$563,$E$563+$I$563*($F574-$A$563),IF($F574&lt;$C$563,$F$563+$J$563*($F574-$B$563),$G$563+$K$563*($F574-$C$563)))</f>
        <v/>
      </c>
      <c r="P574" s="208">
        <f>MIN(1,MAX(0,(nr_MEndPm1-$G574+0.5)/$C$562))-MIN(1,MAX(0,(nr_MStartPm1-1-$G574+0.5)/$C$562))</f>
        <v/>
      </c>
      <c r="Q574" s="208">
        <f>MIN(1,MAX(0,(nr_MEndP-$G574+0.5)/$C$562))-MIN(1,MAX(0,(nr_MStartP-1-$G574+0.5)/$C$562))</f>
        <v/>
      </c>
      <c r="R574" s="208">
        <f>MIN(1,MAX(0,(nr_MEndP1-$G574+0.5)/$C$562))-MIN(1,MAX(0,(nr_MStartP1-1-$G574+0.5)/$C$562))</f>
        <v/>
      </c>
      <c r="S574" s="208">
        <f>IF($L$562,$N574*IF($O$562=1,$O574/$F$562,1),"")</f>
        <v/>
      </c>
      <c r="T574" s="208">
        <f>IF(NOT($L$562),"",IF($G574&lt;nr_MStartP,$S574,$T562*(1+IF($G574&lt;nr_MStartP1,$M$562,$N$562))))</f>
        <v/>
      </c>
      <c r="U574" s="208">
        <f>IF($L$562,$T574,$N574)</f>
        <v/>
      </c>
    </row>
    <row r="575">
      <c r="A575" s="145" t="n">
        <v>11</v>
      </c>
      <c r="B575" s="204">
        <f>EDATE($B574,1)</f>
        <v/>
      </c>
      <c r="C575" s="205">
        <f>EOMONTH($B575,0)</f>
        <v/>
      </c>
      <c r="D575" s="201">
        <f>$C575-$B575+1</f>
        <v/>
      </c>
      <c r="E575" s="201">
        <f>MONTH($B575)</f>
        <v/>
      </c>
      <c r="F575" s="235">
        <f>($B575+$C575+1)/2</f>
        <v/>
      </c>
      <c r="G575" s="201">
        <f>YEAR($B575)*12+MONTH($B575)-1</f>
        <v/>
      </c>
      <c r="H575" s="207">
        <f>IF(OR(nr_SeasonOn="OFF",$D$562=0,$E$562=0),1,12*INDEX(se_block,$D$562,$E575)/$E$562)</f>
        <v/>
      </c>
      <c r="I575" s="208">
        <f>EXP(SUMPRODUCT((rl_eff&lt;$B575)*(rl_key=$A$562)*rl_ln1p))</f>
        <v/>
      </c>
      <c r="J575" s="208">
        <f>EXP(SUMPRODUCT((rl_eff&lt;=$C575)*(rl_key=$A$562)*rl_ln1p))</f>
        <v/>
      </c>
      <c r="K575" s="201">
        <f>COUNTIFS(rl_key,$A$562,rl_eff,"&gt;="&amp;$B575,rl_eff,"&lt;="&amp;$C575)</f>
        <v/>
      </c>
      <c r="L575" s="201">
        <f>SUMIFS(rl_daysafter,rl_key,$A$562,rl_effmonth,$B575,rl_first,1)</f>
        <v/>
      </c>
      <c r="M575" s="209">
        <f>IF($K575=0,0,MIN(1,$L575/$D575))</f>
        <v/>
      </c>
      <c r="N575" s="208">
        <f>IF($K575=0,$J575,(1-$M575)*$I575+$M575*$J575)</f>
        <v/>
      </c>
      <c r="O575" s="209">
        <f>IF($F575&lt;$B$563,$E$563+$I$563*($F575-$A$563),IF($F575&lt;$C$563,$F$563+$J$563*($F575-$B$563),$G$563+$K$563*($F575-$C$563)))</f>
        <v/>
      </c>
      <c r="P575" s="208">
        <f>MIN(1,MAX(0,(nr_MEndPm1-$G575+0.5)/$C$562))-MIN(1,MAX(0,(nr_MStartPm1-1-$G575+0.5)/$C$562))</f>
        <v/>
      </c>
      <c r="Q575" s="208">
        <f>MIN(1,MAX(0,(nr_MEndP-$G575+0.5)/$C$562))-MIN(1,MAX(0,(nr_MStartP-1-$G575+0.5)/$C$562))</f>
        <v/>
      </c>
      <c r="R575" s="208">
        <f>MIN(1,MAX(0,(nr_MEndP1-$G575+0.5)/$C$562))-MIN(1,MAX(0,(nr_MStartP1-1-$G575+0.5)/$C$562))</f>
        <v/>
      </c>
      <c r="S575" s="208">
        <f>IF($L$562,$N575*IF($O$562=1,$O575/$F$562,1),"")</f>
        <v/>
      </c>
      <c r="T575" s="208">
        <f>IF(NOT($L$562),"",IF($G575&lt;nr_MStartP,$S575,$T563*(1+IF($G575&lt;nr_MStartP1,$M$562,$N$562))))</f>
        <v/>
      </c>
      <c r="U575" s="208">
        <f>IF($L$562,$T575,$N575)</f>
        <v/>
      </c>
    </row>
    <row r="576">
      <c r="A576" s="145" t="n">
        <v>12</v>
      </c>
      <c r="B576" s="204">
        <f>EDATE($B575,1)</f>
        <v/>
      </c>
      <c r="C576" s="205">
        <f>EOMONTH($B576,0)</f>
        <v/>
      </c>
      <c r="D576" s="201">
        <f>$C576-$B576+1</f>
        <v/>
      </c>
      <c r="E576" s="201">
        <f>MONTH($B576)</f>
        <v/>
      </c>
      <c r="F576" s="235">
        <f>($B576+$C576+1)/2</f>
        <v/>
      </c>
      <c r="G576" s="201">
        <f>YEAR($B576)*12+MONTH($B576)-1</f>
        <v/>
      </c>
      <c r="H576" s="207">
        <f>IF(OR(nr_SeasonOn="OFF",$D$562=0,$E$562=0),1,12*INDEX(se_block,$D$562,$E576)/$E$562)</f>
        <v/>
      </c>
      <c r="I576" s="208">
        <f>EXP(SUMPRODUCT((rl_eff&lt;$B576)*(rl_key=$A$562)*rl_ln1p))</f>
        <v/>
      </c>
      <c r="J576" s="208">
        <f>EXP(SUMPRODUCT((rl_eff&lt;=$C576)*(rl_key=$A$562)*rl_ln1p))</f>
        <v/>
      </c>
      <c r="K576" s="201">
        <f>COUNTIFS(rl_key,$A$562,rl_eff,"&gt;="&amp;$B576,rl_eff,"&lt;="&amp;$C576)</f>
        <v/>
      </c>
      <c r="L576" s="201">
        <f>SUMIFS(rl_daysafter,rl_key,$A$562,rl_effmonth,$B576,rl_first,1)</f>
        <v/>
      </c>
      <c r="M576" s="209">
        <f>IF($K576=0,0,MIN(1,$L576/$D576))</f>
        <v/>
      </c>
      <c r="N576" s="208">
        <f>IF($K576=0,$J576,(1-$M576)*$I576+$M576*$J576)</f>
        <v/>
      </c>
      <c r="O576" s="209">
        <f>IF($F576&lt;$B$563,$E$563+$I$563*($F576-$A$563),IF($F576&lt;$C$563,$F$563+$J$563*($F576-$B$563),$G$563+$K$563*($F576-$C$563)))</f>
        <v/>
      </c>
      <c r="P576" s="208">
        <f>MIN(1,MAX(0,(nr_MEndPm1-$G576+0.5)/$C$562))-MIN(1,MAX(0,(nr_MStartPm1-1-$G576+0.5)/$C$562))</f>
        <v/>
      </c>
      <c r="Q576" s="208">
        <f>MIN(1,MAX(0,(nr_MEndP-$G576+0.5)/$C$562))-MIN(1,MAX(0,(nr_MStartP-1-$G576+0.5)/$C$562))</f>
        <v/>
      </c>
      <c r="R576" s="208">
        <f>MIN(1,MAX(0,(nr_MEndP1-$G576+0.5)/$C$562))-MIN(1,MAX(0,(nr_MStartP1-1-$G576+0.5)/$C$562))</f>
        <v/>
      </c>
      <c r="S576" s="208">
        <f>IF($L$562,$N576*IF($O$562=1,$O576/$F$562,1),"")</f>
        <v/>
      </c>
      <c r="T576" s="208">
        <f>IF(NOT($L$562),"",IF($G576&lt;nr_MStartP,$S576,$T564*(1+IF($G576&lt;nr_MStartP1,$M$562,$N$562))))</f>
        <v/>
      </c>
      <c r="U576" s="208">
        <f>IF($L$562,$T576,$N576)</f>
        <v/>
      </c>
    </row>
    <row r="577">
      <c r="A577" s="145" t="n">
        <v>13</v>
      </c>
      <c r="B577" s="204">
        <f>EDATE($B576,1)</f>
        <v/>
      </c>
      <c r="C577" s="205">
        <f>EOMONTH($B577,0)</f>
        <v/>
      </c>
      <c r="D577" s="201">
        <f>$C577-$B577+1</f>
        <v/>
      </c>
      <c r="E577" s="201">
        <f>MONTH($B577)</f>
        <v/>
      </c>
      <c r="F577" s="235">
        <f>($B577+$C577+1)/2</f>
        <v/>
      </c>
      <c r="G577" s="201">
        <f>YEAR($B577)*12+MONTH($B577)-1</f>
        <v/>
      </c>
      <c r="H577" s="207">
        <f>IF(OR(nr_SeasonOn="OFF",$D$562=0,$E$562=0),1,12*INDEX(se_block,$D$562,$E577)/$E$562)</f>
        <v/>
      </c>
      <c r="I577" s="208">
        <f>EXP(SUMPRODUCT((rl_eff&lt;$B577)*(rl_key=$A$562)*rl_ln1p))</f>
        <v/>
      </c>
      <c r="J577" s="208">
        <f>EXP(SUMPRODUCT((rl_eff&lt;=$C577)*(rl_key=$A$562)*rl_ln1p))</f>
        <v/>
      </c>
      <c r="K577" s="201">
        <f>COUNTIFS(rl_key,$A$562,rl_eff,"&gt;="&amp;$B577,rl_eff,"&lt;="&amp;$C577)</f>
        <v/>
      </c>
      <c r="L577" s="201">
        <f>SUMIFS(rl_daysafter,rl_key,$A$562,rl_effmonth,$B577,rl_first,1)</f>
        <v/>
      </c>
      <c r="M577" s="209">
        <f>IF($K577=0,0,MIN(1,$L577/$D577))</f>
        <v/>
      </c>
      <c r="N577" s="208">
        <f>IF($K577=0,$J577,(1-$M577)*$I577+$M577*$J577)</f>
        <v/>
      </c>
      <c r="O577" s="209">
        <f>IF($F577&lt;$B$563,$E$563+$I$563*($F577-$A$563),IF($F577&lt;$C$563,$F$563+$J$563*($F577-$B$563),$G$563+$K$563*($F577-$C$563)))</f>
        <v/>
      </c>
      <c r="P577" s="208">
        <f>MIN(1,MAX(0,(nr_MEndPm1-$G577+0.5)/$C$562))-MIN(1,MAX(0,(nr_MStartPm1-1-$G577+0.5)/$C$562))</f>
        <v/>
      </c>
      <c r="Q577" s="208">
        <f>MIN(1,MAX(0,(nr_MEndP-$G577+0.5)/$C$562))-MIN(1,MAX(0,(nr_MStartP-1-$G577+0.5)/$C$562))</f>
        <v/>
      </c>
      <c r="R577" s="208">
        <f>MIN(1,MAX(0,(nr_MEndP1-$G577+0.5)/$C$562))-MIN(1,MAX(0,(nr_MStartP1-1-$G577+0.5)/$C$562))</f>
        <v/>
      </c>
      <c r="S577" s="208">
        <f>IF($L$562,$N577*IF($O$562=1,$O577/$F$562,1),"")</f>
        <v/>
      </c>
      <c r="T577" s="208">
        <f>IF(NOT($L$562),"",IF($G577&lt;nr_MStartP,$S577,$T565*(1+IF($G577&lt;nr_MStartP1,$M$562,$N$562))))</f>
        <v/>
      </c>
      <c r="U577" s="208">
        <f>IF($L$562,$T577,$N577)</f>
        <v/>
      </c>
    </row>
    <row r="578">
      <c r="A578" s="145" t="n">
        <v>14</v>
      </c>
      <c r="B578" s="204">
        <f>EDATE($B577,1)</f>
        <v/>
      </c>
      <c r="C578" s="205">
        <f>EOMONTH($B578,0)</f>
        <v/>
      </c>
      <c r="D578" s="201">
        <f>$C578-$B578+1</f>
        <v/>
      </c>
      <c r="E578" s="201">
        <f>MONTH($B578)</f>
        <v/>
      </c>
      <c r="F578" s="235">
        <f>($B578+$C578+1)/2</f>
        <v/>
      </c>
      <c r="G578" s="201">
        <f>YEAR($B578)*12+MONTH($B578)-1</f>
        <v/>
      </c>
      <c r="H578" s="207">
        <f>IF(OR(nr_SeasonOn="OFF",$D$562=0,$E$562=0),1,12*INDEX(se_block,$D$562,$E578)/$E$562)</f>
        <v/>
      </c>
      <c r="I578" s="208">
        <f>EXP(SUMPRODUCT((rl_eff&lt;$B578)*(rl_key=$A$562)*rl_ln1p))</f>
        <v/>
      </c>
      <c r="J578" s="208">
        <f>EXP(SUMPRODUCT((rl_eff&lt;=$C578)*(rl_key=$A$562)*rl_ln1p))</f>
        <v/>
      </c>
      <c r="K578" s="201">
        <f>COUNTIFS(rl_key,$A$562,rl_eff,"&gt;="&amp;$B578,rl_eff,"&lt;="&amp;$C578)</f>
        <v/>
      </c>
      <c r="L578" s="201">
        <f>SUMIFS(rl_daysafter,rl_key,$A$562,rl_effmonth,$B578,rl_first,1)</f>
        <v/>
      </c>
      <c r="M578" s="209">
        <f>IF($K578=0,0,MIN(1,$L578/$D578))</f>
        <v/>
      </c>
      <c r="N578" s="208">
        <f>IF($K578=0,$J578,(1-$M578)*$I578+$M578*$J578)</f>
        <v/>
      </c>
      <c r="O578" s="209">
        <f>IF($F578&lt;$B$563,$E$563+$I$563*($F578-$A$563),IF($F578&lt;$C$563,$F$563+$J$563*($F578-$B$563),$G$563+$K$563*($F578-$C$563)))</f>
        <v/>
      </c>
      <c r="P578" s="208">
        <f>MIN(1,MAX(0,(nr_MEndPm1-$G578+0.5)/$C$562))-MIN(1,MAX(0,(nr_MStartPm1-1-$G578+0.5)/$C$562))</f>
        <v/>
      </c>
      <c r="Q578" s="208">
        <f>MIN(1,MAX(0,(nr_MEndP-$G578+0.5)/$C$562))-MIN(1,MAX(0,(nr_MStartP-1-$G578+0.5)/$C$562))</f>
        <v/>
      </c>
      <c r="R578" s="208">
        <f>MIN(1,MAX(0,(nr_MEndP1-$G578+0.5)/$C$562))-MIN(1,MAX(0,(nr_MStartP1-1-$G578+0.5)/$C$562))</f>
        <v/>
      </c>
      <c r="S578" s="208">
        <f>IF($L$562,$N578*IF($O$562=1,$O578/$F$562,1),"")</f>
        <v/>
      </c>
      <c r="T578" s="208">
        <f>IF(NOT($L$562),"",IF($G578&lt;nr_MStartP,$S578,$T566*(1+IF($G578&lt;nr_MStartP1,$M$562,$N$562))))</f>
        <v/>
      </c>
      <c r="U578" s="208">
        <f>IF($L$562,$T578,$N578)</f>
        <v/>
      </c>
    </row>
    <row r="579">
      <c r="A579" s="145" t="n">
        <v>15</v>
      </c>
      <c r="B579" s="204">
        <f>EDATE($B578,1)</f>
        <v/>
      </c>
      <c r="C579" s="205">
        <f>EOMONTH($B579,0)</f>
        <v/>
      </c>
      <c r="D579" s="201">
        <f>$C579-$B579+1</f>
        <v/>
      </c>
      <c r="E579" s="201">
        <f>MONTH($B579)</f>
        <v/>
      </c>
      <c r="F579" s="235">
        <f>($B579+$C579+1)/2</f>
        <v/>
      </c>
      <c r="G579" s="201">
        <f>YEAR($B579)*12+MONTH($B579)-1</f>
        <v/>
      </c>
      <c r="H579" s="207">
        <f>IF(OR(nr_SeasonOn="OFF",$D$562=0,$E$562=0),1,12*INDEX(se_block,$D$562,$E579)/$E$562)</f>
        <v/>
      </c>
      <c r="I579" s="208">
        <f>EXP(SUMPRODUCT((rl_eff&lt;$B579)*(rl_key=$A$562)*rl_ln1p))</f>
        <v/>
      </c>
      <c r="J579" s="208">
        <f>EXP(SUMPRODUCT((rl_eff&lt;=$C579)*(rl_key=$A$562)*rl_ln1p))</f>
        <v/>
      </c>
      <c r="K579" s="201">
        <f>COUNTIFS(rl_key,$A$562,rl_eff,"&gt;="&amp;$B579,rl_eff,"&lt;="&amp;$C579)</f>
        <v/>
      </c>
      <c r="L579" s="201">
        <f>SUMIFS(rl_daysafter,rl_key,$A$562,rl_effmonth,$B579,rl_first,1)</f>
        <v/>
      </c>
      <c r="M579" s="209">
        <f>IF($K579=0,0,MIN(1,$L579/$D579))</f>
        <v/>
      </c>
      <c r="N579" s="208">
        <f>IF($K579=0,$J579,(1-$M579)*$I579+$M579*$J579)</f>
        <v/>
      </c>
      <c r="O579" s="209">
        <f>IF($F579&lt;$B$563,$E$563+$I$563*($F579-$A$563),IF($F579&lt;$C$563,$F$563+$J$563*($F579-$B$563),$G$563+$K$563*($F579-$C$563)))</f>
        <v/>
      </c>
      <c r="P579" s="208">
        <f>MIN(1,MAX(0,(nr_MEndPm1-$G579+0.5)/$C$562))-MIN(1,MAX(0,(nr_MStartPm1-1-$G579+0.5)/$C$562))</f>
        <v/>
      </c>
      <c r="Q579" s="208">
        <f>MIN(1,MAX(0,(nr_MEndP-$G579+0.5)/$C$562))-MIN(1,MAX(0,(nr_MStartP-1-$G579+0.5)/$C$562))</f>
        <v/>
      </c>
      <c r="R579" s="208">
        <f>MIN(1,MAX(0,(nr_MEndP1-$G579+0.5)/$C$562))-MIN(1,MAX(0,(nr_MStartP1-1-$G579+0.5)/$C$562))</f>
        <v/>
      </c>
      <c r="S579" s="208">
        <f>IF($L$562,$N579*IF($O$562=1,$O579/$F$562,1),"")</f>
        <v/>
      </c>
      <c r="T579" s="208">
        <f>IF(NOT($L$562),"",IF($G579&lt;nr_MStartP,$S579,$T567*(1+IF($G579&lt;nr_MStartP1,$M$562,$N$562))))</f>
        <v/>
      </c>
      <c r="U579" s="208">
        <f>IF($L$562,$T579,$N579)</f>
        <v/>
      </c>
    </row>
    <row r="580">
      <c r="A580" s="145" t="n">
        <v>16</v>
      </c>
      <c r="B580" s="204">
        <f>EDATE($B579,1)</f>
        <v/>
      </c>
      <c r="C580" s="205">
        <f>EOMONTH($B580,0)</f>
        <v/>
      </c>
      <c r="D580" s="201">
        <f>$C580-$B580+1</f>
        <v/>
      </c>
      <c r="E580" s="201">
        <f>MONTH($B580)</f>
        <v/>
      </c>
      <c r="F580" s="235">
        <f>($B580+$C580+1)/2</f>
        <v/>
      </c>
      <c r="G580" s="201">
        <f>YEAR($B580)*12+MONTH($B580)-1</f>
        <v/>
      </c>
      <c r="H580" s="207">
        <f>IF(OR(nr_SeasonOn="OFF",$D$562=0,$E$562=0),1,12*INDEX(se_block,$D$562,$E580)/$E$562)</f>
        <v/>
      </c>
      <c r="I580" s="208">
        <f>EXP(SUMPRODUCT((rl_eff&lt;$B580)*(rl_key=$A$562)*rl_ln1p))</f>
        <v/>
      </c>
      <c r="J580" s="208">
        <f>EXP(SUMPRODUCT((rl_eff&lt;=$C580)*(rl_key=$A$562)*rl_ln1p))</f>
        <v/>
      </c>
      <c r="K580" s="201">
        <f>COUNTIFS(rl_key,$A$562,rl_eff,"&gt;="&amp;$B580,rl_eff,"&lt;="&amp;$C580)</f>
        <v/>
      </c>
      <c r="L580" s="201">
        <f>SUMIFS(rl_daysafter,rl_key,$A$562,rl_effmonth,$B580,rl_first,1)</f>
        <v/>
      </c>
      <c r="M580" s="209">
        <f>IF($K580=0,0,MIN(1,$L580/$D580))</f>
        <v/>
      </c>
      <c r="N580" s="208">
        <f>IF($K580=0,$J580,(1-$M580)*$I580+$M580*$J580)</f>
        <v/>
      </c>
      <c r="O580" s="209">
        <f>IF($F580&lt;$B$563,$E$563+$I$563*($F580-$A$563),IF($F580&lt;$C$563,$F$563+$J$563*($F580-$B$563),$G$563+$K$563*($F580-$C$563)))</f>
        <v/>
      </c>
      <c r="P580" s="208">
        <f>MIN(1,MAX(0,(nr_MEndPm1-$G580+0.5)/$C$562))-MIN(1,MAX(0,(nr_MStartPm1-1-$G580+0.5)/$C$562))</f>
        <v/>
      </c>
      <c r="Q580" s="208">
        <f>MIN(1,MAX(0,(nr_MEndP-$G580+0.5)/$C$562))-MIN(1,MAX(0,(nr_MStartP-1-$G580+0.5)/$C$562))</f>
        <v/>
      </c>
      <c r="R580" s="208">
        <f>MIN(1,MAX(0,(nr_MEndP1-$G580+0.5)/$C$562))-MIN(1,MAX(0,(nr_MStartP1-1-$G580+0.5)/$C$562))</f>
        <v/>
      </c>
      <c r="S580" s="208">
        <f>IF($L$562,$N580*IF($O$562=1,$O580/$F$562,1),"")</f>
        <v/>
      </c>
      <c r="T580" s="208">
        <f>IF(NOT($L$562),"",IF($G580&lt;nr_MStartP,$S580,$T568*(1+IF($G580&lt;nr_MStartP1,$M$562,$N$562))))</f>
        <v/>
      </c>
      <c r="U580" s="208">
        <f>IF($L$562,$T580,$N580)</f>
        <v/>
      </c>
    </row>
    <row r="581">
      <c r="A581" s="145" t="n">
        <v>17</v>
      </c>
      <c r="B581" s="204">
        <f>EDATE($B580,1)</f>
        <v/>
      </c>
      <c r="C581" s="205">
        <f>EOMONTH($B581,0)</f>
        <v/>
      </c>
      <c r="D581" s="201">
        <f>$C581-$B581+1</f>
        <v/>
      </c>
      <c r="E581" s="201">
        <f>MONTH($B581)</f>
        <v/>
      </c>
      <c r="F581" s="235">
        <f>($B581+$C581+1)/2</f>
        <v/>
      </c>
      <c r="G581" s="201">
        <f>YEAR($B581)*12+MONTH($B581)-1</f>
        <v/>
      </c>
      <c r="H581" s="207">
        <f>IF(OR(nr_SeasonOn="OFF",$D$562=0,$E$562=0),1,12*INDEX(se_block,$D$562,$E581)/$E$562)</f>
        <v/>
      </c>
      <c r="I581" s="208">
        <f>EXP(SUMPRODUCT((rl_eff&lt;$B581)*(rl_key=$A$562)*rl_ln1p))</f>
        <v/>
      </c>
      <c r="J581" s="208">
        <f>EXP(SUMPRODUCT((rl_eff&lt;=$C581)*(rl_key=$A$562)*rl_ln1p))</f>
        <v/>
      </c>
      <c r="K581" s="201">
        <f>COUNTIFS(rl_key,$A$562,rl_eff,"&gt;="&amp;$B581,rl_eff,"&lt;="&amp;$C581)</f>
        <v/>
      </c>
      <c r="L581" s="201">
        <f>SUMIFS(rl_daysafter,rl_key,$A$562,rl_effmonth,$B581,rl_first,1)</f>
        <v/>
      </c>
      <c r="M581" s="209">
        <f>IF($K581=0,0,MIN(1,$L581/$D581))</f>
        <v/>
      </c>
      <c r="N581" s="208">
        <f>IF($K581=0,$J581,(1-$M581)*$I581+$M581*$J581)</f>
        <v/>
      </c>
      <c r="O581" s="209">
        <f>IF($F581&lt;$B$563,$E$563+$I$563*($F581-$A$563),IF($F581&lt;$C$563,$F$563+$J$563*($F581-$B$563),$G$563+$K$563*($F581-$C$563)))</f>
        <v/>
      </c>
      <c r="P581" s="208">
        <f>MIN(1,MAX(0,(nr_MEndPm1-$G581+0.5)/$C$562))-MIN(1,MAX(0,(nr_MStartPm1-1-$G581+0.5)/$C$562))</f>
        <v/>
      </c>
      <c r="Q581" s="208">
        <f>MIN(1,MAX(0,(nr_MEndP-$G581+0.5)/$C$562))-MIN(1,MAX(0,(nr_MStartP-1-$G581+0.5)/$C$562))</f>
        <v/>
      </c>
      <c r="R581" s="208">
        <f>MIN(1,MAX(0,(nr_MEndP1-$G581+0.5)/$C$562))-MIN(1,MAX(0,(nr_MStartP1-1-$G581+0.5)/$C$562))</f>
        <v/>
      </c>
      <c r="S581" s="208">
        <f>IF($L$562,$N581*IF($O$562=1,$O581/$F$562,1),"")</f>
        <v/>
      </c>
      <c r="T581" s="208">
        <f>IF(NOT($L$562),"",IF($G581&lt;nr_MStartP,$S581,$T569*(1+IF($G581&lt;nr_MStartP1,$M$562,$N$562))))</f>
        <v/>
      </c>
      <c r="U581" s="208">
        <f>IF($L$562,$T581,$N581)</f>
        <v/>
      </c>
    </row>
    <row r="582">
      <c r="A582" s="145" t="n">
        <v>18</v>
      </c>
      <c r="B582" s="204">
        <f>EDATE($B581,1)</f>
        <v/>
      </c>
      <c r="C582" s="205">
        <f>EOMONTH($B582,0)</f>
        <v/>
      </c>
      <c r="D582" s="201">
        <f>$C582-$B582+1</f>
        <v/>
      </c>
      <c r="E582" s="201">
        <f>MONTH($B582)</f>
        <v/>
      </c>
      <c r="F582" s="235">
        <f>($B582+$C582+1)/2</f>
        <v/>
      </c>
      <c r="G582" s="201">
        <f>YEAR($B582)*12+MONTH($B582)-1</f>
        <v/>
      </c>
      <c r="H582" s="207">
        <f>IF(OR(nr_SeasonOn="OFF",$D$562=0,$E$562=0),1,12*INDEX(se_block,$D$562,$E582)/$E$562)</f>
        <v/>
      </c>
      <c r="I582" s="208">
        <f>EXP(SUMPRODUCT((rl_eff&lt;$B582)*(rl_key=$A$562)*rl_ln1p))</f>
        <v/>
      </c>
      <c r="J582" s="208">
        <f>EXP(SUMPRODUCT((rl_eff&lt;=$C582)*(rl_key=$A$562)*rl_ln1p))</f>
        <v/>
      </c>
      <c r="K582" s="201">
        <f>COUNTIFS(rl_key,$A$562,rl_eff,"&gt;="&amp;$B582,rl_eff,"&lt;="&amp;$C582)</f>
        <v/>
      </c>
      <c r="L582" s="201">
        <f>SUMIFS(rl_daysafter,rl_key,$A$562,rl_effmonth,$B582,rl_first,1)</f>
        <v/>
      </c>
      <c r="M582" s="209">
        <f>IF($K582=0,0,MIN(1,$L582/$D582))</f>
        <v/>
      </c>
      <c r="N582" s="208">
        <f>IF($K582=0,$J582,(1-$M582)*$I582+$M582*$J582)</f>
        <v/>
      </c>
      <c r="O582" s="209">
        <f>IF($F582&lt;$B$563,$E$563+$I$563*($F582-$A$563),IF($F582&lt;$C$563,$F$563+$J$563*($F582-$B$563),$G$563+$K$563*($F582-$C$563)))</f>
        <v/>
      </c>
      <c r="P582" s="208">
        <f>MIN(1,MAX(0,(nr_MEndPm1-$G582+0.5)/$C$562))-MIN(1,MAX(0,(nr_MStartPm1-1-$G582+0.5)/$C$562))</f>
        <v/>
      </c>
      <c r="Q582" s="208">
        <f>MIN(1,MAX(0,(nr_MEndP-$G582+0.5)/$C$562))-MIN(1,MAX(0,(nr_MStartP-1-$G582+0.5)/$C$562))</f>
        <v/>
      </c>
      <c r="R582" s="208">
        <f>MIN(1,MAX(0,(nr_MEndP1-$G582+0.5)/$C$562))-MIN(1,MAX(0,(nr_MStartP1-1-$G582+0.5)/$C$562))</f>
        <v/>
      </c>
      <c r="S582" s="208">
        <f>IF($L$562,$N582*IF($O$562=1,$O582/$F$562,1),"")</f>
        <v/>
      </c>
      <c r="T582" s="208">
        <f>IF(NOT($L$562),"",IF($G582&lt;nr_MStartP,$S582,$T570*(1+IF($G582&lt;nr_MStartP1,$M$562,$N$562))))</f>
        <v/>
      </c>
      <c r="U582" s="208">
        <f>IF($L$562,$T582,$N582)</f>
        <v/>
      </c>
    </row>
    <row r="583">
      <c r="A583" s="145" t="n">
        <v>19</v>
      </c>
      <c r="B583" s="204">
        <f>EDATE($B582,1)</f>
        <v/>
      </c>
      <c r="C583" s="205">
        <f>EOMONTH($B583,0)</f>
        <v/>
      </c>
      <c r="D583" s="201">
        <f>$C583-$B583+1</f>
        <v/>
      </c>
      <c r="E583" s="201">
        <f>MONTH($B583)</f>
        <v/>
      </c>
      <c r="F583" s="235">
        <f>($B583+$C583+1)/2</f>
        <v/>
      </c>
      <c r="G583" s="201">
        <f>YEAR($B583)*12+MONTH($B583)-1</f>
        <v/>
      </c>
      <c r="H583" s="207">
        <f>IF(OR(nr_SeasonOn="OFF",$D$562=0,$E$562=0),1,12*INDEX(se_block,$D$562,$E583)/$E$562)</f>
        <v/>
      </c>
      <c r="I583" s="208">
        <f>EXP(SUMPRODUCT((rl_eff&lt;$B583)*(rl_key=$A$562)*rl_ln1p))</f>
        <v/>
      </c>
      <c r="J583" s="208">
        <f>EXP(SUMPRODUCT((rl_eff&lt;=$C583)*(rl_key=$A$562)*rl_ln1p))</f>
        <v/>
      </c>
      <c r="K583" s="201">
        <f>COUNTIFS(rl_key,$A$562,rl_eff,"&gt;="&amp;$B583,rl_eff,"&lt;="&amp;$C583)</f>
        <v/>
      </c>
      <c r="L583" s="201">
        <f>SUMIFS(rl_daysafter,rl_key,$A$562,rl_effmonth,$B583,rl_first,1)</f>
        <v/>
      </c>
      <c r="M583" s="209">
        <f>IF($K583=0,0,MIN(1,$L583/$D583))</f>
        <v/>
      </c>
      <c r="N583" s="208">
        <f>IF($K583=0,$J583,(1-$M583)*$I583+$M583*$J583)</f>
        <v/>
      </c>
      <c r="O583" s="209">
        <f>IF($F583&lt;$B$563,$E$563+$I$563*($F583-$A$563),IF($F583&lt;$C$563,$F$563+$J$563*($F583-$B$563),$G$563+$K$563*($F583-$C$563)))</f>
        <v/>
      </c>
      <c r="P583" s="208">
        <f>MIN(1,MAX(0,(nr_MEndPm1-$G583+0.5)/$C$562))-MIN(1,MAX(0,(nr_MStartPm1-1-$G583+0.5)/$C$562))</f>
        <v/>
      </c>
      <c r="Q583" s="208">
        <f>MIN(1,MAX(0,(nr_MEndP-$G583+0.5)/$C$562))-MIN(1,MAX(0,(nr_MStartP-1-$G583+0.5)/$C$562))</f>
        <v/>
      </c>
      <c r="R583" s="208">
        <f>MIN(1,MAX(0,(nr_MEndP1-$G583+0.5)/$C$562))-MIN(1,MAX(0,(nr_MStartP1-1-$G583+0.5)/$C$562))</f>
        <v/>
      </c>
      <c r="S583" s="208">
        <f>IF($L$562,$N583*IF($O$562=1,$O583/$F$562,1),"")</f>
        <v/>
      </c>
      <c r="T583" s="208">
        <f>IF(NOT($L$562),"",IF($G583&lt;nr_MStartP,$S583,$T571*(1+IF($G583&lt;nr_MStartP1,$M$562,$N$562))))</f>
        <v/>
      </c>
      <c r="U583" s="208">
        <f>IF($L$562,$T583,$N583)</f>
        <v/>
      </c>
    </row>
    <row r="584">
      <c r="A584" s="145" t="n">
        <v>20</v>
      </c>
      <c r="B584" s="204">
        <f>EDATE($B583,1)</f>
        <v/>
      </c>
      <c r="C584" s="205">
        <f>EOMONTH($B584,0)</f>
        <v/>
      </c>
      <c r="D584" s="201">
        <f>$C584-$B584+1</f>
        <v/>
      </c>
      <c r="E584" s="201">
        <f>MONTH($B584)</f>
        <v/>
      </c>
      <c r="F584" s="235">
        <f>($B584+$C584+1)/2</f>
        <v/>
      </c>
      <c r="G584" s="201">
        <f>YEAR($B584)*12+MONTH($B584)-1</f>
        <v/>
      </c>
      <c r="H584" s="207">
        <f>IF(OR(nr_SeasonOn="OFF",$D$562=0,$E$562=0),1,12*INDEX(se_block,$D$562,$E584)/$E$562)</f>
        <v/>
      </c>
      <c r="I584" s="208">
        <f>EXP(SUMPRODUCT((rl_eff&lt;$B584)*(rl_key=$A$562)*rl_ln1p))</f>
        <v/>
      </c>
      <c r="J584" s="208">
        <f>EXP(SUMPRODUCT((rl_eff&lt;=$C584)*(rl_key=$A$562)*rl_ln1p))</f>
        <v/>
      </c>
      <c r="K584" s="201">
        <f>COUNTIFS(rl_key,$A$562,rl_eff,"&gt;="&amp;$B584,rl_eff,"&lt;="&amp;$C584)</f>
        <v/>
      </c>
      <c r="L584" s="201">
        <f>SUMIFS(rl_daysafter,rl_key,$A$562,rl_effmonth,$B584,rl_first,1)</f>
        <v/>
      </c>
      <c r="M584" s="209">
        <f>IF($K584=0,0,MIN(1,$L584/$D584))</f>
        <v/>
      </c>
      <c r="N584" s="208">
        <f>IF($K584=0,$J584,(1-$M584)*$I584+$M584*$J584)</f>
        <v/>
      </c>
      <c r="O584" s="209">
        <f>IF($F584&lt;$B$563,$E$563+$I$563*($F584-$A$563),IF($F584&lt;$C$563,$F$563+$J$563*($F584-$B$563),$G$563+$K$563*($F584-$C$563)))</f>
        <v/>
      </c>
      <c r="P584" s="208">
        <f>MIN(1,MAX(0,(nr_MEndPm1-$G584+0.5)/$C$562))-MIN(1,MAX(0,(nr_MStartPm1-1-$G584+0.5)/$C$562))</f>
        <v/>
      </c>
      <c r="Q584" s="208">
        <f>MIN(1,MAX(0,(nr_MEndP-$G584+0.5)/$C$562))-MIN(1,MAX(0,(nr_MStartP-1-$G584+0.5)/$C$562))</f>
        <v/>
      </c>
      <c r="R584" s="208">
        <f>MIN(1,MAX(0,(nr_MEndP1-$G584+0.5)/$C$562))-MIN(1,MAX(0,(nr_MStartP1-1-$G584+0.5)/$C$562))</f>
        <v/>
      </c>
      <c r="S584" s="208">
        <f>IF($L$562,$N584*IF($O$562=1,$O584/$F$562,1),"")</f>
        <v/>
      </c>
      <c r="T584" s="208">
        <f>IF(NOT($L$562),"",IF($G584&lt;nr_MStartP,$S584,$T572*(1+IF($G584&lt;nr_MStartP1,$M$562,$N$562))))</f>
        <v/>
      </c>
      <c r="U584" s="208">
        <f>IF($L$562,$T584,$N584)</f>
        <v/>
      </c>
    </row>
    <row r="585">
      <c r="A585" s="145" t="n">
        <v>21</v>
      </c>
      <c r="B585" s="204">
        <f>EDATE($B584,1)</f>
        <v/>
      </c>
      <c r="C585" s="205">
        <f>EOMONTH($B585,0)</f>
        <v/>
      </c>
      <c r="D585" s="201">
        <f>$C585-$B585+1</f>
        <v/>
      </c>
      <c r="E585" s="201">
        <f>MONTH($B585)</f>
        <v/>
      </c>
      <c r="F585" s="235">
        <f>($B585+$C585+1)/2</f>
        <v/>
      </c>
      <c r="G585" s="201">
        <f>YEAR($B585)*12+MONTH($B585)-1</f>
        <v/>
      </c>
      <c r="H585" s="207">
        <f>IF(OR(nr_SeasonOn="OFF",$D$562=0,$E$562=0),1,12*INDEX(se_block,$D$562,$E585)/$E$562)</f>
        <v/>
      </c>
      <c r="I585" s="208">
        <f>EXP(SUMPRODUCT((rl_eff&lt;$B585)*(rl_key=$A$562)*rl_ln1p))</f>
        <v/>
      </c>
      <c r="J585" s="208">
        <f>EXP(SUMPRODUCT((rl_eff&lt;=$C585)*(rl_key=$A$562)*rl_ln1p))</f>
        <v/>
      </c>
      <c r="K585" s="201">
        <f>COUNTIFS(rl_key,$A$562,rl_eff,"&gt;="&amp;$B585,rl_eff,"&lt;="&amp;$C585)</f>
        <v/>
      </c>
      <c r="L585" s="201">
        <f>SUMIFS(rl_daysafter,rl_key,$A$562,rl_effmonth,$B585,rl_first,1)</f>
        <v/>
      </c>
      <c r="M585" s="209">
        <f>IF($K585=0,0,MIN(1,$L585/$D585))</f>
        <v/>
      </c>
      <c r="N585" s="208">
        <f>IF($K585=0,$J585,(1-$M585)*$I585+$M585*$J585)</f>
        <v/>
      </c>
      <c r="O585" s="209">
        <f>IF($F585&lt;$B$563,$E$563+$I$563*($F585-$A$563),IF($F585&lt;$C$563,$F$563+$J$563*($F585-$B$563),$G$563+$K$563*($F585-$C$563)))</f>
        <v/>
      </c>
      <c r="P585" s="208">
        <f>MIN(1,MAX(0,(nr_MEndPm1-$G585+0.5)/$C$562))-MIN(1,MAX(0,(nr_MStartPm1-1-$G585+0.5)/$C$562))</f>
        <v/>
      </c>
      <c r="Q585" s="208">
        <f>MIN(1,MAX(0,(nr_MEndP-$G585+0.5)/$C$562))-MIN(1,MAX(0,(nr_MStartP-1-$G585+0.5)/$C$562))</f>
        <v/>
      </c>
      <c r="R585" s="208">
        <f>MIN(1,MAX(0,(nr_MEndP1-$G585+0.5)/$C$562))-MIN(1,MAX(0,(nr_MStartP1-1-$G585+0.5)/$C$562))</f>
        <v/>
      </c>
      <c r="S585" s="208">
        <f>IF($L$562,$N585*IF($O$562=1,$O585/$F$562,1),"")</f>
        <v/>
      </c>
      <c r="T585" s="208">
        <f>IF(NOT($L$562),"",IF($G585&lt;nr_MStartP,$S585,$T573*(1+IF($G585&lt;nr_MStartP1,$M$562,$N$562))))</f>
        <v/>
      </c>
      <c r="U585" s="208">
        <f>IF($L$562,$T585,$N585)</f>
        <v/>
      </c>
    </row>
    <row r="586">
      <c r="A586" s="145" t="n">
        <v>22</v>
      </c>
      <c r="B586" s="204">
        <f>EDATE($B585,1)</f>
        <v/>
      </c>
      <c r="C586" s="205">
        <f>EOMONTH($B586,0)</f>
        <v/>
      </c>
      <c r="D586" s="201">
        <f>$C586-$B586+1</f>
        <v/>
      </c>
      <c r="E586" s="201">
        <f>MONTH($B586)</f>
        <v/>
      </c>
      <c r="F586" s="235">
        <f>($B586+$C586+1)/2</f>
        <v/>
      </c>
      <c r="G586" s="201">
        <f>YEAR($B586)*12+MONTH($B586)-1</f>
        <v/>
      </c>
      <c r="H586" s="207">
        <f>IF(OR(nr_SeasonOn="OFF",$D$562=0,$E$562=0),1,12*INDEX(se_block,$D$562,$E586)/$E$562)</f>
        <v/>
      </c>
      <c r="I586" s="208">
        <f>EXP(SUMPRODUCT((rl_eff&lt;$B586)*(rl_key=$A$562)*rl_ln1p))</f>
        <v/>
      </c>
      <c r="J586" s="208">
        <f>EXP(SUMPRODUCT((rl_eff&lt;=$C586)*(rl_key=$A$562)*rl_ln1p))</f>
        <v/>
      </c>
      <c r="K586" s="201">
        <f>COUNTIFS(rl_key,$A$562,rl_eff,"&gt;="&amp;$B586,rl_eff,"&lt;="&amp;$C586)</f>
        <v/>
      </c>
      <c r="L586" s="201">
        <f>SUMIFS(rl_daysafter,rl_key,$A$562,rl_effmonth,$B586,rl_first,1)</f>
        <v/>
      </c>
      <c r="M586" s="209">
        <f>IF($K586=0,0,MIN(1,$L586/$D586))</f>
        <v/>
      </c>
      <c r="N586" s="208">
        <f>IF($K586=0,$J586,(1-$M586)*$I586+$M586*$J586)</f>
        <v/>
      </c>
      <c r="O586" s="209">
        <f>IF($F586&lt;$B$563,$E$563+$I$563*($F586-$A$563),IF($F586&lt;$C$563,$F$563+$J$563*($F586-$B$563),$G$563+$K$563*($F586-$C$563)))</f>
        <v/>
      </c>
      <c r="P586" s="208">
        <f>MIN(1,MAX(0,(nr_MEndPm1-$G586+0.5)/$C$562))-MIN(1,MAX(0,(nr_MStartPm1-1-$G586+0.5)/$C$562))</f>
        <v/>
      </c>
      <c r="Q586" s="208">
        <f>MIN(1,MAX(0,(nr_MEndP-$G586+0.5)/$C$562))-MIN(1,MAX(0,(nr_MStartP-1-$G586+0.5)/$C$562))</f>
        <v/>
      </c>
      <c r="R586" s="208">
        <f>MIN(1,MAX(0,(nr_MEndP1-$G586+0.5)/$C$562))-MIN(1,MAX(0,(nr_MStartP1-1-$G586+0.5)/$C$562))</f>
        <v/>
      </c>
      <c r="S586" s="208">
        <f>IF($L$562,$N586*IF($O$562=1,$O586/$F$562,1),"")</f>
        <v/>
      </c>
      <c r="T586" s="208">
        <f>IF(NOT($L$562),"",IF($G586&lt;nr_MStartP,$S586,$T574*(1+IF($G586&lt;nr_MStartP1,$M$562,$N$562))))</f>
        <v/>
      </c>
      <c r="U586" s="208">
        <f>IF($L$562,$T586,$N586)</f>
        <v/>
      </c>
    </row>
    <row r="587">
      <c r="A587" s="145" t="n">
        <v>23</v>
      </c>
      <c r="B587" s="204">
        <f>EDATE($B586,1)</f>
        <v/>
      </c>
      <c r="C587" s="205">
        <f>EOMONTH($B587,0)</f>
        <v/>
      </c>
      <c r="D587" s="201">
        <f>$C587-$B587+1</f>
        <v/>
      </c>
      <c r="E587" s="201">
        <f>MONTH($B587)</f>
        <v/>
      </c>
      <c r="F587" s="235">
        <f>($B587+$C587+1)/2</f>
        <v/>
      </c>
      <c r="G587" s="201">
        <f>YEAR($B587)*12+MONTH($B587)-1</f>
        <v/>
      </c>
      <c r="H587" s="207">
        <f>IF(OR(nr_SeasonOn="OFF",$D$562=0,$E$562=0),1,12*INDEX(se_block,$D$562,$E587)/$E$562)</f>
        <v/>
      </c>
      <c r="I587" s="208">
        <f>EXP(SUMPRODUCT((rl_eff&lt;$B587)*(rl_key=$A$562)*rl_ln1p))</f>
        <v/>
      </c>
      <c r="J587" s="208">
        <f>EXP(SUMPRODUCT((rl_eff&lt;=$C587)*(rl_key=$A$562)*rl_ln1p))</f>
        <v/>
      </c>
      <c r="K587" s="201">
        <f>COUNTIFS(rl_key,$A$562,rl_eff,"&gt;="&amp;$B587,rl_eff,"&lt;="&amp;$C587)</f>
        <v/>
      </c>
      <c r="L587" s="201">
        <f>SUMIFS(rl_daysafter,rl_key,$A$562,rl_effmonth,$B587,rl_first,1)</f>
        <v/>
      </c>
      <c r="M587" s="209">
        <f>IF($K587=0,0,MIN(1,$L587/$D587))</f>
        <v/>
      </c>
      <c r="N587" s="208">
        <f>IF($K587=0,$J587,(1-$M587)*$I587+$M587*$J587)</f>
        <v/>
      </c>
      <c r="O587" s="209">
        <f>IF($F587&lt;$B$563,$E$563+$I$563*($F587-$A$563),IF($F587&lt;$C$563,$F$563+$J$563*($F587-$B$563),$G$563+$K$563*($F587-$C$563)))</f>
        <v/>
      </c>
      <c r="P587" s="208">
        <f>MIN(1,MAX(0,(nr_MEndPm1-$G587+0.5)/$C$562))-MIN(1,MAX(0,(nr_MStartPm1-1-$G587+0.5)/$C$562))</f>
        <v/>
      </c>
      <c r="Q587" s="208">
        <f>MIN(1,MAX(0,(nr_MEndP-$G587+0.5)/$C$562))-MIN(1,MAX(0,(nr_MStartP-1-$G587+0.5)/$C$562))</f>
        <v/>
      </c>
      <c r="R587" s="208">
        <f>MIN(1,MAX(0,(nr_MEndP1-$G587+0.5)/$C$562))-MIN(1,MAX(0,(nr_MStartP1-1-$G587+0.5)/$C$562))</f>
        <v/>
      </c>
      <c r="S587" s="208">
        <f>IF($L$562,$N587*IF($O$562=1,$O587/$F$562,1),"")</f>
        <v/>
      </c>
      <c r="T587" s="208">
        <f>IF(NOT($L$562),"",IF($G587&lt;nr_MStartP,$S587,$T575*(1+IF($G587&lt;nr_MStartP1,$M$562,$N$562))))</f>
        <v/>
      </c>
      <c r="U587" s="208">
        <f>IF($L$562,$T587,$N587)</f>
        <v/>
      </c>
    </row>
    <row r="588">
      <c r="A588" s="145" t="n">
        <v>24</v>
      </c>
      <c r="B588" s="204">
        <f>EDATE($B587,1)</f>
        <v/>
      </c>
      <c r="C588" s="205">
        <f>EOMONTH($B588,0)</f>
        <v/>
      </c>
      <c r="D588" s="201">
        <f>$C588-$B588+1</f>
        <v/>
      </c>
      <c r="E588" s="201">
        <f>MONTH($B588)</f>
        <v/>
      </c>
      <c r="F588" s="235">
        <f>($B588+$C588+1)/2</f>
        <v/>
      </c>
      <c r="G588" s="201">
        <f>YEAR($B588)*12+MONTH($B588)-1</f>
        <v/>
      </c>
      <c r="H588" s="207">
        <f>IF(OR(nr_SeasonOn="OFF",$D$562=0,$E$562=0),1,12*INDEX(se_block,$D$562,$E588)/$E$562)</f>
        <v/>
      </c>
      <c r="I588" s="208">
        <f>EXP(SUMPRODUCT((rl_eff&lt;$B588)*(rl_key=$A$562)*rl_ln1p))</f>
        <v/>
      </c>
      <c r="J588" s="208">
        <f>EXP(SUMPRODUCT((rl_eff&lt;=$C588)*(rl_key=$A$562)*rl_ln1p))</f>
        <v/>
      </c>
      <c r="K588" s="201">
        <f>COUNTIFS(rl_key,$A$562,rl_eff,"&gt;="&amp;$B588,rl_eff,"&lt;="&amp;$C588)</f>
        <v/>
      </c>
      <c r="L588" s="201">
        <f>SUMIFS(rl_daysafter,rl_key,$A$562,rl_effmonth,$B588,rl_first,1)</f>
        <v/>
      </c>
      <c r="M588" s="209">
        <f>IF($K588=0,0,MIN(1,$L588/$D588))</f>
        <v/>
      </c>
      <c r="N588" s="208">
        <f>IF($K588=0,$J588,(1-$M588)*$I588+$M588*$J588)</f>
        <v/>
      </c>
      <c r="O588" s="209">
        <f>IF($F588&lt;$B$563,$E$563+$I$563*($F588-$A$563),IF($F588&lt;$C$563,$F$563+$J$563*($F588-$B$563),$G$563+$K$563*($F588-$C$563)))</f>
        <v/>
      </c>
      <c r="P588" s="208">
        <f>MIN(1,MAX(0,(nr_MEndPm1-$G588+0.5)/$C$562))-MIN(1,MAX(0,(nr_MStartPm1-1-$G588+0.5)/$C$562))</f>
        <v/>
      </c>
      <c r="Q588" s="208">
        <f>MIN(1,MAX(0,(nr_MEndP-$G588+0.5)/$C$562))-MIN(1,MAX(0,(nr_MStartP-1-$G588+0.5)/$C$562))</f>
        <v/>
      </c>
      <c r="R588" s="208">
        <f>MIN(1,MAX(0,(nr_MEndP1-$G588+0.5)/$C$562))-MIN(1,MAX(0,(nr_MStartP1-1-$G588+0.5)/$C$562))</f>
        <v/>
      </c>
      <c r="S588" s="208">
        <f>IF($L$562,$N588*IF($O$562=1,$O588/$F$562,1),"")</f>
        <v/>
      </c>
      <c r="T588" s="208">
        <f>IF(NOT($L$562),"",IF($G588&lt;nr_MStartP,$S588,$T576*(1+IF($G588&lt;nr_MStartP1,$M$562,$N$562))))</f>
        <v/>
      </c>
      <c r="U588" s="208">
        <f>IF($L$562,$T588,$N588)</f>
        <v/>
      </c>
    </row>
    <row r="589">
      <c r="A589" s="145" t="n">
        <v>25</v>
      </c>
      <c r="B589" s="204">
        <f>EDATE($B588,1)</f>
        <v/>
      </c>
      <c r="C589" s="205">
        <f>EOMONTH($B589,0)</f>
        <v/>
      </c>
      <c r="D589" s="201">
        <f>$C589-$B589+1</f>
        <v/>
      </c>
      <c r="E589" s="201">
        <f>MONTH($B589)</f>
        <v/>
      </c>
      <c r="F589" s="235">
        <f>($B589+$C589+1)/2</f>
        <v/>
      </c>
      <c r="G589" s="201">
        <f>YEAR($B589)*12+MONTH($B589)-1</f>
        <v/>
      </c>
      <c r="H589" s="207">
        <f>IF(OR(nr_SeasonOn="OFF",$D$562=0,$E$562=0),1,12*INDEX(se_block,$D$562,$E589)/$E$562)</f>
        <v/>
      </c>
      <c r="I589" s="208">
        <f>EXP(SUMPRODUCT((rl_eff&lt;$B589)*(rl_key=$A$562)*rl_ln1p))</f>
        <v/>
      </c>
      <c r="J589" s="208">
        <f>EXP(SUMPRODUCT((rl_eff&lt;=$C589)*(rl_key=$A$562)*rl_ln1p))</f>
        <v/>
      </c>
      <c r="K589" s="201">
        <f>COUNTIFS(rl_key,$A$562,rl_eff,"&gt;="&amp;$B589,rl_eff,"&lt;="&amp;$C589)</f>
        <v/>
      </c>
      <c r="L589" s="201">
        <f>SUMIFS(rl_daysafter,rl_key,$A$562,rl_effmonth,$B589,rl_first,1)</f>
        <v/>
      </c>
      <c r="M589" s="209">
        <f>IF($K589=0,0,MIN(1,$L589/$D589))</f>
        <v/>
      </c>
      <c r="N589" s="208">
        <f>IF($K589=0,$J589,(1-$M589)*$I589+$M589*$J589)</f>
        <v/>
      </c>
      <c r="O589" s="209">
        <f>IF($F589&lt;$B$563,$E$563+$I$563*($F589-$A$563),IF($F589&lt;$C$563,$F$563+$J$563*($F589-$B$563),$G$563+$K$563*($F589-$C$563)))</f>
        <v/>
      </c>
      <c r="P589" s="208">
        <f>MIN(1,MAX(0,(nr_MEndPm1-$G589+0.5)/$C$562))-MIN(1,MAX(0,(nr_MStartPm1-1-$G589+0.5)/$C$562))</f>
        <v/>
      </c>
      <c r="Q589" s="208">
        <f>MIN(1,MAX(0,(nr_MEndP-$G589+0.5)/$C$562))-MIN(1,MAX(0,(nr_MStartP-1-$G589+0.5)/$C$562))</f>
        <v/>
      </c>
      <c r="R589" s="208">
        <f>MIN(1,MAX(0,(nr_MEndP1-$G589+0.5)/$C$562))-MIN(1,MAX(0,(nr_MStartP1-1-$G589+0.5)/$C$562))</f>
        <v/>
      </c>
      <c r="S589" s="208">
        <f>IF($L$562,$N589*IF($O$562=1,$O589/$F$562,1),"")</f>
        <v/>
      </c>
      <c r="T589" s="208">
        <f>IF(NOT($L$562),"",IF($G589&lt;nr_MStartP,$S589,$T577*(1+IF($G589&lt;nr_MStartP1,$M$562,$N$562))))</f>
        <v/>
      </c>
      <c r="U589" s="208">
        <f>IF($L$562,$T589,$N589)</f>
        <v/>
      </c>
    </row>
    <row r="590">
      <c r="A590" s="145" t="n">
        <v>26</v>
      </c>
      <c r="B590" s="204">
        <f>EDATE($B589,1)</f>
        <v/>
      </c>
      <c r="C590" s="205">
        <f>EOMONTH($B590,0)</f>
        <v/>
      </c>
      <c r="D590" s="201">
        <f>$C590-$B590+1</f>
        <v/>
      </c>
      <c r="E590" s="201">
        <f>MONTH($B590)</f>
        <v/>
      </c>
      <c r="F590" s="235">
        <f>($B590+$C590+1)/2</f>
        <v/>
      </c>
      <c r="G590" s="201">
        <f>YEAR($B590)*12+MONTH($B590)-1</f>
        <v/>
      </c>
      <c r="H590" s="207">
        <f>IF(OR(nr_SeasonOn="OFF",$D$562=0,$E$562=0),1,12*INDEX(se_block,$D$562,$E590)/$E$562)</f>
        <v/>
      </c>
      <c r="I590" s="208">
        <f>EXP(SUMPRODUCT((rl_eff&lt;$B590)*(rl_key=$A$562)*rl_ln1p))</f>
        <v/>
      </c>
      <c r="J590" s="208">
        <f>EXP(SUMPRODUCT((rl_eff&lt;=$C590)*(rl_key=$A$562)*rl_ln1p))</f>
        <v/>
      </c>
      <c r="K590" s="201">
        <f>COUNTIFS(rl_key,$A$562,rl_eff,"&gt;="&amp;$B590,rl_eff,"&lt;="&amp;$C590)</f>
        <v/>
      </c>
      <c r="L590" s="201">
        <f>SUMIFS(rl_daysafter,rl_key,$A$562,rl_effmonth,$B590,rl_first,1)</f>
        <v/>
      </c>
      <c r="M590" s="209">
        <f>IF($K590=0,0,MIN(1,$L590/$D590))</f>
        <v/>
      </c>
      <c r="N590" s="208">
        <f>IF($K590=0,$J590,(1-$M590)*$I590+$M590*$J590)</f>
        <v/>
      </c>
      <c r="O590" s="209">
        <f>IF($F590&lt;$B$563,$E$563+$I$563*($F590-$A$563),IF($F590&lt;$C$563,$F$563+$J$563*($F590-$B$563),$G$563+$K$563*($F590-$C$563)))</f>
        <v/>
      </c>
      <c r="P590" s="208">
        <f>MIN(1,MAX(0,(nr_MEndPm1-$G590+0.5)/$C$562))-MIN(1,MAX(0,(nr_MStartPm1-1-$G590+0.5)/$C$562))</f>
        <v/>
      </c>
      <c r="Q590" s="208">
        <f>MIN(1,MAX(0,(nr_MEndP-$G590+0.5)/$C$562))-MIN(1,MAX(0,(nr_MStartP-1-$G590+0.5)/$C$562))</f>
        <v/>
      </c>
      <c r="R590" s="208">
        <f>MIN(1,MAX(0,(nr_MEndP1-$G590+0.5)/$C$562))-MIN(1,MAX(0,(nr_MStartP1-1-$G590+0.5)/$C$562))</f>
        <v/>
      </c>
      <c r="S590" s="208">
        <f>IF($L$562,$N590*IF($O$562=1,$O590/$F$562,1),"")</f>
        <v/>
      </c>
      <c r="T590" s="208">
        <f>IF(NOT($L$562),"",IF($G590&lt;nr_MStartP,$S590,$T578*(1+IF($G590&lt;nr_MStartP1,$M$562,$N$562))))</f>
        <v/>
      </c>
      <c r="U590" s="208">
        <f>IF($L$562,$T590,$N590)</f>
        <v/>
      </c>
    </row>
    <row r="591">
      <c r="A591" s="145" t="n">
        <v>27</v>
      </c>
      <c r="B591" s="204">
        <f>EDATE($B590,1)</f>
        <v/>
      </c>
      <c r="C591" s="205">
        <f>EOMONTH($B591,0)</f>
        <v/>
      </c>
      <c r="D591" s="201">
        <f>$C591-$B591+1</f>
        <v/>
      </c>
      <c r="E591" s="201">
        <f>MONTH($B591)</f>
        <v/>
      </c>
      <c r="F591" s="235">
        <f>($B591+$C591+1)/2</f>
        <v/>
      </c>
      <c r="G591" s="201">
        <f>YEAR($B591)*12+MONTH($B591)-1</f>
        <v/>
      </c>
      <c r="H591" s="207">
        <f>IF(OR(nr_SeasonOn="OFF",$D$562=0,$E$562=0),1,12*INDEX(se_block,$D$562,$E591)/$E$562)</f>
        <v/>
      </c>
      <c r="I591" s="208">
        <f>EXP(SUMPRODUCT((rl_eff&lt;$B591)*(rl_key=$A$562)*rl_ln1p))</f>
        <v/>
      </c>
      <c r="J591" s="208">
        <f>EXP(SUMPRODUCT((rl_eff&lt;=$C591)*(rl_key=$A$562)*rl_ln1p))</f>
        <v/>
      </c>
      <c r="K591" s="201">
        <f>COUNTIFS(rl_key,$A$562,rl_eff,"&gt;="&amp;$B591,rl_eff,"&lt;="&amp;$C591)</f>
        <v/>
      </c>
      <c r="L591" s="201">
        <f>SUMIFS(rl_daysafter,rl_key,$A$562,rl_effmonth,$B591,rl_first,1)</f>
        <v/>
      </c>
      <c r="M591" s="209">
        <f>IF($K591=0,0,MIN(1,$L591/$D591))</f>
        <v/>
      </c>
      <c r="N591" s="208">
        <f>IF($K591=0,$J591,(1-$M591)*$I591+$M591*$J591)</f>
        <v/>
      </c>
      <c r="O591" s="209">
        <f>IF($F591&lt;$B$563,$E$563+$I$563*($F591-$A$563),IF($F591&lt;$C$563,$F$563+$J$563*($F591-$B$563),$G$563+$K$563*($F591-$C$563)))</f>
        <v/>
      </c>
      <c r="P591" s="208">
        <f>MIN(1,MAX(0,(nr_MEndPm1-$G591+0.5)/$C$562))-MIN(1,MAX(0,(nr_MStartPm1-1-$G591+0.5)/$C$562))</f>
        <v/>
      </c>
      <c r="Q591" s="208">
        <f>MIN(1,MAX(0,(nr_MEndP-$G591+0.5)/$C$562))-MIN(1,MAX(0,(nr_MStartP-1-$G591+0.5)/$C$562))</f>
        <v/>
      </c>
      <c r="R591" s="208">
        <f>MIN(1,MAX(0,(nr_MEndP1-$G591+0.5)/$C$562))-MIN(1,MAX(0,(nr_MStartP1-1-$G591+0.5)/$C$562))</f>
        <v/>
      </c>
      <c r="S591" s="208">
        <f>IF($L$562,$N591*IF($O$562=1,$O591/$F$562,1),"")</f>
        <v/>
      </c>
      <c r="T591" s="208">
        <f>IF(NOT($L$562),"",IF($G591&lt;nr_MStartP,$S591,$T579*(1+IF($G591&lt;nr_MStartP1,$M$562,$N$562))))</f>
        <v/>
      </c>
      <c r="U591" s="208">
        <f>IF($L$562,$T591,$N591)</f>
        <v/>
      </c>
    </row>
    <row r="592">
      <c r="A592" s="145" t="n">
        <v>28</v>
      </c>
      <c r="B592" s="204">
        <f>EDATE($B591,1)</f>
        <v/>
      </c>
      <c r="C592" s="205">
        <f>EOMONTH($B592,0)</f>
        <v/>
      </c>
      <c r="D592" s="201">
        <f>$C592-$B592+1</f>
        <v/>
      </c>
      <c r="E592" s="201">
        <f>MONTH($B592)</f>
        <v/>
      </c>
      <c r="F592" s="235">
        <f>($B592+$C592+1)/2</f>
        <v/>
      </c>
      <c r="G592" s="201">
        <f>YEAR($B592)*12+MONTH($B592)-1</f>
        <v/>
      </c>
      <c r="H592" s="207">
        <f>IF(OR(nr_SeasonOn="OFF",$D$562=0,$E$562=0),1,12*INDEX(se_block,$D$562,$E592)/$E$562)</f>
        <v/>
      </c>
      <c r="I592" s="208">
        <f>EXP(SUMPRODUCT((rl_eff&lt;$B592)*(rl_key=$A$562)*rl_ln1p))</f>
        <v/>
      </c>
      <c r="J592" s="208">
        <f>EXP(SUMPRODUCT((rl_eff&lt;=$C592)*(rl_key=$A$562)*rl_ln1p))</f>
        <v/>
      </c>
      <c r="K592" s="201">
        <f>COUNTIFS(rl_key,$A$562,rl_eff,"&gt;="&amp;$B592,rl_eff,"&lt;="&amp;$C592)</f>
        <v/>
      </c>
      <c r="L592" s="201">
        <f>SUMIFS(rl_daysafter,rl_key,$A$562,rl_effmonth,$B592,rl_first,1)</f>
        <v/>
      </c>
      <c r="M592" s="209">
        <f>IF($K592=0,0,MIN(1,$L592/$D592))</f>
        <v/>
      </c>
      <c r="N592" s="208">
        <f>IF($K592=0,$J592,(1-$M592)*$I592+$M592*$J592)</f>
        <v/>
      </c>
      <c r="O592" s="209">
        <f>IF($F592&lt;$B$563,$E$563+$I$563*($F592-$A$563),IF($F592&lt;$C$563,$F$563+$J$563*($F592-$B$563),$G$563+$K$563*($F592-$C$563)))</f>
        <v/>
      </c>
      <c r="P592" s="208">
        <f>MIN(1,MAX(0,(nr_MEndPm1-$G592+0.5)/$C$562))-MIN(1,MAX(0,(nr_MStartPm1-1-$G592+0.5)/$C$562))</f>
        <v/>
      </c>
      <c r="Q592" s="208">
        <f>MIN(1,MAX(0,(nr_MEndP-$G592+0.5)/$C$562))-MIN(1,MAX(0,(nr_MStartP-1-$G592+0.5)/$C$562))</f>
        <v/>
      </c>
      <c r="R592" s="208">
        <f>MIN(1,MAX(0,(nr_MEndP1-$G592+0.5)/$C$562))-MIN(1,MAX(0,(nr_MStartP1-1-$G592+0.5)/$C$562))</f>
        <v/>
      </c>
      <c r="S592" s="208">
        <f>IF($L$562,$N592*IF($O$562=1,$O592/$F$562,1),"")</f>
        <v/>
      </c>
      <c r="T592" s="208">
        <f>IF(NOT($L$562),"",IF($G592&lt;nr_MStartP,$S592,$T580*(1+IF($G592&lt;nr_MStartP1,$M$562,$N$562))))</f>
        <v/>
      </c>
      <c r="U592" s="208">
        <f>IF($L$562,$T592,$N592)</f>
        <v/>
      </c>
    </row>
    <row r="593">
      <c r="A593" s="145" t="n">
        <v>29</v>
      </c>
      <c r="B593" s="204">
        <f>EDATE($B592,1)</f>
        <v/>
      </c>
      <c r="C593" s="205">
        <f>EOMONTH($B593,0)</f>
        <v/>
      </c>
      <c r="D593" s="201">
        <f>$C593-$B593+1</f>
        <v/>
      </c>
      <c r="E593" s="201">
        <f>MONTH($B593)</f>
        <v/>
      </c>
      <c r="F593" s="235">
        <f>($B593+$C593+1)/2</f>
        <v/>
      </c>
      <c r="G593" s="201">
        <f>YEAR($B593)*12+MONTH($B593)-1</f>
        <v/>
      </c>
      <c r="H593" s="207">
        <f>IF(OR(nr_SeasonOn="OFF",$D$562=0,$E$562=0),1,12*INDEX(se_block,$D$562,$E593)/$E$562)</f>
        <v/>
      </c>
      <c r="I593" s="208">
        <f>EXP(SUMPRODUCT((rl_eff&lt;$B593)*(rl_key=$A$562)*rl_ln1p))</f>
        <v/>
      </c>
      <c r="J593" s="208">
        <f>EXP(SUMPRODUCT((rl_eff&lt;=$C593)*(rl_key=$A$562)*rl_ln1p))</f>
        <v/>
      </c>
      <c r="K593" s="201">
        <f>COUNTIFS(rl_key,$A$562,rl_eff,"&gt;="&amp;$B593,rl_eff,"&lt;="&amp;$C593)</f>
        <v/>
      </c>
      <c r="L593" s="201">
        <f>SUMIFS(rl_daysafter,rl_key,$A$562,rl_effmonth,$B593,rl_first,1)</f>
        <v/>
      </c>
      <c r="M593" s="209">
        <f>IF($K593=0,0,MIN(1,$L593/$D593))</f>
        <v/>
      </c>
      <c r="N593" s="208">
        <f>IF($K593=0,$J593,(1-$M593)*$I593+$M593*$J593)</f>
        <v/>
      </c>
      <c r="O593" s="209">
        <f>IF($F593&lt;$B$563,$E$563+$I$563*($F593-$A$563),IF($F593&lt;$C$563,$F$563+$J$563*($F593-$B$563),$G$563+$K$563*($F593-$C$563)))</f>
        <v/>
      </c>
      <c r="P593" s="208">
        <f>MIN(1,MAX(0,(nr_MEndPm1-$G593+0.5)/$C$562))-MIN(1,MAX(0,(nr_MStartPm1-1-$G593+0.5)/$C$562))</f>
        <v/>
      </c>
      <c r="Q593" s="208">
        <f>MIN(1,MAX(0,(nr_MEndP-$G593+0.5)/$C$562))-MIN(1,MAX(0,(nr_MStartP-1-$G593+0.5)/$C$562))</f>
        <v/>
      </c>
      <c r="R593" s="208">
        <f>MIN(1,MAX(0,(nr_MEndP1-$G593+0.5)/$C$562))-MIN(1,MAX(0,(nr_MStartP1-1-$G593+0.5)/$C$562))</f>
        <v/>
      </c>
      <c r="S593" s="208">
        <f>IF($L$562,$N593*IF($O$562=1,$O593/$F$562,1),"")</f>
        <v/>
      </c>
      <c r="T593" s="208">
        <f>IF(NOT($L$562),"",IF($G593&lt;nr_MStartP,$S593,$T581*(1+IF($G593&lt;nr_MStartP1,$M$562,$N$562))))</f>
        <v/>
      </c>
      <c r="U593" s="208">
        <f>IF($L$562,$T593,$N593)</f>
        <v/>
      </c>
    </row>
    <row r="594">
      <c r="A594" s="145" t="n">
        <v>30</v>
      </c>
      <c r="B594" s="204">
        <f>EDATE($B593,1)</f>
        <v/>
      </c>
      <c r="C594" s="205">
        <f>EOMONTH($B594,0)</f>
        <v/>
      </c>
      <c r="D594" s="201">
        <f>$C594-$B594+1</f>
        <v/>
      </c>
      <c r="E594" s="201">
        <f>MONTH($B594)</f>
        <v/>
      </c>
      <c r="F594" s="235">
        <f>($B594+$C594+1)/2</f>
        <v/>
      </c>
      <c r="G594" s="201">
        <f>YEAR($B594)*12+MONTH($B594)-1</f>
        <v/>
      </c>
      <c r="H594" s="207">
        <f>IF(OR(nr_SeasonOn="OFF",$D$562=0,$E$562=0),1,12*INDEX(se_block,$D$562,$E594)/$E$562)</f>
        <v/>
      </c>
      <c r="I594" s="208">
        <f>EXP(SUMPRODUCT((rl_eff&lt;$B594)*(rl_key=$A$562)*rl_ln1p))</f>
        <v/>
      </c>
      <c r="J594" s="208">
        <f>EXP(SUMPRODUCT((rl_eff&lt;=$C594)*(rl_key=$A$562)*rl_ln1p))</f>
        <v/>
      </c>
      <c r="K594" s="201">
        <f>COUNTIFS(rl_key,$A$562,rl_eff,"&gt;="&amp;$B594,rl_eff,"&lt;="&amp;$C594)</f>
        <v/>
      </c>
      <c r="L594" s="201">
        <f>SUMIFS(rl_daysafter,rl_key,$A$562,rl_effmonth,$B594,rl_first,1)</f>
        <v/>
      </c>
      <c r="M594" s="209">
        <f>IF($K594=0,0,MIN(1,$L594/$D594))</f>
        <v/>
      </c>
      <c r="N594" s="208">
        <f>IF($K594=0,$J594,(1-$M594)*$I594+$M594*$J594)</f>
        <v/>
      </c>
      <c r="O594" s="209">
        <f>IF($F594&lt;$B$563,$E$563+$I$563*($F594-$A$563),IF($F594&lt;$C$563,$F$563+$J$563*($F594-$B$563),$G$563+$K$563*($F594-$C$563)))</f>
        <v/>
      </c>
      <c r="P594" s="208">
        <f>MIN(1,MAX(0,(nr_MEndPm1-$G594+0.5)/$C$562))-MIN(1,MAX(0,(nr_MStartPm1-1-$G594+0.5)/$C$562))</f>
        <v/>
      </c>
      <c r="Q594" s="208">
        <f>MIN(1,MAX(0,(nr_MEndP-$G594+0.5)/$C$562))-MIN(1,MAX(0,(nr_MStartP-1-$G594+0.5)/$C$562))</f>
        <v/>
      </c>
      <c r="R594" s="208">
        <f>MIN(1,MAX(0,(nr_MEndP1-$G594+0.5)/$C$562))-MIN(1,MAX(0,(nr_MStartP1-1-$G594+0.5)/$C$562))</f>
        <v/>
      </c>
      <c r="S594" s="208">
        <f>IF($L$562,$N594*IF($O$562=1,$O594/$F$562,1),"")</f>
        <v/>
      </c>
      <c r="T594" s="208">
        <f>IF(NOT($L$562),"",IF($G594&lt;nr_MStartP,$S594,$T582*(1+IF($G594&lt;nr_MStartP1,$M$562,$N$562))))</f>
        <v/>
      </c>
      <c r="U594" s="208">
        <f>IF($L$562,$T594,$N594)</f>
        <v/>
      </c>
    </row>
    <row r="595">
      <c r="A595" s="145" t="n">
        <v>31</v>
      </c>
      <c r="B595" s="204">
        <f>EDATE($B594,1)</f>
        <v/>
      </c>
      <c r="C595" s="205">
        <f>EOMONTH($B595,0)</f>
        <v/>
      </c>
      <c r="D595" s="201">
        <f>$C595-$B595+1</f>
        <v/>
      </c>
      <c r="E595" s="201">
        <f>MONTH($B595)</f>
        <v/>
      </c>
      <c r="F595" s="235">
        <f>($B595+$C595+1)/2</f>
        <v/>
      </c>
      <c r="G595" s="201">
        <f>YEAR($B595)*12+MONTH($B595)-1</f>
        <v/>
      </c>
      <c r="H595" s="207">
        <f>IF(OR(nr_SeasonOn="OFF",$D$562=0,$E$562=0),1,12*INDEX(se_block,$D$562,$E595)/$E$562)</f>
        <v/>
      </c>
      <c r="I595" s="208">
        <f>EXP(SUMPRODUCT((rl_eff&lt;$B595)*(rl_key=$A$562)*rl_ln1p))</f>
        <v/>
      </c>
      <c r="J595" s="208">
        <f>EXP(SUMPRODUCT((rl_eff&lt;=$C595)*(rl_key=$A$562)*rl_ln1p))</f>
        <v/>
      </c>
      <c r="K595" s="201">
        <f>COUNTIFS(rl_key,$A$562,rl_eff,"&gt;="&amp;$B595,rl_eff,"&lt;="&amp;$C595)</f>
        <v/>
      </c>
      <c r="L595" s="201">
        <f>SUMIFS(rl_daysafter,rl_key,$A$562,rl_effmonth,$B595,rl_first,1)</f>
        <v/>
      </c>
      <c r="M595" s="209">
        <f>IF($K595=0,0,MIN(1,$L595/$D595))</f>
        <v/>
      </c>
      <c r="N595" s="208">
        <f>IF($K595=0,$J595,(1-$M595)*$I595+$M595*$J595)</f>
        <v/>
      </c>
      <c r="O595" s="209">
        <f>IF($F595&lt;$B$563,$E$563+$I$563*($F595-$A$563),IF($F595&lt;$C$563,$F$563+$J$563*($F595-$B$563),$G$563+$K$563*($F595-$C$563)))</f>
        <v/>
      </c>
      <c r="P595" s="208">
        <f>MIN(1,MAX(0,(nr_MEndPm1-$G595+0.5)/$C$562))-MIN(1,MAX(0,(nr_MStartPm1-1-$G595+0.5)/$C$562))</f>
        <v/>
      </c>
      <c r="Q595" s="208">
        <f>MIN(1,MAX(0,(nr_MEndP-$G595+0.5)/$C$562))-MIN(1,MAX(0,(nr_MStartP-1-$G595+0.5)/$C$562))</f>
        <v/>
      </c>
      <c r="R595" s="208">
        <f>MIN(1,MAX(0,(nr_MEndP1-$G595+0.5)/$C$562))-MIN(1,MAX(0,(nr_MStartP1-1-$G595+0.5)/$C$562))</f>
        <v/>
      </c>
      <c r="S595" s="208">
        <f>IF($L$562,$N595*IF($O$562=1,$O595/$F$562,1),"")</f>
        <v/>
      </c>
      <c r="T595" s="208">
        <f>IF(NOT($L$562),"",IF($G595&lt;nr_MStartP,$S595,$T583*(1+IF($G595&lt;nr_MStartP1,$M$562,$N$562))))</f>
        <v/>
      </c>
      <c r="U595" s="208">
        <f>IF($L$562,$T595,$N595)</f>
        <v/>
      </c>
    </row>
    <row r="596">
      <c r="A596" s="145" t="n">
        <v>32</v>
      </c>
      <c r="B596" s="204">
        <f>EDATE($B595,1)</f>
        <v/>
      </c>
      <c r="C596" s="205">
        <f>EOMONTH($B596,0)</f>
        <v/>
      </c>
      <c r="D596" s="201">
        <f>$C596-$B596+1</f>
        <v/>
      </c>
      <c r="E596" s="201">
        <f>MONTH($B596)</f>
        <v/>
      </c>
      <c r="F596" s="235">
        <f>($B596+$C596+1)/2</f>
        <v/>
      </c>
      <c r="G596" s="201">
        <f>YEAR($B596)*12+MONTH($B596)-1</f>
        <v/>
      </c>
      <c r="H596" s="207">
        <f>IF(OR(nr_SeasonOn="OFF",$D$562=0,$E$562=0),1,12*INDEX(se_block,$D$562,$E596)/$E$562)</f>
        <v/>
      </c>
      <c r="I596" s="208">
        <f>EXP(SUMPRODUCT((rl_eff&lt;$B596)*(rl_key=$A$562)*rl_ln1p))</f>
        <v/>
      </c>
      <c r="J596" s="208">
        <f>EXP(SUMPRODUCT((rl_eff&lt;=$C596)*(rl_key=$A$562)*rl_ln1p))</f>
        <v/>
      </c>
      <c r="K596" s="201">
        <f>COUNTIFS(rl_key,$A$562,rl_eff,"&gt;="&amp;$B596,rl_eff,"&lt;="&amp;$C596)</f>
        <v/>
      </c>
      <c r="L596" s="201">
        <f>SUMIFS(rl_daysafter,rl_key,$A$562,rl_effmonth,$B596,rl_first,1)</f>
        <v/>
      </c>
      <c r="M596" s="209">
        <f>IF($K596=0,0,MIN(1,$L596/$D596))</f>
        <v/>
      </c>
      <c r="N596" s="208">
        <f>IF($K596=0,$J596,(1-$M596)*$I596+$M596*$J596)</f>
        <v/>
      </c>
      <c r="O596" s="209">
        <f>IF($F596&lt;$B$563,$E$563+$I$563*($F596-$A$563),IF($F596&lt;$C$563,$F$563+$J$563*($F596-$B$563),$G$563+$K$563*($F596-$C$563)))</f>
        <v/>
      </c>
      <c r="P596" s="208">
        <f>MIN(1,MAX(0,(nr_MEndPm1-$G596+0.5)/$C$562))-MIN(1,MAX(0,(nr_MStartPm1-1-$G596+0.5)/$C$562))</f>
        <v/>
      </c>
      <c r="Q596" s="208">
        <f>MIN(1,MAX(0,(nr_MEndP-$G596+0.5)/$C$562))-MIN(1,MAX(0,(nr_MStartP-1-$G596+0.5)/$C$562))</f>
        <v/>
      </c>
      <c r="R596" s="208">
        <f>MIN(1,MAX(0,(nr_MEndP1-$G596+0.5)/$C$562))-MIN(1,MAX(0,(nr_MStartP1-1-$G596+0.5)/$C$562))</f>
        <v/>
      </c>
      <c r="S596" s="208">
        <f>IF($L$562,$N596*IF($O$562=1,$O596/$F$562,1),"")</f>
        <v/>
      </c>
      <c r="T596" s="208">
        <f>IF(NOT($L$562),"",IF($G596&lt;nr_MStartP,$S596,$T584*(1+IF($G596&lt;nr_MStartP1,$M$562,$N$562))))</f>
        <v/>
      </c>
      <c r="U596" s="208">
        <f>IF($L$562,$T596,$N596)</f>
        <v/>
      </c>
    </row>
    <row r="597">
      <c r="A597" s="145" t="n">
        <v>33</v>
      </c>
      <c r="B597" s="204">
        <f>EDATE($B596,1)</f>
        <v/>
      </c>
      <c r="C597" s="205">
        <f>EOMONTH($B597,0)</f>
        <v/>
      </c>
      <c r="D597" s="201">
        <f>$C597-$B597+1</f>
        <v/>
      </c>
      <c r="E597" s="201">
        <f>MONTH($B597)</f>
        <v/>
      </c>
      <c r="F597" s="235">
        <f>($B597+$C597+1)/2</f>
        <v/>
      </c>
      <c r="G597" s="201">
        <f>YEAR($B597)*12+MONTH($B597)-1</f>
        <v/>
      </c>
      <c r="H597" s="207">
        <f>IF(OR(nr_SeasonOn="OFF",$D$562=0,$E$562=0),1,12*INDEX(se_block,$D$562,$E597)/$E$562)</f>
        <v/>
      </c>
      <c r="I597" s="208">
        <f>EXP(SUMPRODUCT((rl_eff&lt;$B597)*(rl_key=$A$562)*rl_ln1p))</f>
        <v/>
      </c>
      <c r="J597" s="208">
        <f>EXP(SUMPRODUCT((rl_eff&lt;=$C597)*(rl_key=$A$562)*rl_ln1p))</f>
        <v/>
      </c>
      <c r="K597" s="201">
        <f>COUNTIFS(rl_key,$A$562,rl_eff,"&gt;="&amp;$B597,rl_eff,"&lt;="&amp;$C597)</f>
        <v/>
      </c>
      <c r="L597" s="201">
        <f>SUMIFS(rl_daysafter,rl_key,$A$562,rl_effmonth,$B597,rl_first,1)</f>
        <v/>
      </c>
      <c r="M597" s="209">
        <f>IF($K597=0,0,MIN(1,$L597/$D597))</f>
        <v/>
      </c>
      <c r="N597" s="208">
        <f>IF($K597=0,$J597,(1-$M597)*$I597+$M597*$J597)</f>
        <v/>
      </c>
      <c r="O597" s="209">
        <f>IF($F597&lt;$B$563,$E$563+$I$563*($F597-$A$563),IF($F597&lt;$C$563,$F$563+$J$563*($F597-$B$563),$G$563+$K$563*($F597-$C$563)))</f>
        <v/>
      </c>
      <c r="P597" s="208">
        <f>MIN(1,MAX(0,(nr_MEndPm1-$G597+0.5)/$C$562))-MIN(1,MAX(0,(nr_MStartPm1-1-$G597+0.5)/$C$562))</f>
        <v/>
      </c>
      <c r="Q597" s="208">
        <f>MIN(1,MAX(0,(nr_MEndP-$G597+0.5)/$C$562))-MIN(1,MAX(0,(nr_MStartP-1-$G597+0.5)/$C$562))</f>
        <v/>
      </c>
      <c r="R597" s="208">
        <f>MIN(1,MAX(0,(nr_MEndP1-$G597+0.5)/$C$562))-MIN(1,MAX(0,(nr_MStartP1-1-$G597+0.5)/$C$562))</f>
        <v/>
      </c>
      <c r="S597" s="208">
        <f>IF($L$562,$N597*IF($O$562=1,$O597/$F$562,1),"")</f>
        <v/>
      </c>
      <c r="T597" s="208">
        <f>IF(NOT($L$562),"",IF($G597&lt;nr_MStartP,$S597,$T585*(1+IF($G597&lt;nr_MStartP1,$M$562,$N$562))))</f>
        <v/>
      </c>
      <c r="U597" s="208">
        <f>IF($L$562,$T597,$N597)</f>
        <v/>
      </c>
    </row>
    <row r="598">
      <c r="A598" s="145" t="n">
        <v>34</v>
      </c>
      <c r="B598" s="204">
        <f>EDATE($B597,1)</f>
        <v/>
      </c>
      <c r="C598" s="205">
        <f>EOMONTH($B598,0)</f>
        <v/>
      </c>
      <c r="D598" s="201">
        <f>$C598-$B598+1</f>
        <v/>
      </c>
      <c r="E598" s="201">
        <f>MONTH($B598)</f>
        <v/>
      </c>
      <c r="F598" s="235">
        <f>($B598+$C598+1)/2</f>
        <v/>
      </c>
      <c r="G598" s="201">
        <f>YEAR($B598)*12+MONTH($B598)-1</f>
        <v/>
      </c>
      <c r="H598" s="207">
        <f>IF(OR(nr_SeasonOn="OFF",$D$562=0,$E$562=0),1,12*INDEX(se_block,$D$562,$E598)/$E$562)</f>
        <v/>
      </c>
      <c r="I598" s="208">
        <f>EXP(SUMPRODUCT((rl_eff&lt;$B598)*(rl_key=$A$562)*rl_ln1p))</f>
        <v/>
      </c>
      <c r="J598" s="208">
        <f>EXP(SUMPRODUCT((rl_eff&lt;=$C598)*(rl_key=$A$562)*rl_ln1p))</f>
        <v/>
      </c>
      <c r="K598" s="201">
        <f>COUNTIFS(rl_key,$A$562,rl_eff,"&gt;="&amp;$B598,rl_eff,"&lt;="&amp;$C598)</f>
        <v/>
      </c>
      <c r="L598" s="201">
        <f>SUMIFS(rl_daysafter,rl_key,$A$562,rl_effmonth,$B598,rl_first,1)</f>
        <v/>
      </c>
      <c r="M598" s="209">
        <f>IF($K598=0,0,MIN(1,$L598/$D598))</f>
        <v/>
      </c>
      <c r="N598" s="208">
        <f>IF($K598=0,$J598,(1-$M598)*$I598+$M598*$J598)</f>
        <v/>
      </c>
      <c r="O598" s="209">
        <f>IF($F598&lt;$B$563,$E$563+$I$563*($F598-$A$563),IF($F598&lt;$C$563,$F$563+$J$563*($F598-$B$563),$G$563+$K$563*($F598-$C$563)))</f>
        <v/>
      </c>
      <c r="P598" s="208">
        <f>MIN(1,MAX(0,(nr_MEndPm1-$G598+0.5)/$C$562))-MIN(1,MAX(0,(nr_MStartPm1-1-$G598+0.5)/$C$562))</f>
        <v/>
      </c>
      <c r="Q598" s="208">
        <f>MIN(1,MAX(0,(nr_MEndP-$G598+0.5)/$C$562))-MIN(1,MAX(0,(nr_MStartP-1-$G598+0.5)/$C$562))</f>
        <v/>
      </c>
      <c r="R598" s="208">
        <f>MIN(1,MAX(0,(nr_MEndP1-$G598+0.5)/$C$562))-MIN(1,MAX(0,(nr_MStartP1-1-$G598+0.5)/$C$562))</f>
        <v/>
      </c>
      <c r="S598" s="208">
        <f>IF($L$562,$N598*IF($O$562=1,$O598/$F$562,1),"")</f>
        <v/>
      </c>
      <c r="T598" s="208">
        <f>IF(NOT($L$562),"",IF($G598&lt;nr_MStartP,$S598,$T586*(1+IF($G598&lt;nr_MStartP1,$M$562,$N$562))))</f>
        <v/>
      </c>
      <c r="U598" s="208">
        <f>IF($L$562,$T598,$N598)</f>
        <v/>
      </c>
    </row>
    <row r="599">
      <c r="A599" s="145" t="n">
        <v>35</v>
      </c>
      <c r="B599" s="204">
        <f>EDATE($B598,1)</f>
        <v/>
      </c>
      <c r="C599" s="205">
        <f>EOMONTH($B599,0)</f>
        <v/>
      </c>
      <c r="D599" s="201">
        <f>$C599-$B599+1</f>
        <v/>
      </c>
      <c r="E599" s="201">
        <f>MONTH($B599)</f>
        <v/>
      </c>
      <c r="F599" s="235">
        <f>($B599+$C599+1)/2</f>
        <v/>
      </c>
      <c r="G599" s="201">
        <f>YEAR($B599)*12+MONTH($B599)-1</f>
        <v/>
      </c>
      <c r="H599" s="207">
        <f>IF(OR(nr_SeasonOn="OFF",$D$562=0,$E$562=0),1,12*INDEX(se_block,$D$562,$E599)/$E$562)</f>
        <v/>
      </c>
      <c r="I599" s="208">
        <f>EXP(SUMPRODUCT((rl_eff&lt;$B599)*(rl_key=$A$562)*rl_ln1p))</f>
        <v/>
      </c>
      <c r="J599" s="208">
        <f>EXP(SUMPRODUCT((rl_eff&lt;=$C599)*(rl_key=$A$562)*rl_ln1p))</f>
        <v/>
      </c>
      <c r="K599" s="201">
        <f>COUNTIFS(rl_key,$A$562,rl_eff,"&gt;="&amp;$B599,rl_eff,"&lt;="&amp;$C599)</f>
        <v/>
      </c>
      <c r="L599" s="201">
        <f>SUMIFS(rl_daysafter,rl_key,$A$562,rl_effmonth,$B599,rl_first,1)</f>
        <v/>
      </c>
      <c r="M599" s="209">
        <f>IF($K599=0,0,MIN(1,$L599/$D599))</f>
        <v/>
      </c>
      <c r="N599" s="208">
        <f>IF($K599=0,$J599,(1-$M599)*$I599+$M599*$J599)</f>
        <v/>
      </c>
      <c r="O599" s="209">
        <f>IF($F599&lt;$B$563,$E$563+$I$563*($F599-$A$563),IF($F599&lt;$C$563,$F$563+$J$563*($F599-$B$563),$G$563+$K$563*($F599-$C$563)))</f>
        <v/>
      </c>
      <c r="P599" s="208">
        <f>MIN(1,MAX(0,(nr_MEndPm1-$G599+0.5)/$C$562))-MIN(1,MAX(0,(nr_MStartPm1-1-$G599+0.5)/$C$562))</f>
        <v/>
      </c>
      <c r="Q599" s="208">
        <f>MIN(1,MAX(0,(nr_MEndP-$G599+0.5)/$C$562))-MIN(1,MAX(0,(nr_MStartP-1-$G599+0.5)/$C$562))</f>
        <v/>
      </c>
      <c r="R599" s="208">
        <f>MIN(1,MAX(0,(nr_MEndP1-$G599+0.5)/$C$562))-MIN(1,MAX(0,(nr_MStartP1-1-$G599+0.5)/$C$562))</f>
        <v/>
      </c>
      <c r="S599" s="208">
        <f>IF($L$562,$N599*IF($O$562=1,$O599/$F$562,1),"")</f>
        <v/>
      </c>
      <c r="T599" s="208">
        <f>IF(NOT($L$562),"",IF($G599&lt;nr_MStartP,$S599,$T587*(1+IF($G599&lt;nr_MStartP1,$M$562,$N$562))))</f>
        <v/>
      </c>
      <c r="U599" s="208">
        <f>IF($L$562,$T599,$N599)</f>
        <v/>
      </c>
    </row>
    <row r="600">
      <c r="A600" s="145" t="n">
        <v>36</v>
      </c>
      <c r="B600" s="204">
        <f>EDATE($B599,1)</f>
        <v/>
      </c>
      <c r="C600" s="205">
        <f>EOMONTH($B600,0)</f>
        <v/>
      </c>
      <c r="D600" s="201">
        <f>$C600-$B600+1</f>
        <v/>
      </c>
      <c r="E600" s="201">
        <f>MONTH($B600)</f>
        <v/>
      </c>
      <c r="F600" s="235">
        <f>($B600+$C600+1)/2</f>
        <v/>
      </c>
      <c r="G600" s="201">
        <f>YEAR($B600)*12+MONTH($B600)-1</f>
        <v/>
      </c>
      <c r="H600" s="207">
        <f>IF(OR(nr_SeasonOn="OFF",$D$562=0,$E$562=0),1,12*INDEX(se_block,$D$562,$E600)/$E$562)</f>
        <v/>
      </c>
      <c r="I600" s="208">
        <f>EXP(SUMPRODUCT((rl_eff&lt;$B600)*(rl_key=$A$562)*rl_ln1p))</f>
        <v/>
      </c>
      <c r="J600" s="208">
        <f>EXP(SUMPRODUCT((rl_eff&lt;=$C600)*(rl_key=$A$562)*rl_ln1p))</f>
        <v/>
      </c>
      <c r="K600" s="201">
        <f>COUNTIFS(rl_key,$A$562,rl_eff,"&gt;="&amp;$B600,rl_eff,"&lt;="&amp;$C600)</f>
        <v/>
      </c>
      <c r="L600" s="201">
        <f>SUMIFS(rl_daysafter,rl_key,$A$562,rl_effmonth,$B600,rl_first,1)</f>
        <v/>
      </c>
      <c r="M600" s="209">
        <f>IF($K600=0,0,MIN(1,$L600/$D600))</f>
        <v/>
      </c>
      <c r="N600" s="208">
        <f>IF($K600=0,$J600,(1-$M600)*$I600+$M600*$J600)</f>
        <v/>
      </c>
      <c r="O600" s="209">
        <f>IF($F600&lt;$B$563,$E$563+$I$563*($F600-$A$563),IF($F600&lt;$C$563,$F$563+$J$563*($F600-$B$563),$G$563+$K$563*($F600-$C$563)))</f>
        <v/>
      </c>
      <c r="P600" s="208">
        <f>MIN(1,MAX(0,(nr_MEndPm1-$G600+0.5)/$C$562))-MIN(1,MAX(0,(nr_MStartPm1-1-$G600+0.5)/$C$562))</f>
        <v/>
      </c>
      <c r="Q600" s="208">
        <f>MIN(1,MAX(0,(nr_MEndP-$G600+0.5)/$C$562))-MIN(1,MAX(0,(nr_MStartP-1-$G600+0.5)/$C$562))</f>
        <v/>
      </c>
      <c r="R600" s="208">
        <f>MIN(1,MAX(0,(nr_MEndP1-$G600+0.5)/$C$562))-MIN(1,MAX(0,(nr_MStartP1-1-$G600+0.5)/$C$562))</f>
        <v/>
      </c>
      <c r="S600" s="208">
        <f>IF($L$562,$N600*IF($O$562=1,$O600/$F$562,1),"")</f>
        <v/>
      </c>
      <c r="T600" s="208">
        <f>IF(NOT($L$562),"",IF($G600&lt;nr_MStartP,$S600,$T588*(1+IF($G600&lt;nr_MStartP1,$M$562,$N$562))))</f>
        <v/>
      </c>
      <c r="U600" s="208">
        <f>IF($L$562,$T600,$N600)</f>
        <v/>
      </c>
    </row>
    <row r="601">
      <c r="A601" s="145" t="n">
        <v>37</v>
      </c>
      <c r="B601" s="204">
        <f>EDATE($B600,1)</f>
        <v/>
      </c>
      <c r="C601" s="205">
        <f>EOMONTH($B601,0)</f>
        <v/>
      </c>
      <c r="D601" s="201">
        <f>$C601-$B601+1</f>
        <v/>
      </c>
      <c r="E601" s="201">
        <f>MONTH($B601)</f>
        <v/>
      </c>
      <c r="F601" s="235">
        <f>($B601+$C601+1)/2</f>
        <v/>
      </c>
      <c r="G601" s="201">
        <f>YEAR($B601)*12+MONTH($B601)-1</f>
        <v/>
      </c>
      <c r="H601" s="207">
        <f>IF(OR(nr_SeasonOn="OFF",$D$562=0,$E$562=0),1,12*INDEX(se_block,$D$562,$E601)/$E$562)</f>
        <v/>
      </c>
      <c r="I601" s="208">
        <f>EXP(SUMPRODUCT((rl_eff&lt;$B601)*(rl_key=$A$562)*rl_ln1p))</f>
        <v/>
      </c>
      <c r="J601" s="208">
        <f>EXP(SUMPRODUCT((rl_eff&lt;=$C601)*(rl_key=$A$562)*rl_ln1p))</f>
        <v/>
      </c>
      <c r="K601" s="201">
        <f>COUNTIFS(rl_key,$A$562,rl_eff,"&gt;="&amp;$B601,rl_eff,"&lt;="&amp;$C601)</f>
        <v/>
      </c>
      <c r="L601" s="201">
        <f>SUMIFS(rl_daysafter,rl_key,$A$562,rl_effmonth,$B601,rl_first,1)</f>
        <v/>
      </c>
      <c r="M601" s="209">
        <f>IF($K601=0,0,MIN(1,$L601/$D601))</f>
        <v/>
      </c>
      <c r="N601" s="208">
        <f>IF($K601=0,$J601,(1-$M601)*$I601+$M601*$J601)</f>
        <v/>
      </c>
      <c r="O601" s="209">
        <f>IF($F601&lt;$B$563,$E$563+$I$563*($F601-$A$563),IF($F601&lt;$C$563,$F$563+$J$563*($F601-$B$563),$G$563+$K$563*($F601-$C$563)))</f>
        <v/>
      </c>
      <c r="P601" s="208">
        <f>MIN(1,MAX(0,(nr_MEndPm1-$G601+0.5)/$C$562))-MIN(1,MAX(0,(nr_MStartPm1-1-$G601+0.5)/$C$562))</f>
        <v/>
      </c>
      <c r="Q601" s="208">
        <f>MIN(1,MAX(0,(nr_MEndP-$G601+0.5)/$C$562))-MIN(1,MAX(0,(nr_MStartP-1-$G601+0.5)/$C$562))</f>
        <v/>
      </c>
      <c r="R601" s="208">
        <f>MIN(1,MAX(0,(nr_MEndP1-$G601+0.5)/$C$562))-MIN(1,MAX(0,(nr_MStartP1-1-$G601+0.5)/$C$562))</f>
        <v/>
      </c>
      <c r="S601" s="208">
        <f>IF($L$562,$N601*IF($O$562=1,$O601/$F$562,1),"")</f>
        <v/>
      </c>
      <c r="T601" s="208">
        <f>IF(NOT($L$562),"",IF($G601&lt;nr_MStartP,$S601,$T589*(1+IF($G601&lt;nr_MStartP1,$M$562,$N$562))))</f>
        <v/>
      </c>
      <c r="U601" s="208">
        <f>IF($L$562,$T601,$N601)</f>
        <v/>
      </c>
    </row>
    <row r="602">
      <c r="A602" s="145" t="n">
        <v>38</v>
      </c>
      <c r="B602" s="204">
        <f>EDATE($B601,1)</f>
        <v/>
      </c>
      <c r="C602" s="205">
        <f>EOMONTH($B602,0)</f>
        <v/>
      </c>
      <c r="D602" s="201">
        <f>$C602-$B602+1</f>
        <v/>
      </c>
      <c r="E602" s="201">
        <f>MONTH($B602)</f>
        <v/>
      </c>
      <c r="F602" s="235">
        <f>($B602+$C602+1)/2</f>
        <v/>
      </c>
      <c r="G602" s="201">
        <f>YEAR($B602)*12+MONTH($B602)-1</f>
        <v/>
      </c>
      <c r="H602" s="207">
        <f>IF(OR(nr_SeasonOn="OFF",$D$562=0,$E$562=0),1,12*INDEX(se_block,$D$562,$E602)/$E$562)</f>
        <v/>
      </c>
      <c r="I602" s="208">
        <f>EXP(SUMPRODUCT((rl_eff&lt;$B602)*(rl_key=$A$562)*rl_ln1p))</f>
        <v/>
      </c>
      <c r="J602" s="208">
        <f>EXP(SUMPRODUCT((rl_eff&lt;=$C602)*(rl_key=$A$562)*rl_ln1p))</f>
        <v/>
      </c>
      <c r="K602" s="201">
        <f>COUNTIFS(rl_key,$A$562,rl_eff,"&gt;="&amp;$B602,rl_eff,"&lt;="&amp;$C602)</f>
        <v/>
      </c>
      <c r="L602" s="201">
        <f>SUMIFS(rl_daysafter,rl_key,$A$562,rl_effmonth,$B602,rl_first,1)</f>
        <v/>
      </c>
      <c r="M602" s="209">
        <f>IF($K602=0,0,MIN(1,$L602/$D602))</f>
        <v/>
      </c>
      <c r="N602" s="208">
        <f>IF($K602=0,$J602,(1-$M602)*$I602+$M602*$J602)</f>
        <v/>
      </c>
      <c r="O602" s="209">
        <f>IF($F602&lt;$B$563,$E$563+$I$563*($F602-$A$563),IF($F602&lt;$C$563,$F$563+$J$563*($F602-$B$563),$G$563+$K$563*($F602-$C$563)))</f>
        <v/>
      </c>
      <c r="P602" s="208">
        <f>MIN(1,MAX(0,(nr_MEndPm1-$G602+0.5)/$C$562))-MIN(1,MAX(0,(nr_MStartPm1-1-$G602+0.5)/$C$562))</f>
        <v/>
      </c>
      <c r="Q602" s="208">
        <f>MIN(1,MAX(0,(nr_MEndP-$G602+0.5)/$C$562))-MIN(1,MAX(0,(nr_MStartP-1-$G602+0.5)/$C$562))</f>
        <v/>
      </c>
      <c r="R602" s="208">
        <f>MIN(1,MAX(0,(nr_MEndP1-$G602+0.5)/$C$562))-MIN(1,MAX(0,(nr_MStartP1-1-$G602+0.5)/$C$562))</f>
        <v/>
      </c>
      <c r="S602" s="208">
        <f>IF($L$562,$N602*IF($O$562=1,$O602/$F$562,1),"")</f>
        <v/>
      </c>
      <c r="T602" s="208">
        <f>IF(NOT($L$562),"",IF($G602&lt;nr_MStartP,$S602,$T590*(1+IF($G602&lt;nr_MStartP1,$M$562,$N$562))))</f>
        <v/>
      </c>
      <c r="U602" s="208">
        <f>IF($L$562,$T602,$N602)</f>
        <v/>
      </c>
    </row>
    <row r="603">
      <c r="A603" s="145" t="n">
        <v>39</v>
      </c>
      <c r="B603" s="204">
        <f>EDATE($B602,1)</f>
        <v/>
      </c>
      <c r="C603" s="205">
        <f>EOMONTH($B603,0)</f>
        <v/>
      </c>
      <c r="D603" s="201">
        <f>$C603-$B603+1</f>
        <v/>
      </c>
      <c r="E603" s="201">
        <f>MONTH($B603)</f>
        <v/>
      </c>
      <c r="F603" s="235">
        <f>($B603+$C603+1)/2</f>
        <v/>
      </c>
      <c r="G603" s="201">
        <f>YEAR($B603)*12+MONTH($B603)-1</f>
        <v/>
      </c>
      <c r="H603" s="207">
        <f>IF(OR(nr_SeasonOn="OFF",$D$562=0,$E$562=0),1,12*INDEX(se_block,$D$562,$E603)/$E$562)</f>
        <v/>
      </c>
      <c r="I603" s="208">
        <f>EXP(SUMPRODUCT((rl_eff&lt;$B603)*(rl_key=$A$562)*rl_ln1p))</f>
        <v/>
      </c>
      <c r="J603" s="208">
        <f>EXP(SUMPRODUCT((rl_eff&lt;=$C603)*(rl_key=$A$562)*rl_ln1p))</f>
        <v/>
      </c>
      <c r="K603" s="201">
        <f>COUNTIFS(rl_key,$A$562,rl_eff,"&gt;="&amp;$B603,rl_eff,"&lt;="&amp;$C603)</f>
        <v/>
      </c>
      <c r="L603" s="201">
        <f>SUMIFS(rl_daysafter,rl_key,$A$562,rl_effmonth,$B603,rl_first,1)</f>
        <v/>
      </c>
      <c r="M603" s="209">
        <f>IF($K603=0,0,MIN(1,$L603/$D603))</f>
        <v/>
      </c>
      <c r="N603" s="208">
        <f>IF($K603=0,$J603,(1-$M603)*$I603+$M603*$J603)</f>
        <v/>
      </c>
      <c r="O603" s="209">
        <f>IF($F603&lt;$B$563,$E$563+$I$563*($F603-$A$563),IF($F603&lt;$C$563,$F$563+$J$563*($F603-$B$563),$G$563+$K$563*($F603-$C$563)))</f>
        <v/>
      </c>
      <c r="P603" s="208">
        <f>MIN(1,MAX(0,(nr_MEndPm1-$G603+0.5)/$C$562))-MIN(1,MAX(0,(nr_MStartPm1-1-$G603+0.5)/$C$562))</f>
        <v/>
      </c>
      <c r="Q603" s="208">
        <f>MIN(1,MAX(0,(nr_MEndP-$G603+0.5)/$C$562))-MIN(1,MAX(0,(nr_MStartP-1-$G603+0.5)/$C$562))</f>
        <v/>
      </c>
      <c r="R603" s="208">
        <f>MIN(1,MAX(0,(nr_MEndP1-$G603+0.5)/$C$562))-MIN(1,MAX(0,(nr_MStartP1-1-$G603+0.5)/$C$562))</f>
        <v/>
      </c>
      <c r="S603" s="208">
        <f>IF($L$562,$N603*IF($O$562=1,$O603/$F$562,1),"")</f>
        <v/>
      </c>
      <c r="T603" s="208">
        <f>IF(NOT($L$562),"",IF($G603&lt;nr_MStartP,$S603,$T591*(1+IF($G603&lt;nr_MStartP1,$M$562,$N$562))))</f>
        <v/>
      </c>
      <c r="U603" s="208">
        <f>IF($L$562,$T603,$N603)</f>
        <v/>
      </c>
    </row>
    <row r="604">
      <c r="A604" s="145" t="n">
        <v>40</v>
      </c>
      <c r="B604" s="204">
        <f>EDATE($B603,1)</f>
        <v/>
      </c>
      <c r="C604" s="205">
        <f>EOMONTH($B604,0)</f>
        <v/>
      </c>
      <c r="D604" s="201">
        <f>$C604-$B604+1</f>
        <v/>
      </c>
      <c r="E604" s="201">
        <f>MONTH($B604)</f>
        <v/>
      </c>
      <c r="F604" s="235">
        <f>($B604+$C604+1)/2</f>
        <v/>
      </c>
      <c r="G604" s="201">
        <f>YEAR($B604)*12+MONTH($B604)-1</f>
        <v/>
      </c>
      <c r="H604" s="207">
        <f>IF(OR(nr_SeasonOn="OFF",$D$562=0,$E$562=0),1,12*INDEX(se_block,$D$562,$E604)/$E$562)</f>
        <v/>
      </c>
      <c r="I604" s="208">
        <f>EXP(SUMPRODUCT((rl_eff&lt;$B604)*(rl_key=$A$562)*rl_ln1p))</f>
        <v/>
      </c>
      <c r="J604" s="208">
        <f>EXP(SUMPRODUCT((rl_eff&lt;=$C604)*(rl_key=$A$562)*rl_ln1p))</f>
        <v/>
      </c>
      <c r="K604" s="201">
        <f>COUNTIFS(rl_key,$A$562,rl_eff,"&gt;="&amp;$B604,rl_eff,"&lt;="&amp;$C604)</f>
        <v/>
      </c>
      <c r="L604" s="201">
        <f>SUMIFS(rl_daysafter,rl_key,$A$562,rl_effmonth,$B604,rl_first,1)</f>
        <v/>
      </c>
      <c r="M604" s="209">
        <f>IF($K604=0,0,MIN(1,$L604/$D604))</f>
        <v/>
      </c>
      <c r="N604" s="208">
        <f>IF($K604=0,$J604,(1-$M604)*$I604+$M604*$J604)</f>
        <v/>
      </c>
      <c r="O604" s="209">
        <f>IF($F604&lt;$B$563,$E$563+$I$563*($F604-$A$563),IF($F604&lt;$C$563,$F$563+$J$563*($F604-$B$563),$G$563+$K$563*($F604-$C$563)))</f>
        <v/>
      </c>
      <c r="P604" s="208">
        <f>MIN(1,MAX(0,(nr_MEndPm1-$G604+0.5)/$C$562))-MIN(1,MAX(0,(nr_MStartPm1-1-$G604+0.5)/$C$562))</f>
        <v/>
      </c>
      <c r="Q604" s="208">
        <f>MIN(1,MAX(0,(nr_MEndP-$G604+0.5)/$C$562))-MIN(1,MAX(0,(nr_MStartP-1-$G604+0.5)/$C$562))</f>
        <v/>
      </c>
      <c r="R604" s="208">
        <f>MIN(1,MAX(0,(nr_MEndP1-$G604+0.5)/$C$562))-MIN(1,MAX(0,(nr_MStartP1-1-$G604+0.5)/$C$562))</f>
        <v/>
      </c>
      <c r="S604" s="208">
        <f>IF($L$562,$N604*IF($O$562=1,$O604/$F$562,1),"")</f>
        <v/>
      </c>
      <c r="T604" s="208">
        <f>IF(NOT($L$562),"",IF($G604&lt;nr_MStartP,$S604,$T592*(1+IF($G604&lt;nr_MStartP1,$M$562,$N$562))))</f>
        <v/>
      </c>
      <c r="U604" s="208">
        <f>IF($L$562,$T604,$N604)</f>
        <v/>
      </c>
    </row>
    <row r="605">
      <c r="A605" s="145" t="n">
        <v>41</v>
      </c>
      <c r="B605" s="204">
        <f>EDATE($B604,1)</f>
        <v/>
      </c>
      <c r="C605" s="205">
        <f>EOMONTH($B605,0)</f>
        <v/>
      </c>
      <c r="D605" s="201">
        <f>$C605-$B605+1</f>
        <v/>
      </c>
      <c r="E605" s="201">
        <f>MONTH($B605)</f>
        <v/>
      </c>
      <c r="F605" s="235">
        <f>($B605+$C605+1)/2</f>
        <v/>
      </c>
      <c r="G605" s="201">
        <f>YEAR($B605)*12+MONTH($B605)-1</f>
        <v/>
      </c>
      <c r="H605" s="207">
        <f>IF(OR(nr_SeasonOn="OFF",$D$562=0,$E$562=0),1,12*INDEX(se_block,$D$562,$E605)/$E$562)</f>
        <v/>
      </c>
      <c r="I605" s="208">
        <f>EXP(SUMPRODUCT((rl_eff&lt;$B605)*(rl_key=$A$562)*rl_ln1p))</f>
        <v/>
      </c>
      <c r="J605" s="208">
        <f>EXP(SUMPRODUCT((rl_eff&lt;=$C605)*(rl_key=$A$562)*rl_ln1p))</f>
        <v/>
      </c>
      <c r="K605" s="201">
        <f>COUNTIFS(rl_key,$A$562,rl_eff,"&gt;="&amp;$B605,rl_eff,"&lt;="&amp;$C605)</f>
        <v/>
      </c>
      <c r="L605" s="201">
        <f>SUMIFS(rl_daysafter,rl_key,$A$562,rl_effmonth,$B605,rl_first,1)</f>
        <v/>
      </c>
      <c r="M605" s="209">
        <f>IF($K605=0,0,MIN(1,$L605/$D605))</f>
        <v/>
      </c>
      <c r="N605" s="208">
        <f>IF($K605=0,$J605,(1-$M605)*$I605+$M605*$J605)</f>
        <v/>
      </c>
      <c r="O605" s="209">
        <f>IF($F605&lt;$B$563,$E$563+$I$563*($F605-$A$563),IF($F605&lt;$C$563,$F$563+$J$563*($F605-$B$563),$G$563+$K$563*($F605-$C$563)))</f>
        <v/>
      </c>
      <c r="P605" s="208">
        <f>MIN(1,MAX(0,(nr_MEndPm1-$G605+0.5)/$C$562))-MIN(1,MAX(0,(nr_MStartPm1-1-$G605+0.5)/$C$562))</f>
        <v/>
      </c>
      <c r="Q605" s="208">
        <f>MIN(1,MAX(0,(nr_MEndP-$G605+0.5)/$C$562))-MIN(1,MAX(0,(nr_MStartP-1-$G605+0.5)/$C$562))</f>
        <v/>
      </c>
      <c r="R605" s="208">
        <f>MIN(1,MAX(0,(nr_MEndP1-$G605+0.5)/$C$562))-MIN(1,MAX(0,(nr_MStartP1-1-$G605+0.5)/$C$562))</f>
        <v/>
      </c>
      <c r="S605" s="208">
        <f>IF($L$562,$N605*IF($O$562=1,$O605/$F$562,1),"")</f>
        <v/>
      </c>
      <c r="T605" s="208">
        <f>IF(NOT($L$562),"",IF($G605&lt;nr_MStartP,$S605,$T593*(1+IF($G605&lt;nr_MStartP1,$M$562,$N$562))))</f>
        <v/>
      </c>
      <c r="U605" s="208">
        <f>IF($L$562,$T605,$N605)</f>
        <v/>
      </c>
    </row>
    <row r="606">
      <c r="A606" s="145" t="n">
        <v>42</v>
      </c>
      <c r="B606" s="204">
        <f>EDATE($B605,1)</f>
        <v/>
      </c>
      <c r="C606" s="205">
        <f>EOMONTH($B606,0)</f>
        <v/>
      </c>
      <c r="D606" s="201">
        <f>$C606-$B606+1</f>
        <v/>
      </c>
      <c r="E606" s="201">
        <f>MONTH($B606)</f>
        <v/>
      </c>
      <c r="F606" s="235">
        <f>($B606+$C606+1)/2</f>
        <v/>
      </c>
      <c r="G606" s="201">
        <f>YEAR($B606)*12+MONTH($B606)-1</f>
        <v/>
      </c>
      <c r="H606" s="207">
        <f>IF(OR(nr_SeasonOn="OFF",$D$562=0,$E$562=0),1,12*INDEX(se_block,$D$562,$E606)/$E$562)</f>
        <v/>
      </c>
      <c r="I606" s="208">
        <f>EXP(SUMPRODUCT((rl_eff&lt;$B606)*(rl_key=$A$562)*rl_ln1p))</f>
        <v/>
      </c>
      <c r="J606" s="208">
        <f>EXP(SUMPRODUCT((rl_eff&lt;=$C606)*(rl_key=$A$562)*rl_ln1p))</f>
        <v/>
      </c>
      <c r="K606" s="201">
        <f>COUNTIFS(rl_key,$A$562,rl_eff,"&gt;="&amp;$B606,rl_eff,"&lt;="&amp;$C606)</f>
        <v/>
      </c>
      <c r="L606" s="201">
        <f>SUMIFS(rl_daysafter,rl_key,$A$562,rl_effmonth,$B606,rl_first,1)</f>
        <v/>
      </c>
      <c r="M606" s="209">
        <f>IF($K606=0,0,MIN(1,$L606/$D606))</f>
        <v/>
      </c>
      <c r="N606" s="208">
        <f>IF($K606=0,$J606,(1-$M606)*$I606+$M606*$J606)</f>
        <v/>
      </c>
      <c r="O606" s="209">
        <f>IF($F606&lt;$B$563,$E$563+$I$563*($F606-$A$563),IF($F606&lt;$C$563,$F$563+$J$563*($F606-$B$563),$G$563+$K$563*($F606-$C$563)))</f>
        <v/>
      </c>
      <c r="P606" s="208">
        <f>MIN(1,MAX(0,(nr_MEndPm1-$G606+0.5)/$C$562))-MIN(1,MAX(0,(nr_MStartPm1-1-$G606+0.5)/$C$562))</f>
        <v/>
      </c>
      <c r="Q606" s="208">
        <f>MIN(1,MAX(0,(nr_MEndP-$G606+0.5)/$C$562))-MIN(1,MAX(0,(nr_MStartP-1-$G606+0.5)/$C$562))</f>
        <v/>
      </c>
      <c r="R606" s="208">
        <f>MIN(1,MAX(0,(nr_MEndP1-$G606+0.5)/$C$562))-MIN(1,MAX(0,(nr_MStartP1-1-$G606+0.5)/$C$562))</f>
        <v/>
      </c>
      <c r="S606" s="208">
        <f>IF($L$562,$N606*IF($O$562=1,$O606/$F$562,1),"")</f>
        <v/>
      </c>
      <c r="T606" s="208">
        <f>IF(NOT($L$562),"",IF($G606&lt;nr_MStartP,$S606,$T594*(1+IF($G606&lt;nr_MStartP1,$M$562,$N$562))))</f>
        <v/>
      </c>
      <c r="U606" s="208">
        <f>IF($L$562,$T606,$N606)</f>
        <v/>
      </c>
    </row>
    <row r="607">
      <c r="A607" s="145" t="n">
        <v>43</v>
      </c>
      <c r="B607" s="204">
        <f>EDATE($B606,1)</f>
        <v/>
      </c>
      <c r="C607" s="205">
        <f>EOMONTH($B607,0)</f>
        <v/>
      </c>
      <c r="D607" s="201">
        <f>$C607-$B607+1</f>
        <v/>
      </c>
      <c r="E607" s="201">
        <f>MONTH($B607)</f>
        <v/>
      </c>
      <c r="F607" s="235">
        <f>($B607+$C607+1)/2</f>
        <v/>
      </c>
      <c r="G607" s="201">
        <f>YEAR($B607)*12+MONTH($B607)-1</f>
        <v/>
      </c>
      <c r="H607" s="207">
        <f>IF(OR(nr_SeasonOn="OFF",$D$562=0,$E$562=0),1,12*INDEX(se_block,$D$562,$E607)/$E$562)</f>
        <v/>
      </c>
      <c r="I607" s="208">
        <f>EXP(SUMPRODUCT((rl_eff&lt;$B607)*(rl_key=$A$562)*rl_ln1p))</f>
        <v/>
      </c>
      <c r="J607" s="208">
        <f>EXP(SUMPRODUCT((rl_eff&lt;=$C607)*(rl_key=$A$562)*rl_ln1p))</f>
        <v/>
      </c>
      <c r="K607" s="201">
        <f>COUNTIFS(rl_key,$A$562,rl_eff,"&gt;="&amp;$B607,rl_eff,"&lt;="&amp;$C607)</f>
        <v/>
      </c>
      <c r="L607" s="201">
        <f>SUMIFS(rl_daysafter,rl_key,$A$562,rl_effmonth,$B607,rl_first,1)</f>
        <v/>
      </c>
      <c r="M607" s="209">
        <f>IF($K607=0,0,MIN(1,$L607/$D607))</f>
        <v/>
      </c>
      <c r="N607" s="208">
        <f>IF($K607=0,$J607,(1-$M607)*$I607+$M607*$J607)</f>
        <v/>
      </c>
      <c r="O607" s="209">
        <f>IF($F607&lt;$B$563,$E$563+$I$563*($F607-$A$563),IF($F607&lt;$C$563,$F$563+$J$563*($F607-$B$563),$G$563+$K$563*($F607-$C$563)))</f>
        <v/>
      </c>
      <c r="P607" s="208">
        <f>MIN(1,MAX(0,(nr_MEndPm1-$G607+0.5)/$C$562))-MIN(1,MAX(0,(nr_MStartPm1-1-$G607+0.5)/$C$562))</f>
        <v/>
      </c>
      <c r="Q607" s="208">
        <f>MIN(1,MAX(0,(nr_MEndP-$G607+0.5)/$C$562))-MIN(1,MAX(0,(nr_MStartP-1-$G607+0.5)/$C$562))</f>
        <v/>
      </c>
      <c r="R607" s="208">
        <f>MIN(1,MAX(0,(nr_MEndP1-$G607+0.5)/$C$562))-MIN(1,MAX(0,(nr_MStartP1-1-$G607+0.5)/$C$562))</f>
        <v/>
      </c>
      <c r="S607" s="208">
        <f>IF($L$562,$N607*IF($O$562=1,$O607/$F$562,1),"")</f>
        <v/>
      </c>
      <c r="T607" s="208">
        <f>IF(NOT($L$562),"",IF($G607&lt;nr_MStartP,$S607,$T595*(1+IF($G607&lt;nr_MStartP1,$M$562,$N$562))))</f>
        <v/>
      </c>
      <c r="U607" s="208">
        <f>IF($L$562,$T607,$N607)</f>
        <v/>
      </c>
    </row>
    <row r="608">
      <c r="A608" s="145" t="n">
        <v>44</v>
      </c>
      <c r="B608" s="204">
        <f>EDATE($B607,1)</f>
        <v/>
      </c>
      <c r="C608" s="205">
        <f>EOMONTH($B608,0)</f>
        <v/>
      </c>
      <c r="D608" s="201">
        <f>$C608-$B608+1</f>
        <v/>
      </c>
      <c r="E608" s="201">
        <f>MONTH($B608)</f>
        <v/>
      </c>
      <c r="F608" s="235">
        <f>($B608+$C608+1)/2</f>
        <v/>
      </c>
      <c r="G608" s="201">
        <f>YEAR($B608)*12+MONTH($B608)-1</f>
        <v/>
      </c>
      <c r="H608" s="207">
        <f>IF(OR(nr_SeasonOn="OFF",$D$562=0,$E$562=0),1,12*INDEX(se_block,$D$562,$E608)/$E$562)</f>
        <v/>
      </c>
      <c r="I608" s="208">
        <f>EXP(SUMPRODUCT((rl_eff&lt;$B608)*(rl_key=$A$562)*rl_ln1p))</f>
        <v/>
      </c>
      <c r="J608" s="208">
        <f>EXP(SUMPRODUCT((rl_eff&lt;=$C608)*(rl_key=$A$562)*rl_ln1p))</f>
        <v/>
      </c>
      <c r="K608" s="201">
        <f>COUNTIFS(rl_key,$A$562,rl_eff,"&gt;="&amp;$B608,rl_eff,"&lt;="&amp;$C608)</f>
        <v/>
      </c>
      <c r="L608" s="201">
        <f>SUMIFS(rl_daysafter,rl_key,$A$562,rl_effmonth,$B608,rl_first,1)</f>
        <v/>
      </c>
      <c r="M608" s="209">
        <f>IF($K608=0,0,MIN(1,$L608/$D608))</f>
        <v/>
      </c>
      <c r="N608" s="208">
        <f>IF($K608=0,$J608,(1-$M608)*$I608+$M608*$J608)</f>
        <v/>
      </c>
      <c r="O608" s="209">
        <f>IF($F608&lt;$B$563,$E$563+$I$563*($F608-$A$563),IF($F608&lt;$C$563,$F$563+$J$563*($F608-$B$563),$G$563+$K$563*($F608-$C$563)))</f>
        <v/>
      </c>
      <c r="P608" s="208">
        <f>MIN(1,MAX(0,(nr_MEndPm1-$G608+0.5)/$C$562))-MIN(1,MAX(0,(nr_MStartPm1-1-$G608+0.5)/$C$562))</f>
        <v/>
      </c>
      <c r="Q608" s="208">
        <f>MIN(1,MAX(0,(nr_MEndP-$G608+0.5)/$C$562))-MIN(1,MAX(0,(nr_MStartP-1-$G608+0.5)/$C$562))</f>
        <v/>
      </c>
      <c r="R608" s="208">
        <f>MIN(1,MAX(0,(nr_MEndP1-$G608+0.5)/$C$562))-MIN(1,MAX(0,(nr_MStartP1-1-$G608+0.5)/$C$562))</f>
        <v/>
      </c>
      <c r="S608" s="208">
        <f>IF($L$562,$N608*IF($O$562=1,$O608/$F$562,1),"")</f>
        <v/>
      </c>
      <c r="T608" s="208">
        <f>IF(NOT($L$562),"",IF($G608&lt;nr_MStartP,$S608,$T596*(1+IF($G608&lt;nr_MStartP1,$M$562,$N$562))))</f>
        <v/>
      </c>
      <c r="U608" s="208">
        <f>IF($L$562,$T608,$N608)</f>
        <v/>
      </c>
    </row>
    <row r="609">
      <c r="A609" s="145" t="n">
        <v>45</v>
      </c>
      <c r="B609" s="204">
        <f>EDATE($B608,1)</f>
        <v/>
      </c>
      <c r="C609" s="205">
        <f>EOMONTH($B609,0)</f>
        <v/>
      </c>
      <c r="D609" s="201">
        <f>$C609-$B609+1</f>
        <v/>
      </c>
      <c r="E609" s="201">
        <f>MONTH($B609)</f>
        <v/>
      </c>
      <c r="F609" s="235">
        <f>($B609+$C609+1)/2</f>
        <v/>
      </c>
      <c r="G609" s="201">
        <f>YEAR($B609)*12+MONTH($B609)-1</f>
        <v/>
      </c>
      <c r="H609" s="207">
        <f>IF(OR(nr_SeasonOn="OFF",$D$562=0,$E$562=0),1,12*INDEX(se_block,$D$562,$E609)/$E$562)</f>
        <v/>
      </c>
      <c r="I609" s="208">
        <f>EXP(SUMPRODUCT((rl_eff&lt;$B609)*(rl_key=$A$562)*rl_ln1p))</f>
        <v/>
      </c>
      <c r="J609" s="208">
        <f>EXP(SUMPRODUCT((rl_eff&lt;=$C609)*(rl_key=$A$562)*rl_ln1p))</f>
        <v/>
      </c>
      <c r="K609" s="201">
        <f>COUNTIFS(rl_key,$A$562,rl_eff,"&gt;="&amp;$B609,rl_eff,"&lt;="&amp;$C609)</f>
        <v/>
      </c>
      <c r="L609" s="201">
        <f>SUMIFS(rl_daysafter,rl_key,$A$562,rl_effmonth,$B609,rl_first,1)</f>
        <v/>
      </c>
      <c r="M609" s="209">
        <f>IF($K609=0,0,MIN(1,$L609/$D609))</f>
        <v/>
      </c>
      <c r="N609" s="208">
        <f>IF($K609=0,$J609,(1-$M609)*$I609+$M609*$J609)</f>
        <v/>
      </c>
      <c r="O609" s="209">
        <f>IF($F609&lt;$B$563,$E$563+$I$563*($F609-$A$563),IF($F609&lt;$C$563,$F$563+$J$563*($F609-$B$563),$G$563+$K$563*($F609-$C$563)))</f>
        <v/>
      </c>
      <c r="P609" s="208">
        <f>MIN(1,MAX(0,(nr_MEndPm1-$G609+0.5)/$C$562))-MIN(1,MAX(0,(nr_MStartPm1-1-$G609+0.5)/$C$562))</f>
        <v/>
      </c>
      <c r="Q609" s="208">
        <f>MIN(1,MAX(0,(nr_MEndP-$G609+0.5)/$C$562))-MIN(1,MAX(0,(nr_MStartP-1-$G609+0.5)/$C$562))</f>
        <v/>
      </c>
      <c r="R609" s="208">
        <f>MIN(1,MAX(0,(nr_MEndP1-$G609+0.5)/$C$562))-MIN(1,MAX(0,(nr_MStartP1-1-$G609+0.5)/$C$562))</f>
        <v/>
      </c>
      <c r="S609" s="208">
        <f>IF($L$562,$N609*IF($O$562=1,$O609/$F$562,1),"")</f>
        <v/>
      </c>
      <c r="T609" s="208">
        <f>IF(NOT($L$562),"",IF($G609&lt;nr_MStartP,$S609,$T597*(1+IF($G609&lt;nr_MStartP1,$M$562,$N$562))))</f>
        <v/>
      </c>
      <c r="U609" s="208">
        <f>IF($L$562,$T609,$N609)</f>
        <v/>
      </c>
    </row>
    <row r="610">
      <c r="A610" s="145" t="n">
        <v>46</v>
      </c>
      <c r="B610" s="204">
        <f>EDATE($B609,1)</f>
        <v/>
      </c>
      <c r="C610" s="205">
        <f>EOMONTH($B610,0)</f>
        <v/>
      </c>
      <c r="D610" s="201">
        <f>$C610-$B610+1</f>
        <v/>
      </c>
      <c r="E610" s="201">
        <f>MONTH($B610)</f>
        <v/>
      </c>
      <c r="F610" s="235">
        <f>($B610+$C610+1)/2</f>
        <v/>
      </c>
      <c r="G610" s="201">
        <f>YEAR($B610)*12+MONTH($B610)-1</f>
        <v/>
      </c>
      <c r="H610" s="207">
        <f>IF(OR(nr_SeasonOn="OFF",$D$562=0,$E$562=0),1,12*INDEX(se_block,$D$562,$E610)/$E$562)</f>
        <v/>
      </c>
      <c r="I610" s="208">
        <f>EXP(SUMPRODUCT((rl_eff&lt;$B610)*(rl_key=$A$562)*rl_ln1p))</f>
        <v/>
      </c>
      <c r="J610" s="208">
        <f>EXP(SUMPRODUCT((rl_eff&lt;=$C610)*(rl_key=$A$562)*rl_ln1p))</f>
        <v/>
      </c>
      <c r="K610" s="201">
        <f>COUNTIFS(rl_key,$A$562,rl_eff,"&gt;="&amp;$B610,rl_eff,"&lt;="&amp;$C610)</f>
        <v/>
      </c>
      <c r="L610" s="201">
        <f>SUMIFS(rl_daysafter,rl_key,$A$562,rl_effmonth,$B610,rl_first,1)</f>
        <v/>
      </c>
      <c r="M610" s="209">
        <f>IF($K610=0,0,MIN(1,$L610/$D610))</f>
        <v/>
      </c>
      <c r="N610" s="208">
        <f>IF($K610=0,$J610,(1-$M610)*$I610+$M610*$J610)</f>
        <v/>
      </c>
      <c r="O610" s="209">
        <f>IF($F610&lt;$B$563,$E$563+$I$563*($F610-$A$563),IF($F610&lt;$C$563,$F$563+$J$563*($F610-$B$563),$G$563+$K$563*($F610-$C$563)))</f>
        <v/>
      </c>
      <c r="P610" s="208">
        <f>MIN(1,MAX(0,(nr_MEndPm1-$G610+0.5)/$C$562))-MIN(1,MAX(0,(nr_MStartPm1-1-$G610+0.5)/$C$562))</f>
        <v/>
      </c>
      <c r="Q610" s="208">
        <f>MIN(1,MAX(0,(nr_MEndP-$G610+0.5)/$C$562))-MIN(1,MAX(0,(nr_MStartP-1-$G610+0.5)/$C$562))</f>
        <v/>
      </c>
      <c r="R610" s="208">
        <f>MIN(1,MAX(0,(nr_MEndP1-$G610+0.5)/$C$562))-MIN(1,MAX(0,(nr_MStartP1-1-$G610+0.5)/$C$562))</f>
        <v/>
      </c>
      <c r="S610" s="208">
        <f>IF($L$562,$N610*IF($O$562=1,$O610/$F$562,1),"")</f>
        <v/>
      </c>
      <c r="T610" s="208">
        <f>IF(NOT($L$562),"",IF($G610&lt;nr_MStartP,$S610,$T598*(1+IF($G610&lt;nr_MStartP1,$M$562,$N$562))))</f>
        <v/>
      </c>
      <c r="U610" s="208">
        <f>IF($L$562,$T610,$N610)</f>
        <v/>
      </c>
    </row>
    <row r="611">
      <c r="A611" s="145" t="n">
        <v>47</v>
      </c>
      <c r="B611" s="204">
        <f>EDATE($B610,1)</f>
        <v/>
      </c>
      <c r="C611" s="205">
        <f>EOMONTH($B611,0)</f>
        <v/>
      </c>
      <c r="D611" s="201">
        <f>$C611-$B611+1</f>
        <v/>
      </c>
      <c r="E611" s="201">
        <f>MONTH($B611)</f>
        <v/>
      </c>
      <c r="F611" s="235">
        <f>($B611+$C611+1)/2</f>
        <v/>
      </c>
      <c r="G611" s="201">
        <f>YEAR($B611)*12+MONTH($B611)-1</f>
        <v/>
      </c>
      <c r="H611" s="207">
        <f>IF(OR(nr_SeasonOn="OFF",$D$562=0,$E$562=0),1,12*INDEX(se_block,$D$562,$E611)/$E$562)</f>
        <v/>
      </c>
      <c r="I611" s="208">
        <f>EXP(SUMPRODUCT((rl_eff&lt;$B611)*(rl_key=$A$562)*rl_ln1p))</f>
        <v/>
      </c>
      <c r="J611" s="208">
        <f>EXP(SUMPRODUCT((rl_eff&lt;=$C611)*(rl_key=$A$562)*rl_ln1p))</f>
        <v/>
      </c>
      <c r="K611" s="201">
        <f>COUNTIFS(rl_key,$A$562,rl_eff,"&gt;="&amp;$B611,rl_eff,"&lt;="&amp;$C611)</f>
        <v/>
      </c>
      <c r="L611" s="201">
        <f>SUMIFS(rl_daysafter,rl_key,$A$562,rl_effmonth,$B611,rl_first,1)</f>
        <v/>
      </c>
      <c r="M611" s="209">
        <f>IF($K611=0,0,MIN(1,$L611/$D611))</f>
        <v/>
      </c>
      <c r="N611" s="208">
        <f>IF($K611=0,$J611,(1-$M611)*$I611+$M611*$J611)</f>
        <v/>
      </c>
      <c r="O611" s="209">
        <f>IF($F611&lt;$B$563,$E$563+$I$563*($F611-$A$563),IF($F611&lt;$C$563,$F$563+$J$563*($F611-$B$563),$G$563+$K$563*($F611-$C$563)))</f>
        <v/>
      </c>
      <c r="P611" s="208">
        <f>MIN(1,MAX(0,(nr_MEndPm1-$G611+0.5)/$C$562))-MIN(1,MAX(0,(nr_MStartPm1-1-$G611+0.5)/$C$562))</f>
        <v/>
      </c>
      <c r="Q611" s="208">
        <f>MIN(1,MAX(0,(nr_MEndP-$G611+0.5)/$C$562))-MIN(1,MAX(0,(nr_MStartP-1-$G611+0.5)/$C$562))</f>
        <v/>
      </c>
      <c r="R611" s="208">
        <f>MIN(1,MAX(0,(nr_MEndP1-$G611+0.5)/$C$562))-MIN(1,MAX(0,(nr_MStartP1-1-$G611+0.5)/$C$562))</f>
        <v/>
      </c>
      <c r="S611" s="208">
        <f>IF($L$562,$N611*IF($O$562=1,$O611/$F$562,1),"")</f>
        <v/>
      </c>
      <c r="T611" s="208">
        <f>IF(NOT($L$562),"",IF($G611&lt;nr_MStartP,$S611,$T599*(1+IF($G611&lt;nr_MStartP1,$M$562,$N$562))))</f>
        <v/>
      </c>
      <c r="U611" s="208">
        <f>IF($L$562,$T611,$N611)</f>
        <v/>
      </c>
    </row>
    <row r="612">
      <c r="A612" s="145" t="n">
        <v>48</v>
      </c>
      <c r="B612" s="204">
        <f>EDATE($B611,1)</f>
        <v/>
      </c>
      <c r="C612" s="205">
        <f>EOMONTH($B612,0)</f>
        <v/>
      </c>
      <c r="D612" s="201">
        <f>$C612-$B612+1</f>
        <v/>
      </c>
      <c r="E612" s="201">
        <f>MONTH($B612)</f>
        <v/>
      </c>
      <c r="F612" s="235">
        <f>($B612+$C612+1)/2</f>
        <v/>
      </c>
      <c r="G612" s="201">
        <f>YEAR($B612)*12+MONTH($B612)-1</f>
        <v/>
      </c>
      <c r="H612" s="207">
        <f>IF(OR(nr_SeasonOn="OFF",$D$562=0,$E$562=0),1,12*INDEX(se_block,$D$562,$E612)/$E$562)</f>
        <v/>
      </c>
      <c r="I612" s="208">
        <f>EXP(SUMPRODUCT((rl_eff&lt;$B612)*(rl_key=$A$562)*rl_ln1p))</f>
        <v/>
      </c>
      <c r="J612" s="208">
        <f>EXP(SUMPRODUCT((rl_eff&lt;=$C612)*(rl_key=$A$562)*rl_ln1p))</f>
        <v/>
      </c>
      <c r="K612" s="201">
        <f>COUNTIFS(rl_key,$A$562,rl_eff,"&gt;="&amp;$B612,rl_eff,"&lt;="&amp;$C612)</f>
        <v/>
      </c>
      <c r="L612" s="201">
        <f>SUMIFS(rl_daysafter,rl_key,$A$562,rl_effmonth,$B612,rl_first,1)</f>
        <v/>
      </c>
      <c r="M612" s="209">
        <f>IF($K612=0,0,MIN(1,$L612/$D612))</f>
        <v/>
      </c>
      <c r="N612" s="208">
        <f>IF($K612=0,$J612,(1-$M612)*$I612+$M612*$J612)</f>
        <v/>
      </c>
      <c r="O612" s="209">
        <f>IF($F612&lt;$B$563,$E$563+$I$563*($F612-$A$563),IF($F612&lt;$C$563,$F$563+$J$563*($F612-$B$563),$G$563+$K$563*($F612-$C$563)))</f>
        <v/>
      </c>
      <c r="P612" s="208">
        <f>MIN(1,MAX(0,(nr_MEndPm1-$G612+0.5)/$C$562))-MIN(1,MAX(0,(nr_MStartPm1-1-$G612+0.5)/$C$562))</f>
        <v/>
      </c>
      <c r="Q612" s="208">
        <f>MIN(1,MAX(0,(nr_MEndP-$G612+0.5)/$C$562))-MIN(1,MAX(0,(nr_MStartP-1-$G612+0.5)/$C$562))</f>
        <v/>
      </c>
      <c r="R612" s="208">
        <f>MIN(1,MAX(0,(nr_MEndP1-$G612+0.5)/$C$562))-MIN(1,MAX(0,(nr_MStartP1-1-$G612+0.5)/$C$562))</f>
        <v/>
      </c>
      <c r="S612" s="208">
        <f>IF($L$562,$N612*IF($O$562=1,$O612/$F$562,1),"")</f>
        <v/>
      </c>
      <c r="T612" s="208">
        <f>IF(NOT($L$562),"",IF($G612&lt;nr_MStartP,$S612,$T600*(1+IF($G612&lt;nr_MStartP1,$M$562,$N$562))))</f>
        <v/>
      </c>
      <c r="U612" s="208">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184">
        <f>SUMPRODUCT($H$565:$H$612,$Q$565:$Q$612,$O$565:$O$612)/SUMPRODUCT($H$565:$H$612,$Q$565:$Q$612)</f>
        <v/>
      </c>
      <c r="G613" s="184">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184">
        <f>IF(N(INDEX(lr_mind,11))=0,1,INDEX(lr_mind,11))</f>
        <v/>
      </c>
      <c r="G616" s="184">
        <f>IF(N(INDEX(lr_m0,11))=0,1,INDEX(lr_m0,11))</f>
        <v/>
      </c>
      <c r="H616" s="73">
        <f>IF(N(INDEX(lr_m0asof,11))=0,DATE(nr_PlanYear-1,10,1),INDEX(lr_m0asof,11))</f>
        <v/>
      </c>
      <c r="I616" s="184">
        <f>IF(N(INDEX(lr_m1,11))=0,1,INDEX(lr_m1,11))</f>
        <v/>
      </c>
      <c r="J616" s="184">
        <f>INDEX(lr_mprior,11)</f>
        <v/>
      </c>
      <c r="K616" s="184">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145" t="n">
        <v>1</v>
      </c>
      <c r="B619" s="204">
        <f>DATE(nr_PlanYear-2,1,1)</f>
        <v/>
      </c>
      <c r="C619" s="205">
        <f>EOMONTH($B619,0)</f>
        <v/>
      </c>
      <c r="D619" s="201">
        <f>$C619-$B619+1</f>
        <v/>
      </c>
      <c r="E619" s="201">
        <f>MONTH($B619)</f>
        <v/>
      </c>
      <c r="F619" s="235">
        <f>($B619+$C619+1)/2</f>
        <v/>
      </c>
      <c r="G619" s="201">
        <f>YEAR($B619)*12+MONTH($B619)-1</f>
        <v/>
      </c>
      <c r="H619" s="207">
        <f>IF(OR(nr_SeasonOn="OFF",$D$616=0,$E$616=0),1,12*INDEX(se_block,$D$616,$E619)/$E$616)</f>
        <v/>
      </c>
      <c r="I619" s="208">
        <f>EXP(SUMPRODUCT((rl_eff&lt;$B619)*(rl_key=$A$616)*rl_ln1p))</f>
        <v/>
      </c>
      <c r="J619" s="208">
        <f>EXP(SUMPRODUCT((rl_eff&lt;=$C619)*(rl_key=$A$616)*rl_ln1p))</f>
        <v/>
      </c>
      <c r="K619" s="201">
        <f>COUNTIFS(rl_key,$A$616,rl_eff,"&gt;="&amp;$B619,rl_eff,"&lt;="&amp;$C619)</f>
        <v/>
      </c>
      <c r="L619" s="201">
        <f>SUMIFS(rl_daysafter,rl_key,$A$616,rl_effmonth,$B619,rl_first,1)</f>
        <v/>
      </c>
      <c r="M619" s="209">
        <f>IF($K619=0,0,MIN(1,$L619/$D619))</f>
        <v/>
      </c>
      <c r="N619" s="208">
        <f>IF($K619=0,$J619,(1-$M619)*$I619+$M619*$J619)</f>
        <v/>
      </c>
      <c r="O619" s="209">
        <f>IF($F619&lt;$B$617,$E$617+$I$617*($F619-$A$617),IF($F619&lt;$C$617,$F$617+$J$617*($F619-$B$617),$G$617+$K$617*($F619-$C$617)))</f>
        <v/>
      </c>
      <c r="P619" s="208">
        <f>MIN(1,MAX(0,(nr_MEndPm1-$G619+0.5)/$C$616))-MIN(1,MAX(0,(nr_MStartPm1-1-$G619+0.5)/$C$616))</f>
        <v/>
      </c>
      <c r="Q619" s="208">
        <f>MIN(1,MAX(0,(nr_MEndP-$G619+0.5)/$C$616))-MIN(1,MAX(0,(nr_MStartP-1-$G619+0.5)/$C$616))</f>
        <v/>
      </c>
      <c r="R619" s="208">
        <f>MIN(1,MAX(0,(nr_MEndP1-$G619+0.5)/$C$616))-MIN(1,MAX(0,(nr_MStartP1-1-$G619+0.5)/$C$616))</f>
        <v/>
      </c>
      <c r="S619" s="208">
        <f>IF($L$616,$N619*IF($O$616=1,$O619/$F$616,1),"")</f>
        <v/>
      </c>
      <c r="T619" s="208">
        <f>IF(NOT($L$616),"",IF($G619&lt;nr_MStartP,$S619,$T607*(1+IF($G619&lt;nr_MStartP1,$M$616,$N$616))))</f>
        <v/>
      </c>
      <c r="U619" s="208">
        <f>IF($L$616,$T619,$N619)</f>
        <v/>
      </c>
    </row>
    <row r="620">
      <c r="A620" s="145" t="n">
        <v>2</v>
      </c>
      <c r="B620" s="204">
        <f>EDATE($B619,1)</f>
        <v/>
      </c>
      <c r="C620" s="205">
        <f>EOMONTH($B620,0)</f>
        <v/>
      </c>
      <c r="D620" s="201">
        <f>$C620-$B620+1</f>
        <v/>
      </c>
      <c r="E620" s="201">
        <f>MONTH($B620)</f>
        <v/>
      </c>
      <c r="F620" s="235">
        <f>($B620+$C620+1)/2</f>
        <v/>
      </c>
      <c r="G620" s="201">
        <f>YEAR($B620)*12+MONTH($B620)-1</f>
        <v/>
      </c>
      <c r="H620" s="207">
        <f>IF(OR(nr_SeasonOn="OFF",$D$616=0,$E$616=0),1,12*INDEX(se_block,$D$616,$E620)/$E$616)</f>
        <v/>
      </c>
      <c r="I620" s="208">
        <f>EXP(SUMPRODUCT((rl_eff&lt;$B620)*(rl_key=$A$616)*rl_ln1p))</f>
        <v/>
      </c>
      <c r="J620" s="208">
        <f>EXP(SUMPRODUCT((rl_eff&lt;=$C620)*(rl_key=$A$616)*rl_ln1p))</f>
        <v/>
      </c>
      <c r="K620" s="201">
        <f>COUNTIFS(rl_key,$A$616,rl_eff,"&gt;="&amp;$B620,rl_eff,"&lt;="&amp;$C620)</f>
        <v/>
      </c>
      <c r="L620" s="201">
        <f>SUMIFS(rl_daysafter,rl_key,$A$616,rl_effmonth,$B620,rl_first,1)</f>
        <v/>
      </c>
      <c r="M620" s="209">
        <f>IF($K620=0,0,MIN(1,$L620/$D620))</f>
        <v/>
      </c>
      <c r="N620" s="208">
        <f>IF($K620=0,$J620,(1-$M620)*$I620+$M620*$J620)</f>
        <v/>
      </c>
      <c r="O620" s="209">
        <f>IF($F620&lt;$B$617,$E$617+$I$617*($F620-$A$617),IF($F620&lt;$C$617,$F$617+$J$617*($F620-$B$617),$G$617+$K$617*($F620-$C$617)))</f>
        <v/>
      </c>
      <c r="P620" s="208">
        <f>MIN(1,MAX(0,(nr_MEndPm1-$G620+0.5)/$C$616))-MIN(1,MAX(0,(nr_MStartPm1-1-$G620+0.5)/$C$616))</f>
        <v/>
      </c>
      <c r="Q620" s="208">
        <f>MIN(1,MAX(0,(nr_MEndP-$G620+0.5)/$C$616))-MIN(1,MAX(0,(nr_MStartP-1-$G620+0.5)/$C$616))</f>
        <v/>
      </c>
      <c r="R620" s="208">
        <f>MIN(1,MAX(0,(nr_MEndP1-$G620+0.5)/$C$616))-MIN(1,MAX(0,(nr_MStartP1-1-$G620+0.5)/$C$616))</f>
        <v/>
      </c>
      <c r="S620" s="208">
        <f>IF($L$616,$N620*IF($O$616=1,$O620/$F$616,1),"")</f>
        <v/>
      </c>
      <c r="T620" s="208">
        <f>IF(NOT($L$616),"",IF($G620&lt;nr_MStartP,$S620,$T608*(1+IF($G620&lt;nr_MStartP1,$M$616,$N$616))))</f>
        <v/>
      </c>
      <c r="U620" s="208">
        <f>IF($L$616,$T620,$N620)</f>
        <v/>
      </c>
    </row>
    <row r="621">
      <c r="A621" s="145" t="n">
        <v>3</v>
      </c>
      <c r="B621" s="204">
        <f>EDATE($B620,1)</f>
        <v/>
      </c>
      <c r="C621" s="205">
        <f>EOMONTH($B621,0)</f>
        <v/>
      </c>
      <c r="D621" s="201">
        <f>$C621-$B621+1</f>
        <v/>
      </c>
      <c r="E621" s="201">
        <f>MONTH($B621)</f>
        <v/>
      </c>
      <c r="F621" s="235">
        <f>($B621+$C621+1)/2</f>
        <v/>
      </c>
      <c r="G621" s="201">
        <f>YEAR($B621)*12+MONTH($B621)-1</f>
        <v/>
      </c>
      <c r="H621" s="207">
        <f>IF(OR(nr_SeasonOn="OFF",$D$616=0,$E$616=0),1,12*INDEX(se_block,$D$616,$E621)/$E$616)</f>
        <v/>
      </c>
      <c r="I621" s="208">
        <f>EXP(SUMPRODUCT((rl_eff&lt;$B621)*(rl_key=$A$616)*rl_ln1p))</f>
        <v/>
      </c>
      <c r="J621" s="208">
        <f>EXP(SUMPRODUCT((rl_eff&lt;=$C621)*(rl_key=$A$616)*rl_ln1p))</f>
        <v/>
      </c>
      <c r="K621" s="201">
        <f>COUNTIFS(rl_key,$A$616,rl_eff,"&gt;="&amp;$B621,rl_eff,"&lt;="&amp;$C621)</f>
        <v/>
      </c>
      <c r="L621" s="201">
        <f>SUMIFS(rl_daysafter,rl_key,$A$616,rl_effmonth,$B621,rl_first,1)</f>
        <v/>
      </c>
      <c r="M621" s="209">
        <f>IF($K621=0,0,MIN(1,$L621/$D621))</f>
        <v/>
      </c>
      <c r="N621" s="208">
        <f>IF($K621=0,$J621,(1-$M621)*$I621+$M621*$J621)</f>
        <v/>
      </c>
      <c r="O621" s="209">
        <f>IF($F621&lt;$B$617,$E$617+$I$617*($F621-$A$617),IF($F621&lt;$C$617,$F$617+$J$617*($F621-$B$617),$G$617+$K$617*($F621-$C$617)))</f>
        <v/>
      </c>
      <c r="P621" s="208">
        <f>MIN(1,MAX(0,(nr_MEndPm1-$G621+0.5)/$C$616))-MIN(1,MAX(0,(nr_MStartPm1-1-$G621+0.5)/$C$616))</f>
        <v/>
      </c>
      <c r="Q621" s="208">
        <f>MIN(1,MAX(0,(nr_MEndP-$G621+0.5)/$C$616))-MIN(1,MAX(0,(nr_MStartP-1-$G621+0.5)/$C$616))</f>
        <v/>
      </c>
      <c r="R621" s="208">
        <f>MIN(1,MAX(0,(nr_MEndP1-$G621+0.5)/$C$616))-MIN(1,MAX(0,(nr_MStartP1-1-$G621+0.5)/$C$616))</f>
        <v/>
      </c>
      <c r="S621" s="208">
        <f>IF($L$616,$N621*IF($O$616=1,$O621/$F$616,1),"")</f>
        <v/>
      </c>
      <c r="T621" s="208">
        <f>IF(NOT($L$616),"",IF($G621&lt;nr_MStartP,$S621,$T609*(1+IF($G621&lt;nr_MStartP1,$M$616,$N$616))))</f>
        <v/>
      </c>
      <c r="U621" s="208">
        <f>IF($L$616,$T621,$N621)</f>
        <v/>
      </c>
    </row>
    <row r="622">
      <c r="A622" s="145" t="n">
        <v>4</v>
      </c>
      <c r="B622" s="204">
        <f>EDATE($B621,1)</f>
        <v/>
      </c>
      <c r="C622" s="205">
        <f>EOMONTH($B622,0)</f>
        <v/>
      </c>
      <c r="D622" s="201">
        <f>$C622-$B622+1</f>
        <v/>
      </c>
      <c r="E622" s="201">
        <f>MONTH($B622)</f>
        <v/>
      </c>
      <c r="F622" s="235">
        <f>($B622+$C622+1)/2</f>
        <v/>
      </c>
      <c r="G622" s="201">
        <f>YEAR($B622)*12+MONTH($B622)-1</f>
        <v/>
      </c>
      <c r="H622" s="207">
        <f>IF(OR(nr_SeasonOn="OFF",$D$616=0,$E$616=0),1,12*INDEX(se_block,$D$616,$E622)/$E$616)</f>
        <v/>
      </c>
      <c r="I622" s="208">
        <f>EXP(SUMPRODUCT((rl_eff&lt;$B622)*(rl_key=$A$616)*rl_ln1p))</f>
        <v/>
      </c>
      <c r="J622" s="208">
        <f>EXP(SUMPRODUCT((rl_eff&lt;=$C622)*(rl_key=$A$616)*rl_ln1p))</f>
        <v/>
      </c>
      <c r="K622" s="201">
        <f>COUNTIFS(rl_key,$A$616,rl_eff,"&gt;="&amp;$B622,rl_eff,"&lt;="&amp;$C622)</f>
        <v/>
      </c>
      <c r="L622" s="201">
        <f>SUMIFS(rl_daysafter,rl_key,$A$616,rl_effmonth,$B622,rl_first,1)</f>
        <v/>
      </c>
      <c r="M622" s="209">
        <f>IF($K622=0,0,MIN(1,$L622/$D622))</f>
        <v/>
      </c>
      <c r="N622" s="208">
        <f>IF($K622=0,$J622,(1-$M622)*$I622+$M622*$J622)</f>
        <v/>
      </c>
      <c r="O622" s="209">
        <f>IF($F622&lt;$B$617,$E$617+$I$617*($F622-$A$617),IF($F622&lt;$C$617,$F$617+$J$617*($F622-$B$617),$G$617+$K$617*($F622-$C$617)))</f>
        <v/>
      </c>
      <c r="P622" s="208">
        <f>MIN(1,MAX(0,(nr_MEndPm1-$G622+0.5)/$C$616))-MIN(1,MAX(0,(nr_MStartPm1-1-$G622+0.5)/$C$616))</f>
        <v/>
      </c>
      <c r="Q622" s="208">
        <f>MIN(1,MAX(0,(nr_MEndP-$G622+0.5)/$C$616))-MIN(1,MAX(0,(nr_MStartP-1-$G622+0.5)/$C$616))</f>
        <v/>
      </c>
      <c r="R622" s="208">
        <f>MIN(1,MAX(0,(nr_MEndP1-$G622+0.5)/$C$616))-MIN(1,MAX(0,(nr_MStartP1-1-$G622+0.5)/$C$616))</f>
        <v/>
      </c>
      <c r="S622" s="208">
        <f>IF($L$616,$N622*IF($O$616=1,$O622/$F$616,1),"")</f>
        <v/>
      </c>
      <c r="T622" s="208">
        <f>IF(NOT($L$616),"",IF($G622&lt;nr_MStartP,$S622,$T610*(1+IF($G622&lt;nr_MStartP1,$M$616,$N$616))))</f>
        <v/>
      </c>
      <c r="U622" s="208">
        <f>IF($L$616,$T622,$N622)</f>
        <v/>
      </c>
    </row>
    <row r="623">
      <c r="A623" s="145" t="n">
        <v>5</v>
      </c>
      <c r="B623" s="204">
        <f>EDATE($B622,1)</f>
        <v/>
      </c>
      <c r="C623" s="205">
        <f>EOMONTH($B623,0)</f>
        <v/>
      </c>
      <c r="D623" s="201">
        <f>$C623-$B623+1</f>
        <v/>
      </c>
      <c r="E623" s="201">
        <f>MONTH($B623)</f>
        <v/>
      </c>
      <c r="F623" s="235">
        <f>($B623+$C623+1)/2</f>
        <v/>
      </c>
      <c r="G623" s="201">
        <f>YEAR($B623)*12+MONTH($B623)-1</f>
        <v/>
      </c>
      <c r="H623" s="207">
        <f>IF(OR(nr_SeasonOn="OFF",$D$616=0,$E$616=0),1,12*INDEX(se_block,$D$616,$E623)/$E$616)</f>
        <v/>
      </c>
      <c r="I623" s="208">
        <f>EXP(SUMPRODUCT((rl_eff&lt;$B623)*(rl_key=$A$616)*rl_ln1p))</f>
        <v/>
      </c>
      <c r="J623" s="208">
        <f>EXP(SUMPRODUCT((rl_eff&lt;=$C623)*(rl_key=$A$616)*rl_ln1p))</f>
        <v/>
      </c>
      <c r="K623" s="201">
        <f>COUNTIFS(rl_key,$A$616,rl_eff,"&gt;="&amp;$B623,rl_eff,"&lt;="&amp;$C623)</f>
        <v/>
      </c>
      <c r="L623" s="201">
        <f>SUMIFS(rl_daysafter,rl_key,$A$616,rl_effmonth,$B623,rl_first,1)</f>
        <v/>
      </c>
      <c r="M623" s="209">
        <f>IF($K623=0,0,MIN(1,$L623/$D623))</f>
        <v/>
      </c>
      <c r="N623" s="208">
        <f>IF($K623=0,$J623,(1-$M623)*$I623+$M623*$J623)</f>
        <v/>
      </c>
      <c r="O623" s="209">
        <f>IF($F623&lt;$B$617,$E$617+$I$617*($F623-$A$617),IF($F623&lt;$C$617,$F$617+$J$617*($F623-$B$617),$G$617+$K$617*($F623-$C$617)))</f>
        <v/>
      </c>
      <c r="P623" s="208">
        <f>MIN(1,MAX(0,(nr_MEndPm1-$G623+0.5)/$C$616))-MIN(1,MAX(0,(nr_MStartPm1-1-$G623+0.5)/$C$616))</f>
        <v/>
      </c>
      <c r="Q623" s="208">
        <f>MIN(1,MAX(0,(nr_MEndP-$G623+0.5)/$C$616))-MIN(1,MAX(0,(nr_MStartP-1-$G623+0.5)/$C$616))</f>
        <v/>
      </c>
      <c r="R623" s="208">
        <f>MIN(1,MAX(0,(nr_MEndP1-$G623+0.5)/$C$616))-MIN(1,MAX(0,(nr_MStartP1-1-$G623+0.5)/$C$616))</f>
        <v/>
      </c>
      <c r="S623" s="208">
        <f>IF($L$616,$N623*IF($O$616=1,$O623/$F$616,1),"")</f>
        <v/>
      </c>
      <c r="T623" s="208">
        <f>IF(NOT($L$616),"",IF($G623&lt;nr_MStartP,$S623,$T611*(1+IF($G623&lt;nr_MStartP1,$M$616,$N$616))))</f>
        <v/>
      </c>
      <c r="U623" s="208">
        <f>IF($L$616,$T623,$N623)</f>
        <v/>
      </c>
    </row>
    <row r="624">
      <c r="A624" s="145" t="n">
        <v>6</v>
      </c>
      <c r="B624" s="204">
        <f>EDATE($B623,1)</f>
        <v/>
      </c>
      <c r="C624" s="205">
        <f>EOMONTH($B624,0)</f>
        <v/>
      </c>
      <c r="D624" s="201">
        <f>$C624-$B624+1</f>
        <v/>
      </c>
      <c r="E624" s="201">
        <f>MONTH($B624)</f>
        <v/>
      </c>
      <c r="F624" s="235">
        <f>($B624+$C624+1)/2</f>
        <v/>
      </c>
      <c r="G624" s="201">
        <f>YEAR($B624)*12+MONTH($B624)-1</f>
        <v/>
      </c>
      <c r="H624" s="207">
        <f>IF(OR(nr_SeasonOn="OFF",$D$616=0,$E$616=0),1,12*INDEX(se_block,$D$616,$E624)/$E$616)</f>
        <v/>
      </c>
      <c r="I624" s="208">
        <f>EXP(SUMPRODUCT((rl_eff&lt;$B624)*(rl_key=$A$616)*rl_ln1p))</f>
        <v/>
      </c>
      <c r="J624" s="208">
        <f>EXP(SUMPRODUCT((rl_eff&lt;=$C624)*(rl_key=$A$616)*rl_ln1p))</f>
        <v/>
      </c>
      <c r="K624" s="201">
        <f>COUNTIFS(rl_key,$A$616,rl_eff,"&gt;="&amp;$B624,rl_eff,"&lt;="&amp;$C624)</f>
        <v/>
      </c>
      <c r="L624" s="201">
        <f>SUMIFS(rl_daysafter,rl_key,$A$616,rl_effmonth,$B624,rl_first,1)</f>
        <v/>
      </c>
      <c r="M624" s="209">
        <f>IF($K624=0,0,MIN(1,$L624/$D624))</f>
        <v/>
      </c>
      <c r="N624" s="208">
        <f>IF($K624=0,$J624,(1-$M624)*$I624+$M624*$J624)</f>
        <v/>
      </c>
      <c r="O624" s="209">
        <f>IF($F624&lt;$B$617,$E$617+$I$617*($F624-$A$617),IF($F624&lt;$C$617,$F$617+$J$617*($F624-$B$617),$G$617+$K$617*($F624-$C$617)))</f>
        <v/>
      </c>
      <c r="P624" s="208">
        <f>MIN(1,MAX(0,(nr_MEndPm1-$G624+0.5)/$C$616))-MIN(1,MAX(0,(nr_MStartPm1-1-$G624+0.5)/$C$616))</f>
        <v/>
      </c>
      <c r="Q624" s="208">
        <f>MIN(1,MAX(0,(nr_MEndP-$G624+0.5)/$C$616))-MIN(1,MAX(0,(nr_MStartP-1-$G624+0.5)/$C$616))</f>
        <v/>
      </c>
      <c r="R624" s="208">
        <f>MIN(1,MAX(0,(nr_MEndP1-$G624+0.5)/$C$616))-MIN(1,MAX(0,(nr_MStartP1-1-$G624+0.5)/$C$616))</f>
        <v/>
      </c>
      <c r="S624" s="208">
        <f>IF($L$616,$N624*IF($O$616=1,$O624/$F$616,1),"")</f>
        <v/>
      </c>
      <c r="T624" s="208">
        <f>IF(NOT($L$616),"",IF($G624&lt;nr_MStartP,$S624,$T612*(1+IF($G624&lt;nr_MStartP1,$M$616,$N$616))))</f>
        <v/>
      </c>
      <c r="U624" s="208">
        <f>IF($L$616,$T624,$N624)</f>
        <v/>
      </c>
    </row>
    <row r="625">
      <c r="A625" s="145" t="n">
        <v>7</v>
      </c>
      <c r="B625" s="204">
        <f>EDATE($B624,1)</f>
        <v/>
      </c>
      <c r="C625" s="205">
        <f>EOMONTH($B625,0)</f>
        <v/>
      </c>
      <c r="D625" s="201">
        <f>$C625-$B625+1</f>
        <v/>
      </c>
      <c r="E625" s="201">
        <f>MONTH($B625)</f>
        <v/>
      </c>
      <c r="F625" s="235">
        <f>($B625+$C625+1)/2</f>
        <v/>
      </c>
      <c r="G625" s="201">
        <f>YEAR($B625)*12+MONTH($B625)-1</f>
        <v/>
      </c>
      <c r="H625" s="207">
        <f>IF(OR(nr_SeasonOn="OFF",$D$616=0,$E$616=0),1,12*INDEX(se_block,$D$616,$E625)/$E$616)</f>
        <v/>
      </c>
      <c r="I625" s="208">
        <f>EXP(SUMPRODUCT((rl_eff&lt;$B625)*(rl_key=$A$616)*rl_ln1p))</f>
        <v/>
      </c>
      <c r="J625" s="208">
        <f>EXP(SUMPRODUCT((rl_eff&lt;=$C625)*(rl_key=$A$616)*rl_ln1p))</f>
        <v/>
      </c>
      <c r="K625" s="201">
        <f>COUNTIFS(rl_key,$A$616,rl_eff,"&gt;="&amp;$B625,rl_eff,"&lt;="&amp;$C625)</f>
        <v/>
      </c>
      <c r="L625" s="201">
        <f>SUMIFS(rl_daysafter,rl_key,$A$616,rl_effmonth,$B625,rl_first,1)</f>
        <v/>
      </c>
      <c r="M625" s="209">
        <f>IF($K625=0,0,MIN(1,$L625/$D625))</f>
        <v/>
      </c>
      <c r="N625" s="208">
        <f>IF($K625=0,$J625,(1-$M625)*$I625+$M625*$J625)</f>
        <v/>
      </c>
      <c r="O625" s="209">
        <f>IF($F625&lt;$B$617,$E$617+$I$617*($F625-$A$617),IF($F625&lt;$C$617,$F$617+$J$617*($F625-$B$617),$G$617+$K$617*($F625-$C$617)))</f>
        <v/>
      </c>
      <c r="P625" s="208">
        <f>MIN(1,MAX(0,(nr_MEndPm1-$G625+0.5)/$C$616))-MIN(1,MAX(0,(nr_MStartPm1-1-$G625+0.5)/$C$616))</f>
        <v/>
      </c>
      <c r="Q625" s="208">
        <f>MIN(1,MAX(0,(nr_MEndP-$G625+0.5)/$C$616))-MIN(1,MAX(0,(nr_MStartP-1-$G625+0.5)/$C$616))</f>
        <v/>
      </c>
      <c r="R625" s="208">
        <f>MIN(1,MAX(0,(nr_MEndP1-$G625+0.5)/$C$616))-MIN(1,MAX(0,(nr_MStartP1-1-$G625+0.5)/$C$616))</f>
        <v/>
      </c>
      <c r="S625" s="208">
        <f>IF($L$616,$N625*IF($O$616=1,$O625/$F$616,1),"")</f>
        <v/>
      </c>
      <c r="T625" s="208">
        <f>IF(NOT($L$616),"",IF($G625&lt;nr_MStartP,$S625,$T613*(1+IF($G625&lt;nr_MStartP1,$M$616,$N$616))))</f>
        <v/>
      </c>
      <c r="U625" s="208">
        <f>IF($L$616,$T625,$N625)</f>
        <v/>
      </c>
    </row>
    <row r="626">
      <c r="A626" s="145" t="n">
        <v>8</v>
      </c>
      <c r="B626" s="204">
        <f>EDATE($B625,1)</f>
        <v/>
      </c>
      <c r="C626" s="205">
        <f>EOMONTH($B626,0)</f>
        <v/>
      </c>
      <c r="D626" s="201">
        <f>$C626-$B626+1</f>
        <v/>
      </c>
      <c r="E626" s="201">
        <f>MONTH($B626)</f>
        <v/>
      </c>
      <c r="F626" s="235">
        <f>($B626+$C626+1)/2</f>
        <v/>
      </c>
      <c r="G626" s="201">
        <f>YEAR($B626)*12+MONTH($B626)-1</f>
        <v/>
      </c>
      <c r="H626" s="207">
        <f>IF(OR(nr_SeasonOn="OFF",$D$616=0,$E$616=0),1,12*INDEX(se_block,$D$616,$E626)/$E$616)</f>
        <v/>
      </c>
      <c r="I626" s="208">
        <f>EXP(SUMPRODUCT((rl_eff&lt;$B626)*(rl_key=$A$616)*rl_ln1p))</f>
        <v/>
      </c>
      <c r="J626" s="208">
        <f>EXP(SUMPRODUCT((rl_eff&lt;=$C626)*(rl_key=$A$616)*rl_ln1p))</f>
        <v/>
      </c>
      <c r="K626" s="201">
        <f>COUNTIFS(rl_key,$A$616,rl_eff,"&gt;="&amp;$B626,rl_eff,"&lt;="&amp;$C626)</f>
        <v/>
      </c>
      <c r="L626" s="201">
        <f>SUMIFS(rl_daysafter,rl_key,$A$616,rl_effmonth,$B626,rl_first,1)</f>
        <v/>
      </c>
      <c r="M626" s="209">
        <f>IF($K626=0,0,MIN(1,$L626/$D626))</f>
        <v/>
      </c>
      <c r="N626" s="208">
        <f>IF($K626=0,$J626,(1-$M626)*$I626+$M626*$J626)</f>
        <v/>
      </c>
      <c r="O626" s="209">
        <f>IF($F626&lt;$B$617,$E$617+$I$617*($F626-$A$617),IF($F626&lt;$C$617,$F$617+$J$617*($F626-$B$617),$G$617+$K$617*($F626-$C$617)))</f>
        <v/>
      </c>
      <c r="P626" s="208">
        <f>MIN(1,MAX(0,(nr_MEndPm1-$G626+0.5)/$C$616))-MIN(1,MAX(0,(nr_MStartPm1-1-$G626+0.5)/$C$616))</f>
        <v/>
      </c>
      <c r="Q626" s="208">
        <f>MIN(1,MAX(0,(nr_MEndP-$G626+0.5)/$C$616))-MIN(1,MAX(0,(nr_MStartP-1-$G626+0.5)/$C$616))</f>
        <v/>
      </c>
      <c r="R626" s="208">
        <f>MIN(1,MAX(0,(nr_MEndP1-$G626+0.5)/$C$616))-MIN(1,MAX(0,(nr_MStartP1-1-$G626+0.5)/$C$616))</f>
        <v/>
      </c>
      <c r="S626" s="208">
        <f>IF($L$616,$N626*IF($O$616=1,$O626/$F$616,1),"")</f>
        <v/>
      </c>
      <c r="T626" s="208">
        <f>IF(NOT($L$616),"",IF($G626&lt;nr_MStartP,$S626,$T614*(1+IF($G626&lt;nr_MStartP1,$M$616,$N$616))))</f>
        <v/>
      </c>
      <c r="U626" s="208">
        <f>IF($L$616,$T626,$N626)</f>
        <v/>
      </c>
    </row>
    <row r="627">
      <c r="A627" s="145" t="n">
        <v>9</v>
      </c>
      <c r="B627" s="204">
        <f>EDATE($B626,1)</f>
        <v/>
      </c>
      <c r="C627" s="205">
        <f>EOMONTH($B627,0)</f>
        <v/>
      </c>
      <c r="D627" s="201">
        <f>$C627-$B627+1</f>
        <v/>
      </c>
      <c r="E627" s="201">
        <f>MONTH($B627)</f>
        <v/>
      </c>
      <c r="F627" s="235">
        <f>($B627+$C627+1)/2</f>
        <v/>
      </c>
      <c r="G627" s="201">
        <f>YEAR($B627)*12+MONTH($B627)-1</f>
        <v/>
      </c>
      <c r="H627" s="207">
        <f>IF(OR(nr_SeasonOn="OFF",$D$616=0,$E$616=0),1,12*INDEX(se_block,$D$616,$E627)/$E$616)</f>
        <v/>
      </c>
      <c r="I627" s="208">
        <f>EXP(SUMPRODUCT((rl_eff&lt;$B627)*(rl_key=$A$616)*rl_ln1p))</f>
        <v/>
      </c>
      <c r="J627" s="208">
        <f>EXP(SUMPRODUCT((rl_eff&lt;=$C627)*(rl_key=$A$616)*rl_ln1p))</f>
        <v/>
      </c>
      <c r="K627" s="201">
        <f>COUNTIFS(rl_key,$A$616,rl_eff,"&gt;="&amp;$B627,rl_eff,"&lt;="&amp;$C627)</f>
        <v/>
      </c>
      <c r="L627" s="201">
        <f>SUMIFS(rl_daysafter,rl_key,$A$616,rl_effmonth,$B627,rl_first,1)</f>
        <v/>
      </c>
      <c r="M627" s="209">
        <f>IF($K627=0,0,MIN(1,$L627/$D627))</f>
        <v/>
      </c>
      <c r="N627" s="208">
        <f>IF($K627=0,$J627,(1-$M627)*$I627+$M627*$J627)</f>
        <v/>
      </c>
      <c r="O627" s="209">
        <f>IF($F627&lt;$B$617,$E$617+$I$617*($F627-$A$617),IF($F627&lt;$C$617,$F$617+$J$617*($F627-$B$617),$G$617+$K$617*($F627-$C$617)))</f>
        <v/>
      </c>
      <c r="P627" s="208">
        <f>MIN(1,MAX(0,(nr_MEndPm1-$G627+0.5)/$C$616))-MIN(1,MAX(0,(nr_MStartPm1-1-$G627+0.5)/$C$616))</f>
        <v/>
      </c>
      <c r="Q627" s="208">
        <f>MIN(1,MAX(0,(nr_MEndP-$G627+0.5)/$C$616))-MIN(1,MAX(0,(nr_MStartP-1-$G627+0.5)/$C$616))</f>
        <v/>
      </c>
      <c r="R627" s="208">
        <f>MIN(1,MAX(0,(nr_MEndP1-$G627+0.5)/$C$616))-MIN(1,MAX(0,(nr_MStartP1-1-$G627+0.5)/$C$616))</f>
        <v/>
      </c>
      <c r="S627" s="208">
        <f>IF($L$616,$N627*IF($O$616=1,$O627/$F$616,1),"")</f>
        <v/>
      </c>
      <c r="T627" s="208">
        <f>IF(NOT($L$616),"",IF($G627&lt;nr_MStartP,$S627,$T615*(1+IF($G627&lt;nr_MStartP1,$M$616,$N$616))))</f>
        <v/>
      </c>
      <c r="U627" s="208">
        <f>IF($L$616,$T627,$N627)</f>
        <v/>
      </c>
    </row>
    <row r="628">
      <c r="A628" s="145" t="n">
        <v>10</v>
      </c>
      <c r="B628" s="204">
        <f>EDATE($B627,1)</f>
        <v/>
      </c>
      <c r="C628" s="205">
        <f>EOMONTH($B628,0)</f>
        <v/>
      </c>
      <c r="D628" s="201">
        <f>$C628-$B628+1</f>
        <v/>
      </c>
      <c r="E628" s="201">
        <f>MONTH($B628)</f>
        <v/>
      </c>
      <c r="F628" s="235">
        <f>($B628+$C628+1)/2</f>
        <v/>
      </c>
      <c r="G628" s="201">
        <f>YEAR($B628)*12+MONTH($B628)-1</f>
        <v/>
      </c>
      <c r="H628" s="207">
        <f>IF(OR(nr_SeasonOn="OFF",$D$616=0,$E$616=0),1,12*INDEX(se_block,$D$616,$E628)/$E$616)</f>
        <v/>
      </c>
      <c r="I628" s="208">
        <f>EXP(SUMPRODUCT((rl_eff&lt;$B628)*(rl_key=$A$616)*rl_ln1p))</f>
        <v/>
      </c>
      <c r="J628" s="208">
        <f>EXP(SUMPRODUCT((rl_eff&lt;=$C628)*(rl_key=$A$616)*rl_ln1p))</f>
        <v/>
      </c>
      <c r="K628" s="201">
        <f>COUNTIFS(rl_key,$A$616,rl_eff,"&gt;="&amp;$B628,rl_eff,"&lt;="&amp;$C628)</f>
        <v/>
      </c>
      <c r="L628" s="201">
        <f>SUMIFS(rl_daysafter,rl_key,$A$616,rl_effmonth,$B628,rl_first,1)</f>
        <v/>
      </c>
      <c r="M628" s="209">
        <f>IF($K628=0,0,MIN(1,$L628/$D628))</f>
        <v/>
      </c>
      <c r="N628" s="208">
        <f>IF($K628=0,$J628,(1-$M628)*$I628+$M628*$J628)</f>
        <v/>
      </c>
      <c r="O628" s="209">
        <f>IF($F628&lt;$B$617,$E$617+$I$617*($F628-$A$617),IF($F628&lt;$C$617,$F$617+$J$617*($F628-$B$617),$G$617+$K$617*($F628-$C$617)))</f>
        <v/>
      </c>
      <c r="P628" s="208">
        <f>MIN(1,MAX(0,(nr_MEndPm1-$G628+0.5)/$C$616))-MIN(1,MAX(0,(nr_MStartPm1-1-$G628+0.5)/$C$616))</f>
        <v/>
      </c>
      <c r="Q628" s="208">
        <f>MIN(1,MAX(0,(nr_MEndP-$G628+0.5)/$C$616))-MIN(1,MAX(0,(nr_MStartP-1-$G628+0.5)/$C$616))</f>
        <v/>
      </c>
      <c r="R628" s="208">
        <f>MIN(1,MAX(0,(nr_MEndP1-$G628+0.5)/$C$616))-MIN(1,MAX(0,(nr_MStartP1-1-$G628+0.5)/$C$616))</f>
        <v/>
      </c>
      <c r="S628" s="208">
        <f>IF($L$616,$N628*IF($O$616=1,$O628/$F$616,1),"")</f>
        <v/>
      </c>
      <c r="T628" s="208">
        <f>IF(NOT($L$616),"",IF($G628&lt;nr_MStartP,$S628,$T616*(1+IF($G628&lt;nr_MStartP1,$M$616,$N$616))))</f>
        <v/>
      </c>
      <c r="U628" s="208">
        <f>IF($L$616,$T628,$N628)</f>
        <v/>
      </c>
    </row>
    <row r="629">
      <c r="A629" s="145" t="n">
        <v>11</v>
      </c>
      <c r="B629" s="204">
        <f>EDATE($B628,1)</f>
        <v/>
      </c>
      <c r="C629" s="205">
        <f>EOMONTH($B629,0)</f>
        <v/>
      </c>
      <c r="D629" s="201">
        <f>$C629-$B629+1</f>
        <v/>
      </c>
      <c r="E629" s="201">
        <f>MONTH($B629)</f>
        <v/>
      </c>
      <c r="F629" s="235">
        <f>($B629+$C629+1)/2</f>
        <v/>
      </c>
      <c r="G629" s="201">
        <f>YEAR($B629)*12+MONTH($B629)-1</f>
        <v/>
      </c>
      <c r="H629" s="207">
        <f>IF(OR(nr_SeasonOn="OFF",$D$616=0,$E$616=0),1,12*INDEX(se_block,$D$616,$E629)/$E$616)</f>
        <v/>
      </c>
      <c r="I629" s="208">
        <f>EXP(SUMPRODUCT((rl_eff&lt;$B629)*(rl_key=$A$616)*rl_ln1p))</f>
        <v/>
      </c>
      <c r="J629" s="208">
        <f>EXP(SUMPRODUCT((rl_eff&lt;=$C629)*(rl_key=$A$616)*rl_ln1p))</f>
        <v/>
      </c>
      <c r="K629" s="201">
        <f>COUNTIFS(rl_key,$A$616,rl_eff,"&gt;="&amp;$B629,rl_eff,"&lt;="&amp;$C629)</f>
        <v/>
      </c>
      <c r="L629" s="201">
        <f>SUMIFS(rl_daysafter,rl_key,$A$616,rl_effmonth,$B629,rl_first,1)</f>
        <v/>
      </c>
      <c r="M629" s="209">
        <f>IF($K629=0,0,MIN(1,$L629/$D629))</f>
        <v/>
      </c>
      <c r="N629" s="208">
        <f>IF($K629=0,$J629,(1-$M629)*$I629+$M629*$J629)</f>
        <v/>
      </c>
      <c r="O629" s="209">
        <f>IF($F629&lt;$B$617,$E$617+$I$617*($F629-$A$617),IF($F629&lt;$C$617,$F$617+$J$617*($F629-$B$617),$G$617+$K$617*($F629-$C$617)))</f>
        <v/>
      </c>
      <c r="P629" s="208">
        <f>MIN(1,MAX(0,(nr_MEndPm1-$G629+0.5)/$C$616))-MIN(1,MAX(0,(nr_MStartPm1-1-$G629+0.5)/$C$616))</f>
        <v/>
      </c>
      <c r="Q629" s="208">
        <f>MIN(1,MAX(0,(nr_MEndP-$G629+0.5)/$C$616))-MIN(1,MAX(0,(nr_MStartP-1-$G629+0.5)/$C$616))</f>
        <v/>
      </c>
      <c r="R629" s="208">
        <f>MIN(1,MAX(0,(nr_MEndP1-$G629+0.5)/$C$616))-MIN(1,MAX(0,(nr_MStartP1-1-$G629+0.5)/$C$616))</f>
        <v/>
      </c>
      <c r="S629" s="208">
        <f>IF($L$616,$N629*IF($O$616=1,$O629/$F$616,1),"")</f>
        <v/>
      </c>
      <c r="T629" s="208">
        <f>IF(NOT($L$616),"",IF($G629&lt;nr_MStartP,$S629,$T617*(1+IF($G629&lt;nr_MStartP1,$M$616,$N$616))))</f>
        <v/>
      </c>
      <c r="U629" s="208">
        <f>IF($L$616,$T629,$N629)</f>
        <v/>
      </c>
    </row>
    <row r="630">
      <c r="A630" s="145" t="n">
        <v>12</v>
      </c>
      <c r="B630" s="204">
        <f>EDATE($B629,1)</f>
        <v/>
      </c>
      <c r="C630" s="205">
        <f>EOMONTH($B630,0)</f>
        <v/>
      </c>
      <c r="D630" s="201">
        <f>$C630-$B630+1</f>
        <v/>
      </c>
      <c r="E630" s="201">
        <f>MONTH($B630)</f>
        <v/>
      </c>
      <c r="F630" s="235">
        <f>($B630+$C630+1)/2</f>
        <v/>
      </c>
      <c r="G630" s="201">
        <f>YEAR($B630)*12+MONTH($B630)-1</f>
        <v/>
      </c>
      <c r="H630" s="207">
        <f>IF(OR(nr_SeasonOn="OFF",$D$616=0,$E$616=0),1,12*INDEX(se_block,$D$616,$E630)/$E$616)</f>
        <v/>
      </c>
      <c r="I630" s="208">
        <f>EXP(SUMPRODUCT((rl_eff&lt;$B630)*(rl_key=$A$616)*rl_ln1p))</f>
        <v/>
      </c>
      <c r="J630" s="208">
        <f>EXP(SUMPRODUCT((rl_eff&lt;=$C630)*(rl_key=$A$616)*rl_ln1p))</f>
        <v/>
      </c>
      <c r="K630" s="201">
        <f>COUNTIFS(rl_key,$A$616,rl_eff,"&gt;="&amp;$B630,rl_eff,"&lt;="&amp;$C630)</f>
        <v/>
      </c>
      <c r="L630" s="201">
        <f>SUMIFS(rl_daysafter,rl_key,$A$616,rl_effmonth,$B630,rl_first,1)</f>
        <v/>
      </c>
      <c r="M630" s="209">
        <f>IF($K630=0,0,MIN(1,$L630/$D630))</f>
        <v/>
      </c>
      <c r="N630" s="208">
        <f>IF($K630=0,$J630,(1-$M630)*$I630+$M630*$J630)</f>
        <v/>
      </c>
      <c r="O630" s="209">
        <f>IF($F630&lt;$B$617,$E$617+$I$617*($F630-$A$617),IF($F630&lt;$C$617,$F$617+$J$617*($F630-$B$617),$G$617+$K$617*($F630-$C$617)))</f>
        <v/>
      </c>
      <c r="P630" s="208">
        <f>MIN(1,MAX(0,(nr_MEndPm1-$G630+0.5)/$C$616))-MIN(1,MAX(0,(nr_MStartPm1-1-$G630+0.5)/$C$616))</f>
        <v/>
      </c>
      <c r="Q630" s="208">
        <f>MIN(1,MAX(0,(nr_MEndP-$G630+0.5)/$C$616))-MIN(1,MAX(0,(nr_MStartP-1-$G630+0.5)/$C$616))</f>
        <v/>
      </c>
      <c r="R630" s="208">
        <f>MIN(1,MAX(0,(nr_MEndP1-$G630+0.5)/$C$616))-MIN(1,MAX(0,(nr_MStartP1-1-$G630+0.5)/$C$616))</f>
        <v/>
      </c>
      <c r="S630" s="208">
        <f>IF($L$616,$N630*IF($O$616=1,$O630/$F$616,1),"")</f>
        <v/>
      </c>
      <c r="T630" s="208">
        <f>IF(NOT($L$616),"",IF($G630&lt;nr_MStartP,$S630,$T618*(1+IF($G630&lt;nr_MStartP1,$M$616,$N$616))))</f>
        <v/>
      </c>
      <c r="U630" s="208">
        <f>IF($L$616,$T630,$N630)</f>
        <v/>
      </c>
    </row>
    <row r="631">
      <c r="A631" s="145" t="n">
        <v>13</v>
      </c>
      <c r="B631" s="204">
        <f>EDATE($B630,1)</f>
        <v/>
      </c>
      <c r="C631" s="205">
        <f>EOMONTH($B631,0)</f>
        <v/>
      </c>
      <c r="D631" s="201">
        <f>$C631-$B631+1</f>
        <v/>
      </c>
      <c r="E631" s="201">
        <f>MONTH($B631)</f>
        <v/>
      </c>
      <c r="F631" s="235">
        <f>($B631+$C631+1)/2</f>
        <v/>
      </c>
      <c r="G631" s="201">
        <f>YEAR($B631)*12+MONTH($B631)-1</f>
        <v/>
      </c>
      <c r="H631" s="207">
        <f>IF(OR(nr_SeasonOn="OFF",$D$616=0,$E$616=0),1,12*INDEX(se_block,$D$616,$E631)/$E$616)</f>
        <v/>
      </c>
      <c r="I631" s="208">
        <f>EXP(SUMPRODUCT((rl_eff&lt;$B631)*(rl_key=$A$616)*rl_ln1p))</f>
        <v/>
      </c>
      <c r="J631" s="208">
        <f>EXP(SUMPRODUCT((rl_eff&lt;=$C631)*(rl_key=$A$616)*rl_ln1p))</f>
        <v/>
      </c>
      <c r="K631" s="201">
        <f>COUNTIFS(rl_key,$A$616,rl_eff,"&gt;="&amp;$B631,rl_eff,"&lt;="&amp;$C631)</f>
        <v/>
      </c>
      <c r="L631" s="201">
        <f>SUMIFS(rl_daysafter,rl_key,$A$616,rl_effmonth,$B631,rl_first,1)</f>
        <v/>
      </c>
      <c r="M631" s="209">
        <f>IF($K631=0,0,MIN(1,$L631/$D631))</f>
        <v/>
      </c>
      <c r="N631" s="208">
        <f>IF($K631=0,$J631,(1-$M631)*$I631+$M631*$J631)</f>
        <v/>
      </c>
      <c r="O631" s="209">
        <f>IF($F631&lt;$B$617,$E$617+$I$617*($F631-$A$617),IF($F631&lt;$C$617,$F$617+$J$617*($F631-$B$617),$G$617+$K$617*($F631-$C$617)))</f>
        <v/>
      </c>
      <c r="P631" s="208">
        <f>MIN(1,MAX(0,(nr_MEndPm1-$G631+0.5)/$C$616))-MIN(1,MAX(0,(nr_MStartPm1-1-$G631+0.5)/$C$616))</f>
        <v/>
      </c>
      <c r="Q631" s="208">
        <f>MIN(1,MAX(0,(nr_MEndP-$G631+0.5)/$C$616))-MIN(1,MAX(0,(nr_MStartP-1-$G631+0.5)/$C$616))</f>
        <v/>
      </c>
      <c r="R631" s="208">
        <f>MIN(1,MAX(0,(nr_MEndP1-$G631+0.5)/$C$616))-MIN(1,MAX(0,(nr_MStartP1-1-$G631+0.5)/$C$616))</f>
        <v/>
      </c>
      <c r="S631" s="208">
        <f>IF($L$616,$N631*IF($O$616=1,$O631/$F$616,1),"")</f>
        <v/>
      </c>
      <c r="T631" s="208">
        <f>IF(NOT($L$616),"",IF($G631&lt;nr_MStartP,$S631,$T619*(1+IF($G631&lt;nr_MStartP1,$M$616,$N$616))))</f>
        <v/>
      </c>
      <c r="U631" s="208">
        <f>IF($L$616,$T631,$N631)</f>
        <v/>
      </c>
    </row>
    <row r="632">
      <c r="A632" s="145" t="n">
        <v>14</v>
      </c>
      <c r="B632" s="204">
        <f>EDATE($B631,1)</f>
        <v/>
      </c>
      <c r="C632" s="205">
        <f>EOMONTH($B632,0)</f>
        <v/>
      </c>
      <c r="D632" s="201">
        <f>$C632-$B632+1</f>
        <v/>
      </c>
      <c r="E632" s="201">
        <f>MONTH($B632)</f>
        <v/>
      </c>
      <c r="F632" s="235">
        <f>($B632+$C632+1)/2</f>
        <v/>
      </c>
      <c r="G632" s="201">
        <f>YEAR($B632)*12+MONTH($B632)-1</f>
        <v/>
      </c>
      <c r="H632" s="207">
        <f>IF(OR(nr_SeasonOn="OFF",$D$616=0,$E$616=0),1,12*INDEX(se_block,$D$616,$E632)/$E$616)</f>
        <v/>
      </c>
      <c r="I632" s="208">
        <f>EXP(SUMPRODUCT((rl_eff&lt;$B632)*(rl_key=$A$616)*rl_ln1p))</f>
        <v/>
      </c>
      <c r="J632" s="208">
        <f>EXP(SUMPRODUCT((rl_eff&lt;=$C632)*(rl_key=$A$616)*rl_ln1p))</f>
        <v/>
      </c>
      <c r="K632" s="201">
        <f>COUNTIFS(rl_key,$A$616,rl_eff,"&gt;="&amp;$B632,rl_eff,"&lt;="&amp;$C632)</f>
        <v/>
      </c>
      <c r="L632" s="201">
        <f>SUMIFS(rl_daysafter,rl_key,$A$616,rl_effmonth,$B632,rl_first,1)</f>
        <v/>
      </c>
      <c r="M632" s="209">
        <f>IF($K632=0,0,MIN(1,$L632/$D632))</f>
        <v/>
      </c>
      <c r="N632" s="208">
        <f>IF($K632=0,$J632,(1-$M632)*$I632+$M632*$J632)</f>
        <v/>
      </c>
      <c r="O632" s="209">
        <f>IF($F632&lt;$B$617,$E$617+$I$617*($F632-$A$617),IF($F632&lt;$C$617,$F$617+$J$617*($F632-$B$617),$G$617+$K$617*($F632-$C$617)))</f>
        <v/>
      </c>
      <c r="P632" s="208">
        <f>MIN(1,MAX(0,(nr_MEndPm1-$G632+0.5)/$C$616))-MIN(1,MAX(0,(nr_MStartPm1-1-$G632+0.5)/$C$616))</f>
        <v/>
      </c>
      <c r="Q632" s="208">
        <f>MIN(1,MAX(0,(nr_MEndP-$G632+0.5)/$C$616))-MIN(1,MAX(0,(nr_MStartP-1-$G632+0.5)/$C$616))</f>
        <v/>
      </c>
      <c r="R632" s="208">
        <f>MIN(1,MAX(0,(nr_MEndP1-$G632+0.5)/$C$616))-MIN(1,MAX(0,(nr_MStartP1-1-$G632+0.5)/$C$616))</f>
        <v/>
      </c>
      <c r="S632" s="208">
        <f>IF($L$616,$N632*IF($O$616=1,$O632/$F$616,1),"")</f>
        <v/>
      </c>
      <c r="T632" s="208">
        <f>IF(NOT($L$616),"",IF($G632&lt;nr_MStartP,$S632,$T620*(1+IF($G632&lt;nr_MStartP1,$M$616,$N$616))))</f>
        <v/>
      </c>
      <c r="U632" s="208">
        <f>IF($L$616,$T632,$N632)</f>
        <v/>
      </c>
    </row>
    <row r="633">
      <c r="A633" s="145" t="n">
        <v>15</v>
      </c>
      <c r="B633" s="204">
        <f>EDATE($B632,1)</f>
        <v/>
      </c>
      <c r="C633" s="205">
        <f>EOMONTH($B633,0)</f>
        <v/>
      </c>
      <c r="D633" s="201">
        <f>$C633-$B633+1</f>
        <v/>
      </c>
      <c r="E633" s="201">
        <f>MONTH($B633)</f>
        <v/>
      </c>
      <c r="F633" s="235">
        <f>($B633+$C633+1)/2</f>
        <v/>
      </c>
      <c r="G633" s="201">
        <f>YEAR($B633)*12+MONTH($B633)-1</f>
        <v/>
      </c>
      <c r="H633" s="207">
        <f>IF(OR(nr_SeasonOn="OFF",$D$616=0,$E$616=0),1,12*INDEX(se_block,$D$616,$E633)/$E$616)</f>
        <v/>
      </c>
      <c r="I633" s="208">
        <f>EXP(SUMPRODUCT((rl_eff&lt;$B633)*(rl_key=$A$616)*rl_ln1p))</f>
        <v/>
      </c>
      <c r="J633" s="208">
        <f>EXP(SUMPRODUCT((rl_eff&lt;=$C633)*(rl_key=$A$616)*rl_ln1p))</f>
        <v/>
      </c>
      <c r="K633" s="201">
        <f>COUNTIFS(rl_key,$A$616,rl_eff,"&gt;="&amp;$B633,rl_eff,"&lt;="&amp;$C633)</f>
        <v/>
      </c>
      <c r="L633" s="201">
        <f>SUMIFS(rl_daysafter,rl_key,$A$616,rl_effmonth,$B633,rl_first,1)</f>
        <v/>
      </c>
      <c r="M633" s="209">
        <f>IF($K633=0,0,MIN(1,$L633/$D633))</f>
        <v/>
      </c>
      <c r="N633" s="208">
        <f>IF($K633=0,$J633,(1-$M633)*$I633+$M633*$J633)</f>
        <v/>
      </c>
      <c r="O633" s="209">
        <f>IF($F633&lt;$B$617,$E$617+$I$617*($F633-$A$617),IF($F633&lt;$C$617,$F$617+$J$617*($F633-$B$617),$G$617+$K$617*($F633-$C$617)))</f>
        <v/>
      </c>
      <c r="P633" s="208">
        <f>MIN(1,MAX(0,(nr_MEndPm1-$G633+0.5)/$C$616))-MIN(1,MAX(0,(nr_MStartPm1-1-$G633+0.5)/$C$616))</f>
        <v/>
      </c>
      <c r="Q633" s="208">
        <f>MIN(1,MAX(0,(nr_MEndP-$G633+0.5)/$C$616))-MIN(1,MAX(0,(nr_MStartP-1-$G633+0.5)/$C$616))</f>
        <v/>
      </c>
      <c r="R633" s="208">
        <f>MIN(1,MAX(0,(nr_MEndP1-$G633+0.5)/$C$616))-MIN(1,MAX(0,(nr_MStartP1-1-$G633+0.5)/$C$616))</f>
        <v/>
      </c>
      <c r="S633" s="208">
        <f>IF($L$616,$N633*IF($O$616=1,$O633/$F$616,1),"")</f>
        <v/>
      </c>
      <c r="T633" s="208">
        <f>IF(NOT($L$616),"",IF($G633&lt;nr_MStartP,$S633,$T621*(1+IF($G633&lt;nr_MStartP1,$M$616,$N$616))))</f>
        <v/>
      </c>
      <c r="U633" s="208">
        <f>IF($L$616,$T633,$N633)</f>
        <v/>
      </c>
    </row>
    <row r="634">
      <c r="A634" s="145" t="n">
        <v>16</v>
      </c>
      <c r="B634" s="204">
        <f>EDATE($B633,1)</f>
        <v/>
      </c>
      <c r="C634" s="205">
        <f>EOMONTH($B634,0)</f>
        <v/>
      </c>
      <c r="D634" s="201">
        <f>$C634-$B634+1</f>
        <v/>
      </c>
      <c r="E634" s="201">
        <f>MONTH($B634)</f>
        <v/>
      </c>
      <c r="F634" s="235">
        <f>($B634+$C634+1)/2</f>
        <v/>
      </c>
      <c r="G634" s="201">
        <f>YEAR($B634)*12+MONTH($B634)-1</f>
        <v/>
      </c>
      <c r="H634" s="207">
        <f>IF(OR(nr_SeasonOn="OFF",$D$616=0,$E$616=0),1,12*INDEX(se_block,$D$616,$E634)/$E$616)</f>
        <v/>
      </c>
      <c r="I634" s="208">
        <f>EXP(SUMPRODUCT((rl_eff&lt;$B634)*(rl_key=$A$616)*rl_ln1p))</f>
        <v/>
      </c>
      <c r="J634" s="208">
        <f>EXP(SUMPRODUCT((rl_eff&lt;=$C634)*(rl_key=$A$616)*rl_ln1p))</f>
        <v/>
      </c>
      <c r="K634" s="201">
        <f>COUNTIFS(rl_key,$A$616,rl_eff,"&gt;="&amp;$B634,rl_eff,"&lt;="&amp;$C634)</f>
        <v/>
      </c>
      <c r="L634" s="201">
        <f>SUMIFS(rl_daysafter,rl_key,$A$616,rl_effmonth,$B634,rl_first,1)</f>
        <v/>
      </c>
      <c r="M634" s="209">
        <f>IF($K634=0,0,MIN(1,$L634/$D634))</f>
        <v/>
      </c>
      <c r="N634" s="208">
        <f>IF($K634=0,$J634,(1-$M634)*$I634+$M634*$J634)</f>
        <v/>
      </c>
      <c r="O634" s="209">
        <f>IF($F634&lt;$B$617,$E$617+$I$617*($F634-$A$617),IF($F634&lt;$C$617,$F$617+$J$617*($F634-$B$617),$G$617+$K$617*($F634-$C$617)))</f>
        <v/>
      </c>
      <c r="P634" s="208">
        <f>MIN(1,MAX(0,(nr_MEndPm1-$G634+0.5)/$C$616))-MIN(1,MAX(0,(nr_MStartPm1-1-$G634+0.5)/$C$616))</f>
        <v/>
      </c>
      <c r="Q634" s="208">
        <f>MIN(1,MAX(0,(nr_MEndP-$G634+0.5)/$C$616))-MIN(1,MAX(0,(nr_MStartP-1-$G634+0.5)/$C$616))</f>
        <v/>
      </c>
      <c r="R634" s="208">
        <f>MIN(1,MAX(0,(nr_MEndP1-$G634+0.5)/$C$616))-MIN(1,MAX(0,(nr_MStartP1-1-$G634+0.5)/$C$616))</f>
        <v/>
      </c>
      <c r="S634" s="208">
        <f>IF($L$616,$N634*IF($O$616=1,$O634/$F$616,1),"")</f>
        <v/>
      </c>
      <c r="T634" s="208">
        <f>IF(NOT($L$616),"",IF($G634&lt;nr_MStartP,$S634,$T622*(1+IF($G634&lt;nr_MStartP1,$M$616,$N$616))))</f>
        <v/>
      </c>
      <c r="U634" s="208">
        <f>IF($L$616,$T634,$N634)</f>
        <v/>
      </c>
    </row>
    <row r="635">
      <c r="A635" s="145" t="n">
        <v>17</v>
      </c>
      <c r="B635" s="204">
        <f>EDATE($B634,1)</f>
        <v/>
      </c>
      <c r="C635" s="205">
        <f>EOMONTH($B635,0)</f>
        <v/>
      </c>
      <c r="D635" s="201">
        <f>$C635-$B635+1</f>
        <v/>
      </c>
      <c r="E635" s="201">
        <f>MONTH($B635)</f>
        <v/>
      </c>
      <c r="F635" s="235">
        <f>($B635+$C635+1)/2</f>
        <v/>
      </c>
      <c r="G635" s="201">
        <f>YEAR($B635)*12+MONTH($B635)-1</f>
        <v/>
      </c>
      <c r="H635" s="207">
        <f>IF(OR(nr_SeasonOn="OFF",$D$616=0,$E$616=0),1,12*INDEX(se_block,$D$616,$E635)/$E$616)</f>
        <v/>
      </c>
      <c r="I635" s="208">
        <f>EXP(SUMPRODUCT((rl_eff&lt;$B635)*(rl_key=$A$616)*rl_ln1p))</f>
        <v/>
      </c>
      <c r="J635" s="208">
        <f>EXP(SUMPRODUCT((rl_eff&lt;=$C635)*(rl_key=$A$616)*rl_ln1p))</f>
        <v/>
      </c>
      <c r="K635" s="201">
        <f>COUNTIFS(rl_key,$A$616,rl_eff,"&gt;="&amp;$B635,rl_eff,"&lt;="&amp;$C635)</f>
        <v/>
      </c>
      <c r="L635" s="201">
        <f>SUMIFS(rl_daysafter,rl_key,$A$616,rl_effmonth,$B635,rl_first,1)</f>
        <v/>
      </c>
      <c r="M635" s="209">
        <f>IF($K635=0,0,MIN(1,$L635/$D635))</f>
        <v/>
      </c>
      <c r="N635" s="208">
        <f>IF($K635=0,$J635,(1-$M635)*$I635+$M635*$J635)</f>
        <v/>
      </c>
      <c r="O635" s="209">
        <f>IF($F635&lt;$B$617,$E$617+$I$617*($F635-$A$617),IF($F635&lt;$C$617,$F$617+$J$617*($F635-$B$617),$G$617+$K$617*($F635-$C$617)))</f>
        <v/>
      </c>
      <c r="P635" s="208">
        <f>MIN(1,MAX(0,(nr_MEndPm1-$G635+0.5)/$C$616))-MIN(1,MAX(0,(nr_MStartPm1-1-$G635+0.5)/$C$616))</f>
        <v/>
      </c>
      <c r="Q635" s="208">
        <f>MIN(1,MAX(0,(nr_MEndP-$G635+0.5)/$C$616))-MIN(1,MAX(0,(nr_MStartP-1-$G635+0.5)/$C$616))</f>
        <v/>
      </c>
      <c r="R635" s="208">
        <f>MIN(1,MAX(0,(nr_MEndP1-$G635+0.5)/$C$616))-MIN(1,MAX(0,(nr_MStartP1-1-$G635+0.5)/$C$616))</f>
        <v/>
      </c>
      <c r="S635" s="208">
        <f>IF($L$616,$N635*IF($O$616=1,$O635/$F$616,1),"")</f>
        <v/>
      </c>
      <c r="T635" s="208">
        <f>IF(NOT($L$616),"",IF($G635&lt;nr_MStartP,$S635,$T623*(1+IF($G635&lt;nr_MStartP1,$M$616,$N$616))))</f>
        <v/>
      </c>
      <c r="U635" s="208">
        <f>IF($L$616,$T635,$N635)</f>
        <v/>
      </c>
    </row>
    <row r="636">
      <c r="A636" s="145" t="n">
        <v>18</v>
      </c>
      <c r="B636" s="204">
        <f>EDATE($B635,1)</f>
        <v/>
      </c>
      <c r="C636" s="205">
        <f>EOMONTH($B636,0)</f>
        <v/>
      </c>
      <c r="D636" s="201">
        <f>$C636-$B636+1</f>
        <v/>
      </c>
      <c r="E636" s="201">
        <f>MONTH($B636)</f>
        <v/>
      </c>
      <c r="F636" s="235">
        <f>($B636+$C636+1)/2</f>
        <v/>
      </c>
      <c r="G636" s="201">
        <f>YEAR($B636)*12+MONTH($B636)-1</f>
        <v/>
      </c>
      <c r="H636" s="207">
        <f>IF(OR(nr_SeasonOn="OFF",$D$616=0,$E$616=0),1,12*INDEX(se_block,$D$616,$E636)/$E$616)</f>
        <v/>
      </c>
      <c r="I636" s="208">
        <f>EXP(SUMPRODUCT((rl_eff&lt;$B636)*(rl_key=$A$616)*rl_ln1p))</f>
        <v/>
      </c>
      <c r="J636" s="208">
        <f>EXP(SUMPRODUCT((rl_eff&lt;=$C636)*(rl_key=$A$616)*rl_ln1p))</f>
        <v/>
      </c>
      <c r="K636" s="201">
        <f>COUNTIFS(rl_key,$A$616,rl_eff,"&gt;="&amp;$B636,rl_eff,"&lt;="&amp;$C636)</f>
        <v/>
      </c>
      <c r="L636" s="201">
        <f>SUMIFS(rl_daysafter,rl_key,$A$616,rl_effmonth,$B636,rl_first,1)</f>
        <v/>
      </c>
      <c r="M636" s="209">
        <f>IF($K636=0,0,MIN(1,$L636/$D636))</f>
        <v/>
      </c>
      <c r="N636" s="208">
        <f>IF($K636=0,$J636,(1-$M636)*$I636+$M636*$J636)</f>
        <v/>
      </c>
      <c r="O636" s="209">
        <f>IF($F636&lt;$B$617,$E$617+$I$617*($F636-$A$617),IF($F636&lt;$C$617,$F$617+$J$617*($F636-$B$617),$G$617+$K$617*($F636-$C$617)))</f>
        <v/>
      </c>
      <c r="P636" s="208">
        <f>MIN(1,MAX(0,(nr_MEndPm1-$G636+0.5)/$C$616))-MIN(1,MAX(0,(nr_MStartPm1-1-$G636+0.5)/$C$616))</f>
        <v/>
      </c>
      <c r="Q636" s="208">
        <f>MIN(1,MAX(0,(nr_MEndP-$G636+0.5)/$C$616))-MIN(1,MAX(0,(nr_MStartP-1-$G636+0.5)/$C$616))</f>
        <v/>
      </c>
      <c r="R636" s="208">
        <f>MIN(1,MAX(0,(nr_MEndP1-$G636+0.5)/$C$616))-MIN(1,MAX(0,(nr_MStartP1-1-$G636+0.5)/$C$616))</f>
        <v/>
      </c>
      <c r="S636" s="208">
        <f>IF($L$616,$N636*IF($O$616=1,$O636/$F$616,1),"")</f>
        <v/>
      </c>
      <c r="T636" s="208">
        <f>IF(NOT($L$616),"",IF($G636&lt;nr_MStartP,$S636,$T624*(1+IF($G636&lt;nr_MStartP1,$M$616,$N$616))))</f>
        <v/>
      </c>
      <c r="U636" s="208">
        <f>IF($L$616,$T636,$N636)</f>
        <v/>
      </c>
    </row>
    <row r="637">
      <c r="A637" s="145" t="n">
        <v>19</v>
      </c>
      <c r="B637" s="204">
        <f>EDATE($B636,1)</f>
        <v/>
      </c>
      <c r="C637" s="205">
        <f>EOMONTH($B637,0)</f>
        <v/>
      </c>
      <c r="D637" s="201">
        <f>$C637-$B637+1</f>
        <v/>
      </c>
      <c r="E637" s="201">
        <f>MONTH($B637)</f>
        <v/>
      </c>
      <c r="F637" s="235">
        <f>($B637+$C637+1)/2</f>
        <v/>
      </c>
      <c r="G637" s="201">
        <f>YEAR($B637)*12+MONTH($B637)-1</f>
        <v/>
      </c>
      <c r="H637" s="207">
        <f>IF(OR(nr_SeasonOn="OFF",$D$616=0,$E$616=0),1,12*INDEX(se_block,$D$616,$E637)/$E$616)</f>
        <v/>
      </c>
      <c r="I637" s="208">
        <f>EXP(SUMPRODUCT((rl_eff&lt;$B637)*(rl_key=$A$616)*rl_ln1p))</f>
        <v/>
      </c>
      <c r="J637" s="208">
        <f>EXP(SUMPRODUCT((rl_eff&lt;=$C637)*(rl_key=$A$616)*rl_ln1p))</f>
        <v/>
      </c>
      <c r="K637" s="201">
        <f>COUNTIFS(rl_key,$A$616,rl_eff,"&gt;="&amp;$B637,rl_eff,"&lt;="&amp;$C637)</f>
        <v/>
      </c>
      <c r="L637" s="201">
        <f>SUMIFS(rl_daysafter,rl_key,$A$616,rl_effmonth,$B637,rl_first,1)</f>
        <v/>
      </c>
      <c r="M637" s="209">
        <f>IF($K637=0,0,MIN(1,$L637/$D637))</f>
        <v/>
      </c>
      <c r="N637" s="208">
        <f>IF($K637=0,$J637,(1-$M637)*$I637+$M637*$J637)</f>
        <v/>
      </c>
      <c r="O637" s="209">
        <f>IF($F637&lt;$B$617,$E$617+$I$617*($F637-$A$617),IF($F637&lt;$C$617,$F$617+$J$617*($F637-$B$617),$G$617+$K$617*($F637-$C$617)))</f>
        <v/>
      </c>
      <c r="P637" s="208">
        <f>MIN(1,MAX(0,(nr_MEndPm1-$G637+0.5)/$C$616))-MIN(1,MAX(0,(nr_MStartPm1-1-$G637+0.5)/$C$616))</f>
        <v/>
      </c>
      <c r="Q637" s="208">
        <f>MIN(1,MAX(0,(nr_MEndP-$G637+0.5)/$C$616))-MIN(1,MAX(0,(nr_MStartP-1-$G637+0.5)/$C$616))</f>
        <v/>
      </c>
      <c r="R637" s="208">
        <f>MIN(1,MAX(0,(nr_MEndP1-$G637+0.5)/$C$616))-MIN(1,MAX(0,(nr_MStartP1-1-$G637+0.5)/$C$616))</f>
        <v/>
      </c>
      <c r="S637" s="208">
        <f>IF($L$616,$N637*IF($O$616=1,$O637/$F$616,1),"")</f>
        <v/>
      </c>
      <c r="T637" s="208">
        <f>IF(NOT($L$616),"",IF($G637&lt;nr_MStartP,$S637,$T625*(1+IF($G637&lt;nr_MStartP1,$M$616,$N$616))))</f>
        <v/>
      </c>
      <c r="U637" s="208">
        <f>IF($L$616,$T637,$N637)</f>
        <v/>
      </c>
    </row>
    <row r="638">
      <c r="A638" s="145" t="n">
        <v>20</v>
      </c>
      <c r="B638" s="204">
        <f>EDATE($B637,1)</f>
        <v/>
      </c>
      <c r="C638" s="205">
        <f>EOMONTH($B638,0)</f>
        <v/>
      </c>
      <c r="D638" s="201">
        <f>$C638-$B638+1</f>
        <v/>
      </c>
      <c r="E638" s="201">
        <f>MONTH($B638)</f>
        <v/>
      </c>
      <c r="F638" s="235">
        <f>($B638+$C638+1)/2</f>
        <v/>
      </c>
      <c r="G638" s="201">
        <f>YEAR($B638)*12+MONTH($B638)-1</f>
        <v/>
      </c>
      <c r="H638" s="207">
        <f>IF(OR(nr_SeasonOn="OFF",$D$616=0,$E$616=0),1,12*INDEX(se_block,$D$616,$E638)/$E$616)</f>
        <v/>
      </c>
      <c r="I638" s="208">
        <f>EXP(SUMPRODUCT((rl_eff&lt;$B638)*(rl_key=$A$616)*rl_ln1p))</f>
        <v/>
      </c>
      <c r="J638" s="208">
        <f>EXP(SUMPRODUCT((rl_eff&lt;=$C638)*(rl_key=$A$616)*rl_ln1p))</f>
        <v/>
      </c>
      <c r="K638" s="201">
        <f>COUNTIFS(rl_key,$A$616,rl_eff,"&gt;="&amp;$B638,rl_eff,"&lt;="&amp;$C638)</f>
        <v/>
      </c>
      <c r="L638" s="201">
        <f>SUMIFS(rl_daysafter,rl_key,$A$616,rl_effmonth,$B638,rl_first,1)</f>
        <v/>
      </c>
      <c r="M638" s="209">
        <f>IF($K638=0,0,MIN(1,$L638/$D638))</f>
        <v/>
      </c>
      <c r="N638" s="208">
        <f>IF($K638=0,$J638,(1-$M638)*$I638+$M638*$J638)</f>
        <v/>
      </c>
      <c r="O638" s="209">
        <f>IF($F638&lt;$B$617,$E$617+$I$617*($F638-$A$617),IF($F638&lt;$C$617,$F$617+$J$617*($F638-$B$617),$G$617+$K$617*($F638-$C$617)))</f>
        <v/>
      </c>
      <c r="P638" s="208">
        <f>MIN(1,MAX(0,(nr_MEndPm1-$G638+0.5)/$C$616))-MIN(1,MAX(0,(nr_MStartPm1-1-$G638+0.5)/$C$616))</f>
        <v/>
      </c>
      <c r="Q638" s="208">
        <f>MIN(1,MAX(0,(nr_MEndP-$G638+0.5)/$C$616))-MIN(1,MAX(0,(nr_MStartP-1-$G638+0.5)/$C$616))</f>
        <v/>
      </c>
      <c r="R638" s="208">
        <f>MIN(1,MAX(0,(nr_MEndP1-$G638+0.5)/$C$616))-MIN(1,MAX(0,(nr_MStartP1-1-$G638+0.5)/$C$616))</f>
        <v/>
      </c>
      <c r="S638" s="208">
        <f>IF($L$616,$N638*IF($O$616=1,$O638/$F$616,1),"")</f>
        <v/>
      </c>
      <c r="T638" s="208">
        <f>IF(NOT($L$616),"",IF($G638&lt;nr_MStartP,$S638,$T626*(1+IF($G638&lt;nr_MStartP1,$M$616,$N$616))))</f>
        <v/>
      </c>
      <c r="U638" s="208">
        <f>IF($L$616,$T638,$N638)</f>
        <v/>
      </c>
    </row>
    <row r="639">
      <c r="A639" s="145" t="n">
        <v>21</v>
      </c>
      <c r="B639" s="204">
        <f>EDATE($B638,1)</f>
        <v/>
      </c>
      <c r="C639" s="205">
        <f>EOMONTH($B639,0)</f>
        <v/>
      </c>
      <c r="D639" s="201">
        <f>$C639-$B639+1</f>
        <v/>
      </c>
      <c r="E639" s="201">
        <f>MONTH($B639)</f>
        <v/>
      </c>
      <c r="F639" s="235">
        <f>($B639+$C639+1)/2</f>
        <v/>
      </c>
      <c r="G639" s="201">
        <f>YEAR($B639)*12+MONTH($B639)-1</f>
        <v/>
      </c>
      <c r="H639" s="207">
        <f>IF(OR(nr_SeasonOn="OFF",$D$616=0,$E$616=0),1,12*INDEX(se_block,$D$616,$E639)/$E$616)</f>
        <v/>
      </c>
      <c r="I639" s="208">
        <f>EXP(SUMPRODUCT((rl_eff&lt;$B639)*(rl_key=$A$616)*rl_ln1p))</f>
        <v/>
      </c>
      <c r="J639" s="208">
        <f>EXP(SUMPRODUCT((rl_eff&lt;=$C639)*(rl_key=$A$616)*rl_ln1p))</f>
        <v/>
      </c>
      <c r="K639" s="201">
        <f>COUNTIFS(rl_key,$A$616,rl_eff,"&gt;="&amp;$B639,rl_eff,"&lt;="&amp;$C639)</f>
        <v/>
      </c>
      <c r="L639" s="201">
        <f>SUMIFS(rl_daysafter,rl_key,$A$616,rl_effmonth,$B639,rl_first,1)</f>
        <v/>
      </c>
      <c r="M639" s="209">
        <f>IF($K639=0,0,MIN(1,$L639/$D639))</f>
        <v/>
      </c>
      <c r="N639" s="208">
        <f>IF($K639=0,$J639,(1-$M639)*$I639+$M639*$J639)</f>
        <v/>
      </c>
      <c r="O639" s="209">
        <f>IF($F639&lt;$B$617,$E$617+$I$617*($F639-$A$617),IF($F639&lt;$C$617,$F$617+$J$617*($F639-$B$617),$G$617+$K$617*($F639-$C$617)))</f>
        <v/>
      </c>
      <c r="P639" s="208">
        <f>MIN(1,MAX(0,(nr_MEndPm1-$G639+0.5)/$C$616))-MIN(1,MAX(0,(nr_MStartPm1-1-$G639+0.5)/$C$616))</f>
        <v/>
      </c>
      <c r="Q639" s="208">
        <f>MIN(1,MAX(0,(nr_MEndP-$G639+0.5)/$C$616))-MIN(1,MAX(0,(nr_MStartP-1-$G639+0.5)/$C$616))</f>
        <v/>
      </c>
      <c r="R639" s="208">
        <f>MIN(1,MAX(0,(nr_MEndP1-$G639+0.5)/$C$616))-MIN(1,MAX(0,(nr_MStartP1-1-$G639+0.5)/$C$616))</f>
        <v/>
      </c>
      <c r="S639" s="208">
        <f>IF($L$616,$N639*IF($O$616=1,$O639/$F$616,1),"")</f>
        <v/>
      </c>
      <c r="T639" s="208">
        <f>IF(NOT($L$616),"",IF($G639&lt;nr_MStartP,$S639,$T627*(1+IF($G639&lt;nr_MStartP1,$M$616,$N$616))))</f>
        <v/>
      </c>
      <c r="U639" s="208">
        <f>IF($L$616,$T639,$N639)</f>
        <v/>
      </c>
    </row>
    <row r="640">
      <c r="A640" s="145" t="n">
        <v>22</v>
      </c>
      <c r="B640" s="204">
        <f>EDATE($B639,1)</f>
        <v/>
      </c>
      <c r="C640" s="205">
        <f>EOMONTH($B640,0)</f>
        <v/>
      </c>
      <c r="D640" s="201">
        <f>$C640-$B640+1</f>
        <v/>
      </c>
      <c r="E640" s="201">
        <f>MONTH($B640)</f>
        <v/>
      </c>
      <c r="F640" s="235">
        <f>($B640+$C640+1)/2</f>
        <v/>
      </c>
      <c r="G640" s="201">
        <f>YEAR($B640)*12+MONTH($B640)-1</f>
        <v/>
      </c>
      <c r="H640" s="207">
        <f>IF(OR(nr_SeasonOn="OFF",$D$616=0,$E$616=0),1,12*INDEX(se_block,$D$616,$E640)/$E$616)</f>
        <v/>
      </c>
      <c r="I640" s="208">
        <f>EXP(SUMPRODUCT((rl_eff&lt;$B640)*(rl_key=$A$616)*rl_ln1p))</f>
        <v/>
      </c>
      <c r="J640" s="208">
        <f>EXP(SUMPRODUCT((rl_eff&lt;=$C640)*(rl_key=$A$616)*rl_ln1p))</f>
        <v/>
      </c>
      <c r="K640" s="201">
        <f>COUNTIFS(rl_key,$A$616,rl_eff,"&gt;="&amp;$B640,rl_eff,"&lt;="&amp;$C640)</f>
        <v/>
      </c>
      <c r="L640" s="201">
        <f>SUMIFS(rl_daysafter,rl_key,$A$616,rl_effmonth,$B640,rl_first,1)</f>
        <v/>
      </c>
      <c r="M640" s="209">
        <f>IF($K640=0,0,MIN(1,$L640/$D640))</f>
        <v/>
      </c>
      <c r="N640" s="208">
        <f>IF($K640=0,$J640,(1-$M640)*$I640+$M640*$J640)</f>
        <v/>
      </c>
      <c r="O640" s="209">
        <f>IF($F640&lt;$B$617,$E$617+$I$617*($F640-$A$617),IF($F640&lt;$C$617,$F$617+$J$617*($F640-$B$617),$G$617+$K$617*($F640-$C$617)))</f>
        <v/>
      </c>
      <c r="P640" s="208">
        <f>MIN(1,MAX(0,(nr_MEndPm1-$G640+0.5)/$C$616))-MIN(1,MAX(0,(nr_MStartPm1-1-$G640+0.5)/$C$616))</f>
        <v/>
      </c>
      <c r="Q640" s="208">
        <f>MIN(1,MAX(0,(nr_MEndP-$G640+0.5)/$C$616))-MIN(1,MAX(0,(nr_MStartP-1-$G640+0.5)/$C$616))</f>
        <v/>
      </c>
      <c r="R640" s="208">
        <f>MIN(1,MAX(0,(nr_MEndP1-$G640+0.5)/$C$616))-MIN(1,MAX(0,(nr_MStartP1-1-$G640+0.5)/$C$616))</f>
        <v/>
      </c>
      <c r="S640" s="208">
        <f>IF($L$616,$N640*IF($O$616=1,$O640/$F$616,1),"")</f>
        <v/>
      </c>
      <c r="T640" s="208">
        <f>IF(NOT($L$616),"",IF($G640&lt;nr_MStartP,$S640,$T628*(1+IF($G640&lt;nr_MStartP1,$M$616,$N$616))))</f>
        <v/>
      </c>
      <c r="U640" s="208">
        <f>IF($L$616,$T640,$N640)</f>
        <v/>
      </c>
    </row>
    <row r="641">
      <c r="A641" s="145" t="n">
        <v>23</v>
      </c>
      <c r="B641" s="204">
        <f>EDATE($B640,1)</f>
        <v/>
      </c>
      <c r="C641" s="205">
        <f>EOMONTH($B641,0)</f>
        <v/>
      </c>
      <c r="D641" s="201">
        <f>$C641-$B641+1</f>
        <v/>
      </c>
      <c r="E641" s="201">
        <f>MONTH($B641)</f>
        <v/>
      </c>
      <c r="F641" s="235">
        <f>($B641+$C641+1)/2</f>
        <v/>
      </c>
      <c r="G641" s="201">
        <f>YEAR($B641)*12+MONTH($B641)-1</f>
        <v/>
      </c>
      <c r="H641" s="207">
        <f>IF(OR(nr_SeasonOn="OFF",$D$616=0,$E$616=0),1,12*INDEX(se_block,$D$616,$E641)/$E$616)</f>
        <v/>
      </c>
      <c r="I641" s="208">
        <f>EXP(SUMPRODUCT((rl_eff&lt;$B641)*(rl_key=$A$616)*rl_ln1p))</f>
        <v/>
      </c>
      <c r="J641" s="208">
        <f>EXP(SUMPRODUCT((rl_eff&lt;=$C641)*(rl_key=$A$616)*rl_ln1p))</f>
        <v/>
      </c>
      <c r="K641" s="201">
        <f>COUNTIFS(rl_key,$A$616,rl_eff,"&gt;="&amp;$B641,rl_eff,"&lt;="&amp;$C641)</f>
        <v/>
      </c>
      <c r="L641" s="201">
        <f>SUMIFS(rl_daysafter,rl_key,$A$616,rl_effmonth,$B641,rl_first,1)</f>
        <v/>
      </c>
      <c r="M641" s="209">
        <f>IF($K641=0,0,MIN(1,$L641/$D641))</f>
        <v/>
      </c>
      <c r="N641" s="208">
        <f>IF($K641=0,$J641,(1-$M641)*$I641+$M641*$J641)</f>
        <v/>
      </c>
      <c r="O641" s="209">
        <f>IF($F641&lt;$B$617,$E$617+$I$617*($F641-$A$617),IF($F641&lt;$C$617,$F$617+$J$617*($F641-$B$617),$G$617+$K$617*($F641-$C$617)))</f>
        <v/>
      </c>
      <c r="P641" s="208">
        <f>MIN(1,MAX(0,(nr_MEndPm1-$G641+0.5)/$C$616))-MIN(1,MAX(0,(nr_MStartPm1-1-$G641+0.5)/$C$616))</f>
        <v/>
      </c>
      <c r="Q641" s="208">
        <f>MIN(1,MAX(0,(nr_MEndP-$G641+0.5)/$C$616))-MIN(1,MAX(0,(nr_MStartP-1-$G641+0.5)/$C$616))</f>
        <v/>
      </c>
      <c r="R641" s="208">
        <f>MIN(1,MAX(0,(nr_MEndP1-$G641+0.5)/$C$616))-MIN(1,MAX(0,(nr_MStartP1-1-$G641+0.5)/$C$616))</f>
        <v/>
      </c>
      <c r="S641" s="208">
        <f>IF($L$616,$N641*IF($O$616=1,$O641/$F$616,1),"")</f>
        <v/>
      </c>
      <c r="T641" s="208">
        <f>IF(NOT($L$616),"",IF($G641&lt;nr_MStartP,$S641,$T629*(1+IF($G641&lt;nr_MStartP1,$M$616,$N$616))))</f>
        <v/>
      </c>
      <c r="U641" s="208">
        <f>IF($L$616,$T641,$N641)</f>
        <v/>
      </c>
    </row>
    <row r="642">
      <c r="A642" s="145" t="n">
        <v>24</v>
      </c>
      <c r="B642" s="204">
        <f>EDATE($B641,1)</f>
        <v/>
      </c>
      <c r="C642" s="205">
        <f>EOMONTH($B642,0)</f>
        <v/>
      </c>
      <c r="D642" s="201">
        <f>$C642-$B642+1</f>
        <v/>
      </c>
      <c r="E642" s="201">
        <f>MONTH($B642)</f>
        <v/>
      </c>
      <c r="F642" s="235">
        <f>($B642+$C642+1)/2</f>
        <v/>
      </c>
      <c r="G642" s="201">
        <f>YEAR($B642)*12+MONTH($B642)-1</f>
        <v/>
      </c>
      <c r="H642" s="207">
        <f>IF(OR(nr_SeasonOn="OFF",$D$616=0,$E$616=0),1,12*INDEX(se_block,$D$616,$E642)/$E$616)</f>
        <v/>
      </c>
      <c r="I642" s="208">
        <f>EXP(SUMPRODUCT((rl_eff&lt;$B642)*(rl_key=$A$616)*rl_ln1p))</f>
        <v/>
      </c>
      <c r="J642" s="208">
        <f>EXP(SUMPRODUCT((rl_eff&lt;=$C642)*(rl_key=$A$616)*rl_ln1p))</f>
        <v/>
      </c>
      <c r="K642" s="201">
        <f>COUNTIFS(rl_key,$A$616,rl_eff,"&gt;="&amp;$B642,rl_eff,"&lt;="&amp;$C642)</f>
        <v/>
      </c>
      <c r="L642" s="201">
        <f>SUMIFS(rl_daysafter,rl_key,$A$616,rl_effmonth,$B642,rl_first,1)</f>
        <v/>
      </c>
      <c r="M642" s="209">
        <f>IF($K642=0,0,MIN(1,$L642/$D642))</f>
        <v/>
      </c>
      <c r="N642" s="208">
        <f>IF($K642=0,$J642,(1-$M642)*$I642+$M642*$J642)</f>
        <v/>
      </c>
      <c r="O642" s="209">
        <f>IF($F642&lt;$B$617,$E$617+$I$617*($F642-$A$617),IF($F642&lt;$C$617,$F$617+$J$617*($F642-$B$617),$G$617+$K$617*($F642-$C$617)))</f>
        <v/>
      </c>
      <c r="P642" s="208">
        <f>MIN(1,MAX(0,(nr_MEndPm1-$G642+0.5)/$C$616))-MIN(1,MAX(0,(nr_MStartPm1-1-$G642+0.5)/$C$616))</f>
        <v/>
      </c>
      <c r="Q642" s="208">
        <f>MIN(1,MAX(0,(nr_MEndP-$G642+0.5)/$C$616))-MIN(1,MAX(0,(nr_MStartP-1-$G642+0.5)/$C$616))</f>
        <v/>
      </c>
      <c r="R642" s="208">
        <f>MIN(1,MAX(0,(nr_MEndP1-$G642+0.5)/$C$616))-MIN(1,MAX(0,(nr_MStartP1-1-$G642+0.5)/$C$616))</f>
        <v/>
      </c>
      <c r="S642" s="208">
        <f>IF($L$616,$N642*IF($O$616=1,$O642/$F$616,1),"")</f>
        <v/>
      </c>
      <c r="T642" s="208">
        <f>IF(NOT($L$616),"",IF($G642&lt;nr_MStartP,$S642,$T630*(1+IF($G642&lt;nr_MStartP1,$M$616,$N$616))))</f>
        <v/>
      </c>
      <c r="U642" s="208">
        <f>IF($L$616,$T642,$N642)</f>
        <v/>
      </c>
    </row>
    <row r="643">
      <c r="A643" s="145" t="n">
        <v>25</v>
      </c>
      <c r="B643" s="204">
        <f>EDATE($B642,1)</f>
        <v/>
      </c>
      <c r="C643" s="205">
        <f>EOMONTH($B643,0)</f>
        <v/>
      </c>
      <c r="D643" s="201">
        <f>$C643-$B643+1</f>
        <v/>
      </c>
      <c r="E643" s="201">
        <f>MONTH($B643)</f>
        <v/>
      </c>
      <c r="F643" s="235">
        <f>($B643+$C643+1)/2</f>
        <v/>
      </c>
      <c r="G643" s="201">
        <f>YEAR($B643)*12+MONTH($B643)-1</f>
        <v/>
      </c>
      <c r="H643" s="207">
        <f>IF(OR(nr_SeasonOn="OFF",$D$616=0,$E$616=0),1,12*INDEX(se_block,$D$616,$E643)/$E$616)</f>
        <v/>
      </c>
      <c r="I643" s="208">
        <f>EXP(SUMPRODUCT((rl_eff&lt;$B643)*(rl_key=$A$616)*rl_ln1p))</f>
        <v/>
      </c>
      <c r="J643" s="208">
        <f>EXP(SUMPRODUCT((rl_eff&lt;=$C643)*(rl_key=$A$616)*rl_ln1p))</f>
        <v/>
      </c>
      <c r="K643" s="201">
        <f>COUNTIFS(rl_key,$A$616,rl_eff,"&gt;="&amp;$B643,rl_eff,"&lt;="&amp;$C643)</f>
        <v/>
      </c>
      <c r="L643" s="201">
        <f>SUMIFS(rl_daysafter,rl_key,$A$616,rl_effmonth,$B643,rl_first,1)</f>
        <v/>
      </c>
      <c r="M643" s="209">
        <f>IF($K643=0,0,MIN(1,$L643/$D643))</f>
        <v/>
      </c>
      <c r="N643" s="208">
        <f>IF($K643=0,$J643,(1-$M643)*$I643+$M643*$J643)</f>
        <v/>
      </c>
      <c r="O643" s="209">
        <f>IF($F643&lt;$B$617,$E$617+$I$617*($F643-$A$617),IF($F643&lt;$C$617,$F$617+$J$617*($F643-$B$617),$G$617+$K$617*($F643-$C$617)))</f>
        <v/>
      </c>
      <c r="P643" s="208">
        <f>MIN(1,MAX(0,(nr_MEndPm1-$G643+0.5)/$C$616))-MIN(1,MAX(0,(nr_MStartPm1-1-$G643+0.5)/$C$616))</f>
        <v/>
      </c>
      <c r="Q643" s="208">
        <f>MIN(1,MAX(0,(nr_MEndP-$G643+0.5)/$C$616))-MIN(1,MAX(0,(nr_MStartP-1-$G643+0.5)/$C$616))</f>
        <v/>
      </c>
      <c r="R643" s="208">
        <f>MIN(1,MAX(0,(nr_MEndP1-$G643+0.5)/$C$616))-MIN(1,MAX(0,(nr_MStartP1-1-$G643+0.5)/$C$616))</f>
        <v/>
      </c>
      <c r="S643" s="208">
        <f>IF($L$616,$N643*IF($O$616=1,$O643/$F$616,1),"")</f>
        <v/>
      </c>
      <c r="T643" s="208">
        <f>IF(NOT($L$616),"",IF($G643&lt;nr_MStartP,$S643,$T631*(1+IF($G643&lt;nr_MStartP1,$M$616,$N$616))))</f>
        <v/>
      </c>
      <c r="U643" s="208">
        <f>IF($L$616,$T643,$N643)</f>
        <v/>
      </c>
    </row>
    <row r="644">
      <c r="A644" s="145" t="n">
        <v>26</v>
      </c>
      <c r="B644" s="204">
        <f>EDATE($B643,1)</f>
        <v/>
      </c>
      <c r="C644" s="205">
        <f>EOMONTH($B644,0)</f>
        <v/>
      </c>
      <c r="D644" s="201">
        <f>$C644-$B644+1</f>
        <v/>
      </c>
      <c r="E644" s="201">
        <f>MONTH($B644)</f>
        <v/>
      </c>
      <c r="F644" s="235">
        <f>($B644+$C644+1)/2</f>
        <v/>
      </c>
      <c r="G644" s="201">
        <f>YEAR($B644)*12+MONTH($B644)-1</f>
        <v/>
      </c>
      <c r="H644" s="207">
        <f>IF(OR(nr_SeasonOn="OFF",$D$616=0,$E$616=0),1,12*INDEX(se_block,$D$616,$E644)/$E$616)</f>
        <v/>
      </c>
      <c r="I644" s="208">
        <f>EXP(SUMPRODUCT((rl_eff&lt;$B644)*(rl_key=$A$616)*rl_ln1p))</f>
        <v/>
      </c>
      <c r="J644" s="208">
        <f>EXP(SUMPRODUCT((rl_eff&lt;=$C644)*(rl_key=$A$616)*rl_ln1p))</f>
        <v/>
      </c>
      <c r="K644" s="201">
        <f>COUNTIFS(rl_key,$A$616,rl_eff,"&gt;="&amp;$B644,rl_eff,"&lt;="&amp;$C644)</f>
        <v/>
      </c>
      <c r="L644" s="201">
        <f>SUMIFS(rl_daysafter,rl_key,$A$616,rl_effmonth,$B644,rl_first,1)</f>
        <v/>
      </c>
      <c r="M644" s="209">
        <f>IF($K644=0,0,MIN(1,$L644/$D644))</f>
        <v/>
      </c>
      <c r="N644" s="208">
        <f>IF($K644=0,$J644,(1-$M644)*$I644+$M644*$J644)</f>
        <v/>
      </c>
      <c r="O644" s="209">
        <f>IF($F644&lt;$B$617,$E$617+$I$617*($F644-$A$617),IF($F644&lt;$C$617,$F$617+$J$617*($F644-$B$617),$G$617+$K$617*($F644-$C$617)))</f>
        <v/>
      </c>
      <c r="P644" s="208">
        <f>MIN(1,MAX(0,(nr_MEndPm1-$G644+0.5)/$C$616))-MIN(1,MAX(0,(nr_MStartPm1-1-$G644+0.5)/$C$616))</f>
        <v/>
      </c>
      <c r="Q644" s="208">
        <f>MIN(1,MAX(0,(nr_MEndP-$G644+0.5)/$C$616))-MIN(1,MAX(0,(nr_MStartP-1-$G644+0.5)/$C$616))</f>
        <v/>
      </c>
      <c r="R644" s="208">
        <f>MIN(1,MAX(0,(nr_MEndP1-$G644+0.5)/$C$616))-MIN(1,MAX(0,(nr_MStartP1-1-$G644+0.5)/$C$616))</f>
        <v/>
      </c>
      <c r="S644" s="208">
        <f>IF($L$616,$N644*IF($O$616=1,$O644/$F$616,1),"")</f>
        <v/>
      </c>
      <c r="T644" s="208">
        <f>IF(NOT($L$616),"",IF($G644&lt;nr_MStartP,$S644,$T632*(1+IF($G644&lt;nr_MStartP1,$M$616,$N$616))))</f>
        <v/>
      </c>
      <c r="U644" s="208">
        <f>IF($L$616,$T644,$N644)</f>
        <v/>
      </c>
    </row>
    <row r="645">
      <c r="A645" s="145" t="n">
        <v>27</v>
      </c>
      <c r="B645" s="204">
        <f>EDATE($B644,1)</f>
        <v/>
      </c>
      <c r="C645" s="205">
        <f>EOMONTH($B645,0)</f>
        <v/>
      </c>
      <c r="D645" s="201">
        <f>$C645-$B645+1</f>
        <v/>
      </c>
      <c r="E645" s="201">
        <f>MONTH($B645)</f>
        <v/>
      </c>
      <c r="F645" s="235">
        <f>($B645+$C645+1)/2</f>
        <v/>
      </c>
      <c r="G645" s="201">
        <f>YEAR($B645)*12+MONTH($B645)-1</f>
        <v/>
      </c>
      <c r="H645" s="207">
        <f>IF(OR(nr_SeasonOn="OFF",$D$616=0,$E$616=0),1,12*INDEX(se_block,$D$616,$E645)/$E$616)</f>
        <v/>
      </c>
      <c r="I645" s="208">
        <f>EXP(SUMPRODUCT((rl_eff&lt;$B645)*(rl_key=$A$616)*rl_ln1p))</f>
        <v/>
      </c>
      <c r="J645" s="208">
        <f>EXP(SUMPRODUCT((rl_eff&lt;=$C645)*(rl_key=$A$616)*rl_ln1p))</f>
        <v/>
      </c>
      <c r="K645" s="201">
        <f>COUNTIFS(rl_key,$A$616,rl_eff,"&gt;="&amp;$B645,rl_eff,"&lt;="&amp;$C645)</f>
        <v/>
      </c>
      <c r="L645" s="201">
        <f>SUMIFS(rl_daysafter,rl_key,$A$616,rl_effmonth,$B645,rl_first,1)</f>
        <v/>
      </c>
      <c r="M645" s="209">
        <f>IF($K645=0,0,MIN(1,$L645/$D645))</f>
        <v/>
      </c>
      <c r="N645" s="208">
        <f>IF($K645=0,$J645,(1-$M645)*$I645+$M645*$J645)</f>
        <v/>
      </c>
      <c r="O645" s="209">
        <f>IF($F645&lt;$B$617,$E$617+$I$617*($F645-$A$617),IF($F645&lt;$C$617,$F$617+$J$617*($F645-$B$617),$G$617+$K$617*($F645-$C$617)))</f>
        <v/>
      </c>
      <c r="P645" s="208">
        <f>MIN(1,MAX(0,(nr_MEndPm1-$G645+0.5)/$C$616))-MIN(1,MAX(0,(nr_MStartPm1-1-$G645+0.5)/$C$616))</f>
        <v/>
      </c>
      <c r="Q645" s="208">
        <f>MIN(1,MAX(0,(nr_MEndP-$G645+0.5)/$C$616))-MIN(1,MAX(0,(nr_MStartP-1-$G645+0.5)/$C$616))</f>
        <v/>
      </c>
      <c r="R645" s="208">
        <f>MIN(1,MAX(0,(nr_MEndP1-$G645+0.5)/$C$616))-MIN(1,MAX(0,(nr_MStartP1-1-$G645+0.5)/$C$616))</f>
        <v/>
      </c>
      <c r="S645" s="208">
        <f>IF($L$616,$N645*IF($O$616=1,$O645/$F$616,1),"")</f>
        <v/>
      </c>
      <c r="T645" s="208">
        <f>IF(NOT($L$616),"",IF($G645&lt;nr_MStartP,$S645,$T633*(1+IF($G645&lt;nr_MStartP1,$M$616,$N$616))))</f>
        <v/>
      </c>
      <c r="U645" s="208">
        <f>IF($L$616,$T645,$N645)</f>
        <v/>
      </c>
    </row>
    <row r="646">
      <c r="A646" s="145" t="n">
        <v>28</v>
      </c>
      <c r="B646" s="204">
        <f>EDATE($B645,1)</f>
        <v/>
      </c>
      <c r="C646" s="205">
        <f>EOMONTH($B646,0)</f>
        <v/>
      </c>
      <c r="D646" s="201">
        <f>$C646-$B646+1</f>
        <v/>
      </c>
      <c r="E646" s="201">
        <f>MONTH($B646)</f>
        <v/>
      </c>
      <c r="F646" s="235">
        <f>($B646+$C646+1)/2</f>
        <v/>
      </c>
      <c r="G646" s="201">
        <f>YEAR($B646)*12+MONTH($B646)-1</f>
        <v/>
      </c>
      <c r="H646" s="207">
        <f>IF(OR(nr_SeasonOn="OFF",$D$616=0,$E$616=0),1,12*INDEX(se_block,$D$616,$E646)/$E$616)</f>
        <v/>
      </c>
      <c r="I646" s="208">
        <f>EXP(SUMPRODUCT((rl_eff&lt;$B646)*(rl_key=$A$616)*rl_ln1p))</f>
        <v/>
      </c>
      <c r="J646" s="208">
        <f>EXP(SUMPRODUCT((rl_eff&lt;=$C646)*(rl_key=$A$616)*rl_ln1p))</f>
        <v/>
      </c>
      <c r="K646" s="201">
        <f>COUNTIFS(rl_key,$A$616,rl_eff,"&gt;="&amp;$B646,rl_eff,"&lt;="&amp;$C646)</f>
        <v/>
      </c>
      <c r="L646" s="201">
        <f>SUMIFS(rl_daysafter,rl_key,$A$616,rl_effmonth,$B646,rl_first,1)</f>
        <v/>
      </c>
      <c r="M646" s="209">
        <f>IF($K646=0,0,MIN(1,$L646/$D646))</f>
        <v/>
      </c>
      <c r="N646" s="208">
        <f>IF($K646=0,$J646,(1-$M646)*$I646+$M646*$J646)</f>
        <v/>
      </c>
      <c r="O646" s="209">
        <f>IF($F646&lt;$B$617,$E$617+$I$617*($F646-$A$617),IF($F646&lt;$C$617,$F$617+$J$617*($F646-$B$617),$G$617+$K$617*($F646-$C$617)))</f>
        <v/>
      </c>
      <c r="P646" s="208">
        <f>MIN(1,MAX(0,(nr_MEndPm1-$G646+0.5)/$C$616))-MIN(1,MAX(0,(nr_MStartPm1-1-$G646+0.5)/$C$616))</f>
        <v/>
      </c>
      <c r="Q646" s="208">
        <f>MIN(1,MAX(0,(nr_MEndP-$G646+0.5)/$C$616))-MIN(1,MAX(0,(nr_MStartP-1-$G646+0.5)/$C$616))</f>
        <v/>
      </c>
      <c r="R646" s="208">
        <f>MIN(1,MAX(0,(nr_MEndP1-$G646+0.5)/$C$616))-MIN(1,MAX(0,(nr_MStartP1-1-$G646+0.5)/$C$616))</f>
        <v/>
      </c>
      <c r="S646" s="208">
        <f>IF($L$616,$N646*IF($O$616=1,$O646/$F$616,1),"")</f>
        <v/>
      </c>
      <c r="T646" s="208">
        <f>IF(NOT($L$616),"",IF($G646&lt;nr_MStartP,$S646,$T634*(1+IF($G646&lt;nr_MStartP1,$M$616,$N$616))))</f>
        <v/>
      </c>
      <c r="U646" s="208">
        <f>IF($L$616,$T646,$N646)</f>
        <v/>
      </c>
    </row>
    <row r="647">
      <c r="A647" s="145" t="n">
        <v>29</v>
      </c>
      <c r="B647" s="204">
        <f>EDATE($B646,1)</f>
        <v/>
      </c>
      <c r="C647" s="205">
        <f>EOMONTH($B647,0)</f>
        <v/>
      </c>
      <c r="D647" s="201">
        <f>$C647-$B647+1</f>
        <v/>
      </c>
      <c r="E647" s="201">
        <f>MONTH($B647)</f>
        <v/>
      </c>
      <c r="F647" s="235">
        <f>($B647+$C647+1)/2</f>
        <v/>
      </c>
      <c r="G647" s="201">
        <f>YEAR($B647)*12+MONTH($B647)-1</f>
        <v/>
      </c>
      <c r="H647" s="207">
        <f>IF(OR(nr_SeasonOn="OFF",$D$616=0,$E$616=0),1,12*INDEX(se_block,$D$616,$E647)/$E$616)</f>
        <v/>
      </c>
      <c r="I647" s="208">
        <f>EXP(SUMPRODUCT((rl_eff&lt;$B647)*(rl_key=$A$616)*rl_ln1p))</f>
        <v/>
      </c>
      <c r="J647" s="208">
        <f>EXP(SUMPRODUCT((rl_eff&lt;=$C647)*(rl_key=$A$616)*rl_ln1p))</f>
        <v/>
      </c>
      <c r="K647" s="201">
        <f>COUNTIFS(rl_key,$A$616,rl_eff,"&gt;="&amp;$B647,rl_eff,"&lt;="&amp;$C647)</f>
        <v/>
      </c>
      <c r="L647" s="201">
        <f>SUMIFS(rl_daysafter,rl_key,$A$616,rl_effmonth,$B647,rl_first,1)</f>
        <v/>
      </c>
      <c r="M647" s="209">
        <f>IF($K647=0,0,MIN(1,$L647/$D647))</f>
        <v/>
      </c>
      <c r="N647" s="208">
        <f>IF($K647=0,$J647,(1-$M647)*$I647+$M647*$J647)</f>
        <v/>
      </c>
      <c r="O647" s="209">
        <f>IF($F647&lt;$B$617,$E$617+$I$617*($F647-$A$617),IF($F647&lt;$C$617,$F$617+$J$617*($F647-$B$617),$G$617+$K$617*($F647-$C$617)))</f>
        <v/>
      </c>
      <c r="P647" s="208">
        <f>MIN(1,MAX(0,(nr_MEndPm1-$G647+0.5)/$C$616))-MIN(1,MAX(0,(nr_MStartPm1-1-$G647+0.5)/$C$616))</f>
        <v/>
      </c>
      <c r="Q647" s="208">
        <f>MIN(1,MAX(0,(nr_MEndP-$G647+0.5)/$C$616))-MIN(1,MAX(0,(nr_MStartP-1-$G647+0.5)/$C$616))</f>
        <v/>
      </c>
      <c r="R647" s="208">
        <f>MIN(1,MAX(0,(nr_MEndP1-$G647+0.5)/$C$616))-MIN(1,MAX(0,(nr_MStartP1-1-$G647+0.5)/$C$616))</f>
        <v/>
      </c>
      <c r="S647" s="208">
        <f>IF($L$616,$N647*IF($O$616=1,$O647/$F$616,1),"")</f>
        <v/>
      </c>
      <c r="T647" s="208">
        <f>IF(NOT($L$616),"",IF($G647&lt;nr_MStartP,$S647,$T635*(1+IF($G647&lt;nr_MStartP1,$M$616,$N$616))))</f>
        <v/>
      </c>
      <c r="U647" s="208">
        <f>IF($L$616,$T647,$N647)</f>
        <v/>
      </c>
    </row>
    <row r="648">
      <c r="A648" s="145" t="n">
        <v>30</v>
      </c>
      <c r="B648" s="204">
        <f>EDATE($B647,1)</f>
        <v/>
      </c>
      <c r="C648" s="205">
        <f>EOMONTH($B648,0)</f>
        <v/>
      </c>
      <c r="D648" s="201">
        <f>$C648-$B648+1</f>
        <v/>
      </c>
      <c r="E648" s="201">
        <f>MONTH($B648)</f>
        <v/>
      </c>
      <c r="F648" s="235">
        <f>($B648+$C648+1)/2</f>
        <v/>
      </c>
      <c r="G648" s="201">
        <f>YEAR($B648)*12+MONTH($B648)-1</f>
        <v/>
      </c>
      <c r="H648" s="207">
        <f>IF(OR(nr_SeasonOn="OFF",$D$616=0,$E$616=0),1,12*INDEX(se_block,$D$616,$E648)/$E$616)</f>
        <v/>
      </c>
      <c r="I648" s="208">
        <f>EXP(SUMPRODUCT((rl_eff&lt;$B648)*(rl_key=$A$616)*rl_ln1p))</f>
        <v/>
      </c>
      <c r="J648" s="208">
        <f>EXP(SUMPRODUCT((rl_eff&lt;=$C648)*(rl_key=$A$616)*rl_ln1p))</f>
        <v/>
      </c>
      <c r="K648" s="201">
        <f>COUNTIFS(rl_key,$A$616,rl_eff,"&gt;="&amp;$B648,rl_eff,"&lt;="&amp;$C648)</f>
        <v/>
      </c>
      <c r="L648" s="201">
        <f>SUMIFS(rl_daysafter,rl_key,$A$616,rl_effmonth,$B648,rl_first,1)</f>
        <v/>
      </c>
      <c r="M648" s="209">
        <f>IF($K648=0,0,MIN(1,$L648/$D648))</f>
        <v/>
      </c>
      <c r="N648" s="208">
        <f>IF($K648=0,$J648,(1-$M648)*$I648+$M648*$J648)</f>
        <v/>
      </c>
      <c r="O648" s="209">
        <f>IF($F648&lt;$B$617,$E$617+$I$617*($F648-$A$617),IF($F648&lt;$C$617,$F$617+$J$617*($F648-$B$617),$G$617+$K$617*($F648-$C$617)))</f>
        <v/>
      </c>
      <c r="P648" s="208">
        <f>MIN(1,MAX(0,(nr_MEndPm1-$G648+0.5)/$C$616))-MIN(1,MAX(0,(nr_MStartPm1-1-$G648+0.5)/$C$616))</f>
        <v/>
      </c>
      <c r="Q648" s="208">
        <f>MIN(1,MAX(0,(nr_MEndP-$G648+0.5)/$C$616))-MIN(1,MAX(0,(nr_MStartP-1-$G648+0.5)/$C$616))</f>
        <v/>
      </c>
      <c r="R648" s="208">
        <f>MIN(1,MAX(0,(nr_MEndP1-$G648+0.5)/$C$616))-MIN(1,MAX(0,(nr_MStartP1-1-$G648+0.5)/$C$616))</f>
        <v/>
      </c>
      <c r="S648" s="208">
        <f>IF($L$616,$N648*IF($O$616=1,$O648/$F$616,1),"")</f>
        <v/>
      </c>
      <c r="T648" s="208">
        <f>IF(NOT($L$616),"",IF($G648&lt;nr_MStartP,$S648,$T636*(1+IF($G648&lt;nr_MStartP1,$M$616,$N$616))))</f>
        <v/>
      </c>
      <c r="U648" s="208">
        <f>IF($L$616,$T648,$N648)</f>
        <v/>
      </c>
    </row>
    <row r="649">
      <c r="A649" s="145" t="n">
        <v>31</v>
      </c>
      <c r="B649" s="204">
        <f>EDATE($B648,1)</f>
        <v/>
      </c>
      <c r="C649" s="205">
        <f>EOMONTH($B649,0)</f>
        <v/>
      </c>
      <c r="D649" s="201">
        <f>$C649-$B649+1</f>
        <v/>
      </c>
      <c r="E649" s="201">
        <f>MONTH($B649)</f>
        <v/>
      </c>
      <c r="F649" s="235">
        <f>($B649+$C649+1)/2</f>
        <v/>
      </c>
      <c r="G649" s="201">
        <f>YEAR($B649)*12+MONTH($B649)-1</f>
        <v/>
      </c>
      <c r="H649" s="207">
        <f>IF(OR(nr_SeasonOn="OFF",$D$616=0,$E$616=0),1,12*INDEX(se_block,$D$616,$E649)/$E$616)</f>
        <v/>
      </c>
      <c r="I649" s="208">
        <f>EXP(SUMPRODUCT((rl_eff&lt;$B649)*(rl_key=$A$616)*rl_ln1p))</f>
        <v/>
      </c>
      <c r="J649" s="208">
        <f>EXP(SUMPRODUCT((rl_eff&lt;=$C649)*(rl_key=$A$616)*rl_ln1p))</f>
        <v/>
      </c>
      <c r="K649" s="201">
        <f>COUNTIFS(rl_key,$A$616,rl_eff,"&gt;="&amp;$B649,rl_eff,"&lt;="&amp;$C649)</f>
        <v/>
      </c>
      <c r="L649" s="201">
        <f>SUMIFS(rl_daysafter,rl_key,$A$616,rl_effmonth,$B649,rl_first,1)</f>
        <v/>
      </c>
      <c r="M649" s="209">
        <f>IF($K649=0,0,MIN(1,$L649/$D649))</f>
        <v/>
      </c>
      <c r="N649" s="208">
        <f>IF($K649=0,$J649,(1-$M649)*$I649+$M649*$J649)</f>
        <v/>
      </c>
      <c r="O649" s="209">
        <f>IF($F649&lt;$B$617,$E$617+$I$617*($F649-$A$617),IF($F649&lt;$C$617,$F$617+$J$617*($F649-$B$617),$G$617+$K$617*($F649-$C$617)))</f>
        <v/>
      </c>
      <c r="P649" s="208">
        <f>MIN(1,MAX(0,(nr_MEndPm1-$G649+0.5)/$C$616))-MIN(1,MAX(0,(nr_MStartPm1-1-$G649+0.5)/$C$616))</f>
        <v/>
      </c>
      <c r="Q649" s="208">
        <f>MIN(1,MAX(0,(nr_MEndP-$G649+0.5)/$C$616))-MIN(1,MAX(0,(nr_MStartP-1-$G649+0.5)/$C$616))</f>
        <v/>
      </c>
      <c r="R649" s="208">
        <f>MIN(1,MAX(0,(nr_MEndP1-$G649+0.5)/$C$616))-MIN(1,MAX(0,(nr_MStartP1-1-$G649+0.5)/$C$616))</f>
        <v/>
      </c>
      <c r="S649" s="208">
        <f>IF($L$616,$N649*IF($O$616=1,$O649/$F$616,1),"")</f>
        <v/>
      </c>
      <c r="T649" s="208">
        <f>IF(NOT($L$616),"",IF($G649&lt;nr_MStartP,$S649,$T637*(1+IF($G649&lt;nr_MStartP1,$M$616,$N$616))))</f>
        <v/>
      </c>
      <c r="U649" s="208">
        <f>IF($L$616,$T649,$N649)</f>
        <v/>
      </c>
    </row>
    <row r="650">
      <c r="A650" s="145" t="n">
        <v>32</v>
      </c>
      <c r="B650" s="204">
        <f>EDATE($B649,1)</f>
        <v/>
      </c>
      <c r="C650" s="205">
        <f>EOMONTH($B650,0)</f>
        <v/>
      </c>
      <c r="D650" s="201">
        <f>$C650-$B650+1</f>
        <v/>
      </c>
      <c r="E650" s="201">
        <f>MONTH($B650)</f>
        <v/>
      </c>
      <c r="F650" s="235">
        <f>($B650+$C650+1)/2</f>
        <v/>
      </c>
      <c r="G650" s="201">
        <f>YEAR($B650)*12+MONTH($B650)-1</f>
        <v/>
      </c>
      <c r="H650" s="207">
        <f>IF(OR(nr_SeasonOn="OFF",$D$616=0,$E$616=0),1,12*INDEX(se_block,$D$616,$E650)/$E$616)</f>
        <v/>
      </c>
      <c r="I650" s="208">
        <f>EXP(SUMPRODUCT((rl_eff&lt;$B650)*(rl_key=$A$616)*rl_ln1p))</f>
        <v/>
      </c>
      <c r="J650" s="208">
        <f>EXP(SUMPRODUCT((rl_eff&lt;=$C650)*(rl_key=$A$616)*rl_ln1p))</f>
        <v/>
      </c>
      <c r="K650" s="201">
        <f>COUNTIFS(rl_key,$A$616,rl_eff,"&gt;="&amp;$B650,rl_eff,"&lt;="&amp;$C650)</f>
        <v/>
      </c>
      <c r="L650" s="201">
        <f>SUMIFS(rl_daysafter,rl_key,$A$616,rl_effmonth,$B650,rl_first,1)</f>
        <v/>
      </c>
      <c r="M650" s="209">
        <f>IF($K650=0,0,MIN(1,$L650/$D650))</f>
        <v/>
      </c>
      <c r="N650" s="208">
        <f>IF($K650=0,$J650,(1-$M650)*$I650+$M650*$J650)</f>
        <v/>
      </c>
      <c r="O650" s="209">
        <f>IF($F650&lt;$B$617,$E$617+$I$617*($F650-$A$617),IF($F650&lt;$C$617,$F$617+$J$617*($F650-$B$617),$G$617+$K$617*($F650-$C$617)))</f>
        <v/>
      </c>
      <c r="P650" s="208">
        <f>MIN(1,MAX(0,(nr_MEndPm1-$G650+0.5)/$C$616))-MIN(1,MAX(0,(nr_MStartPm1-1-$G650+0.5)/$C$616))</f>
        <v/>
      </c>
      <c r="Q650" s="208">
        <f>MIN(1,MAX(0,(nr_MEndP-$G650+0.5)/$C$616))-MIN(1,MAX(0,(nr_MStartP-1-$G650+0.5)/$C$616))</f>
        <v/>
      </c>
      <c r="R650" s="208">
        <f>MIN(1,MAX(0,(nr_MEndP1-$G650+0.5)/$C$616))-MIN(1,MAX(0,(nr_MStartP1-1-$G650+0.5)/$C$616))</f>
        <v/>
      </c>
      <c r="S650" s="208">
        <f>IF($L$616,$N650*IF($O$616=1,$O650/$F$616,1),"")</f>
        <v/>
      </c>
      <c r="T650" s="208">
        <f>IF(NOT($L$616),"",IF($G650&lt;nr_MStartP,$S650,$T638*(1+IF($G650&lt;nr_MStartP1,$M$616,$N$616))))</f>
        <v/>
      </c>
      <c r="U650" s="208">
        <f>IF($L$616,$T650,$N650)</f>
        <v/>
      </c>
    </row>
    <row r="651">
      <c r="A651" s="145" t="n">
        <v>33</v>
      </c>
      <c r="B651" s="204">
        <f>EDATE($B650,1)</f>
        <v/>
      </c>
      <c r="C651" s="205">
        <f>EOMONTH($B651,0)</f>
        <v/>
      </c>
      <c r="D651" s="201">
        <f>$C651-$B651+1</f>
        <v/>
      </c>
      <c r="E651" s="201">
        <f>MONTH($B651)</f>
        <v/>
      </c>
      <c r="F651" s="235">
        <f>($B651+$C651+1)/2</f>
        <v/>
      </c>
      <c r="G651" s="201">
        <f>YEAR($B651)*12+MONTH($B651)-1</f>
        <v/>
      </c>
      <c r="H651" s="207">
        <f>IF(OR(nr_SeasonOn="OFF",$D$616=0,$E$616=0),1,12*INDEX(se_block,$D$616,$E651)/$E$616)</f>
        <v/>
      </c>
      <c r="I651" s="208">
        <f>EXP(SUMPRODUCT((rl_eff&lt;$B651)*(rl_key=$A$616)*rl_ln1p))</f>
        <v/>
      </c>
      <c r="J651" s="208">
        <f>EXP(SUMPRODUCT((rl_eff&lt;=$C651)*(rl_key=$A$616)*rl_ln1p))</f>
        <v/>
      </c>
      <c r="K651" s="201">
        <f>COUNTIFS(rl_key,$A$616,rl_eff,"&gt;="&amp;$B651,rl_eff,"&lt;="&amp;$C651)</f>
        <v/>
      </c>
      <c r="L651" s="201">
        <f>SUMIFS(rl_daysafter,rl_key,$A$616,rl_effmonth,$B651,rl_first,1)</f>
        <v/>
      </c>
      <c r="M651" s="209">
        <f>IF($K651=0,0,MIN(1,$L651/$D651))</f>
        <v/>
      </c>
      <c r="N651" s="208">
        <f>IF($K651=0,$J651,(1-$M651)*$I651+$M651*$J651)</f>
        <v/>
      </c>
      <c r="O651" s="209">
        <f>IF($F651&lt;$B$617,$E$617+$I$617*($F651-$A$617),IF($F651&lt;$C$617,$F$617+$J$617*($F651-$B$617),$G$617+$K$617*($F651-$C$617)))</f>
        <v/>
      </c>
      <c r="P651" s="208">
        <f>MIN(1,MAX(0,(nr_MEndPm1-$G651+0.5)/$C$616))-MIN(1,MAX(0,(nr_MStartPm1-1-$G651+0.5)/$C$616))</f>
        <v/>
      </c>
      <c r="Q651" s="208">
        <f>MIN(1,MAX(0,(nr_MEndP-$G651+0.5)/$C$616))-MIN(1,MAX(0,(nr_MStartP-1-$G651+0.5)/$C$616))</f>
        <v/>
      </c>
      <c r="R651" s="208">
        <f>MIN(1,MAX(0,(nr_MEndP1-$G651+0.5)/$C$616))-MIN(1,MAX(0,(nr_MStartP1-1-$G651+0.5)/$C$616))</f>
        <v/>
      </c>
      <c r="S651" s="208">
        <f>IF($L$616,$N651*IF($O$616=1,$O651/$F$616,1),"")</f>
        <v/>
      </c>
      <c r="T651" s="208">
        <f>IF(NOT($L$616),"",IF($G651&lt;nr_MStartP,$S651,$T639*(1+IF($G651&lt;nr_MStartP1,$M$616,$N$616))))</f>
        <v/>
      </c>
      <c r="U651" s="208">
        <f>IF($L$616,$T651,$N651)</f>
        <v/>
      </c>
    </row>
    <row r="652">
      <c r="A652" s="145" t="n">
        <v>34</v>
      </c>
      <c r="B652" s="204">
        <f>EDATE($B651,1)</f>
        <v/>
      </c>
      <c r="C652" s="205">
        <f>EOMONTH($B652,0)</f>
        <v/>
      </c>
      <c r="D652" s="201">
        <f>$C652-$B652+1</f>
        <v/>
      </c>
      <c r="E652" s="201">
        <f>MONTH($B652)</f>
        <v/>
      </c>
      <c r="F652" s="235">
        <f>($B652+$C652+1)/2</f>
        <v/>
      </c>
      <c r="G652" s="201">
        <f>YEAR($B652)*12+MONTH($B652)-1</f>
        <v/>
      </c>
      <c r="H652" s="207">
        <f>IF(OR(nr_SeasonOn="OFF",$D$616=0,$E$616=0),1,12*INDEX(se_block,$D$616,$E652)/$E$616)</f>
        <v/>
      </c>
      <c r="I652" s="208">
        <f>EXP(SUMPRODUCT((rl_eff&lt;$B652)*(rl_key=$A$616)*rl_ln1p))</f>
        <v/>
      </c>
      <c r="J652" s="208">
        <f>EXP(SUMPRODUCT((rl_eff&lt;=$C652)*(rl_key=$A$616)*rl_ln1p))</f>
        <v/>
      </c>
      <c r="K652" s="201">
        <f>COUNTIFS(rl_key,$A$616,rl_eff,"&gt;="&amp;$B652,rl_eff,"&lt;="&amp;$C652)</f>
        <v/>
      </c>
      <c r="L652" s="201">
        <f>SUMIFS(rl_daysafter,rl_key,$A$616,rl_effmonth,$B652,rl_first,1)</f>
        <v/>
      </c>
      <c r="M652" s="209">
        <f>IF($K652=0,0,MIN(1,$L652/$D652))</f>
        <v/>
      </c>
      <c r="N652" s="208">
        <f>IF($K652=0,$J652,(1-$M652)*$I652+$M652*$J652)</f>
        <v/>
      </c>
      <c r="O652" s="209">
        <f>IF($F652&lt;$B$617,$E$617+$I$617*($F652-$A$617),IF($F652&lt;$C$617,$F$617+$J$617*($F652-$B$617),$G$617+$K$617*($F652-$C$617)))</f>
        <v/>
      </c>
      <c r="P652" s="208">
        <f>MIN(1,MAX(0,(nr_MEndPm1-$G652+0.5)/$C$616))-MIN(1,MAX(0,(nr_MStartPm1-1-$G652+0.5)/$C$616))</f>
        <v/>
      </c>
      <c r="Q652" s="208">
        <f>MIN(1,MAX(0,(nr_MEndP-$G652+0.5)/$C$616))-MIN(1,MAX(0,(nr_MStartP-1-$G652+0.5)/$C$616))</f>
        <v/>
      </c>
      <c r="R652" s="208">
        <f>MIN(1,MAX(0,(nr_MEndP1-$G652+0.5)/$C$616))-MIN(1,MAX(0,(nr_MStartP1-1-$G652+0.5)/$C$616))</f>
        <v/>
      </c>
      <c r="S652" s="208">
        <f>IF($L$616,$N652*IF($O$616=1,$O652/$F$616,1),"")</f>
        <v/>
      </c>
      <c r="T652" s="208">
        <f>IF(NOT($L$616),"",IF($G652&lt;nr_MStartP,$S652,$T640*(1+IF($G652&lt;nr_MStartP1,$M$616,$N$616))))</f>
        <v/>
      </c>
      <c r="U652" s="208">
        <f>IF($L$616,$T652,$N652)</f>
        <v/>
      </c>
    </row>
    <row r="653">
      <c r="A653" s="145" t="n">
        <v>35</v>
      </c>
      <c r="B653" s="204">
        <f>EDATE($B652,1)</f>
        <v/>
      </c>
      <c r="C653" s="205">
        <f>EOMONTH($B653,0)</f>
        <v/>
      </c>
      <c r="D653" s="201">
        <f>$C653-$B653+1</f>
        <v/>
      </c>
      <c r="E653" s="201">
        <f>MONTH($B653)</f>
        <v/>
      </c>
      <c r="F653" s="235">
        <f>($B653+$C653+1)/2</f>
        <v/>
      </c>
      <c r="G653" s="201">
        <f>YEAR($B653)*12+MONTH($B653)-1</f>
        <v/>
      </c>
      <c r="H653" s="207">
        <f>IF(OR(nr_SeasonOn="OFF",$D$616=0,$E$616=0),1,12*INDEX(se_block,$D$616,$E653)/$E$616)</f>
        <v/>
      </c>
      <c r="I653" s="208">
        <f>EXP(SUMPRODUCT((rl_eff&lt;$B653)*(rl_key=$A$616)*rl_ln1p))</f>
        <v/>
      </c>
      <c r="J653" s="208">
        <f>EXP(SUMPRODUCT((rl_eff&lt;=$C653)*(rl_key=$A$616)*rl_ln1p))</f>
        <v/>
      </c>
      <c r="K653" s="201">
        <f>COUNTIFS(rl_key,$A$616,rl_eff,"&gt;="&amp;$B653,rl_eff,"&lt;="&amp;$C653)</f>
        <v/>
      </c>
      <c r="L653" s="201">
        <f>SUMIFS(rl_daysafter,rl_key,$A$616,rl_effmonth,$B653,rl_first,1)</f>
        <v/>
      </c>
      <c r="M653" s="209">
        <f>IF($K653=0,0,MIN(1,$L653/$D653))</f>
        <v/>
      </c>
      <c r="N653" s="208">
        <f>IF($K653=0,$J653,(1-$M653)*$I653+$M653*$J653)</f>
        <v/>
      </c>
      <c r="O653" s="209">
        <f>IF($F653&lt;$B$617,$E$617+$I$617*($F653-$A$617),IF($F653&lt;$C$617,$F$617+$J$617*($F653-$B$617),$G$617+$K$617*($F653-$C$617)))</f>
        <v/>
      </c>
      <c r="P653" s="208">
        <f>MIN(1,MAX(0,(nr_MEndPm1-$G653+0.5)/$C$616))-MIN(1,MAX(0,(nr_MStartPm1-1-$G653+0.5)/$C$616))</f>
        <v/>
      </c>
      <c r="Q653" s="208">
        <f>MIN(1,MAX(0,(nr_MEndP-$G653+0.5)/$C$616))-MIN(1,MAX(0,(nr_MStartP-1-$G653+0.5)/$C$616))</f>
        <v/>
      </c>
      <c r="R653" s="208">
        <f>MIN(1,MAX(0,(nr_MEndP1-$G653+0.5)/$C$616))-MIN(1,MAX(0,(nr_MStartP1-1-$G653+0.5)/$C$616))</f>
        <v/>
      </c>
      <c r="S653" s="208">
        <f>IF($L$616,$N653*IF($O$616=1,$O653/$F$616,1),"")</f>
        <v/>
      </c>
      <c r="T653" s="208">
        <f>IF(NOT($L$616),"",IF($G653&lt;nr_MStartP,$S653,$T641*(1+IF($G653&lt;nr_MStartP1,$M$616,$N$616))))</f>
        <v/>
      </c>
      <c r="U653" s="208">
        <f>IF($L$616,$T653,$N653)</f>
        <v/>
      </c>
    </row>
    <row r="654">
      <c r="A654" s="145" t="n">
        <v>36</v>
      </c>
      <c r="B654" s="204">
        <f>EDATE($B653,1)</f>
        <v/>
      </c>
      <c r="C654" s="205">
        <f>EOMONTH($B654,0)</f>
        <v/>
      </c>
      <c r="D654" s="201">
        <f>$C654-$B654+1</f>
        <v/>
      </c>
      <c r="E654" s="201">
        <f>MONTH($B654)</f>
        <v/>
      </c>
      <c r="F654" s="235">
        <f>($B654+$C654+1)/2</f>
        <v/>
      </c>
      <c r="G654" s="201">
        <f>YEAR($B654)*12+MONTH($B654)-1</f>
        <v/>
      </c>
      <c r="H654" s="207">
        <f>IF(OR(nr_SeasonOn="OFF",$D$616=0,$E$616=0),1,12*INDEX(se_block,$D$616,$E654)/$E$616)</f>
        <v/>
      </c>
      <c r="I654" s="208">
        <f>EXP(SUMPRODUCT((rl_eff&lt;$B654)*(rl_key=$A$616)*rl_ln1p))</f>
        <v/>
      </c>
      <c r="J654" s="208">
        <f>EXP(SUMPRODUCT((rl_eff&lt;=$C654)*(rl_key=$A$616)*rl_ln1p))</f>
        <v/>
      </c>
      <c r="K654" s="201">
        <f>COUNTIFS(rl_key,$A$616,rl_eff,"&gt;="&amp;$B654,rl_eff,"&lt;="&amp;$C654)</f>
        <v/>
      </c>
      <c r="L654" s="201">
        <f>SUMIFS(rl_daysafter,rl_key,$A$616,rl_effmonth,$B654,rl_first,1)</f>
        <v/>
      </c>
      <c r="M654" s="209">
        <f>IF($K654=0,0,MIN(1,$L654/$D654))</f>
        <v/>
      </c>
      <c r="N654" s="208">
        <f>IF($K654=0,$J654,(1-$M654)*$I654+$M654*$J654)</f>
        <v/>
      </c>
      <c r="O654" s="209">
        <f>IF($F654&lt;$B$617,$E$617+$I$617*($F654-$A$617),IF($F654&lt;$C$617,$F$617+$J$617*($F654-$B$617),$G$617+$K$617*($F654-$C$617)))</f>
        <v/>
      </c>
      <c r="P654" s="208">
        <f>MIN(1,MAX(0,(nr_MEndPm1-$G654+0.5)/$C$616))-MIN(1,MAX(0,(nr_MStartPm1-1-$G654+0.5)/$C$616))</f>
        <v/>
      </c>
      <c r="Q654" s="208">
        <f>MIN(1,MAX(0,(nr_MEndP-$G654+0.5)/$C$616))-MIN(1,MAX(0,(nr_MStartP-1-$G654+0.5)/$C$616))</f>
        <v/>
      </c>
      <c r="R654" s="208">
        <f>MIN(1,MAX(0,(nr_MEndP1-$G654+0.5)/$C$616))-MIN(1,MAX(0,(nr_MStartP1-1-$G654+0.5)/$C$616))</f>
        <v/>
      </c>
      <c r="S654" s="208">
        <f>IF($L$616,$N654*IF($O$616=1,$O654/$F$616,1),"")</f>
        <v/>
      </c>
      <c r="T654" s="208">
        <f>IF(NOT($L$616),"",IF($G654&lt;nr_MStartP,$S654,$T642*(1+IF($G654&lt;nr_MStartP1,$M$616,$N$616))))</f>
        <v/>
      </c>
      <c r="U654" s="208">
        <f>IF($L$616,$T654,$N654)</f>
        <v/>
      </c>
    </row>
    <row r="655">
      <c r="A655" s="145" t="n">
        <v>37</v>
      </c>
      <c r="B655" s="204">
        <f>EDATE($B654,1)</f>
        <v/>
      </c>
      <c r="C655" s="205">
        <f>EOMONTH($B655,0)</f>
        <v/>
      </c>
      <c r="D655" s="201">
        <f>$C655-$B655+1</f>
        <v/>
      </c>
      <c r="E655" s="201">
        <f>MONTH($B655)</f>
        <v/>
      </c>
      <c r="F655" s="235">
        <f>($B655+$C655+1)/2</f>
        <v/>
      </c>
      <c r="G655" s="201">
        <f>YEAR($B655)*12+MONTH($B655)-1</f>
        <v/>
      </c>
      <c r="H655" s="207">
        <f>IF(OR(nr_SeasonOn="OFF",$D$616=0,$E$616=0),1,12*INDEX(se_block,$D$616,$E655)/$E$616)</f>
        <v/>
      </c>
      <c r="I655" s="208">
        <f>EXP(SUMPRODUCT((rl_eff&lt;$B655)*(rl_key=$A$616)*rl_ln1p))</f>
        <v/>
      </c>
      <c r="J655" s="208">
        <f>EXP(SUMPRODUCT((rl_eff&lt;=$C655)*(rl_key=$A$616)*rl_ln1p))</f>
        <v/>
      </c>
      <c r="K655" s="201">
        <f>COUNTIFS(rl_key,$A$616,rl_eff,"&gt;="&amp;$B655,rl_eff,"&lt;="&amp;$C655)</f>
        <v/>
      </c>
      <c r="L655" s="201">
        <f>SUMIFS(rl_daysafter,rl_key,$A$616,rl_effmonth,$B655,rl_first,1)</f>
        <v/>
      </c>
      <c r="M655" s="209">
        <f>IF($K655=0,0,MIN(1,$L655/$D655))</f>
        <v/>
      </c>
      <c r="N655" s="208">
        <f>IF($K655=0,$J655,(1-$M655)*$I655+$M655*$J655)</f>
        <v/>
      </c>
      <c r="O655" s="209">
        <f>IF($F655&lt;$B$617,$E$617+$I$617*($F655-$A$617),IF($F655&lt;$C$617,$F$617+$J$617*($F655-$B$617),$G$617+$K$617*($F655-$C$617)))</f>
        <v/>
      </c>
      <c r="P655" s="208">
        <f>MIN(1,MAX(0,(nr_MEndPm1-$G655+0.5)/$C$616))-MIN(1,MAX(0,(nr_MStartPm1-1-$G655+0.5)/$C$616))</f>
        <v/>
      </c>
      <c r="Q655" s="208">
        <f>MIN(1,MAX(0,(nr_MEndP-$G655+0.5)/$C$616))-MIN(1,MAX(0,(nr_MStartP-1-$G655+0.5)/$C$616))</f>
        <v/>
      </c>
      <c r="R655" s="208">
        <f>MIN(1,MAX(0,(nr_MEndP1-$G655+0.5)/$C$616))-MIN(1,MAX(0,(nr_MStartP1-1-$G655+0.5)/$C$616))</f>
        <v/>
      </c>
      <c r="S655" s="208">
        <f>IF($L$616,$N655*IF($O$616=1,$O655/$F$616,1),"")</f>
        <v/>
      </c>
      <c r="T655" s="208">
        <f>IF(NOT($L$616),"",IF($G655&lt;nr_MStartP,$S655,$T643*(1+IF($G655&lt;nr_MStartP1,$M$616,$N$616))))</f>
        <v/>
      </c>
      <c r="U655" s="208">
        <f>IF($L$616,$T655,$N655)</f>
        <v/>
      </c>
    </row>
    <row r="656">
      <c r="A656" s="145" t="n">
        <v>38</v>
      </c>
      <c r="B656" s="204">
        <f>EDATE($B655,1)</f>
        <v/>
      </c>
      <c r="C656" s="205">
        <f>EOMONTH($B656,0)</f>
        <v/>
      </c>
      <c r="D656" s="201">
        <f>$C656-$B656+1</f>
        <v/>
      </c>
      <c r="E656" s="201">
        <f>MONTH($B656)</f>
        <v/>
      </c>
      <c r="F656" s="235">
        <f>($B656+$C656+1)/2</f>
        <v/>
      </c>
      <c r="G656" s="201">
        <f>YEAR($B656)*12+MONTH($B656)-1</f>
        <v/>
      </c>
      <c r="H656" s="207">
        <f>IF(OR(nr_SeasonOn="OFF",$D$616=0,$E$616=0),1,12*INDEX(se_block,$D$616,$E656)/$E$616)</f>
        <v/>
      </c>
      <c r="I656" s="208">
        <f>EXP(SUMPRODUCT((rl_eff&lt;$B656)*(rl_key=$A$616)*rl_ln1p))</f>
        <v/>
      </c>
      <c r="J656" s="208">
        <f>EXP(SUMPRODUCT((rl_eff&lt;=$C656)*(rl_key=$A$616)*rl_ln1p))</f>
        <v/>
      </c>
      <c r="K656" s="201">
        <f>COUNTIFS(rl_key,$A$616,rl_eff,"&gt;="&amp;$B656,rl_eff,"&lt;="&amp;$C656)</f>
        <v/>
      </c>
      <c r="L656" s="201">
        <f>SUMIFS(rl_daysafter,rl_key,$A$616,rl_effmonth,$B656,rl_first,1)</f>
        <v/>
      </c>
      <c r="M656" s="209">
        <f>IF($K656=0,0,MIN(1,$L656/$D656))</f>
        <v/>
      </c>
      <c r="N656" s="208">
        <f>IF($K656=0,$J656,(1-$M656)*$I656+$M656*$J656)</f>
        <v/>
      </c>
      <c r="O656" s="209">
        <f>IF($F656&lt;$B$617,$E$617+$I$617*($F656-$A$617),IF($F656&lt;$C$617,$F$617+$J$617*($F656-$B$617),$G$617+$K$617*($F656-$C$617)))</f>
        <v/>
      </c>
      <c r="P656" s="208">
        <f>MIN(1,MAX(0,(nr_MEndPm1-$G656+0.5)/$C$616))-MIN(1,MAX(0,(nr_MStartPm1-1-$G656+0.5)/$C$616))</f>
        <v/>
      </c>
      <c r="Q656" s="208">
        <f>MIN(1,MAX(0,(nr_MEndP-$G656+0.5)/$C$616))-MIN(1,MAX(0,(nr_MStartP-1-$G656+0.5)/$C$616))</f>
        <v/>
      </c>
      <c r="R656" s="208">
        <f>MIN(1,MAX(0,(nr_MEndP1-$G656+0.5)/$C$616))-MIN(1,MAX(0,(nr_MStartP1-1-$G656+0.5)/$C$616))</f>
        <v/>
      </c>
      <c r="S656" s="208">
        <f>IF($L$616,$N656*IF($O$616=1,$O656/$F$616,1),"")</f>
        <v/>
      </c>
      <c r="T656" s="208">
        <f>IF(NOT($L$616),"",IF($G656&lt;nr_MStartP,$S656,$T644*(1+IF($G656&lt;nr_MStartP1,$M$616,$N$616))))</f>
        <v/>
      </c>
      <c r="U656" s="208">
        <f>IF($L$616,$T656,$N656)</f>
        <v/>
      </c>
    </row>
    <row r="657">
      <c r="A657" s="145" t="n">
        <v>39</v>
      </c>
      <c r="B657" s="204">
        <f>EDATE($B656,1)</f>
        <v/>
      </c>
      <c r="C657" s="205">
        <f>EOMONTH($B657,0)</f>
        <v/>
      </c>
      <c r="D657" s="201">
        <f>$C657-$B657+1</f>
        <v/>
      </c>
      <c r="E657" s="201">
        <f>MONTH($B657)</f>
        <v/>
      </c>
      <c r="F657" s="235">
        <f>($B657+$C657+1)/2</f>
        <v/>
      </c>
      <c r="G657" s="201">
        <f>YEAR($B657)*12+MONTH($B657)-1</f>
        <v/>
      </c>
      <c r="H657" s="207">
        <f>IF(OR(nr_SeasonOn="OFF",$D$616=0,$E$616=0),1,12*INDEX(se_block,$D$616,$E657)/$E$616)</f>
        <v/>
      </c>
      <c r="I657" s="208">
        <f>EXP(SUMPRODUCT((rl_eff&lt;$B657)*(rl_key=$A$616)*rl_ln1p))</f>
        <v/>
      </c>
      <c r="J657" s="208">
        <f>EXP(SUMPRODUCT((rl_eff&lt;=$C657)*(rl_key=$A$616)*rl_ln1p))</f>
        <v/>
      </c>
      <c r="K657" s="201">
        <f>COUNTIFS(rl_key,$A$616,rl_eff,"&gt;="&amp;$B657,rl_eff,"&lt;="&amp;$C657)</f>
        <v/>
      </c>
      <c r="L657" s="201">
        <f>SUMIFS(rl_daysafter,rl_key,$A$616,rl_effmonth,$B657,rl_first,1)</f>
        <v/>
      </c>
      <c r="M657" s="209">
        <f>IF($K657=0,0,MIN(1,$L657/$D657))</f>
        <v/>
      </c>
      <c r="N657" s="208">
        <f>IF($K657=0,$J657,(1-$M657)*$I657+$M657*$J657)</f>
        <v/>
      </c>
      <c r="O657" s="209">
        <f>IF($F657&lt;$B$617,$E$617+$I$617*($F657-$A$617),IF($F657&lt;$C$617,$F$617+$J$617*($F657-$B$617),$G$617+$K$617*($F657-$C$617)))</f>
        <v/>
      </c>
      <c r="P657" s="208">
        <f>MIN(1,MAX(0,(nr_MEndPm1-$G657+0.5)/$C$616))-MIN(1,MAX(0,(nr_MStartPm1-1-$G657+0.5)/$C$616))</f>
        <v/>
      </c>
      <c r="Q657" s="208">
        <f>MIN(1,MAX(0,(nr_MEndP-$G657+0.5)/$C$616))-MIN(1,MAX(0,(nr_MStartP-1-$G657+0.5)/$C$616))</f>
        <v/>
      </c>
      <c r="R657" s="208">
        <f>MIN(1,MAX(0,(nr_MEndP1-$G657+0.5)/$C$616))-MIN(1,MAX(0,(nr_MStartP1-1-$G657+0.5)/$C$616))</f>
        <v/>
      </c>
      <c r="S657" s="208">
        <f>IF($L$616,$N657*IF($O$616=1,$O657/$F$616,1),"")</f>
        <v/>
      </c>
      <c r="T657" s="208">
        <f>IF(NOT($L$616),"",IF($G657&lt;nr_MStartP,$S657,$T645*(1+IF($G657&lt;nr_MStartP1,$M$616,$N$616))))</f>
        <v/>
      </c>
      <c r="U657" s="208">
        <f>IF($L$616,$T657,$N657)</f>
        <v/>
      </c>
    </row>
    <row r="658">
      <c r="A658" s="145" t="n">
        <v>40</v>
      </c>
      <c r="B658" s="204">
        <f>EDATE($B657,1)</f>
        <v/>
      </c>
      <c r="C658" s="205">
        <f>EOMONTH($B658,0)</f>
        <v/>
      </c>
      <c r="D658" s="201">
        <f>$C658-$B658+1</f>
        <v/>
      </c>
      <c r="E658" s="201">
        <f>MONTH($B658)</f>
        <v/>
      </c>
      <c r="F658" s="235">
        <f>($B658+$C658+1)/2</f>
        <v/>
      </c>
      <c r="G658" s="201">
        <f>YEAR($B658)*12+MONTH($B658)-1</f>
        <v/>
      </c>
      <c r="H658" s="207">
        <f>IF(OR(nr_SeasonOn="OFF",$D$616=0,$E$616=0),1,12*INDEX(se_block,$D$616,$E658)/$E$616)</f>
        <v/>
      </c>
      <c r="I658" s="208">
        <f>EXP(SUMPRODUCT((rl_eff&lt;$B658)*(rl_key=$A$616)*rl_ln1p))</f>
        <v/>
      </c>
      <c r="J658" s="208">
        <f>EXP(SUMPRODUCT((rl_eff&lt;=$C658)*(rl_key=$A$616)*rl_ln1p))</f>
        <v/>
      </c>
      <c r="K658" s="201">
        <f>COUNTIFS(rl_key,$A$616,rl_eff,"&gt;="&amp;$B658,rl_eff,"&lt;="&amp;$C658)</f>
        <v/>
      </c>
      <c r="L658" s="201">
        <f>SUMIFS(rl_daysafter,rl_key,$A$616,rl_effmonth,$B658,rl_first,1)</f>
        <v/>
      </c>
      <c r="M658" s="209">
        <f>IF($K658=0,0,MIN(1,$L658/$D658))</f>
        <v/>
      </c>
      <c r="N658" s="208">
        <f>IF($K658=0,$J658,(1-$M658)*$I658+$M658*$J658)</f>
        <v/>
      </c>
      <c r="O658" s="209">
        <f>IF($F658&lt;$B$617,$E$617+$I$617*($F658-$A$617),IF($F658&lt;$C$617,$F$617+$J$617*($F658-$B$617),$G$617+$K$617*($F658-$C$617)))</f>
        <v/>
      </c>
      <c r="P658" s="208">
        <f>MIN(1,MAX(0,(nr_MEndPm1-$G658+0.5)/$C$616))-MIN(1,MAX(0,(nr_MStartPm1-1-$G658+0.5)/$C$616))</f>
        <v/>
      </c>
      <c r="Q658" s="208">
        <f>MIN(1,MAX(0,(nr_MEndP-$G658+0.5)/$C$616))-MIN(1,MAX(0,(nr_MStartP-1-$G658+0.5)/$C$616))</f>
        <v/>
      </c>
      <c r="R658" s="208">
        <f>MIN(1,MAX(0,(nr_MEndP1-$G658+0.5)/$C$616))-MIN(1,MAX(0,(nr_MStartP1-1-$G658+0.5)/$C$616))</f>
        <v/>
      </c>
      <c r="S658" s="208">
        <f>IF($L$616,$N658*IF($O$616=1,$O658/$F$616,1),"")</f>
        <v/>
      </c>
      <c r="T658" s="208">
        <f>IF(NOT($L$616),"",IF($G658&lt;nr_MStartP,$S658,$T646*(1+IF($G658&lt;nr_MStartP1,$M$616,$N$616))))</f>
        <v/>
      </c>
      <c r="U658" s="208">
        <f>IF($L$616,$T658,$N658)</f>
        <v/>
      </c>
    </row>
    <row r="659">
      <c r="A659" s="145" t="n">
        <v>41</v>
      </c>
      <c r="B659" s="204">
        <f>EDATE($B658,1)</f>
        <v/>
      </c>
      <c r="C659" s="205">
        <f>EOMONTH($B659,0)</f>
        <v/>
      </c>
      <c r="D659" s="201">
        <f>$C659-$B659+1</f>
        <v/>
      </c>
      <c r="E659" s="201">
        <f>MONTH($B659)</f>
        <v/>
      </c>
      <c r="F659" s="235">
        <f>($B659+$C659+1)/2</f>
        <v/>
      </c>
      <c r="G659" s="201">
        <f>YEAR($B659)*12+MONTH($B659)-1</f>
        <v/>
      </c>
      <c r="H659" s="207">
        <f>IF(OR(nr_SeasonOn="OFF",$D$616=0,$E$616=0),1,12*INDEX(se_block,$D$616,$E659)/$E$616)</f>
        <v/>
      </c>
      <c r="I659" s="208">
        <f>EXP(SUMPRODUCT((rl_eff&lt;$B659)*(rl_key=$A$616)*rl_ln1p))</f>
        <v/>
      </c>
      <c r="J659" s="208">
        <f>EXP(SUMPRODUCT((rl_eff&lt;=$C659)*(rl_key=$A$616)*rl_ln1p))</f>
        <v/>
      </c>
      <c r="K659" s="201">
        <f>COUNTIFS(rl_key,$A$616,rl_eff,"&gt;="&amp;$B659,rl_eff,"&lt;="&amp;$C659)</f>
        <v/>
      </c>
      <c r="L659" s="201">
        <f>SUMIFS(rl_daysafter,rl_key,$A$616,rl_effmonth,$B659,rl_first,1)</f>
        <v/>
      </c>
      <c r="M659" s="209">
        <f>IF($K659=0,0,MIN(1,$L659/$D659))</f>
        <v/>
      </c>
      <c r="N659" s="208">
        <f>IF($K659=0,$J659,(1-$M659)*$I659+$M659*$J659)</f>
        <v/>
      </c>
      <c r="O659" s="209">
        <f>IF($F659&lt;$B$617,$E$617+$I$617*($F659-$A$617),IF($F659&lt;$C$617,$F$617+$J$617*($F659-$B$617),$G$617+$K$617*($F659-$C$617)))</f>
        <v/>
      </c>
      <c r="P659" s="208">
        <f>MIN(1,MAX(0,(nr_MEndPm1-$G659+0.5)/$C$616))-MIN(1,MAX(0,(nr_MStartPm1-1-$G659+0.5)/$C$616))</f>
        <v/>
      </c>
      <c r="Q659" s="208">
        <f>MIN(1,MAX(0,(nr_MEndP-$G659+0.5)/$C$616))-MIN(1,MAX(0,(nr_MStartP-1-$G659+0.5)/$C$616))</f>
        <v/>
      </c>
      <c r="R659" s="208">
        <f>MIN(1,MAX(0,(nr_MEndP1-$G659+0.5)/$C$616))-MIN(1,MAX(0,(nr_MStartP1-1-$G659+0.5)/$C$616))</f>
        <v/>
      </c>
      <c r="S659" s="208">
        <f>IF($L$616,$N659*IF($O$616=1,$O659/$F$616,1),"")</f>
        <v/>
      </c>
      <c r="T659" s="208">
        <f>IF(NOT($L$616),"",IF($G659&lt;nr_MStartP,$S659,$T647*(1+IF($G659&lt;nr_MStartP1,$M$616,$N$616))))</f>
        <v/>
      </c>
      <c r="U659" s="208">
        <f>IF($L$616,$T659,$N659)</f>
        <v/>
      </c>
    </row>
    <row r="660">
      <c r="A660" s="145" t="n">
        <v>42</v>
      </c>
      <c r="B660" s="204">
        <f>EDATE($B659,1)</f>
        <v/>
      </c>
      <c r="C660" s="205">
        <f>EOMONTH($B660,0)</f>
        <v/>
      </c>
      <c r="D660" s="201">
        <f>$C660-$B660+1</f>
        <v/>
      </c>
      <c r="E660" s="201">
        <f>MONTH($B660)</f>
        <v/>
      </c>
      <c r="F660" s="235">
        <f>($B660+$C660+1)/2</f>
        <v/>
      </c>
      <c r="G660" s="201">
        <f>YEAR($B660)*12+MONTH($B660)-1</f>
        <v/>
      </c>
      <c r="H660" s="207">
        <f>IF(OR(nr_SeasonOn="OFF",$D$616=0,$E$616=0),1,12*INDEX(se_block,$D$616,$E660)/$E$616)</f>
        <v/>
      </c>
      <c r="I660" s="208">
        <f>EXP(SUMPRODUCT((rl_eff&lt;$B660)*(rl_key=$A$616)*rl_ln1p))</f>
        <v/>
      </c>
      <c r="J660" s="208">
        <f>EXP(SUMPRODUCT((rl_eff&lt;=$C660)*(rl_key=$A$616)*rl_ln1p))</f>
        <v/>
      </c>
      <c r="K660" s="201">
        <f>COUNTIFS(rl_key,$A$616,rl_eff,"&gt;="&amp;$B660,rl_eff,"&lt;="&amp;$C660)</f>
        <v/>
      </c>
      <c r="L660" s="201">
        <f>SUMIFS(rl_daysafter,rl_key,$A$616,rl_effmonth,$B660,rl_first,1)</f>
        <v/>
      </c>
      <c r="M660" s="209">
        <f>IF($K660=0,0,MIN(1,$L660/$D660))</f>
        <v/>
      </c>
      <c r="N660" s="208">
        <f>IF($K660=0,$J660,(1-$M660)*$I660+$M660*$J660)</f>
        <v/>
      </c>
      <c r="O660" s="209">
        <f>IF($F660&lt;$B$617,$E$617+$I$617*($F660-$A$617),IF($F660&lt;$C$617,$F$617+$J$617*($F660-$B$617),$G$617+$K$617*($F660-$C$617)))</f>
        <v/>
      </c>
      <c r="P660" s="208">
        <f>MIN(1,MAX(0,(nr_MEndPm1-$G660+0.5)/$C$616))-MIN(1,MAX(0,(nr_MStartPm1-1-$G660+0.5)/$C$616))</f>
        <v/>
      </c>
      <c r="Q660" s="208">
        <f>MIN(1,MAX(0,(nr_MEndP-$G660+0.5)/$C$616))-MIN(1,MAX(0,(nr_MStartP-1-$G660+0.5)/$C$616))</f>
        <v/>
      </c>
      <c r="R660" s="208">
        <f>MIN(1,MAX(0,(nr_MEndP1-$G660+0.5)/$C$616))-MIN(1,MAX(0,(nr_MStartP1-1-$G660+0.5)/$C$616))</f>
        <v/>
      </c>
      <c r="S660" s="208">
        <f>IF($L$616,$N660*IF($O$616=1,$O660/$F$616,1),"")</f>
        <v/>
      </c>
      <c r="T660" s="208">
        <f>IF(NOT($L$616),"",IF($G660&lt;nr_MStartP,$S660,$T648*(1+IF($G660&lt;nr_MStartP1,$M$616,$N$616))))</f>
        <v/>
      </c>
      <c r="U660" s="208">
        <f>IF($L$616,$T660,$N660)</f>
        <v/>
      </c>
    </row>
    <row r="661">
      <c r="A661" s="145" t="n">
        <v>43</v>
      </c>
      <c r="B661" s="204">
        <f>EDATE($B660,1)</f>
        <v/>
      </c>
      <c r="C661" s="205">
        <f>EOMONTH($B661,0)</f>
        <v/>
      </c>
      <c r="D661" s="201">
        <f>$C661-$B661+1</f>
        <v/>
      </c>
      <c r="E661" s="201">
        <f>MONTH($B661)</f>
        <v/>
      </c>
      <c r="F661" s="235">
        <f>($B661+$C661+1)/2</f>
        <v/>
      </c>
      <c r="G661" s="201">
        <f>YEAR($B661)*12+MONTH($B661)-1</f>
        <v/>
      </c>
      <c r="H661" s="207">
        <f>IF(OR(nr_SeasonOn="OFF",$D$616=0,$E$616=0),1,12*INDEX(se_block,$D$616,$E661)/$E$616)</f>
        <v/>
      </c>
      <c r="I661" s="208">
        <f>EXP(SUMPRODUCT((rl_eff&lt;$B661)*(rl_key=$A$616)*rl_ln1p))</f>
        <v/>
      </c>
      <c r="J661" s="208">
        <f>EXP(SUMPRODUCT((rl_eff&lt;=$C661)*(rl_key=$A$616)*rl_ln1p))</f>
        <v/>
      </c>
      <c r="K661" s="201">
        <f>COUNTIFS(rl_key,$A$616,rl_eff,"&gt;="&amp;$B661,rl_eff,"&lt;="&amp;$C661)</f>
        <v/>
      </c>
      <c r="L661" s="201">
        <f>SUMIFS(rl_daysafter,rl_key,$A$616,rl_effmonth,$B661,rl_first,1)</f>
        <v/>
      </c>
      <c r="M661" s="209">
        <f>IF($K661=0,0,MIN(1,$L661/$D661))</f>
        <v/>
      </c>
      <c r="N661" s="208">
        <f>IF($K661=0,$J661,(1-$M661)*$I661+$M661*$J661)</f>
        <v/>
      </c>
      <c r="O661" s="209">
        <f>IF($F661&lt;$B$617,$E$617+$I$617*($F661-$A$617),IF($F661&lt;$C$617,$F$617+$J$617*($F661-$B$617),$G$617+$K$617*($F661-$C$617)))</f>
        <v/>
      </c>
      <c r="P661" s="208">
        <f>MIN(1,MAX(0,(nr_MEndPm1-$G661+0.5)/$C$616))-MIN(1,MAX(0,(nr_MStartPm1-1-$G661+0.5)/$C$616))</f>
        <v/>
      </c>
      <c r="Q661" s="208">
        <f>MIN(1,MAX(0,(nr_MEndP-$G661+0.5)/$C$616))-MIN(1,MAX(0,(nr_MStartP-1-$G661+0.5)/$C$616))</f>
        <v/>
      </c>
      <c r="R661" s="208">
        <f>MIN(1,MAX(0,(nr_MEndP1-$G661+0.5)/$C$616))-MIN(1,MAX(0,(nr_MStartP1-1-$G661+0.5)/$C$616))</f>
        <v/>
      </c>
      <c r="S661" s="208">
        <f>IF($L$616,$N661*IF($O$616=1,$O661/$F$616,1),"")</f>
        <v/>
      </c>
      <c r="T661" s="208">
        <f>IF(NOT($L$616),"",IF($G661&lt;nr_MStartP,$S661,$T649*(1+IF($G661&lt;nr_MStartP1,$M$616,$N$616))))</f>
        <v/>
      </c>
      <c r="U661" s="208">
        <f>IF($L$616,$T661,$N661)</f>
        <v/>
      </c>
    </row>
    <row r="662">
      <c r="A662" s="145" t="n">
        <v>44</v>
      </c>
      <c r="B662" s="204">
        <f>EDATE($B661,1)</f>
        <v/>
      </c>
      <c r="C662" s="205">
        <f>EOMONTH($B662,0)</f>
        <v/>
      </c>
      <c r="D662" s="201">
        <f>$C662-$B662+1</f>
        <v/>
      </c>
      <c r="E662" s="201">
        <f>MONTH($B662)</f>
        <v/>
      </c>
      <c r="F662" s="235">
        <f>($B662+$C662+1)/2</f>
        <v/>
      </c>
      <c r="G662" s="201">
        <f>YEAR($B662)*12+MONTH($B662)-1</f>
        <v/>
      </c>
      <c r="H662" s="207">
        <f>IF(OR(nr_SeasonOn="OFF",$D$616=0,$E$616=0),1,12*INDEX(se_block,$D$616,$E662)/$E$616)</f>
        <v/>
      </c>
      <c r="I662" s="208">
        <f>EXP(SUMPRODUCT((rl_eff&lt;$B662)*(rl_key=$A$616)*rl_ln1p))</f>
        <v/>
      </c>
      <c r="J662" s="208">
        <f>EXP(SUMPRODUCT((rl_eff&lt;=$C662)*(rl_key=$A$616)*rl_ln1p))</f>
        <v/>
      </c>
      <c r="K662" s="201">
        <f>COUNTIFS(rl_key,$A$616,rl_eff,"&gt;="&amp;$B662,rl_eff,"&lt;="&amp;$C662)</f>
        <v/>
      </c>
      <c r="L662" s="201">
        <f>SUMIFS(rl_daysafter,rl_key,$A$616,rl_effmonth,$B662,rl_first,1)</f>
        <v/>
      </c>
      <c r="M662" s="209">
        <f>IF($K662=0,0,MIN(1,$L662/$D662))</f>
        <v/>
      </c>
      <c r="N662" s="208">
        <f>IF($K662=0,$J662,(1-$M662)*$I662+$M662*$J662)</f>
        <v/>
      </c>
      <c r="O662" s="209">
        <f>IF($F662&lt;$B$617,$E$617+$I$617*($F662-$A$617),IF($F662&lt;$C$617,$F$617+$J$617*($F662-$B$617),$G$617+$K$617*($F662-$C$617)))</f>
        <v/>
      </c>
      <c r="P662" s="208">
        <f>MIN(1,MAX(0,(nr_MEndPm1-$G662+0.5)/$C$616))-MIN(1,MAX(0,(nr_MStartPm1-1-$G662+0.5)/$C$616))</f>
        <v/>
      </c>
      <c r="Q662" s="208">
        <f>MIN(1,MAX(0,(nr_MEndP-$G662+0.5)/$C$616))-MIN(1,MAX(0,(nr_MStartP-1-$G662+0.5)/$C$616))</f>
        <v/>
      </c>
      <c r="R662" s="208">
        <f>MIN(1,MAX(0,(nr_MEndP1-$G662+0.5)/$C$616))-MIN(1,MAX(0,(nr_MStartP1-1-$G662+0.5)/$C$616))</f>
        <v/>
      </c>
      <c r="S662" s="208">
        <f>IF($L$616,$N662*IF($O$616=1,$O662/$F$616,1),"")</f>
        <v/>
      </c>
      <c r="T662" s="208">
        <f>IF(NOT($L$616),"",IF($G662&lt;nr_MStartP,$S662,$T650*(1+IF($G662&lt;nr_MStartP1,$M$616,$N$616))))</f>
        <v/>
      </c>
      <c r="U662" s="208">
        <f>IF($L$616,$T662,$N662)</f>
        <v/>
      </c>
    </row>
    <row r="663">
      <c r="A663" s="145" t="n">
        <v>45</v>
      </c>
      <c r="B663" s="204">
        <f>EDATE($B662,1)</f>
        <v/>
      </c>
      <c r="C663" s="205">
        <f>EOMONTH($B663,0)</f>
        <v/>
      </c>
      <c r="D663" s="201">
        <f>$C663-$B663+1</f>
        <v/>
      </c>
      <c r="E663" s="201">
        <f>MONTH($B663)</f>
        <v/>
      </c>
      <c r="F663" s="235">
        <f>($B663+$C663+1)/2</f>
        <v/>
      </c>
      <c r="G663" s="201">
        <f>YEAR($B663)*12+MONTH($B663)-1</f>
        <v/>
      </c>
      <c r="H663" s="207">
        <f>IF(OR(nr_SeasonOn="OFF",$D$616=0,$E$616=0),1,12*INDEX(se_block,$D$616,$E663)/$E$616)</f>
        <v/>
      </c>
      <c r="I663" s="208">
        <f>EXP(SUMPRODUCT((rl_eff&lt;$B663)*(rl_key=$A$616)*rl_ln1p))</f>
        <v/>
      </c>
      <c r="J663" s="208">
        <f>EXP(SUMPRODUCT((rl_eff&lt;=$C663)*(rl_key=$A$616)*rl_ln1p))</f>
        <v/>
      </c>
      <c r="K663" s="201">
        <f>COUNTIFS(rl_key,$A$616,rl_eff,"&gt;="&amp;$B663,rl_eff,"&lt;="&amp;$C663)</f>
        <v/>
      </c>
      <c r="L663" s="201">
        <f>SUMIFS(rl_daysafter,rl_key,$A$616,rl_effmonth,$B663,rl_first,1)</f>
        <v/>
      </c>
      <c r="M663" s="209">
        <f>IF($K663=0,0,MIN(1,$L663/$D663))</f>
        <v/>
      </c>
      <c r="N663" s="208">
        <f>IF($K663=0,$J663,(1-$M663)*$I663+$M663*$J663)</f>
        <v/>
      </c>
      <c r="O663" s="209">
        <f>IF($F663&lt;$B$617,$E$617+$I$617*($F663-$A$617),IF($F663&lt;$C$617,$F$617+$J$617*($F663-$B$617),$G$617+$K$617*($F663-$C$617)))</f>
        <v/>
      </c>
      <c r="P663" s="208">
        <f>MIN(1,MAX(0,(nr_MEndPm1-$G663+0.5)/$C$616))-MIN(1,MAX(0,(nr_MStartPm1-1-$G663+0.5)/$C$616))</f>
        <v/>
      </c>
      <c r="Q663" s="208">
        <f>MIN(1,MAX(0,(nr_MEndP-$G663+0.5)/$C$616))-MIN(1,MAX(0,(nr_MStartP-1-$G663+0.5)/$C$616))</f>
        <v/>
      </c>
      <c r="R663" s="208">
        <f>MIN(1,MAX(0,(nr_MEndP1-$G663+0.5)/$C$616))-MIN(1,MAX(0,(nr_MStartP1-1-$G663+0.5)/$C$616))</f>
        <v/>
      </c>
      <c r="S663" s="208">
        <f>IF($L$616,$N663*IF($O$616=1,$O663/$F$616,1),"")</f>
        <v/>
      </c>
      <c r="T663" s="208">
        <f>IF(NOT($L$616),"",IF($G663&lt;nr_MStartP,$S663,$T651*(1+IF($G663&lt;nr_MStartP1,$M$616,$N$616))))</f>
        <v/>
      </c>
      <c r="U663" s="208">
        <f>IF($L$616,$T663,$N663)</f>
        <v/>
      </c>
    </row>
    <row r="664">
      <c r="A664" s="145" t="n">
        <v>46</v>
      </c>
      <c r="B664" s="204">
        <f>EDATE($B663,1)</f>
        <v/>
      </c>
      <c r="C664" s="205">
        <f>EOMONTH($B664,0)</f>
        <v/>
      </c>
      <c r="D664" s="201">
        <f>$C664-$B664+1</f>
        <v/>
      </c>
      <c r="E664" s="201">
        <f>MONTH($B664)</f>
        <v/>
      </c>
      <c r="F664" s="235">
        <f>($B664+$C664+1)/2</f>
        <v/>
      </c>
      <c r="G664" s="201">
        <f>YEAR($B664)*12+MONTH($B664)-1</f>
        <v/>
      </c>
      <c r="H664" s="207">
        <f>IF(OR(nr_SeasonOn="OFF",$D$616=0,$E$616=0),1,12*INDEX(se_block,$D$616,$E664)/$E$616)</f>
        <v/>
      </c>
      <c r="I664" s="208">
        <f>EXP(SUMPRODUCT((rl_eff&lt;$B664)*(rl_key=$A$616)*rl_ln1p))</f>
        <v/>
      </c>
      <c r="J664" s="208">
        <f>EXP(SUMPRODUCT((rl_eff&lt;=$C664)*(rl_key=$A$616)*rl_ln1p))</f>
        <v/>
      </c>
      <c r="K664" s="201">
        <f>COUNTIFS(rl_key,$A$616,rl_eff,"&gt;="&amp;$B664,rl_eff,"&lt;="&amp;$C664)</f>
        <v/>
      </c>
      <c r="L664" s="201">
        <f>SUMIFS(rl_daysafter,rl_key,$A$616,rl_effmonth,$B664,rl_first,1)</f>
        <v/>
      </c>
      <c r="M664" s="209">
        <f>IF($K664=0,0,MIN(1,$L664/$D664))</f>
        <v/>
      </c>
      <c r="N664" s="208">
        <f>IF($K664=0,$J664,(1-$M664)*$I664+$M664*$J664)</f>
        <v/>
      </c>
      <c r="O664" s="209">
        <f>IF($F664&lt;$B$617,$E$617+$I$617*($F664-$A$617),IF($F664&lt;$C$617,$F$617+$J$617*($F664-$B$617),$G$617+$K$617*($F664-$C$617)))</f>
        <v/>
      </c>
      <c r="P664" s="208">
        <f>MIN(1,MAX(0,(nr_MEndPm1-$G664+0.5)/$C$616))-MIN(1,MAX(0,(nr_MStartPm1-1-$G664+0.5)/$C$616))</f>
        <v/>
      </c>
      <c r="Q664" s="208">
        <f>MIN(1,MAX(0,(nr_MEndP-$G664+0.5)/$C$616))-MIN(1,MAX(0,(nr_MStartP-1-$G664+0.5)/$C$616))</f>
        <v/>
      </c>
      <c r="R664" s="208">
        <f>MIN(1,MAX(0,(nr_MEndP1-$G664+0.5)/$C$616))-MIN(1,MAX(0,(nr_MStartP1-1-$G664+0.5)/$C$616))</f>
        <v/>
      </c>
      <c r="S664" s="208">
        <f>IF($L$616,$N664*IF($O$616=1,$O664/$F$616,1),"")</f>
        <v/>
      </c>
      <c r="T664" s="208">
        <f>IF(NOT($L$616),"",IF($G664&lt;nr_MStartP,$S664,$T652*(1+IF($G664&lt;nr_MStartP1,$M$616,$N$616))))</f>
        <v/>
      </c>
      <c r="U664" s="208">
        <f>IF($L$616,$T664,$N664)</f>
        <v/>
      </c>
    </row>
    <row r="665">
      <c r="A665" s="145" t="n">
        <v>47</v>
      </c>
      <c r="B665" s="204">
        <f>EDATE($B664,1)</f>
        <v/>
      </c>
      <c r="C665" s="205">
        <f>EOMONTH($B665,0)</f>
        <v/>
      </c>
      <c r="D665" s="201">
        <f>$C665-$B665+1</f>
        <v/>
      </c>
      <c r="E665" s="201">
        <f>MONTH($B665)</f>
        <v/>
      </c>
      <c r="F665" s="235">
        <f>($B665+$C665+1)/2</f>
        <v/>
      </c>
      <c r="G665" s="201">
        <f>YEAR($B665)*12+MONTH($B665)-1</f>
        <v/>
      </c>
      <c r="H665" s="207">
        <f>IF(OR(nr_SeasonOn="OFF",$D$616=0,$E$616=0),1,12*INDEX(se_block,$D$616,$E665)/$E$616)</f>
        <v/>
      </c>
      <c r="I665" s="208">
        <f>EXP(SUMPRODUCT((rl_eff&lt;$B665)*(rl_key=$A$616)*rl_ln1p))</f>
        <v/>
      </c>
      <c r="J665" s="208">
        <f>EXP(SUMPRODUCT((rl_eff&lt;=$C665)*(rl_key=$A$616)*rl_ln1p))</f>
        <v/>
      </c>
      <c r="K665" s="201">
        <f>COUNTIFS(rl_key,$A$616,rl_eff,"&gt;="&amp;$B665,rl_eff,"&lt;="&amp;$C665)</f>
        <v/>
      </c>
      <c r="L665" s="201">
        <f>SUMIFS(rl_daysafter,rl_key,$A$616,rl_effmonth,$B665,rl_first,1)</f>
        <v/>
      </c>
      <c r="M665" s="209">
        <f>IF($K665=0,0,MIN(1,$L665/$D665))</f>
        <v/>
      </c>
      <c r="N665" s="208">
        <f>IF($K665=0,$J665,(1-$M665)*$I665+$M665*$J665)</f>
        <v/>
      </c>
      <c r="O665" s="209">
        <f>IF($F665&lt;$B$617,$E$617+$I$617*($F665-$A$617),IF($F665&lt;$C$617,$F$617+$J$617*($F665-$B$617),$G$617+$K$617*($F665-$C$617)))</f>
        <v/>
      </c>
      <c r="P665" s="208">
        <f>MIN(1,MAX(0,(nr_MEndPm1-$G665+0.5)/$C$616))-MIN(1,MAX(0,(nr_MStartPm1-1-$G665+0.5)/$C$616))</f>
        <v/>
      </c>
      <c r="Q665" s="208">
        <f>MIN(1,MAX(0,(nr_MEndP-$G665+0.5)/$C$616))-MIN(1,MAX(0,(nr_MStartP-1-$G665+0.5)/$C$616))</f>
        <v/>
      </c>
      <c r="R665" s="208">
        <f>MIN(1,MAX(0,(nr_MEndP1-$G665+0.5)/$C$616))-MIN(1,MAX(0,(nr_MStartP1-1-$G665+0.5)/$C$616))</f>
        <v/>
      </c>
      <c r="S665" s="208">
        <f>IF($L$616,$N665*IF($O$616=1,$O665/$F$616,1),"")</f>
        <v/>
      </c>
      <c r="T665" s="208">
        <f>IF(NOT($L$616),"",IF($G665&lt;nr_MStartP,$S665,$T653*(1+IF($G665&lt;nr_MStartP1,$M$616,$N$616))))</f>
        <v/>
      </c>
      <c r="U665" s="208">
        <f>IF($L$616,$T665,$N665)</f>
        <v/>
      </c>
    </row>
    <row r="666">
      <c r="A666" s="145" t="n">
        <v>48</v>
      </c>
      <c r="B666" s="204">
        <f>EDATE($B665,1)</f>
        <v/>
      </c>
      <c r="C666" s="205">
        <f>EOMONTH($B666,0)</f>
        <v/>
      </c>
      <c r="D666" s="201">
        <f>$C666-$B666+1</f>
        <v/>
      </c>
      <c r="E666" s="201">
        <f>MONTH($B666)</f>
        <v/>
      </c>
      <c r="F666" s="235">
        <f>($B666+$C666+1)/2</f>
        <v/>
      </c>
      <c r="G666" s="201">
        <f>YEAR($B666)*12+MONTH($B666)-1</f>
        <v/>
      </c>
      <c r="H666" s="207">
        <f>IF(OR(nr_SeasonOn="OFF",$D$616=0,$E$616=0),1,12*INDEX(se_block,$D$616,$E666)/$E$616)</f>
        <v/>
      </c>
      <c r="I666" s="208">
        <f>EXP(SUMPRODUCT((rl_eff&lt;$B666)*(rl_key=$A$616)*rl_ln1p))</f>
        <v/>
      </c>
      <c r="J666" s="208">
        <f>EXP(SUMPRODUCT((rl_eff&lt;=$C666)*(rl_key=$A$616)*rl_ln1p))</f>
        <v/>
      </c>
      <c r="K666" s="201">
        <f>COUNTIFS(rl_key,$A$616,rl_eff,"&gt;="&amp;$B666,rl_eff,"&lt;="&amp;$C666)</f>
        <v/>
      </c>
      <c r="L666" s="201">
        <f>SUMIFS(rl_daysafter,rl_key,$A$616,rl_effmonth,$B666,rl_first,1)</f>
        <v/>
      </c>
      <c r="M666" s="209">
        <f>IF($K666=0,0,MIN(1,$L666/$D666))</f>
        <v/>
      </c>
      <c r="N666" s="208">
        <f>IF($K666=0,$J666,(1-$M666)*$I666+$M666*$J666)</f>
        <v/>
      </c>
      <c r="O666" s="209">
        <f>IF($F666&lt;$B$617,$E$617+$I$617*($F666-$A$617),IF($F666&lt;$C$617,$F$617+$J$617*($F666-$B$617),$G$617+$K$617*($F666-$C$617)))</f>
        <v/>
      </c>
      <c r="P666" s="208">
        <f>MIN(1,MAX(0,(nr_MEndPm1-$G666+0.5)/$C$616))-MIN(1,MAX(0,(nr_MStartPm1-1-$G666+0.5)/$C$616))</f>
        <v/>
      </c>
      <c r="Q666" s="208">
        <f>MIN(1,MAX(0,(nr_MEndP-$G666+0.5)/$C$616))-MIN(1,MAX(0,(nr_MStartP-1-$G666+0.5)/$C$616))</f>
        <v/>
      </c>
      <c r="R666" s="208">
        <f>MIN(1,MAX(0,(nr_MEndP1-$G666+0.5)/$C$616))-MIN(1,MAX(0,(nr_MStartP1-1-$G666+0.5)/$C$616))</f>
        <v/>
      </c>
      <c r="S666" s="208">
        <f>IF($L$616,$N666*IF($O$616=1,$O666/$F$616,1),"")</f>
        <v/>
      </c>
      <c r="T666" s="208">
        <f>IF(NOT($L$616),"",IF($G666&lt;nr_MStartP,$S666,$T654*(1+IF($G666&lt;nr_MStartP1,$M$616,$N$616))))</f>
        <v/>
      </c>
      <c r="U666" s="208">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184">
        <f>SUMPRODUCT($H$619:$H$666,$Q$619:$Q$666,$O$619:$O$666)/SUMPRODUCT($H$619:$H$666,$Q$619:$Q$666)</f>
        <v/>
      </c>
      <c r="G667" s="184">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184">
        <f>IF(N(INDEX(lr_mind,12))=0,1,INDEX(lr_mind,12))</f>
        <v/>
      </c>
      <c r="G670" s="184">
        <f>IF(N(INDEX(lr_m0,12))=0,1,INDEX(lr_m0,12))</f>
        <v/>
      </c>
      <c r="H670" s="73">
        <f>IF(N(INDEX(lr_m0asof,12))=0,DATE(nr_PlanYear-1,10,1),INDEX(lr_m0asof,12))</f>
        <v/>
      </c>
      <c r="I670" s="184">
        <f>IF(N(INDEX(lr_m1,12))=0,1,INDEX(lr_m1,12))</f>
        <v/>
      </c>
      <c r="J670" s="184">
        <f>INDEX(lr_mprior,12)</f>
        <v/>
      </c>
      <c r="K670" s="184">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145" t="n">
        <v>1</v>
      </c>
      <c r="B673" s="204">
        <f>DATE(nr_PlanYear-2,1,1)</f>
        <v/>
      </c>
      <c r="C673" s="205">
        <f>EOMONTH($B673,0)</f>
        <v/>
      </c>
      <c r="D673" s="201">
        <f>$C673-$B673+1</f>
        <v/>
      </c>
      <c r="E673" s="201">
        <f>MONTH($B673)</f>
        <v/>
      </c>
      <c r="F673" s="235">
        <f>($B673+$C673+1)/2</f>
        <v/>
      </c>
      <c r="G673" s="201">
        <f>YEAR($B673)*12+MONTH($B673)-1</f>
        <v/>
      </c>
      <c r="H673" s="207">
        <f>IF(OR(nr_SeasonOn="OFF",$D$670=0,$E$670=0),1,12*INDEX(se_block,$D$670,$E673)/$E$670)</f>
        <v/>
      </c>
      <c r="I673" s="208">
        <f>EXP(SUMPRODUCT((rl_eff&lt;$B673)*(rl_key=$A$670)*rl_ln1p))</f>
        <v/>
      </c>
      <c r="J673" s="208">
        <f>EXP(SUMPRODUCT((rl_eff&lt;=$C673)*(rl_key=$A$670)*rl_ln1p))</f>
        <v/>
      </c>
      <c r="K673" s="201">
        <f>COUNTIFS(rl_key,$A$670,rl_eff,"&gt;="&amp;$B673,rl_eff,"&lt;="&amp;$C673)</f>
        <v/>
      </c>
      <c r="L673" s="201">
        <f>SUMIFS(rl_daysafter,rl_key,$A$670,rl_effmonth,$B673,rl_first,1)</f>
        <v/>
      </c>
      <c r="M673" s="209">
        <f>IF($K673=0,0,MIN(1,$L673/$D673))</f>
        <v/>
      </c>
      <c r="N673" s="208">
        <f>IF($K673=0,$J673,(1-$M673)*$I673+$M673*$J673)</f>
        <v/>
      </c>
      <c r="O673" s="209">
        <f>IF($F673&lt;$B$671,$E$671+$I$671*($F673-$A$671),IF($F673&lt;$C$671,$F$671+$J$671*($F673-$B$671),$G$671+$K$671*($F673-$C$671)))</f>
        <v/>
      </c>
      <c r="P673" s="208">
        <f>MIN(1,MAX(0,(nr_MEndPm1-$G673+0.5)/$C$670))-MIN(1,MAX(0,(nr_MStartPm1-1-$G673+0.5)/$C$670))</f>
        <v/>
      </c>
      <c r="Q673" s="208">
        <f>MIN(1,MAX(0,(nr_MEndP-$G673+0.5)/$C$670))-MIN(1,MAX(0,(nr_MStartP-1-$G673+0.5)/$C$670))</f>
        <v/>
      </c>
      <c r="R673" s="208">
        <f>MIN(1,MAX(0,(nr_MEndP1-$G673+0.5)/$C$670))-MIN(1,MAX(0,(nr_MStartP1-1-$G673+0.5)/$C$670))</f>
        <v/>
      </c>
      <c r="S673" s="208">
        <f>IF($L$670,$N673*IF($O$670=1,$O673/$F$670,1),"")</f>
        <v/>
      </c>
      <c r="T673" s="208">
        <f>IF(NOT($L$670),"",IF($G673&lt;nr_MStartP,$S673,$T661*(1+IF($G673&lt;nr_MStartP1,$M$670,$N$670))))</f>
        <v/>
      </c>
      <c r="U673" s="208">
        <f>IF($L$670,$T673,$N673)</f>
        <v/>
      </c>
    </row>
    <row r="674">
      <c r="A674" s="145" t="n">
        <v>2</v>
      </c>
      <c r="B674" s="204">
        <f>EDATE($B673,1)</f>
        <v/>
      </c>
      <c r="C674" s="205">
        <f>EOMONTH($B674,0)</f>
        <v/>
      </c>
      <c r="D674" s="201">
        <f>$C674-$B674+1</f>
        <v/>
      </c>
      <c r="E674" s="201">
        <f>MONTH($B674)</f>
        <v/>
      </c>
      <c r="F674" s="235">
        <f>($B674+$C674+1)/2</f>
        <v/>
      </c>
      <c r="G674" s="201">
        <f>YEAR($B674)*12+MONTH($B674)-1</f>
        <v/>
      </c>
      <c r="H674" s="207">
        <f>IF(OR(nr_SeasonOn="OFF",$D$670=0,$E$670=0),1,12*INDEX(se_block,$D$670,$E674)/$E$670)</f>
        <v/>
      </c>
      <c r="I674" s="208">
        <f>EXP(SUMPRODUCT((rl_eff&lt;$B674)*(rl_key=$A$670)*rl_ln1p))</f>
        <v/>
      </c>
      <c r="J674" s="208">
        <f>EXP(SUMPRODUCT((rl_eff&lt;=$C674)*(rl_key=$A$670)*rl_ln1p))</f>
        <v/>
      </c>
      <c r="K674" s="201">
        <f>COUNTIFS(rl_key,$A$670,rl_eff,"&gt;="&amp;$B674,rl_eff,"&lt;="&amp;$C674)</f>
        <v/>
      </c>
      <c r="L674" s="201">
        <f>SUMIFS(rl_daysafter,rl_key,$A$670,rl_effmonth,$B674,rl_first,1)</f>
        <v/>
      </c>
      <c r="M674" s="209">
        <f>IF($K674=0,0,MIN(1,$L674/$D674))</f>
        <v/>
      </c>
      <c r="N674" s="208">
        <f>IF($K674=0,$J674,(1-$M674)*$I674+$M674*$J674)</f>
        <v/>
      </c>
      <c r="O674" s="209">
        <f>IF($F674&lt;$B$671,$E$671+$I$671*($F674-$A$671),IF($F674&lt;$C$671,$F$671+$J$671*($F674-$B$671),$G$671+$K$671*($F674-$C$671)))</f>
        <v/>
      </c>
      <c r="P674" s="208">
        <f>MIN(1,MAX(0,(nr_MEndPm1-$G674+0.5)/$C$670))-MIN(1,MAX(0,(nr_MStartPm1-1-$G674+0.5)/$C$670))</f>
        <v/>
      </c>
      <c r="Q674" s="208">
        <f>MIN(1,MAX(0,(nr_MEndP-$G674+0.5)/$C$670))-MIN(1,MAX(0,(nr_MStartP-1-$G674+0.5)/$C$670))</f>
        <v/>
      </c>
      <c r="R674" s="208">
        <f>MIN(1,MAX(0,(nr_MEndP1-$G674+0.5)/$C$670))-MIN(1,MAX(0,(nr_MStartP1-1-$G674+0.5)/$C$670))</f>
        <v/>
      </c>
      <c r="S674" s="208">
        <f>IF($L$670,$N674*IF($O$670=1,$O674/$F$670,1),"")</f>
        <v/>
      </c>
      <c r="T674" s="208">
        <f>IF(NOT($L$670),"",IF($G674&lt;nr_MStartP,$S674,$T662*(1+IF($G674&lt;nr_MStartP1,$M$670,$N$670))))</f>
        <v/>
      </c>
      <c r="U674" s="208">
        <f>IF($L$670,$T674,$N674)</f>
        <v/>
      </c>
    </row>
    <row r="675">
      <c r="A675" s="145" t="n">
        <v>3</v>
      </c>
      <c r="B675" s="204">
        <f>EDATE($B674,1)</f>
        <v/>
      </c>
      <c r="C675" s="205">
        <f>EOMONTH($B675,0)</f>
        <v/>
      </c>
      <c r="D675" s="201">
        <f>$C675-$B675+1</f>
        <v/>
      </c>
      <c r="E675" s="201">
        <f>MONTH($B675)</f>
        <v/>
      </c>
      <c r="F675" s="235">
        <f>($B675+$C675+1)/2</f>
        <v/>
      </c>
      <c r="G675" s="201">
        <f>YEAR($B675)*12+MONTH($B675)-1</f>
        <v/>
      </c>
      <c r="H675" s="207">
        <f>IF(OR(nr_SeasonOn="OFF",$D$670=0,$E$670=0),1,12*INDEX(se_block,$D$670,$E675)/$E$670)</f>
        <v/>
      </c>
      <c r="I675" s="208">
        <f>EXP(SUMPRODUCT((rl_eff&lt;$B675)*(rl_key=$A$670)*rl_ln1p))</f>
        <v/>
      </c>
      <c r="J675" s="208">
        <f>EXP(SUMPRODUCT((rl_eff&lt;=$C675)*(rl_key=$A$670)*rl_ln1p))</f>
        <v/>
      </c>
      <c r="K675" s="201">
        <f>COUNTIFS(rl_key,$A$670,rl_eff,"&gt;="&amp;$B675,rl_eff,"&lt;="&amp;$C675)</f>
        <v/>
      </c>
      <c r="L675" s="201">
        <f>SUMIFS(rl_daysafter,rl_key,$A$670,rl_effmonth,$B675,rl_first,1)</f>
        <v/>
      </c>
      <c r="M675" s="209">
        <f>IF($K675=0,0,MIN(1,$L675/$D675))</f>
        <v/>
      </c>
      <c r="N675" s="208">
        <f>IF($K675=0,$J675,(1-$M675)*$I675+$M675*$J675)</f>
        <v/>
      </c>
      <c r="O675" s="209">
        <f>IF($F675&lt;$B$671,$E$671+$I$671*($F675-$A$671),IF($F675&lt;$C$671,$F$671+$J$671*($F675-$B$671),$G$671+$K$671*($F675-$C$671)))</f>
        <v/>
      </c>
      <c r="P675" s="208">
        <f>MIN(1,MAX(0,(nr_MEndPm1-$G675+0.5)/$C$670))-MIN(1,MAX(0,(nr_MStartPm1-1-$G675+0.5)/$C$670))</f>
        <v/>
      </c>
      <c r="Q675" s="208">
        <f>MIN(1,MAX(0,(nr_MEndP-$G675+0.5)/$C$670))-MIN(1,MAX(0,(nr_MStartP-1-$G675+0.5)/$C$670))</f>
        <v/>
      </c>
      <c r="R675" s="208">
        <f>MIN(1,MAX(0,(nr_MEndP1-$G675+0.5)/$C$670))-MIN(1,MAX(0,(nr_MStartP1-1-$G675+0.5)/$C$670))</f>
        <v/>
      </c>
      <c r="S675" s="208">
        <f>IF($L$670,$N675*IF($O$670=1,$O675/$F$670,1),"")</f>
        <v/>
      </c>
      <c r="T675" s="208">
        <f>IF(NOT($L$670),"",IF($G675&lt;nr_MStartP,$S675,$T663*(1+IF($G675&lt;nr_MStartP1,$M$670,$N$670))))</f>
        <v/>
      </c>
      <c r="U675" s="208">
        <f>IF($L$670,$T675,$N675)</f>
        <v/>
      </c>
    </row>
    <row r="676">
      <c r="A676" s="145" t="n">
        <v>4</v>
      </c>
      <c r="B676" s="204">
        <f>EDATE($B675,1)</f>
        <v/>
      </c>
      <c r="C676" s="205">
        <f>EOMONTH($B676,0)</f>
        <v/>
      </c>
      <c r="D676" s="201">
        <f>$C676-$B676+1</f>
        <v/>
      </c>
      <c r="E676" s="201">
        <f>MONTH($B676)</f>
        <v/>
      </c>
      <c r="F676" s="235">
        <f>($B676+$C676+1)/2</f>
        <v/>
      </c>
      <c r="G676" s="201">
        <f>YEAR($B676)*12+MONTH($B676)-1</f>
        <v/>
      </c>
      <c r="H676" s="207">
        <f>IF(OR(nr_SeasonOn="OFF",$D$670=0,$E$670=0),1,12*INDEX(se_block,$D$670,$E676)/$E$670)</f>
        <v/>
      </c>
      <c r="I676" s="208">
        <f>EXP(SUMPRODUCT((rl_eff&lt;$B676)*(rl_key=$A$670)*rl_ln1p))</f>
        <v/>
      </c>
      <c r="J676" s="208">
        <f>EXP(SUMPRODUCT((rl_eff&lt;=$C676)*(rl_key=$A$670)*rl_ln1p))</f>
        <v/>
      </c>
      <c r="K676" s="201">
        <f>COUNTIFS(rl_key,$A$670,rl_eff,"&gt;="&amp;$B676,rl_eff,"&lt;="&amp;$C676)</f>
        <v/>
      </c>
      <c r="L676" s="201">
        <f>SUMIFS(rl_daysafter,rl_key,$A$670,rl_effmonth,$B676,rl_first,1)</f>
        <v/>
      </c>
      <c r="M676" s="209">
        <f>IF($K676=0,0,MIN(1,$L676/$D676))</f>
        <v/>
      </c>
      <c r="N676" s="208">
        <f>IF($K676=0,$J676,(1-$M676)*$I676+$M676*$J676)</f>
        <v/>
      </c>
      <c r="O676" s="209">
        <f>IF($F676&lt;$B$671,$E$671+$I$671*($F676-$A$671),IF($F676&lt;$C$671,$F$671+$J$671*($F676-$B$671),$G$671+$K$671*($F676-$C$671)))</f>
        <v/>
      </c>
      <c r="P676" s="208">
        <f>MIN(1,MAX(0,(nr_MEndPm1-$G676+0.5)/$C$670))-MIN(1,MAX(0,(nr_MStartPm1-1-$G676+0.5)/$C$670))</f>
        <v/>
      </c>
      <c r="Q676" s="208">
        <f>MIN(1,MAX(0,(nr_MEndP-$G676+0.5)/$C$670))-MIN(1,MAX(0,(nr_MStartP-1-$G676+0.5)/$C$670))</f>
        <v/>
      </c>
      <c r="R676" s="208">
        <f>MIN(1,MAX(0,(nr_MEndP1-$G676+0.5)/$C$670))-MIN(1,MAX(0,(nr_MStartP1-1-$G676+0.5)/$C$670))</f>
        <v/>
      </c>
      <c r="S676" s="208">
        <f>IF($L$670,$N676*IF($O$670=1,$O676/$F$670,1),"")</f>
        <v/>
      </c>
      <c r="T676" s="208">
        <f>IF(NOT($L$670),"",IF($G676&lt;nr_MStartP,$S676,$T664*(1+IF($G676&lt;nr_MStartP1,$M$670,$N$670))))</f>
        <v/>
      </c>
      <c r="U676" s="208">
        <f>IF($L$670,$T676,$N676)</f>
        <v/>
      </c>
    </row>
    <row r="677">
      <c r="A677" s="145" t="n">
        <v>5</v>
      </c>
      <c r="B677" s="204">
        <f>EDATE($B676,1)</f>
        <v/>
      </c>
      <c r="C677" s="205">
        <f>EOMONTH($B677,0)</f>
        <v/>
      </c>
      <c r="D677" s="201">
        <f>$C677-$B677+1</f>
        <v/>
      </c>
      <c r="E677" s="201">
        <f>MONTH($B677)</f>
        <v/>
      </c>
      <c r="F677" s="235">
        <f>($B677+$C677+1)/2</f>
        <v/>
      </c>
      <c r="G677" s="201">
        <f>YEAR($B677)*12+MONTH($B677)-1</f>
        <v/>
      </c>
      <c r="H677" s="207">
        <f>IF(OR(nr_SeasonOn="OFF",$D$670=0,$E$670=0),1,12*INDEX(se_block,$D$670,$E677)/$E$670)</f>
        <v/>
      </c>
      <c r="I677" s="208">
        <f>EXP(SUMPRODUCT((rl_eff&lt;$B677)*(rl_key=$A$670)*rl_ln1p))</f>
        <v/>
      </c>
      <c r="J677" s="208">
        <f>EXP(SUMPRODUCT((rl_eff&lt;=$C677)*(rl_key=$A$670)*rl_ln1p))</f>
        <v/>
      </c>
      <c r="K677" s="201">
        <f>COUNTIFS(rl_key,$A$670,rl_eff,"&gt;="&amp;$B677,rl_eff,"&lt;="&amp;$C677)</f>
        <v/>
      </c>
      <c r="L677" s="201">
        <f>SUMIFS(rl_daysafter,rl_key,$A$670,rl_effmonth,$B677,rl_first,1)</f>
        <v/>
      </c>
      <c r="M677" s="209">
        <f>IF($K677=0,0,MIN(1,$L677/$D677))</f>
        <v/>
      </c>
      <c r="N677" s="208">
        <f>IF($K677=0,$J677,(1-$M677)*$I677+$M677*$J677)</f>
        <v/>
      </c>
      <c r="O677" s="209">
        <f>IF($F677&lt;$B$671,$E$671+$I$671*($F677-$A$671),IF($F677&lt;$C$671,$F$671+$J$671*($F677-$B$671),$G$671+$K$671*($F677-$C$671)))</f>
        <v/>
      </c>
      <c r="P677" s="208">
        <f>MIN(1,MAX(0,(nr_MEndPm1-$G677+0.5)/$C$670))-MIN(1,MAX(0,(nr_MStartPm1-1-$G677+0.5)/$C$670))</f>
        <v/>
      </c>
      <c r="Q677" s="208">
        <f>MIN(1,MAX(0,(nr_MEndP-$G677+0.5)/$C$670))-MIN(1,MAX(0,(nr_MStartP-1-$G677+0.5)/$C$670))</f>
        <v/>
      </c>
      <c r="R677" s="208">
        <f>MIN(1,MAX(0,(nr_MEndP1-$G677+0.5)/$C$670))-MIN(1,MAX(0,(nr_MStartP1-1-$G677+0.5)/$C$670))</f>
        <v/>
      </c>
      <c r="S677" s="208">
        <f>IF($L$670,$N677*IF($O$670=1,$O677/$F$670,1),"")</f>
        <v/>
      </c>
      <c r="T677" s="208">
        <f>IF(NOT($L$670),"",IF($G677&lt;nr_MStartP,$S677,$T665*(1+IF($G677&lt;nr_MStartP1,$M$670,$N$670))))</f>
        <v/>
      </c>
      <c r="U677" s="208">
        <f>IF($L$670,$T677,$N677)</f>
        <v/>
      </c>
    </row>
    <row r="678">
      <c r="A678" s="145" t="n">
        <v>6</v>
      </c>
      <c r="B678" s="204">
        <f>EDATE($B677,1)</f>
        <v/>
      </c>
      <c r="C678" s="205">
        <f>EOMONTH($B678,0)</f>
        <v/>
      </c>
      <c r="D678" s="201">
        <f>$C678-$B678+1</f>
        <v/>
      </c>
      <c r="E678" s="201">
        <f>MONTH($B678)</f>
        <v/>
      </c>
      <c r="F678" s="235">
        <f>($B678+$C678+1)/2</f>
        <v/>
      </c>
      <c r="G678" s="201">
        <f>YEAR($B678)*12+MONTH($B678)-1</f>
        <v/>
      </c>
      <c r="H678" s="207">
        <f>IF(OR(nr_SeasonOn="OFF",$D$670=0,$E$670=0),1,12*INDEX(se_block,$D$670,$E678)/$E$670)</f>
        <v/>
      </c>
      <c r="I678" s="208">
        <f>EXP(SUMPRODUCT((rl_eff&lt;$B678)*(rl_key=$A$670)*rl_ln1p))</f>
        <v/>
      </c>
      <c r="J678" s="208">
        <f>EXP(SUMPRODUCT((rl_eff&lt;=$C678)*(rl_key=$A$670)*rl_ln1p))</f>
        <v/>
      </c>
      <c r="K678" s="201">
        <f>COUNTIFS(rl_key,$A$670,rl_eff,"&gt;="&amp;$B678,rl_eff,"&lt;="&amp;$C678)</f>
        <v/>
      </c>
      <c r="L678" s="201">
        <f>SUMIFS(rl_daysafter,rl_key,$A$670,rl_effmonth,$B678,rl_first,1)</f>
        <v/>
      </c>
      <c r="M678" s="209">
        <f>IF($K678=0,0,MIN(1,$L678/$D678))</f>
        <v/>
      </c>
      <c r="N678" s="208">
        <f>IF($K678=0,$J678,(1-$M678)*$I678+$M678*$J678)</f>
        <v/>
      </c>
      <c r="O678" s="209">
        <f>IF($F678&lt;$B$671,$E$671+$I$671*($F678-$A$671),IF($F678&lt;$C$671,$F$671+$J$671*($F678-$B$671),$G$671+$K$671*($F678-$C$671)))</f>
        <v/>
      </c>
      <c r="P678" s="208">
        <f>MIN(1,MAX(0,(nr_MEndPm1-$G678+0.5)/$C$670))-MIN(1,MAX(0,(nr_MStartPm1-1-$G678+0.5)/$C$670))</f>
        <v/>
      </c>
      <c r="Q678" s="208">
        <f>MIN(1,MAX(0,(nr_MEndP-$G678+0.5)/$C$670))-MIN(1,MAX(0,(nr_MStartP-1-$G678+0.5)/$C$670))</f>
        <v/>
      </c>
      <c r="R678" s="208">
        <f>MIN(1,MAX(0,(nr_MEndP1-$G678+0.5)/$C$670))-MIN(1,MAX(0,(nr_MStartP1-1-$G678+0.5)/$C$670))</f>
        <v/>
      </c>
      <c r="S678" s="208">
        <f>IF($L$670,$N678*IF($O$670=1,$O678/$F$670,1),"")</f>
        <v/>
      </c>
      <c r="T678" s="208">
        <f>IF(NOT($L$670),"",IF($G678&lt;nr_MStartP,$S678,$T666*(1+IF($G678&lt;nr_MStartP1,$M$670,$N$670))))</f>
        <v/>
      </c>
      <c r="U678" s="208">
        <f>IF($L$670,$T678,$N678)</f>
        <v/>
      </c>
    </row>
    <row r="679">
      <c r="A679" s="145" t="n">
        <v>7</v>
      </c>
      <c r="B679" s="204">
        <f>EDATE($B678,1)</f>
        <v/>
      </c>
      <c r="C679" s="205">
        <f>EOMONTH($B679,0)</f>
        <v/>
      </c>
      <c r="D679" s="201">
        <f>$C679-$B679+1</f>
        <v/>
      </c>
      <c r="E679" s="201">
        <f>MONTH($B679)</f>
        <v/>
      </c>
      <c r="F679" s="235">
        <f>($B679+$C679+1)/2</f>
        <v/>
      </c>
      <c r="G679" s="201">
        <f>YEAR($B679)*12+MONTH($B679)-1</f>
        <v/>
      </c>
      <c r="H679" s="207">
        <f>IF(OR(nr_SeasonOn="OFF",$D$670=0,$E$670=0),1,12*INDEX(se_block,$D$670,$E679)/$E$670)</f>
        <v/>
      </c>
      <c r="I679" s="208">
        <f>EXP(SUMPRODUCT((rl_eff&lt;$B679)*(rl_key=$A$670)*rl_ln1p))</f>
        <v/>
      </c>
      <c r="J679" s="208">
        <f>EXP(SUMPRODUCT((rl_eff&lt;=$C679)*(rl_key=$A$670)*rl_ln1p))</f>
        <v/>
      </c>
      <c r="K679" s="201">
        <f>COUNTIFS(rl_key,$A$670,rl_eff,"&gt;="&amp;$B679,rl_eff,"&lt;="&amp;$C679)</f>
        <v/>
      </c>
      <c r="L679" s="201">
        <f>SUMIFS(rl_daysafter,rl_key,$A$670,rl_effmonth,$B679,rl_first,1)</f>
        <v/>
      </c>
      <c r="M679" s="209">
        <f>IF($K679=0,0,MIN(1,$L679/$D679))</f>
        <v/>
      </c>
      <c r="N679" s="208">
        <f>IF($K679=0,$J679,(1-$M679)*$I679+$M679*$J679)</f>
        <v/>
      </c>
      <c r="O679" s="209">
        <f>IF($F679&lt;$B$671,$E$671+$I$671*($F679-$A$671),IF($F679&lt;$C$671,$F$671+$J$671*($F679-$B$671),$G$671+$K$671*($F679-$C$671)))</f>
        <v/>
      </c>
      <c r="P679" s="208">
        <f>MIN(1,MAX(0,(nr_MEndPm1-$G679+0.5)/$C$670))-MIN(1,MAX(0,(nr_MStartPm1-1-$G679+0.5)/$C$670))</f>
        <v/>
      </c>
      <c r="Q679" s="208">
        <f>MIN(1,MAX(0,(nr_MEndP-$G679+0.5)/$C$670))-MIN(1,MAX(0,(nr_MStartP-1-$G679+0.5)/$C$670))</f>
        <v/>
      </c>
      <c r="R679" s="208">
        <f>MIN(1,MAX(0,(nr_MEndP1-$G679+0.5)/$C$670))-MIN(1,MAX(0,(nr_MStartP1-1-$G679+0.5)/$C$670))</f>
        <v/>
      </c>
      <c r="S679" s="208">
        <f>IF($L$670,$N679*IF($O$670=1,$O679/$F$670,1),"")</f>
        <v/>
      </c>
      <c r="T679" s="208">
        <f>IF(NOT($L$670),"",IF($G679&lt;nr_MStartP,$S679,$T667*(1+IF($G679&lt;nr_MStartP1,$M$670,$N$670))))</f>
        <v/>
      </c>
      <c r="U679" s="208">
        <f>IF($L$670,$T679,$N679)</f>
        <v/>
      </c>
    </row>
    <row r="680">
      <c r="A680" s="145" t="n">
        <v>8</v>
      </c>
      <c r="B680" s="204">
        <f>EDATE($B679,1)</f>
        <v/>
      </c>
      <c r="C680" s="205">
        <f>EOMONTH($B680,0)</f>
        <v/>
      </c>
      <c r="D680" s="201">
        <f>$C680-$B680+1</f>
        <v/>
      </c>
      <c r="E680" s="201">
        <f>MONTH($B680)</f>
        <v/>
      </c>
      <c r="F680" s="235">
        <f>($B680+$C680+1)/2</f>
        <v/>
      </c>
      <c r="G680" s="201">
        <f>YEAR($B680)*12+MONTH($B680)-1</f>
        <v/>
      </c>
      <c r="H680" s="207">
        <f>IF(OR(nr_SeasonOn="OFF",$D$670=0,$E$670=0),1,12*INDEX(se_block,$D$670,$E680)/$E$670)</f>
        <v/>
      </c>
      <c r="I680" s="208">
        <f>EXP(SUMPRODUCT((rl_eff&lt;$B680)*(rl_key=$A$670)*rl_ln1p))</f>
        <v/>
      </c>
      <c r="J680" s="208">
        <f>EXP(SUMPRODUCT((rl_eff&lt;=$C680)*(rl_key=$A$670)*rl_ln1p))</f>
        <v/>
      </c>
      <c r="K680" s="201">
        <f>COUNTIFS(rl_key,$A$670,rl_eff,"&gt;="&amp;$B680,rl_eff,"&lt;="&amp;$C680)</f>
        <v/>
      </c>
      <c r="L680" s="201">
        <f>SUMIFS(rl_daysafter,rl_key,$A$670,rl_effmonth,$B680,rl_first,1)</f>
        <v/>
      </c>
      <c r="M680" s="209">
        <f>IF($K680=0,0,MIN(1,$L680/$D680))</f>
        <v/>
      </c>
      <c r="N680" s="208">
        <f>IF($K680=0,$J680,(1-$M680)*$I680+$M680*$J680)</f>
        <v/>
      </c>
      <c r="O680" s="209">
        <f>IF($F680&lt;$B$671,$E$671+$I$671*($F680-$A$671),IF($F680&lt;$C$671,$F$671+$J$671*($F680-$B$671),$G$671+$K$671*($F680-$C$671)))</f>
        <v/>
      </c>
      <c r="P680" s="208">
        <f>MIN(1,MAX(0,(nr_MEndPm1-$G680+0.5)/$C$670))-MIN(1,MAX(0,(nr_MStartPm1-1-$G680+0.5)/$C$670))</f>
        <v/>
      </c>
      <c r="Q680" s="208">
        <f>MIN(1,MAX(0,(nr_MEndP-$G680+0.5)/$C$670))-MIN(1,MAX(0,(nr_MStartP-1-$G680+0.5)/$C$670))</f>
        <v/>
      </c>
      <c r="R680" s="208">
        <f>MIN(1,MAX(0,(nr_MEndP1-$G680+0.5)/$C$670))-MIN(1,MAX(0,(nr_MStartP1-1-$G680+0.5)/$C$670))</f>
        <v/>
      </c>
      <c r="S680" s="208">
        <f>IF($L$670,$N680*IF($O$670=1,$O680/$F$670,1),"")</f>
        <v/>
      </c>
      <c r="T680" s="208">
        <f>IF(NOT($L$670),"",IF($G680&lt;nr_MStartP,$S680,$T668*(1+IF($G680&lt;nr_MStartP1,$M$670,$N$670))))</f>
        <v/>
      </c>
      <c r="U680" s="208">
        <f>IF($L$670,$T680,$N680)</f>
        <v/>
      </c>
    </row>
    <row r="681">
      <c r="A681" s="145" t="n">
        <v>9</v>
      </c>
      <c r="B681" s="204">
        <f>EDATE($B680,1)</f>
        <v/>
      </c>
      <c r="C681" s="205">
        <f>EOMONTH($B681,0)</f>
        <v/>
      </c>
      <c r="D681" s="201">
        <f>$C681-$B681+1</f>
        <v/>
      </c>
      <c r="E681" s="201">
        <f>MONTH($B681)</f>
        <v/>
      </c>
      <c r="F681" s="235">
        <f>($B681+$C681+1)/2</f>
        <v/>
      </c>
      <c r="G681" s="201">
        <f>YEAR($B681)*12+MONTH($B681)-1</f>
        <v/>
      </c>
      <c r="H681" s="207">
        <f>IF(OR(nr_SeasonOn="OFF",$D$670=0,$E$670=0),1,12*INDEX(se_block,$D$670,$E681)/$E$670)</f>
        <v/>
      </c>
      <c r="I681" s="208">
        <f>EXP(SUMPRODUCT((rl_eff&lt;$B681)*(rl_key=$A$670)*rl_ln1p))</f>
        <v/>
      </c>
      <c r="J681" s="208">
        <f>EXP(SUMPRODUCT((rl_eff&lt;=$C681)*(rl_key=$A$670)*rl_ln1p))</f>
        <v/>
      </c>
      <c r="K681" s="201">
        <f>COUNTIFS(rl_key,$A$670,rl_eff,"&gt;="&amp;$B681,rl_eff,"&lt;="&amp;$C681)</f>
        <v/>
      </c>
      <c r="L681" s="201">
        <f>SUMIFS(rl_daysafter,rl_key,$A$670,rl_effmonth,$B681,rl_first,1)</f>
        <v/>
      </c>
      <c r="M681" s="209">
        <f>IF($K681=0,0,MIN(1,$L681/$D681))</f>
        <v/>
      </c>
      <c r="N681" s="208">
        <f>IF($K681=0,$J681,(1-$M681)*$I681+$M681*$J681)</f>
        <v/>
      </c>
      <c r="O681" s="209">
        <f>IF($F681&lt;$B$671,$E$671+$I$671*($F681-$A$671),IF($F681&lt;$C$671,$F$671+$J$671*($F681-$B$671),$G$671+$K$671*($F681-$C$671)))</f>
        <v/>
      </c>
      <c r="P681" s="208">
        <f>MIN(1,MAX(0,(nr_MEndPm1-$G681+0.5)/$C$670))-MIN(1,MAX(0,(nr_MStartPm1-1-$G681+0.5)/$C$670))</f>
        <v/>
      </c>
      <c r="Q681" s="208">
        <f>MIN(1,MAX(0,(nr_MEndP-$G681+0.5)/$C$670))-MIN(1,MAX(0,(nr_MStartP-1-$G681+0.5)/$C$670))</f>
        <v/>
      </c>
      <c r="R681" s="208">
        <f>MIN(1,MAX(0,(nr_MEndP1-$G681+0.5)/$C$670))-MIN(1,MAX(0,(nr_MStartP1-1-$G681+0.5)/$C$670))</f>
        <v/>
      </c>
      <c r="S681" s="208">
        <f>IF($L$670,$N681*IF($O$670=1,$O681/$F$670,1),"")</f>
        <v/>
      </c>
      <c r="T681" s="208">
        <f>IF(NOT($L$670),"",IF($G681&lt;nr_MStartP,$S681,$T669*(1+IF($G681&lt;nr_MStartP1,$M$670,$N$670))))</f>
        <v/>
      </c>
      <c r="U681" s="208">
        <f>IF($L$670,$T681,$N681)</f>
        <v/>
      </c>
    </row>
    <row r="682">
      <c r="A682" s="145" t="n">
        <v>10</v>
      </c>
      <c r="B682" s="204">
        <f>EDATE($B681,1)</f>
        <v/>
      </c>
      <c r="C682" s="205">
        <f>EOMONTH($B682,0)</f>
        <v/>
      </c>
      <c r="D682" s="201">
        <f>$C682-$B682+1</f>
        <v/>
      </c>
      <c r="E682" s="201">
        <f>MONTH($B682)</f>
        <v/>
      </c>
      <c r="F682" s="235">
        <f>($B682+$C682+1)/2</f>
        <v/>
      </c>
      <c r="G682" s="201">
        <f>YEAR($B682)*12+MONTH($B682)-1</f>
        <v/>
      </c>
      <c r="H682" s="207">
        <f>IF(OR(nr_SeasonOn="OFF",$D$670=0,$E$670=0),1,12*INDEX(se_block,$D$670,$E682)/$E$670)</f>
        <v/>
      </c>
      <c r="I682" s="208">
        <f>EXP(SUMPRODUCT((rl_eff&lt;$B682)*(rl_key=$A$670)*rl_ln1p))</f>
        <v/>
      </c>
      <c r="J682" s="208">
        <f>EXP(SUMPRODUCT((rl_eff&lt;=$C682)*(rl_key=$A$670)*rl_ln1p))</f>
        <v/>
      </c>
      <c r="K682" s="201">
        <f>COUNTIFS(rl_key,$A$670,rl_eff,"&gt;="&amp;$B682,rl_eff,"&lt;="&amp;$C682)</f>
        <v/>
      </c>
      <c r="L682" s="201">
        <f>SUMIFS(rl_daysafter,rl_key,$A$670,rl_effmonth,$B682,rl_first,1)</f>
        <v/>
      </c>
      <c r="M682" s="209">
        <f>IF($K682=0,0,MIN(1,$L682/$D682))</f>
        <v/>
      </c>
      <c r="N682" s="208">
        <f>IF($K682=0,$J682,(1-$M682)*$I682+$M682*$J682)</f>
        <v/>
      </c>
      <c r="O682" s="209">
        <f>IF($F682&lt;$B$671,$E$671+$I$671*($F682-$A$671),IF($F682&lt;$C$671,$F$671+$J$671*($F682-$B$671),$G$671+$K$671*($F682-$C$671)))</f>
        <v/>
      </c>
      <c r="P682" s="208">
        <f>MIN(1,MAX(0,(nr_MEndPm1-$G682+0.5)/$C$670))-MIN(1,MAX(0,(nr_MStartPm1-1-$G682+0.5)/$C$670))</f>
        <v/>
      </c>
      <c r="Q682" s="208">
        <f>MIN(1,MAX(0,(nr_MEndP-$G682+0.5)/$C$670))-MIN(1,MAX(0,(nr_MStartP-1-$G682+0.5)/$C$670))</f>
        <v/>
      </c>
      <c r="R682" s="208">
        <f>MIN(1,MAX(0,(nr_MEndP1-$G682+0.5)/$C$670))-MIN(1,MAX(0,(nr_MStartP1-1-$G682+0.5)/$C$670))</f>
        <v/>
      </c>
      <c r="S682" s="208">
        <f>IF($L$670,$N682*IF($O$670=1,$O682/$F$670,1),"")</f>
        <v/>
      </c>
      <c r="T682" s="208">
        <f>IF(NOT($L$670),"",IF($G682&lt;nr_MStartP,$S682,$T670*(1+IF($G682&lt;nr_MStartP1,$M$670,$N$670))))</f>
        <v/>
      </c>
      <c r="U682" s="208">
        <f>IF($L$670,$T682,$N682)</f>
        <v/>
      </c>
    </row>
    <row r="683">
      <c r="A683" s="145" t="n">
        <v>11</v>
      </c>
      <c r="B683" s="204">
        <f>EDATE($B682,1)</f>
        <v/>
      </c>
      <c r="C683" s="205">
        <f>EOMONTH($B683,0)</f>
        <v/>
      </c>
      <c r="D683" s="201">
        <f>$C683-$B683+1</f>
        <v/>
      </c>
      <c r="E683" s="201">
        <f>MONTH($B683)</f>
        <v/>
      </c>
      <c r="F683" s="235">
        <f>($B683+$C683+1)/2</f>
        <v/>
      </c>
      <c r="G683" s="201">
        <f>YEAR($B683)*12+MONTH($B683)-1</f>
        <v/>
      </c>
      <c r="H683" s="207">
        <f>IF(OR(nr_SeasonOn="OFF",$D$670=0,$E$670=0),1,12*INDEX(se_block,$D$670,$E683)/$E$670)</f>
        <v/>
      </c>
      <c r="I683" s="208">
        <f>EXP(SUMPRODUCT((rl_eff&lt;$B683)*(rl_key=$A$670)*rl_ln1p))</f>
        <v/>
      </c>
      <c r="J683" s="208">
        <f>EXP(SUMPRODUCT((rl_eff&lt;=$C683)*(rl_key=$A$670)*rl_ln1p))</f>
        <v/>
      </c>
      <c r="K683" s="201">
        <f>COUNTIFS(rl_key,$A$670,rl_eff,"&gt;="&amp;$B683,rl_eff,"&lt;="&amp;$C683)</f>
        <v/>
      </c>
      <c r="L683" s="201">
        <f>SUMIFS(rl_daysafter,rl_key,$A$670,rl_effmonth,$B683,rl_first,1)</f>
        <v/>
      </c>
      <c r="M683" s="209">
        <f>IF($K683=0,0,MIN(1,$L683/$D683))</f>
        <v/>
      </c>
      <c r="N683" s="208">
        <f>IF($K683=0,$J683,(1-$M683)*$I683+$M683*$J683)</f>
        <v/>
      </c>
      <c r="O683" s="209">
        <f>IF($F683&lt;$B$671,$E$671+$I$671*($F683-$A$671),IF($F683&lt;$C$671,$F$671+$J$671*($F683-$B$671),$G$671+$K$671*($F683-$C$671)))</f>
        <v/>
      </c>
      <c r="P683" s="208">
        <f>MIN(1,MAX(0,(nr_MEndPm1-$G683+0.5)/$C$670))-MIN(1,MAX(0,(nr_MStartPm1-1-$G683+0.5)/$C$670))</f>
        <v/>
      </c>
      <c r="Q683" s="208">
        <f>MIN(1,MAX(0,(nr_MEndP-$G683+0.5)/$C$670))-MIN(1,MAX(0,(nr_MStartP-1-$G683+0.5)/$C$670))</f>
        <v/>
      </c>
      <c r="R683" s="208">
        <f>MIN(1,MAX(0,(nr_MEndP1-$G683+0.5)/$C$670))-MIN(1,MAX(0,(nr_MStartP1-1-$G683+0.5)/$C$670))</f>
        <v/>
      </c>
      <c r="S683" s="208">
        <f>IF($L$670,$N683*IF($O$670=1,$O683/$F$670,1),"")</f>
        <v/>
      </c>
      <c r="T683" s="208">
        <f>IF(NOT($L$670),"",IF($G683&lt;nr_MStartP,$S683,$T671*(1+IF($G683&lt;nr_MStartP1,$M$670,$N$670))))</f>
        <v/>
      </c>
      <c r="U683" s="208">
        <f>IF($L$670,$T683,$N683)</f>
        <v/>
      </c>
    </row>
    <row r="684">
      <c r="A684" s="145" t="n">
        <v>12</v>
      </c>
      <c r="B684" s="204">
        <f>EDATE($B683,1)</f>
        <v/>
      </c>
      <c r="C684" s="205">
        <f>EOMONTH($B684,0)</f>
        <v/>
      </c>
      <c r="D684" s="201">
        <f>$C684-$B684+1</f>
        <v/>
      </c>
      <c r="E684" s="201">
        <f>MONTH($B684)</f>
        <v/>
      </c>
      <c r="F684" s="235">
        <f>($B684+$C684+1)/2</f>
        <v/>
      </c>
      <c r="G684" s="201">
        <f>YEAR($B684)*12+MONTH($B684)-1</f>
        <v/>
      </c>
      <c r="H684" s="207">
        <f>IF(OR(nr_SeasonOn="OFF",$D$670=0,$E$670=0),1,12*INDEX(se_block,$D$670,$E684)/$E$670)</f>
        <v/>
      </c>
      <c r="I684" s="208">
        <f>EXP(SUMPRODUCT((rl_eff&lt;$B684)*(rl_key=$A$670)*rl_ln1p))</f>
        <v/>
      </c>
      <c r="J684" s="208">
        <f>EXP(SUMPRODUCT((rl_eff&lt;=$C684)*(rl_key=$A$670)*rl_ln1p))</f>
        <v/>
      </c>
      <c r="K684" s="201">
        <f>COUNTIFS(rl_key,$A$670,rl_eff,"&gt;="&amp;$B684,rl_eff,"&lt;="&amp;$C684)</f>
        <v/>
      </c>
      <c r="L684" s="201">
        <f>SUMIFS(rl_daysafter,rl_key,$A$670,rl_effmonth,$B684,rl_first,1)</f>
        <v/>
      </c>
      <c r="M684" s="209">
        <f>IF($K684=0,0,MIN(1,$L684/$D684))</f>
        <v/>
      </c>
      <c r="N684" s="208">
        <f>IF($K684=0,$J684,(1-$M684)*$I684+$M684*$J684)</f>
        <v/>
      </c>
      <c r="O684" s="209">
        <f>IF($F684&lt;$B$671,$E$671+$I$671*($F684-$A$671),IF($F684&lt;$C$671,$F$671+$J$671*($F684-$B$671),$G$671+$K$671*($F684-$C$671)))</f>
        <v/>
      </c>
      <c r="P684" s="208">
        <f>MIN(1,MAX(0,(nr_MEndPm1-$G684+0.5)/$C$670))-MIN(1,MAX(0,(nr_MStartPm1-1-$G684+0.5)/$C$670))</f>
        <v/>
      </c>
      <c r="Q684" s="208">
        <f>MIN(1,MAX(0,(nr_MEndP-$G684+0.5)/$C$670))-MIN(1,MAX(0,(nr_MStartP-1-$G684+0.5)/$C$670))</f>
        <v/>
      </c>
      <c r="R684" s="208">
        <f>MIN(1,MAX(0,(nr_MEndP1-$G684+0.5)/$C$670))-MIN(1,MAX(0,(nr_MStartP1-1-$G684+0.5)/$C$670))</f>
        <v/>
      </c>
      <c r="S684" s="208">
        <f>IF($L$670,$N684*IF($O$670=1,$O684/$F$670,1),"")</f>
        <v/>
      </c>
      <c r="T684" s="208">
        <f>IF(NOT($L$670),"",IF($G684&lt;nr_MStartP,$S684,$T672*(1+IF($G684&lt;nr_MStartP1,$M$670,$N$670))))</f>
        <v/>
      </c>
      <c r="U684" s="208">
        <f>IF($L$670,$T684,$N684)</f>
        <v/>
      </c>
    </row>
    <row r="685">
      <c r="A685" s="145" t="n">
        <v>13</v>
      </c>
      <c r="B685" s="204">
        <f>EDATE($B684,1)</f>
        <v/>
      </c>
      <c r="C685" s="205">
        <f>EOMONTH($B685,0)</f>
        <v/>
      </c>
      <c r="D685" s="201">
        <f>$C685-$B685+1</f>
        <v/>
      </c>
      <c r="E685" s="201">
        <f>MONTH($B685)</f>
        <v/>
      </c>
      <c r="F685" s="235">
        <f>($B685+$C685+1)/2</f>
        <v/>
      </c>
      <c r="G685" s="201">
        <f>YEAR($B685)*12+MONTH($B685)-1</f>
        <v/>
      </c>
      <c r="H685" s="207">
        <f>IF(OR(nr_SeasonOn="OFF",$D$670=0,$E$670=0),1,12*INDEX(se_block,$D$670,$E685)/$E$670)</f>
        <v/>
      </c>
      <c r="I685" s="208">
        <f>EXP(SUMPRODUCT((rl_eff&lt;$B685)*(rl_key=$A$670)*rl_ln1p))</f>
        <v/>
      </c>
      <c r="J685" s="208">
        <f>EXP(SUMPRODUCT((rl_eff&lt;=$C685)*(rl_key=$A$670)*rl_ln1p))</f>
        <v/>
      </c>
      <c r="K685" s="201">
        <f>COUNTIFS(rl_key,$A$670,rl_eff,"&gt;="&amp;$B685,rl_eff,"&lt;="&amp;$C685)</f>
        <v/>
      </c>
      <c r="L685" s="201">
        <f>SUMIFS(rl_daysafter,rl_key,$A$670,rl_effmonth,$B685,rl_first,1)</f>
        <v/>
      </c>
      <c r="M685" s="209">
        <f>IF($K685=0,0,MIN(1,$L685/$D685))</f>
        <v/>
      </c>
      <c r="N685" s="208">
        <f>IF($K685=0,$J685,(1-$M685)*$I685+$M685*$J685)</f>
        <v/>
      </c>
      <c r="O685" s="209">
        <f>IF($F685&lt;$B$671,$E$671+$I$671*($F685-$A$671),IF($F685&lt;$C$671,$F$671+$J$671*($F685-$B$671),$G$671+$K$671*($F685-$C$671)))</f>
        <v/>
      </c>
      <c r="P685" s="208">
        <f>MIN(1,MAX(0,(nr_MEndPm1-$G685+0.5)/$C$670))-MIN(1,MAX(0,(nr_MStartPm1-1-$G685+0.5)/$C$670))</f>
        <v/>
      </c>
      <c r="Q685" s="208">
        <f>MIN(1,MAX(0,(nr_MEndP-$G685+0.5)/$C$670))-MIN(1,MAX(0,(nr_MStartP-1-$G685+0.5)/$C$670))</f>
        <v/>
      </c>
      <c r="R685" s="208">
        <f>MIN(1,MAX(0,(nr_MEndP1-$G685+0.5)/$C$670))-MIN(1,MAX(0,(nr_MStartP1-1-$G685+0.5)/$C$670))</f>
        <v/>
      </c>
      <c r="S685" s="208">
        <f>IF($L$670,$N685*IF($O$670=1,$O685/$F$670,1),"")</f>
        <v/>
      </c>
      <c r="T685" s="208">
        <f>IF(NOT($L$670),"",IF($G685&lt;nr_MStartP,$S685,$T673*(1+IF($G685&lt;nr_MStartP1,$M$670,$N$670))))</f>
        <v/>
      </c>
      <c r="U685" s="208">
        <f>IF($L$670,$T685,$N685)</f>
        <v/>
      </c>
    </row>
    <row r="686">
      <c r="A686" s="145" t="n">
        <v>14</v>
      </c>
      <c r="B686" s="204">
        <f>EDATE($B685,1)</f>
        <v/>
      </c>
      <c r="C686" s="205">
        <f>EOMONTH($B686,0)</f>
        <v/>
      </c>
      <c r="D686" s="201">
        <f>$C686-$B686+1</f>
        <v/>
      </c>
      <c r="E686" s="201">
        <f>MONTH($B686)</f>
        <v/>
      </c>
      <c r="F686" s="235">
        <f>($B686+$C686+1)/2</f>
        <v/>
      </c>
      <c r="G686" s="201">
        <f>YEAR($B686)*12+MONTH($B686)-1</f>
        <v/>
      </c>
      <c r="H686" s="207">
        <f>IF(OR(nr_SeasonOn="OFF",$D$670=0,$E$670=0),1,12*INDEX(se_block,$D$670,$E686)/$E$670)</f>
        <v/>
      </c>
      <c r="I686" s="208">
        <f>EXP(SUMPRODUCT((rl_eff&lt;$B686)*(rl_key=$A$670)*rl_ln1p))</f>
        <v/>
      </c>
      <c r="J686" s="208">
        <f>EXP(SUMPRODUCT((rl_eff&lt;=$C686)*(rl_key=$A$670)*rl_ln1p))</f>
        <v/>
      </c>
      <c r="K686" s="201">
        <f>COUNTIFS(rl_key,$A$670,rl_eff,"&gt;="&amp;$B686,rl_eff,"&lt;="&amp;$C686)</f>
        <v/>
      </c>
      <c r="L686" s="201">
        <f>SUMIFS(rl_daysafter,rl_key,$A$670,rl_effmonth,$B686,rl_first,1)</f>
        <v/>
      </c>
      <c r="M686" s="209">
        <f>IF($K686=0,0,MIN(1,$L686/$D686))</f>
        <v/>
      </c>
      <c r="N686" s="208">
        <f>IF($K686=0,$J686,(1-$M686)*$I686+$M686*$J686)</f>
        <v/>
      </c>
      <c r="O686" s="209">
        <f>IF($F686&lt;$B$671,$E$671+$I$671*($F686-$A$671),IF($F686&lt;$C$671,$F$671+$J$671*($F686-$B$671),$G$671+$K$671*($F686-$C$671)))</f>
        <v/>
      </c>
      <c r="P686" s="208">
        <f>MIN(1,MAX(0,(nr_MEndPm1-$G686+0.5)/$C$670))-MIN(1,MAX(0,(nr_MStartPm1-1-$G686+0.5)/$C$670))</f>
        <v/>
      </c>
      <c r="Q686" s="208">
        <f>MIN(1,MAX(0,(nr_MEndP-$G686+0.5)/$C$670))-MIN(1,MAX(0,(nr_MStartP-1-$G686+0.5)/$C$670))</f>
        <v/>
      </c>
      <c r="R686" s="208">
        <f>MIN(1,MAX(0,(nr_MEndP1-$G686+0.5)/$C$670))-MIN(1,MAX(0,(nr_MStartP1-1-$G686+0.5)/$C$670))</f>
        <v/>
      </c>
      <c r="S686" s="208">
        <f>IF($L$670,$N686*IF($O$670=1,$O686/$F$670,1),"")</f>
        <v/>
      </c>
      <c r="T686" s="208">
        <f>IF(NOT($L$670),"",IF($G686&lt;nr_MStartP,$S686,$T674*(1+IF($G686&lt;nr_MStartP1,$M$670,$N$670))))</f>
        <v/>
      </c>
      <c r="U686" s="208">
        <f>IF($L$670,$T686,$N686)</f>
        <v/>
      </c>
    </row>
    <row r="687">
      <c r="A687" s="145" t="n">
        <v>15</v>
      </c>
      <c r="B687" s="204">
        <f>EDATE($B686,1)</f>
        <v/>
      </c>
      <c r="C687" s="205">
        <f>EOMONTH($B687,0)</f>
        <v/>
      </c>
      <c r="D687" s="201">
        <f>$C687-$B687+1</f>
        <v/>
      </c>
      <c r="E687" s="201">
        <f>MONTH($B687)</f>
        <v/>
      </c>
      <c r="F687" s="235">
        <f>($B687+$C687+1)/2</f>
        <v/>
      </c>
      <c r="G687" s="201">
        <f>YEAR($B687)*12+MONTH($B687)-1</f>
        <v/>
      </c>
      <c r="H687" s="207">
        <f>IF(OR(nr_SeasonOn="OFF",$D$670=0,$E$670=0),1,12*INDEX(se_block,$D$670,$E687)/$E$670)</f>
        <v/>
      </c>
      <c r="I687" s="208">
        <f>EXP(SUMPRODUCT((rl_eff&lt;$B687)*(rl_key=$A$670)*rl_ln1p))</f>
        <v/>
      </c>
      <c r="J687" s="208">
        <f>EXP(SUMPRODUCT((rl_eff&lt;=$C687)*(rl_key=$A$670)*rl_ln1p))</f>
        <v/>
      </c>
      <c r="K687" s="201">
        <f>COUNTIFS(rl_key,$A$670,rl_eff,"&gt;="&amp;$B687,rl_eff,"&lt;="&amp;$C687)</f>
        <v/>
      </c>
      <c r="L687" s="201">
        <f>SUMIFS(rl_daysafter,rl_key,$A$670,rl_effmonth,$B687,rl_first,1)</f>
        <v/>
      </c>
      <c r="M687" s="209">
        <f>IF($K687=0,0,MIN(1,$L687/$D687))</f>
        <v/>
      </c>
      <c r="N687" s="208">
        <f>IF($K687=0,$J687,(1-$M687)*$I687+$M687*$J687)</f>
        <v/>
      </c>
      <c r="O687" s="209">
        <f>IF($F687&lt;$B$671,$E$671+$I$671*($F687-$A$671),IF($F687&lt;$C$671,$F$671+$J$671*($F687-$B$671),$G$671+$K$671*($F687-$C$671)))</f>
        <v/>
      </c>
      <c r="P687" s="208">
        <f>MIN(1,MAX(0,(nr_MEndPm1-$G687+0.5)/$C$670))-MIN(1,MAX(0,(nr_MStartPm1-1-$G687+0.5)/$C$670))</f>
        <v/>
      </c>
      <c r="Q687" s="208">
        <f>MIN(1,MAX(0,(nr_MEndP-$G687+0.5)/$C$670))-MIN(1,MAX(0,(nr_MStartP-1-$G687+0.5)/$C$670))</f>
        <v/>
      </c>
      <c r="R687" s="208">
        <f>MIN(1,MAX(0,(nr_MEndP1-$G687+0.5)/$C$670))-MIN(1,MAX(0,(nr_MStartP1-1-$G687+0.5)/$C$670))</f>
        <v/>
      </c>
      <c r="S687" s="208">
        <f>IF($L$670,$N687*IF($O$670=1,$O687/$F$670,1),"")</f>
        <v/>
      </c>
      <c r="T687" s="208">
        <f>IF(NOT($L$670),"",IF($G687&lt;nr_MStartP,$S687,$T675*(1+IF($G687&lt;nr_MStartP1,$M$670,$N$670))))</f>
        <v/>
      </c>
      <c r="U687" s="208">
        <f>IF($L$670,$T687,$N687)</f>
        <v/>
      </c>
    </row>
    <row r="688">
      <c r="A688" s="145" t="n">
        <v>16</v>
      </c>
      <c r="B688" s="204">
        <f>EDATE($B687,1)</f>
        <v/>
      </c>
      <c r="C688" s="205">
        <f>EOMONTH($B688,0)</f>
        <v/>
      </c>
      <c r="D688" s="201">
        <f>$C688-$B688+1</f>
        <v/>
      </c>
      <c r="E688" s="201">
        <f>MONTH($B688)</f>
        <v/>
      </c>
      <c r="F688" s="235">
        <f>($B688+$C688+1)/2</f>
        <v/>
      </c>
      <c r="G688" s="201">
        <f>YEAR($B688)*12+MONTH($B688)-1</f>
        <v/>
      </c>
      <c r="H688" s="207">
        <f>IF(OR(nr_SeasonOn="OFF",$D$670=0,$E$670=0),1,12*INDEX(se_block,$D$670,$E688)/$E$670)</f>
        <v/>
      </c>
      <c r="I688" s="208">
        <f>EXP(SUMPRODUCT((rl_eff&lt;$B688)*(rl_key=$A$670)*rl_ln1p))</f>
        <v/>
      </c>
      <c r="J688" s="208">
        <f>EXP(SUMPRODUCT((rl_eff&lt;=$C688)*(rl_key=$A$670)*rl_ln1p))</f>
        <v/>
      </c>
      <c r="K688" s="201">
        <f>COUNTIFS(rl_key,$A$670,rl_eff,"&gt;="&amp;$B688,rl_eff,"&lt;="&amp;$C688)</f>
        <v/>
      </c>
      <c r="L688" s="201">
        <f>SUMIFS(rl_daysafter,rl_key,$A$670,rl_effmonth,$B688,rl_first,1)</f>
        <v/>
      </c>
      <c r="M688" s="209">
        <f>IF($K688=0,0,MIN(1,$L688/$D688))</f>
        <v/>
      </c>
      <c r="N688" s="208">
        <f>IF($K688=0,$J688,(1-$M688)*$I688+$M688*$J688)</f>
        <v/>
      </c>
      <c r="O688" s="209">
        <f>IF($F688&lt;$B$671,$E$671+$I$671*($F688-$A$671),IF($F688&lt;$C$671,$F$671+$J$671*($F688-$B$671),$G$671+$K$671*($F688-$C$671)))</f>
        <v/>
      </c>
      <c r="P688" s="208">
        <f>MIN(1,MAX(0,(nr_MEndPm1-$G688+0.5)/$C$670))-MIN(1,MAX(0,(nr_MStartPm1-1-$G688+0.5)/$C$670))</f>
        <v/>
      </c>
      <c r="Q688" s="208">
        <f>MIN(1,MAX(0,(nr_MEndP-$G688+0.5)/$C$670))-MIN(1,MAX(0,(nr_MStartP-1-$G688+0.5)/$C$670))</f>
        <v/>
      </c>
      <c r="R688" s="208">
        <f>MIN(1,MAX(0,(nr_MEndP1-$G688+0.5)/$C$670))-MIN(1,MAX(0,(nr_MStartP1-1-$G688+0.5)/$C$670))</f>
        <v/>
      </c>
      <c r="S688" s="208">
        <f>IF($L$670,$N688*IF($O$670=1,$O688/$F$670,1),"")</f>
        <v/>
      </c>
      <c r="T688" s="208">
        <f>IF(NOT($L$670),"",IF($G688&lt;nr_MStartP,$S688,$T676*(1+IF($G688&lt;nr_MStartP1,$M$670,$N$670))))</f>
        <v/>
      </c>
      <c r="U688" s="208">
        <f>IF($L$670,$T688,$N688)</f>
        <v/>
      </c>
    </row>
    <row r="689">
      <c r="A689" s="145" t="n">
        <v>17</v>
      </c>
      <c r="B689" s="204">
        <f>EDATE($B688,1)</f>
        <v/>
      </c>
      <c r="C689" s="205">
        <f>EOMONTH($B689,0)</f>
        <v/>
      </c>
      <c r="D689" s="201">
        <f>$C689-$B689+1</f>
        <v/>
      </c>
      <c r="E689" s="201">
        <f>MONTH($B689)</f>
        <v/>
      </c>
      <c r="F689" s="235">
        <f>($B689+$C689+1)/2</f>
        <v/>
      </c>
      <c r="G689" s="201">
        <f>YEAR($B689)*12+MONTH($B689)-1</f>
        <v/>
      </c>
      <c r="H689" s="207">
        <f>IF(OR(nr_SeasonOn="OFF",$D$670=0,$E$670=0),1,12*INDEX(se_block,$D$670,$E689)/$E$670)</f>
        <v/>
      </c>
      <c r="I689" s="208">
        <f>EXP(SUMPRODUCT((rl_eff&lt;$B689)*(rl_key=$A$670)*rl_ln1p))</f>
        <v/>
      </c>
      <c r="J689" s="208">
        <f>EXP(SUMPRODUCT((rl_eff&lt;=$C689)*(rl_key=$A$670)*rl_ln1p))</f>
        <v/>
      </c>
      <c r="K689" s="201">
        <f>COUNTIFS(rl_key,$A$670,rl_eff,"&gt;="&amp;$B689,rl_eff,"&lt;="&amp;$C689)</f>
        <v/>
      </c>
      <c r="L689" s="201">
        <f>SUMIFS(rl_daysafter,rl_key,$A$670,rl_effmonth,$B689,rl_first,1)</f>
        <v/>
      </c>
      <c r="M689" s="209">
        <f>IF($K689=0,0,MIN(1,$L689/$D689))</f>
        <v/>
      </c>
      <c r="N689" s="208">
        <f>IF($K689=0,$J689,(1-$M689)*$I689+$M689*$J689)</f>
        <v/>
      </c>
      <c r="O689" s="209">
        <f>IF($F689&lt;$B$671,$E$671+$I$671*($F689-$A$671),IF($F689&lt;$C$671,$F$671+$J$671*($F689-$B$671),$G$671+$K$671*($F689-$C$671)))</f>
        <v/>
      </c>
      <c r="P689" s="208">
        <f>MIN(1,MAX(0,(nr_MEndPm1-$G689+0.5)/$C$670))-MIN(1,MAX(0,(nr_MStartPm1-1-$G689+0.5)/$C$670))</f>
        <v/>
      </c>
      <c r="Q689" s="208">
        <f>MIN(1,MAX(0,(nr_MEndP-$G689+0.5)/$C$670))-MIN(1,MAX(0,(nr_MStartP-1-$G689+0.5)/$C$670))</f>
        <v/>
      </c>
      <c r="R689" s="208">
        <f>MIN(1,MAX(0,(nr_MEndP1-$G689+0.5)/$C$670))-MIN(1,MAX(0,(nr_MStartP1-1-$G689+0.5)/$C$670))</f>
        <v/>
      </c>
      <c r="S689" s="208">
        <f>IF($L$670,$N689*IF($O$670=1,$O689/$F$670,1),"")</f>
        <v/>
      </c>
      <c r="T689" s="208">
        <f>IF(NOT($L$670),"",IF($G689&lt;nr_MStartP,$S689,$T677*(1+IF($G689&lt;nr_MStartP1,$M$670,$N$670))))</f>
        <v/>
      </c>
      <c r="U689" s="208">
        <f>IF($L$670,$T689,$N689)</f>
        <v/>
      </c>
    </row>
    <row r="690">
      <c r="A690" s="145" t="n">
        <v>18</v>
      </c>
      <c r="B690" s="204">
        <f>EDATE($B689,1)</f>
        <v/>
      </c>
      <c r="C690" s="205">
        <f>EOMONTH($B690,0)</f>
        <v/>
      </c>
      <c r="D690" s="201">
        <f>$C690-$B690+1</f>
        <v/>
      </c>
      <c r="E690" s="201">
        <f>MONTH($B690)</f>
        <v/>
      </c>
      <c r="F690" s="235">
        <f>($B690+$C690+1)/2</f>
        <v/>
      </c>
      <c r="G690" s="201">
        <f>YEAR($B690)*12+MONTH($B690)-1</f>
        <v/>
      </c>
      <c r="H690" s="207">
        <f>IF(OR(nr_SeasonOn="OFF",$D$670=0,$E$670=0),1,12*INDEX(se_block,$D$670,$E690)/$E$670)</f>
        <v/>
      </c>
      <c r="I690" s="208">
        <f>EXP(SUMPRODUCT((rl_eff&lt;$B690)*(rl_key=$A$670)*rl_ln1p))</f>
        <v/>
      </c>
      <c r="J690" s="208">
        <f>EXP(SUMPRODUCT((rl_eff&lt;=$C690)*(rl_key=$A$670)*rl_ln1p))</f>
        <v/>
      </c>
      <c r="K690" s="201">
        <f>COUNTIFS(rl_key,$A$670,rl_eff,"&gt;="&amp;$B690,rl_eff,"&lt;="&amp;$C690)</f>
        <v/>
      </c>
      <c r="L690" s="201">
        <f>SUMIFS(rl_daysafter,rl_key,$A$670,rl_effmonth,$B690,rl_first,1)</f>
        <v/>
      </c>
      <c r="M690" s="209">
        <f>IF($K690=0,0,MIN(1,$L690/$D690))</f>
        <v/>
      </c>
      <c r="N690" s="208">
        <f>IF($K690=0,$J690,(1-$M690)*$I690+$M690*$J690)</f>
        <v/>
      </c>
      <c r="O690" s="209">
        <f>IF($F690&lt;$B$671,$E$671+$I$671*($F690-$A$671),IF($F690&lt;$C$671,$F$671+$J$671*($F690-$B$671),$G$671+$K$671*($F690-$C$671)))</f>
        <v/>
      </c>
      <c r="P690" s="208">
        <f>MIN(1,MAX(0,(nr_MEndPm1-$G690+0.5)/$C$670))-MIN(1,MAX(0,(nr_MStartPm1-1-$G690+0.5)/$C$670))</f>
        <v/>
      </c>
      <c r="Q690" s="208">
        <f>MIN(1,MAX(0,(nr_MEndP-$G690+0.5)/$C$670))-MIN(1,MAX(0,(nr_MStartP-1-$G690+0.5)/$C$670))</f>
        <v/>
      </c>
      <c r="R690" s="208">
        <f>MIN(1,MAX(0,(nr_MEndP1-$G690+0.5)/$C$670))-MIN(1,MAX(0,(nr_MStartP1-1-$G690+0.5)/$C$670))</f>
        <v/>
      </c>
      <c r="S690" s="208">
        <f>IF($L$670,$N690*IF($O$670=1,$O690/$F$670,1),"")</f>
        <v/>
      </c>
      <c r="T690" s="208">
        <f>IF(NOT($L$670),"",IF($G690&lt;nr_MStartP,$S690,$T678*(1+IF($G690&lt;nr_MStartP1,$M$670,$N$670))))</f>
        <v/>
      </c>
      <c r="U690" s="208">
        <f>IF($L$670,$T690,$N690)</f>
        <v/>
      </c>
    </row>
    <row r="691">
      <c r="A691" s="145" t="n">
        <v>19</v>
      </c>
      <c r="B691" s="204">
        <f>EDATE($B690,1)</f>
        <v/>
      </c>
      <c r="C691" s="205">
        <f>EOMONTH($B691,0)</f>
        <v/>
      </c>
      <c r="D691" s="201">
        <f>$C691-$B691+1</f>
        <v/>
      </c>
      <c r="E691" s="201">
        <f>MONTH($B691)</f>
        <v/>
      </c>
      <c r="F691" s="235">
        <f>($B691+$C691+1)/2</f>
        <v/>
      </c>
      <c r="G691" s="201">
        <f>YEAR($B691)*12+MONTH($B691)-1</f>
        <v/>
      </c>
      <c r="H691" s="207">
        <f>IF(OR(nr_SeasonOn="OFF",$D$670=0,$E$670=0),1,12*INDEX(se_block,$D$670,$E691)/$E$670)</f>
        <v/>
      </c>
      <c r="I691" s="208">
        <f>EXP(SUMPRODUCT((rl_eff&lt;$B691)*(rl_key=$A$670)*rl_ln1p))</f>
        <v/>
      </c>
      <c r="J691" s="208">
        <f>EXP(SUMPRODUCT((rl_eff&lt;=$C691)*(rl_key=$A$670)*rl_ln1p))</f>
        <v/>
      </c>
      <c r="K691" s="201">
        <f>COUNTIFS(rl_key,$A$670,rl_eff,"&gt;="&amp;$B691,rl_eff,"&lt;="&amp;$C691)</f>
        <v/>
      </c>
      <c r="L691" s="201">
        <f>SUMIFS(rl_daysafter,rl_key,$A$670,rl_effmonth,$B691,rl_first,1)</f>
        <v/>
      </c>
      <c r="M691" s="209">
        <f>IF($K691=0,0,MIN(1,$L691/$D691))</f>
        <v/>
      </c>
      <c r="N691" s="208">
        <f>IF($K691=0,$J691,(1-$M691)*$I691+$M691*$J691)</f>
        <v/>
      </c>
      <c r="O691" s="209">
        <f>IF($F691&lt;$B$671,$E$671+$I$671*($F691-$A$671),IF($F691&lt;$C$671,$F$671+$J$671*($F691-$B$671),$G$671+$K$671*($F691-$C$671)))</f>
        <v/>
      </c>
      <c r="P691" s="208">
        <f>MIN(1,MAX(0,(nr_MEndPm1-$G691+0.5)/$C$670))-MIN(1,MAX(0,(nr_MStartPm1-1-$G691+0.5)/$C$670))</f>
        <v/>
      </c>
      <c r="Q691" s="208">
        <f>MIN(1,MAX(0,(nr_MEndP-$G691+0.5)/$C$670))-MIN(1,MAX(0,(nr_MStartP-1-$G691+0.5)/$C$670))</f>
        <v/>
      </c>
      <c r="R691" s="208">
        <f>MIN(1,MAX(0,(nr_MEndP1-$G691+0.5)/$C$670))-MIN(1,MAX(0,(nr_MStartP1-1-$G691+0.5)/$C$670))</f>
        <v/>
      </c>
      <c r="S691" s="208">
        <f>IF($L$670,$N691*IF($O$670=1,$O691/$F$670,1),"")</f>
        <v/>
      </c>
      <c r="T691" s="208">
        <f>IF(NOT($L$670),"",IF($G691&lt;nr_MStartP,$S691,$T679*(1+IF($G691&lt;nr_MStartP1,$M$670,$N$670))))</f>
        <v/>
      </c>
      <c r="U691" s="208">
        <f>IF($L$670,$T691,$N691)</f>
        <v/>
      </c>
    </row>
    <row r="692">
      <c r="A692" s="145" t="n">
        <v>20</v>
      </c>
      <c r="B692" s="204">
        <f>EDATE($B691,1)</f>
        <v/>
      </c>
      <c r="C692" s="205">
        <f>EOMONTH($B692,0)</f>
        <v/>
      </c>
      <c r="D692" s="201">
        <f>$C692-$B692+1</f>
        <v/>
      </c>
      <c r="E692" s="201">
        <f>MONTH($B692)</f>
        <v/>
      </c>
      <c r="F692" s="235">
        <f>($B692+$C692+1)/2</f>
        <v/>
      </c>
      <c r="G692" s="201">
        <f>YEAR($B692)*12+MONTH($B692)-1</f>
        <v/>
      </c>
      <c r="H692" s="207">
        <f>IF(OR(nr_SeasonOn="OFF",$D$670=0,$E$670=0),1,12*INDEX(se_block,$D$670,$E692)/$E$670)</f>
        <v/>
      </c>
      <c r="I692" s="208">
        <f>EXP(SUMPRODUCT((rl_eff&lt;$B692)*(rl_key=$A$670)*rl_ln1p))</f>
        <v/>
      </c>
      <c r="J692" s="208">
        <f>EXP(SUMPRODUCT((rl_eff&lt;=$C692)*(rl_key=$A$670)*rl_ln1p))</f>
        <v/>
      </c>
      <c r="K692" s="201">
        <f>COUNTIFS(rl_key,$A$670,rl_eff,"&gt;="&amp;$B692,rl_eff,"&lt;="&amp;$C692)</f>
        <v/>
      </c>
      <c r="L692" s="201">
        <f>SUMIFS(rl_daysafter,rl_key,$A$670,rl_effmonth,$B692,rl_first,1)</f>
        <v/>
      </c>
      <c r="M692" s="209">
        <f>IF($K692=0,0,MIN(1,$L692/$D692))</f>
        <v/>
      </c>
      <c r="N692" s="208">
        <f>IF($K692=0,$J692,(1-$M692)*$I692+$M692*$J692)</f>
        <v/>
      </c>
      <c r="O692" s="209">
        <f>IF($F692&lt;$B$671,$E$671+$I$671*($F692-$A$671),IF($F692&lt;$C$671,$F$671+$J$671*($F692-$B$671),$G$671+$K$671*($F692-$C$671)))</f>
        <v/>
      </c>
      <c r="P692" s="208">
        <f>MIN(1,MAX(0,(nr_MEndPm1-$G692+0.5)/$C$670))-MIN(1,MAX(0,(nr_MStartPm1-1-$G692+0.5)/$C$670))</f>
        <v/>
      </c>
      <c r="Q692" s="208">
        <f>MIN(1,MAX(0,(nr_MEndP-$G692+0.5)/$C$670))-MIN(1,MAX(0,(nr_MStartP-1-$G692+0.5)/$C$670))</f>
        <v/>
      </c>
      <c r="R692" s="208">
        <f>MIN(1,MAX(0,(nr_MEndP1-$G692+0.5)/$C$670))-MIN(1,MAX(0,(nr_MStartP1-1-$G692+0.5)/$C$670))</f>
        <v/>
      </c>
      <c r="S692" s="208">
        <f>IF($L$670,$N692*IF($O$670=1,$O692/$F$670,1),"")</f>
        <v/>
      </c>
      <c r="T692" s="208">
        <f>IF(NOT($L$670),"",IF($G692&lt;nr_MStartP,$S692,$T680*(1+IF($G692&lt;nr_MStartP1,$M$670,$N$670))))</f>
        <v/>
      </c>
      <c r="U692" s="208">
        <f>IF($L$670,$T692,$N692)</f>
        <v/>
      </c>
    </row>
    <row r="693">
      <c r="A693" s="145" t="n">
        <v>21</v>
      </c>
      <c r="B693" s="204">
        <f>EDATE($B692,1)</f>
        <v/>
      </c>
      <c r="C693" s="205">
        <f>EOMONTH($B693,0)</f>
        <v/>
      </c>
      <c r="D693" s="201">
        <f>$C693-$B693+1</f>
        <v/>
      </c>
      <c r="E693" s="201">
        <f>MONTH($B693)</f>
        <v/>
      </c>
      <c r="F693" s="235">
        <f>($B693+$C693+1)/2</f>
        <v/>
      </c>
      <c r="G693" s="201">
        <f>YEAR($B693)*12+MONTH($B693)-1</f>
        <v/>
      </c>
      <c r="H693" s="207">
        <f>IF(OR(nr_SeasonOn="OFF",$D$670=0,$E$670=0),1,12*INDEX(se_block,$D$670,$E693)/$E$670)</f>
        <v/>
      </c>
      <c r="I693" s="208">
        <f>EXP(SUMPRODUCT((rl_eff&lt;$B693)*(rl_key=$A$670)*rl_ln1p))</f>
        <v/>
      </c>
      <c r="J693" s="208">
        <f>EXP(SUMPRODUCT((rl_eff&lt;=$C693)*(rl_key=$A$670)*rl_ln1p))</f>
        <v/>
      </c>
      <c r="K693" s="201">
        <f>COUNTIFS(rl_key,$A$670,rl_eff,"&gt;="&amp;$B693,rl_eff,"&lt;="&amp;$C693)</f>
        <v/>
      </c>
      <c r="L693" s="201">
        <f>SUMIFS(rl_daysafter,rl_key,$A$670,rl_effmonth,$B693,rl_first,1)</f>
        <v/>
      </c>
      <c r="M693" s="209">
        <f>IF($K693=0,0,MIN(1,$L693/$D693))</f>
        <v/>
      </c>
      <c r="N693" s="208">
        <f>IF($K693=0,$J693,(1-$M693)*$I693+$M693*$J693)</f>
        <v/>
      </c>
      <c r="O693" s="209">
        <f>IF($F693&lt;$B$671,$E$671+$I$671*($F693-$A$671),IF($F693&lt;$C$671,$F$671+$J$671*($F693-$B$671),$G$671+$K$671*($F693-$C$671)))</f>
        <v/>
      </c>
      <c r="P693" s="208">
        <f>MIN(1,MAX(0,(nr_MEndPm1-$G693+0.5)/$C$670))-MIN(1,MAX(0,(nr_MStartPm1-1-$G693+0.5)/$C$670))</f>
        <v/>
      </c>
      <c r="Q693" s="208">
        <f>MIN(1,MAX(0,(nr_MEndP-$G693+0.5)/$C$670))-MIN(1,MAX(0,(nr_MStartP-1-$G693+0.5)/$C$670))</f>
        <v/>
      </c>
      <c r="R693" s="208">
        <f>MIN(1,MAX(0,(nr_MEndP1-$G693+0.5)/$C$670))-MIN(1,MAX(0,(nr_MStartP1-1-$G693+0.5)/$C$670))</f>
        <v/>
      </c>
      <c r="S693" s="208">
        <f>IF($L$670,$N693*IF($O$670=1,$O693/$F$670,1),"")</f>
        <v/>
      </c>
      <c r="T693" s="208">
        <f>IF(NOT($L$670),"",IF($G693&lt;nr_MStartP,$S693,$T681*(1+IF($G693&lt;nr_MStartP1,$M$670,$N$670))))</f>
        <v/>
      </c>
      <c r="U693" s="208">
        <f>IF($L$670,$T693,$N693)</f>
        <v/>
      </c>
    </row>
    <row r="694">
      <c r="A694" s="145" t="n">
        <v>22</v>
      </c>
      <c r="B694" s="204">
        <f>EDATE($B693,1)</f>
        <v/>
      </c>
      <c r="C694" s="205">
        <f>EOMONTH($B694,0)</f>
        <v/>
      </c>
      <c r="D694" s="201">
        <f>$C694-$B694+1</f>
        <v/>
      </c>
      <c r="E694" s="201">
        <f>MONTH($B694)</f>
        <v/>
      </c>
      <c r="F694" s="235">
        <f>($B694+$C694+1)/2</f>
        <v/>
      </c>
      <c r="G694" s="201">
        <f>YEAR($B694)*12+MONTH($B694)-1</f>
        <v/>
      </c>
      <c r="H694" s="207">
        <f>IF(OR(nr_SeasonOn="OFF",$D$670=0,$E$670=0),1,12*INDEX(se_block,$D$670,$E694)/$E$670)</f>
        <v/>
      </c>
      <c r="I694" s="208">
        <f>EXP(SUMPRODUCT((rl_eff&lt;$B694)*(rl_key=$A$670)*rl_ln1p))</f>
        <v/>
      </c>
      <c r="J694" s="208">
        <f>EXP(SUMPRODUCT((rl_eff&lt;=$C694)*(rl_key=$A$670)*rl_ln1p))</f>
        <v/>
      </c>
      <c r="K694" s="201">
        <f>COUNTIFS(rl_key,$A$670,rl_eff,"&gt;="&amp;$B694,rl_eff,"&lt;="&amp;$C694)</f>
        <v/>
      </c>
      <c r="L694" s="201">
        <f>SUMIFS(rl_daysafter,rl_key,$A$670,rl_effmonth,$B694,rl_first,1)</f>
        <v/>
      </c>
      <c r="M694" s="209">
        <f>IF($K694=0,0,MIN(1,$L694/$D694))</f>
        <v/>
      </c>
      <c r="N694" s="208">
        <f>IF($K694=0,$J694,(1-$M694)*$I694+$M694*$J694)</f>
        <v/>
      </c>
      <c r="O694" s="209">
        <f>IF($F694&lt;$B$671,$E$671+$I$671*($F694-$A$671),IF($F694&lt;$C$671,$F$671+$J$671*($F694-$B$671),$G$671+$K$671*($F694-$C$671)))</f>
        <v/>
      </c>
      <c r="P694" s="208">
        <f>MIN(1,MAX(0,(nr_MEndPm1-$G694+0.5)/$C$670))-MIN(1,MAX(0,(nr_MStartPm1-1-$G694+0.5)/$C$670))</f>
        <v/>
      </c>
      <c r="Q694" s="208">
        <f>MIN(1,MAX(0,(nr_MEndP-$G694+0.5)/$C$670))-MIN(1,MAX(0,(nr_MStartP-1-$G694+0.5)/$C$670))</f>
        <v/>
      </c>
      <c r="R694" s="208">
        <f>MIN(1,MAX(0,(nr_MEndP1-$G694+0.5)/$C$670))-MIN(1,MAX(0,(nr_MStartP1-1-$G694+0.5)/$C$670))</f>
        <v/>
      </c>
      <c r="S694" s="208">
        <f>IF($L$670,$N694*IF($O$670=1,$O694/$F$670,1),"")</f>
        <v/>
      </c>
      <c r="T694" s="208">
        <f>IF(NOT($L$670),"",IF($G694&lt;nr_MStartP,$S694,$T682*(1+IF($G694&lt;nr_MStartP1,$M$670,$N$670))))</f>
        <v/>
      </c>
      <c r="U694" s="208">
        <f>IF($L$670,$T694,$N694)</f>
        <v/>
      </c>
    </row>
    <row r="695">
      <c r="A695" s="145" t="n">
        <v>23</v>
      </c>
      <c r="B695" s="204">
        <f>EDATE($B694,1)</f>
        <v/>
      </c>
      <c r="C695" s="205">
        <f>EOMONTH($B695,0)</f>
        <v/>
      </c>
      <c r="D695" s="201">
        <f>$C695-$B695+1</f>
        <v/>
      </c>
      <c r="E695" s="201">
        <f>MONTH($B695)</f>
        <v/>
      </c>
      <c r="F695" s="235">
        <f>($B695+$C695+1)/2</f>
        <v/>
      </c>
      <c r="G695" s="201">
        <f>YEAR($B695)*12+MONTH($B695)-1</f>
        <v/>
      </c>
      <c r="H695" s="207">
        <f>IF(OR(nr_SeasonOn="OFF",$D$670=0,$E$670=0),1,12*INDEX(se_block,$D$670,$E695)/$E$670)</f>
        <v/>
      </c>
      <c r="I695" s="208">
        <f>EXP(SUMPRODUCT((rl_eff&lt;$B695)*(rl_key=$A$670)*rl_ln1p))</f>
        <v/>
      </c>
      <c r="J695" s="208">
        <f>EXP(SUMPRODUCT((rl_eff&lt;=$C695)*(rl_key=$A$670)*rl_ln1p))</f>
        <v/>
      </c>
      <c r="K695" s="201">
        <f>COUNTIFS(rl_key,$A$670,rl_eff,"&gt;="&amp;$B695,rl_eff,"&lt;="&amp;$C695)</f>
        <v/>
      </c>
      <c r="L695" s="201">
        <f>SUMIFS(rl_daysafter,rl_key,$A$670,rl_effmonth,$B695,rl_first,1)</f>
        <v/>
      </c>
      <c r="M695" s="209">
        <f>IF($K695=0,0,MIN(1,$L695/$D695))</f>
        <v/>
      </c>
      <c r="N695" s="208">
        <f>IF($K695=0,$J695,(1-$M695)*$I695+$M695*$J695)</f>
        <v/>
      </c>
      <c r="O695" s="209">
        <f>IF($F695&lt;$B$671,$E$671+$I$671*($F695-$A$671),IF($F695&lt;$C$671,$F$671+$J$671*($F695-$B$671),$G$671+$K$671*($F695-$C$671)))</f>
        <v/>
      </c>
      <c r="P695" s="208">
        <f>MIN(1,MAX(0,(nr_MEndPm1-$G695+0.5)/$C$670))-MIN(1,MAX(0,(nr_MStartPm1-1-$G695+0.5)/$C$670))</f>
        <v/>
      </c>
      <c r="Q695" s="208">
        <f>MIN(1,MAX(0,(nr_MEndP-$G695+0.5)/$C$670))-MIN(1,MAX(0,(nr_MStartP-1-$G695+0.5)/$C$670))</f>
        <v/>
      </c>
      <c r="R695" s="208">
        <f>MIN(1,MAX(0,(nr_MEndP1-$G695+0.5)/$C$670))-MIN(1,MAX(0,(nr_MStartP1-1-$G695+0.5)/$C$670))</f>
        <v/>
      </c>
      <c r="S695" s="208">
        <f>IF($L$670,$N695*IF($O$670=1,$O695/$F$670,1),"")</f>
        <v/>
      </c>
      <c r="T695" s="208">
        <f>IF(NOT($L$670),"",IF($G695&lt;nr_MStartP,$S695,$T683*(1+IF($G695&lt;nr_MStartP1,$M$670,$N$670))))</f>
        <v/>
      </c>
      <c r="U695" s="208">
        <f>IF($L$670,$T695,$N695)</f>
        <v/>
      </c>
    </row>
    <row r="696">
      <c r="A696" s="145" t="n">
        <v>24</v>
      </c>
      <c r="B696" s="204">
        <f>EDATE($B695,1)</f>
        <v/>
      </c>
      <c r="C696" s="205">
        <f>EOMONTH($B696,0)</f>
        <v/>
      </c>
      <c r="D696" s="201">
        <f>$C696-$B696+1</f>
        <v/>
      </c>
      <c r="E696" s="201">
        <f>MONTH($B696)</f>
        <v/>
      </c>
      <c r="F696" s="235">
        <f>($B696+$C696+1)/2</f>
        <v/>
      </c>
      <c r="G696" s="201">
        <f>YEAR($B696)*12+MONTH($B696)-1</f>
        <v/>
      </c>
      <c r="H696" s="207">
        <f>IF(OR(nr_SeasonOn="OFF",$D$670=0,$E$670=0),1,12*INDEX(se_block,$D$670,$E696)/$E$670)</f>
        <v/>
      </c>
      <c r="I696" s="208">
        <f>EXP(SUMPRODUCT((rl_eff&lt;$B696)*(rl_key=$A$670)*rl_ln1p))</f>
        <v/>
      </c>
      <c r="J696" s="208">
        <f>EXP(SUMPRODUCT((rl_eff&lt;=$C696)*(rl_key=$A$670)*rl_ln1p))</f>
        <v/>
      </c>
      <c r="K696" s="201">
        <f>COUNTIFS(rl_key,$A$670,rl_eff,"&gt;="&amp;$B696,rl_eff,"&lt;="&amp;$C696)</f>
        <v/>
      </c>
      <c r="L696" s="201">
        <f>SUMIFS(rl_daysafter,rl_key,$A$670,rl_effmonth,$B696,rl_first,1)</f>
        <v/>
      </c>
      <c r="M696" s="209">
        <f>IF($K696=0,0,MIN(1,$L696/$D696))</f>
        <v/>
      </c>
      <c r="N696" s="208">
        <f>IF($K696=0,$J696,(1-$M696)*$I696+$M696*$J696)</f>
        <v/>
      </c>
      <c r="O696" s="209">
        <f>IF($F696&lt;$B$671,$E$671+$I$671*($F696-$A$671),IF($F696&lt;$C$671,$F$671+$J$671*($F696-$B$671),$G$671+$K$671*($F696-$C$671)))</f>
        <v/>
      </c>
      <c r="P696" s="208">
        <f>MIN(1,MAX(0,(nr_MEndPm1-$G696+0.5)/$C$670))-MIN(1,MAX(0,(nr_MStartPm1-1-$G696+0.5)/$C$670))</f>
        <v/>
      </c>
      <c r="Q696" s="208">
        <f>MIN(1,MAX(0,(nr_MEndP-$G696+0.5)/$C$670))-MIN(1,MAX(0,(nr_MStartP-1-$G696+0.5)/$C$670))</f>
        <v/>
      </c>
      <c r="R696" s="208">
        <f>MIN(1,MAX(0,(nr_MEndP1-$G696+0.5)/$C$670))-MIN(1,MAX(0,(nr_MStartP1-1-$G696+0.5)/$C$670))</f>
        <v/>
      </c>
      <c r="S696" s="208">
        <f>IF($L$670,$N696*IF($O$670=1,$O696/$F$670,1),"")</f>
        <v/>
      </c>
      <c r="T696" s="208">
        <f>IF(NOT($L$670),"",IF($G696&lt;nr_MStartP,$S696,$T684*(1+IF($G696&lt;nr_MStartP1,$M$670,$N$670))))</f>
        <v/>
      </c>
      <c r="U696" s="208">
        <f>IF($L$670,$T696,$N696)</f>
        <v/>
      </c>
    </row>
    <row r="697">
      <c r="A697" s="145" t="n">
        <v>25</v>
      </c>
      <c r="B697" s="204">
        <f>EDATE($B696,1)</f>
        <v/>
      </c>
      <c r="C697" s="205">
        <f>EOMONTH($B697,0)</f>
        <v/>
      </c>
      <c r="D697" s="201">
        <f>$C697-$B697+1</f>
        <v/>
      </c>
      <c r="E697" s="201">
        <f>MONTH($B697)</f>
        <v/>
      </c>
      <c r="F697" s="235">
        <f>($B697+$C697+1)/2</f>
        <v/>
      </c>
      <c r="G697" s="201">
        <f>YEAR($B697)*12+MONTH($B697)-1</f>
        <v/>
      </c>
      <c r="H697" s="207">
        <f>IF(OR(nr_SeasonOn="OFF",$D$670=0,$E$670=0),1,12*INDEX(se_block,$D$670,$E697)/$E$670)</f>
        <v/>
      </c>
      <c r="I697" s="208">
        <f>EXP(SUMPRODUCT((rl_eff&lt;$B697)*(rl_key=$A$670)*rl_ln1p))</f>
        <v/>
      </c>
      <c r="J697" s="208">
        <f>EXP(SUMPRODUCT((rl_eff&lt;=$C697)*(rl_key=$A$670)*rl_ln1p))</f>
        <v/>
      </c>
      <c r="K697" s="201">
        <f>COUNTIFS(rl_key,$A$670,rl_eff,"&gt;="&amp;$B697,rl_eff,"&lt;="&amp;$C697)</f>
        <v/>
      </c>
      <c r="L697" s="201">
        <f>SUMIFS(rl_daysafter,rl_key,$A$670,rl_effmonth,$B697,rl_first,1)</f>
        <v/>
      </c>
      <c r="M697" s="209">
        <f>IF($K697=0,0,MIN(1,$L697/$D697))</f>
        <v/>
      </c>
      <c r="N697" s="208">
        <f>IF($K697=0,$J697,(1-$M697)*$I697+$M697*$J697)</f>
        <v/>
      </c>
      <c r="O697" s="209">
        <f>IF($F697&lt;$B$671,$E$671+$I$671*($F697-$A$671),IF($F697&lt;$C$671,$F$671+$J$671*($F697-$B$671),$G$671+$K$671*($F697-$C$671)))</f>
        <v/>
      </c>
      <c r="P697" s="208">
        <f>MIN(1,MAX(0,(nr_MEndPm1-$G697+0.5)/$C$670))-MIN(1,MAX(0,(nr_MStartPm1-1-$G697+0.5)/$C$670))</f>
        <v/>
      </c>
      <c r="Q697" s="208">
        <f>MIN(1,MAX(0,(nr_MEndP-$G697+0.5)/$C$670))-MIN(1,MAX(0,(nr_MStartP-1-$G697+0.5)/$C$670))</f>
        <v/>
      </c>
      <c r="R697" s="208">
        <f>MIN(1,MAX(0,(nr_MEndP1-$G697+0.5)/$C$670))-MIN(1,MAX(0,(nr_MStartP1-1-$G697+0.5)/$C$670))</f>
        <v/>
      </c>
      <c r="S697" s="208">
        <f>IF($L$670,$N697*IF($O$670=1,$O697/$F$670,1),"")</f>
        <v/>
      </c>
      <c r="T697" s="208">
        <f>IF(NOT($L$670),"",IF($G697&lt;nr_MStartP,$S697,$T685*(1+IF($G697&lt;nr_MStartP1,$M$670,$N$670))))</f>
        <v/>
      </c>
      <c r="U697" s="208">
        <f>IF($L$670,$T697,$N697)</f>
        <v/>
      </c>
    </row>
    <row r="698">
      <c r="A698" s="145" t="n">
        <v>26</v>
      </c>
      <c r="B698" s="204">
        <f>EDATE($B697,1)</f>
        <v/>
      </c>
      <c r="C698" s="205">
        <f>EOMONTH($B698,0)</f>
        <v/>
      </c>
      <c r="D698" s="201">
        <f>$C698-$B698+1</f>
        <v/>
      </c>
      <c r="E698" s="201">
        <f>MONTH($B698)</f>
        <v/>
      </c>
      <c r="F698" s="235">
        <f>($B698+$C698+1)/2</f>
        <v/>
      </c>
      <c r="G698" s="201">
        <f>YEAR($B698)*12+MONTH($B698)-1</f>
        <v/>
      </c>
      <c r="H698" s="207">
        <f>IF(OR(nr_SeasonOn="OFF",$D$670=0,$E$670=0),1,12*INDEX(se_block,$D$670,$E698)/$E$670)</f>
        <v/>
      </c>
      <c r="I698" s="208">
        <f>EXP(SUMPRODUCT((rl_eff&lt;$B698)*(rl_key=$A$670)*rl_ln1p))</f>
        <v/>
      </c>
      <c r="J698" s="208">
        <f>EXP(SUMPRODUCT((rl_eff&lt;=$C698)*(rl_key=$A$670)*rl_ln1p))</f>
        <v/>
      </c>
      <c r="K698" s="201">
        <f>COUNTIFS(rl_key,$A$670,rl_eff,"&gt;="&amp;$B698,rl_eff,"&lt;="&amp;$C698)</f>
        <v/>
      </c>
      <c r="L698" s="201">
        <f>SUMIFS(rl_daysafter,rl_key,$A$670,rl_effmonth,$B698,rl_first,1)</f>
        <v/>
      </c>
      <c r="M698" s="209">
        <f>IF($K698=0,0,MIN(1,$L698/$D698))</f>
        <v/>
      </c>
      <c r="N698" s="208">
        <f>IF($K698=0,$J698,(1-$M698)*$I698+$M698*$J698)</f>
        <v/>
      </c>
      <c r="O698" s="209">
        <f>IF($F698&lt;$B$671,$E$671+$I$671*($F698-$A$671),IF($F698&lt;$C$671,$F$671+$J$671*($F698-$B$671),$G$671+$K$671*($F698-$C$671)))</f>
        <v/>
      </c>
      <c r="P698" s="208">
        <f>MIN(1,MAX(0,(nr_MEndPm1-$G698+0.5)/$C$670))-MIN(1,MAX(0,(nr_MStartPm1-1-$G698+0.5)/$C$670))</f>
        <v/>
      </c>
      <c r="Q698" s="208">
        <f>MIN(1,MAX(0,(nr_MEndP-$G698+0.5)/$C$670))-MIN(1,MAX(0,(nr_MStartP-1-$G698+0.5)/$C$670))</f>
        <v/>
      </c>
      <c r="R698" s="208">
        <f>MIN(1,MAX(0,(nr_MEndP1-$G698+0.5)/$C$670))-MIN(1,MAX(0,(nr_MStartP1-1-$G698+0.5)/$C$670))</f>
        <v/>
      </c>
      <c r="S698" s="208">
        <f>IF($L$670,$N698*IF($O$670=1,$O698/$F$670,1),"")</f>
        <v/>
      </c>
      <c r="T698" s="208">
        <f>IF(NOT($L$670),"",IF($G698&lt;nr_MStartP,$S698,$T686*(1+IF($G698&lt;nr_MStartP1,$M$670,$N$670))))</f>
        <v/>
      </c>
      <c r="U698" s="208">
        <f>IF($L$670,$T698,$N698)</f>
        <v/>
      </c>
    </row>
    <row r="699">
      <c r="A699" s="145" t="n">
        <v>27</v>
      </c>
      <c r="B699" s="204">
        <f>EDATE($B698,1)</f>
        <v/>
      </c>
      <c r="C699" s="205">
        <f>EOMONTH($B699,0)</f>
        <v/>
      </c>
      <c r="D699" s="201">
        <f>$C699-$B699+1</f>
        <v/>
      </c>
      <c r="E699" s="201">
        <f>MONTH($B699)</f>
        <v/>
      </c>
      <c r="F699" s="235">
        <f>($B699+$C699+1)/2</f>
        <v/>
      </c>
      <c r="G699" s="201">
        <f>YEAR($B699)*12+MONTH($B699)-1</f>
        <v/>
      </c>
      <c r="H699" s="207">
        <f>IF(OR(nr_SeasonOn="OFF",$D$670=0,$E$670=0),1,12*INDEX(se_block,$D$670,$E699)/$E$670)</f>
        <v/>
      </c>
      <c r="I699" s="208">
        <f>EXP(SUMPRODUCT((rl_eff&lt;$B699)*(rl_key=$A$670)*rl_ln1p))</f>
        <v/>
      </c>
      <c r="J699" s="208">
        <f>EXP(SUMPRODUCT((rl_eff&lt;=$C699)*(rl_key=$A$670)*rl_ln1p))</f>
        <v/>
      </c>
      <c r="K699" s="201">
        <f>COUNTIFS(rl_key,$A$670,rl_eff,"&gt;="&amp;$B699,rl_eff,"&lt;="&amp;$C699)</f>
        <v/>
      </c>
      <c r="L699" s="201">
        <f>SUMIFS(rl_daysafter,rl_key,$A$670,rl_effmonth,$B699,rl_first,1)</f>
        <v/>
      </c>
      <c r="M699" s="209">
        <f>IF($K699=0,0,MIN(1,$L699/$D699))</f>
        <v/>
      </c>
      <c r="N699" s="208">
        <f>IF($K699=0,$J699,(1-$M699)*$I699+$M699*$J699)</f>
        <v/>
      </c>
      <c r="O699" s="209">
        <f>IF($F699&lt;$B$671,$E$671+$I$671*($F699-$A$671),IF($F699&lt;$C$671,$F$671+$J$671*($F699-$B$671),$G$671+$K$671*($F699-$C$671)))</f>
        <v/>
      </c>
      <c r="P699" s="208">
        <f>MIN(1,MAX(0,(nr_MEndPm1-$G699+0.5)/$C$670))-MIN(1,MAX(0,(nr_MStartPm1-1-$G699+0.5)/$C$670))</f>
        <v/>
      </c>
      <c r="Q699" s="208">
        <f>MIN(1,MAX(0,(nr_MEndP-$G699+0.5)/$C$670))-MIN(1,MAX(0,(nr_MStartP-1-$G699+0.5)/$C$670))</f>
        <v/>
      </c>
      <c r="R699" s="208">
        <f>MIN(1,MAX(0,(nr_MEndP1-$G699+0.5)/$C$670))-MIN(1,MAX(0,(nr_MStartP1-1-$G699+0.5)/$C$670))</f>
        <v/>
      </c>
      <c r="S699" s="208">
        <f>IF($L$670,$N699*IF($O$670=1,$O699/$F$670,1),"")</f>
        <v/>
      </c>
      <c r="T699" s="208">
        <f>IF(NOT($L$670),"",IF($G699&lt;nr_MStartP,$S699,$T687*(1+IF($G699&lt;nr_MStartP1,$M$670,$N$670))))</f>
        <v/>
      </c>
      <c r="U699" s="208">
        <f>IF($L$670,$T699,$N699)</f>
        <v/>
      </c>
    </row>
    <row r="700">
      <c r="A700" s="145" t="n">
        <v>28</v>
      </c>
      <c r="B700" s="204">
        <f>EDATE($B699,1)</f>
        <v/>
      </c>
      <c r="C700" s="205">
        <f>EOMONTH($B700,0)</f>
        <v/>
      </c>
      <c r="D700" s="201">
        <f>$C700-$B700+1</f>
        <v/>
      </c>
      <c r="E700" s="201">
        <f>MONTH($B700)</f>
        <v/>
      </c>
      <c r="F700" s="235">
        <f>($B700+$C700+1)/2</f>
        <v/>
      </c>
      <c r="G700" s="201">
        <f>YEAR($B700)*12+MONTH($B700)-1</f>
        <v/>
      </c>
      <c r="H700" s="207">
        <f>IF(OR(nr_SeasonOn="OFF",$D$670=0,$E$670=0),1,12*INDEX(se_block,$D$670,$E700)/$E$670)</f>
        <v/>
      </c>
      <c r="I700" s="208">
        <f>EXP(SUMPRODUCT((rl_eff&lt;$B700)*(rl_key=$A$670)*rl_ln1p))</f>
        <v/>
      </c>
      <c r="J700" s="208">
        <f>EXP(SUMPRODUCT((rl_eff&lt;=$C700)*(rl_key=$A$670)*rl_ln1p))</f>
        <v/>
      </c>
      <c r="K700" s="201">
        <f>COUNTIFS(rl_key,$A$670,rl_eff,"&gt;="&amp;$B700,rl_eff,"&lt;="&amp;$C700)</f>
        <v/>
      </c>
      <c r="L700" s="201">
        <f>SUMIFS(rl_daysafter,rl_key,$A$670,rl_effmonth,$B700,rl_first,1)</f>
        <v/>
      </c>
      <c r="M700" s="209">
        <f>IF($K700=0,0,MIN(1,$L700/$D700))</f>
        <v/>
      </c>
      <c r="N700" s="208">
        <f>IF($K700=0,$J700,(1-$M700)*$I700+$M700*$J700)</f>
        <v/>
      </c>
      <c r="O700" s="209">
        <f>IF($F700&lt;$B$671,$E$671+$I$671*($F700-$A$671),IF($F700&lt;$C$671,$F$671+$J$671*($F700-$B$671),$G$671+$K$671*($F700-$C$671)))</f>
        <v/>
      </c>
      <c r="P700" s="208">
        <f>MIN(1,MAX(0,(nr_MEndPm1-$G700+0.5)/$C$670))-MIN(1,MAX(0,(nr_MStartPm1-1-$G700+0.5)/$C$670))</f>
        <v/>
      </c>
      <c r="Q700" s="208">
        <f>MIN(1,MAX(0,(nr_MEndP-$G700+0.5)/$C$670))-MIN(1,MAX(0,(nr_MStartP-1-$G700+0.5)/$C$670))</f>
        <v/>
      </c>
      <c r="R700" s="208">
        <f>MIN(1,MAX(0,(nr_MEndP1-$G700+0.5)/$C$670))-MIN(1,MAX(0,(nr_MStartP1-1-$G700+0.5)/$C$670))</f>
        <v/>
      </c>
      <c r="S700" s="208">
        <f>IF($L$670,$N700*IF($O$670=1,$O700/$F$670,1),"")</f>
        <v/>
      </c>
      <c r="T700" s="208">
        <f>IF(NOT($L$670),"",IF($G700&lt;nr_MStartP,$S700,$T688*(1+IF($G700&lt;nr_MStartP1,$M$670,$N$670))))</f>
        <v/>
      </c>
      <c r="U700" s="208">
        <f>IF($L$670,$T700,$N700)</f>
        <v/>
      </c>
    </row>
    <row r="701">
      <c r="A701" s="145" t="n">
        <v>29</v>
      </c>
      <c r="B701" s="204">
        <f>EDATE($B700,1)</f>
        <v/>
      </c>
      <c r="C701" s="205">
        <f>EOMONTH($B701,0)</f>
        <v/>
      </c>
      <c r="D701" s="201">
        <f>$C701-$B701+1</f>
        <v/>
      </c>
      <c r="E701" s="201">
        <f>MONTH($B701)</f>
        <v/>
      </c>
      <c r="F701" s="235">
        <f>($B701+$C701+1)/2</f>
        <v/>
      </c>
      <c r="G701" s="201">
        <f>YEAR($B701)*12+MONTH($B701)-1</f>
        <v/>
      </c>
      <c r="H701" s="207">
        <f>IF(OR(nr_SeasonOn="OFF",$D$670=0,$E$670=0),1,12*INDEX(se_block,$D$670,$E701)/$E$670)</f>
        <v/>
      </c>
      <c r="I701" s="208">
        <f>EXP(SUMPRODUCT((rl_eff&lt;$B701)*(rl_key=$A$670)*rl_ln1p))</f>
        <v/>
      </c>
      <c r="J701" s="208">
        <f>EXP(SUMPRODUCT((rl_eff&lt;=$C701)*(rl_key=$A$670)*rl_ln1p))</f>
        <v/>
      </c>
      <c r="K701" s="201">
        <f>COUNTIFS(rl_key,$A$670,rl_eff,"&gt;="&amp;$B701,rl_eff,"&lt;="&amp;$C701)</f>
        <v/>
      </c>
      <c r="L701" s="201">
        <f>SUMIFS(rl_daysafter,rl_key,$A$670,rl_effmonth,$B701,rl_first,1)</f>
        <v/>
      </c>
      <c r="M701" s="209">
        <f>IF($K701=0,0,MIN(1,$L701/$D701))</f>
        <v/>
      </c>
      <c r="N701" s="208">
        <f>IF($K701=0,$J701,(1-$M701)*$I701+$M701*$J701)</f>
        <v/>
      </c>
      <c r="O701" s="209">
        <f>IF($F701&lt;$B$671,$E$671+$I$671*($F701-$A$671),IF($F701&lt;$C$671,$F$671+$J$671*($F701-$B$671),$G$671+$K$671*($F701-$C$671)))</f>
        <v/>
      </c>
      <c r="P701" s="208">
        <f>MIN(1,MAX(0,(nr_MEndPm1-$G701+0.5)/$C$670))-MIN(1,MAX(0,(nr_MStartPm1-1-$G701+0.5)/$C$670))</f>
        <v/>
      </c>
      <c r="Q701" s="208">
        <f>MIN(1,MAX(0,(nr_MEndP-$G701+0.5)/$C$670))-MIN(1,MAX(0,(nr_MStartP-1-$G701+0.5)/$C$670))</f>
        <v/>
      </c>
      <c r="R701" s="208">
        <f>MIN(1,MAX(0,(nr_MEndP1-$G701+0.5)/$C$670))-MIN(1,MAX(0,(nr_MStartP1-1-$G701+0.5)/$C$670))</f>
        <v/>
      </c>
      <c r="S701" s="208">
        <f>IF($L$670,$N701*IF($O$670=1,$O701/$F$670,1),"")</f>
        <v/>
      </c>
      <c r="T701" s="208">
        <f>IF(NOT($L$670),"",IF($G701&lt;nr_MStartP,$S701,$T689*(1+IF($G701&lt;nr_MStartP1,$M$670,$N$670))))</f>
        <v/>
      </c>
      <c r="U701" s="208">
        <f>IF($L$670,$T701,$N701)</f>
        <v/>
      </c>
    </row>
    <row r="702">
      <c r="A702" s="145" t="n">
        <v>30</v>
      </c>
      <c r="B702" s="204">
        <f>EDATE($B701,1)</f>
        <v/>
      </c>
      <c r="C702" s="205">
        <f>EOMONTH($B702,0)</f>
        <v/>
      </c>
      <c r="D702" s="201">
        <f>$C702-$B702+1</f>
        <v/>
      </c>
      <c r="E702" s="201">
        <f>MONTH($B702)</f>
        <v/>
      </c>
      <c r="F702" s="235">
        <f>($B702+$C702+1)/2</f>
        <v/>
      </c>
      <c r="G702" s="201">
        <f>YEAR($B702)*12+MONTH($B702)-1</f>
        <v/>
      </c>
      <c r="H702" s="207">
        <f>IF(OR(nr_SeasonOn="OFF",$D$670=0,$E$670=0),1,12*INDEX(se_block,$D$670,$E702)/$E$670)</f>
        <v/>
      </c>
      <c r="I702" s="208">
        <f>EXP(SUMPRODUCT((rl_eff&lt;$B702)*(rl_key=$A$670)*rl_ln1p))</f>
        <v/>
      </c>
      <c r="J702" s="208">
        <f>EXP(SUMPRODUCT((rl_eff&lt;=$C702)*(rl_key=$A$670)*rl_ln1p))</f>
        <v/>
      </c>
      <c r="K702" s="201">
        <f>COUNTIFS(rl_key,$A$670,rl_eff,"&gt;="&amp;$B702,rl_eff,"&lt;="&amp;$C702)</f>
        <v/>
      </c>
      <c r="L702" s="201">
        <f>SUMIFS(rl_daysafter,rl_key,$A$670,rl_effmonth,$B702,rl_first,1)</f>
        <v/>
      </c>
      <c r="M702" s="209">
        <f>IF($K702=0,0,MIN(1,$L702/$D702))</f>
        <v/>
      </c>
      <c r="N702" s="208">
        <f>IF($K702=0,$J702,(1-$M702)*$I702+$M702*$J702)</f>
        <v/>
      </c>
      <c r="O702" s="209">
        <f>IF($F702&lt;$B$671,$E$671+$I$671*($F702-$A$671),IF($F702&lt;$C$671,$F$671+$J$671*($F702-$B$671),$G$671+$K$671*($F702-$C$671)))</f>
        <v/>
      </c>
      <c r="P702" s="208">
        <f>MIN(1,MAX(0,(nr_MEndPm1-$G702+0.5)/$C$670))-MIN(1,MAX(0,(nr_MStartPm1-1-$G702+0.5)/$C$670))</f>
        <v/>
      </c>
      <c r="Q702" s="208">
        <f>MIN(1,MAX(0,(nr_MEndP-$G702+0.5)/$C$670))-MIN(1,MAX(0,(nr_MStartP-1-$G702+0.5)/$C$670))</f>
        <v/>
      </c>
      <c r="R702" s="208">
        <f>MIN(1,MAX(0,(nr_MEndP1-$G702+0.5)/$C$670))-MIN(1,MAX(0,(nr_MStartP1-1-$G702+0.5)/$C$670))</f>
        <v/>
      </c>
      <c r="S702" s="208">
        <f>IF($L$670,$N702*IF($O$670=1,$O702/$F$670,1),"")</f>
        <v/>
      </c>
      <c r="T702" s="208">
        <f>IF(NOT($L$670),"",IF($G702&lt;nr_MStartP,$S702,$T690*(1+IF($G702&lt;nr_MStartP1,$M$670,$N$670))))</f>
        <v/>
      </c>
      <c r="U702" s="208">
        <f>IF($L$670,$T702,$N702)</f>
        <v/>
      </c>
    </row>
    <row r="703">
      <c r="A703" s="145" t="n">
        <v>31</v>
      </c>
      <c r="B703" s="204">
        <f>EDATE($B702,1)</f>
        <v/>
      </c>
      <c r="C703" s="205">
        <f>EOMONTH($B703,0)</f>
        <v/>
      </c>
      <c r="D703" s="201">
        <f>$C703-$B703+1</f>
        <v/>
      </c>
      <c r="E703" s="201">
        <f>MONTH($B703)</f>
        <v/>
      </c>
      <c r="F703" s="235">
        <f>($B703+$C703+1)/2</f>
        <v/>
      </c>
      <c r="G703" s="201">
        <f>YEAR($B703)*12+MONTH($B703)-1</f>
        <v/>
      </c>
      <c r="H703" s="207">
        <f>IF(OR(nr_SeasonOn="OFF",$D$670=0,$E$670=0),1,12*INDEX(se_block,$D$670,$E703)/$E$670)</f>
        <v/>
      </c>
      <c r="I703" s="208">
        <f>EXP(SUMPRODUCT((rl_eff&lt;$B703)*(rl_key=$A$670)*rl_ln1p))</f>
        <v/>
      </c>
      <c r="J703" s="208">
        <f>EXP(SUMPRODUCT((rl_eff&lt;=$C703)*(rl_key=$A$670)*rl_ln1p))</f>
        <v/>
      </c>
      <c r="K703" s="201">
        <f>COUNTIFS(rl_key,$A$670,rl_eff,"&gt;="&amp;$B703,rl_eff,"&lt;="&amp;$C703)</f>
        <v/>
      </c>
      <c r="L703" s="201">
        <f>SUMIFS(rl_daysafter,rl_key,$A$670,rl_effmonth,$B703,rl_first,1)</f>
        <v/>
      </c>
      <c r="M703" s="209">
        <f>IF($K703=0,0,MIN(1,$L703/$D703))</f>
        <v/>
      </c>
      <c r="N703" s="208">
        <f>IF($K703=0,$J703,(1-$M703)*$I703+$M703*$J703)</f>
        <v/>
      </c>
      <c r="O703" s="209">
        <f>IF($F703&lt;$B$671,$E$671+$I$671*($F703-$A$671),IF($F703&lt;$C$671,$F$671+$J$671*($F703-$B$671),$G$671+$K$671*($F703-$C$671)))</f>
        <v/>
      </c>
      <c r="P703" s="208">
        <f>MIN(1,MAX(0,(nr_MEndPm1-$G703+0.5)/$C$670))-MIN(1,MAX(0,(nr_MStartPm1-1-$G703+0.5)/$C$670))</f>
        <v/>
      </c>
      <c r="Q703" s="208">
        <f>MIN(1,MAX(0,(nr_MEndP-$G703+0.5)/$C$670))-MIN(1,MAX(0,(nr_MStartP-1-$G703+0.5)/$C$670))</f>
        <v/>
      </c>
      <c r="R703" s="208">
        <f>MIN(1,MAX(0,(nr_MEndP1-$G703+0.5)/$C$670))-MIN(1,MAX(0,(nr_MStartP1-1-$G703+0.5)/$C$670))</f>
        <v/>
      </c>
      <c r="S703" s="208">
        <f>IF($L$670,$N703*IF($O$670=1,$O703/$F$670,1),"")</f>
        <v/>
      </c>
      <c r="T703" s="208">
        <f>IF(NOT($L$670),"",IF($G703&lt;nr_MStartP,$S703,$T691*(1+IF($G703&lt;nr_MStartP1,$M$670,$N$670))))</f>
        <v/>
      </c>
      <c r="U703" s="208">
        <f>IF($L$670,$T703,$N703)</f>
        <v/>
      </c>
    </row>
    <row r="704">
      <c r="A704" s="145" t="n">
        <v>32</v>
      </c>
      <c r="B704" s="204">
        <f>EDATE($B703,1)</f>
        <v/>
      </c>
      <c r="C704" s="205">
        <f>EOMONTH($B704,0)</f>
        <v/>
      </c>
      <c r="D704" s="201">
        <f>$C704-$B704+1</f>
        <v/>
      </c>
      <c r="E704" s="201">
        <f>MONTH($B704)</f>
        <v/>
      </c>
      <c r="F704" s="235">
        <f>($B704+$C704+1)/2</f>
        <v/>
      </c>
      <c r="G704" s="201">
        <f>YEAR($B704)*12+MONTH($B704)-1</f>
        <v/>
      </c>
      <c r="H704" s="207">
        <f>IF(OR(nr_SeasonOn="OFF",$D$670=0,$E$670=0),1,12*INDEX(se_block,$D$670,$E704)/$E$670)</f>
        <v/>
      </c>
      <c r="I704" s="208">
        <f>EXP(SUMPRODUCT((rl_eff&lt;$B704)*(rl_key=$A$670)*rl_ln1p))</f>
        <v/>
      </c>
      <c r="J704" s="208">
        <f>EXP(SUMPRODUCT((rl_eff&lt;=$C704)*(rl_key=$A$670)*rl_ln1p))</f>
        <v/>
      </c>
      <c r="K704" s="201">
        <f>COUNTIFS(rl_key,$A$670,rl_eff,"&gt;="&amp;$B704,rl_eff,"&lt;="&amp;$C704)</f>
        <v/>
      </c>
      <c r="L704" s="201">
        <f>SUMIFS(rl_daysafter,rl_key,$A$670,rl_effmonth,$B704,rl_first,1)</f>
        <v/>
      </c>
      <c r="M704" s="209">
        <f>IF($K704=0,0,MIN(1,$L704/$D704))</f>
        <v/>
      </c>
      <c r="N704" s="208">
        <f>IF($K704=0,$J704,(1-$M704)*$I704+$M704*$J704)</f>
        <v/>
      </c>
      <c r="O704" s="209">
        <f>IF($F704&lt;$B$671,$E$671+$I$671*($F704-$A$671),IF($F704&lt;$C$671,$F$671+$J$671*($F704-$B$671),$G$671+$K$671*($F704-$C$671)))</f>
        <v/>
      </c>
      <c r="P704" s="208">
        <f>MIN(1,MAX(0,(nr_MEndPm1-$G704+0.5)/$C$670))-MIN(1,MAX(0,(nr_MStartPm1-1-$G704+0.5)/$C$670))</f>
        <v/>
      </c>
      <c r="Q704" s="208">
        <f>MIN(1,MAX(0,(nr_MEndP-$G704+0.5)/$C$670))-MIN(1,MAX(0,(nr_MStartP-1-$G704+0.5)/$C$670))</f>
        <v/>
      </c>
      <c r="R704" s="208">
        <f>MIN(1,MAX(0,(nr_MEndP1-$G704+0.5)/$C$670))-MIN(1,MAX(0,(nr_MStartP1-1-$G704+0.5)/$C$670))</f>
        <v/>
      </c>
      <c r="S704" s="208">
        <f>IF($L$670,$N704*IF($O$670=1,$O704/$F$670,1),"")</f>
        <v/>
      </c>
      <c r="T704" s="208">
        <f>IF(NOT($L$670),"",IF($G704&lt;nr_MStartP,$S704,$T692*(1+IF($G704&lt;nr_MStartP1,$M$670,$N$670))))</f>
        <v/>
      </c>
      <c r="U704" s="208">
        <f>IF($L$670,$T704,$N704)</f>
        <v/>
      </c>
    </row>
    <row r="705">
      <c r="A705" s="145" t="n">
        <v>33</v>
      </c>
      <c r="B705" s="204">
        <f>EDATE($B704,1)</f>
        <v/>
      </c>
      <c r="C705" s="205">
        <f>EOMONTH($B705,0)</f>
        <v/>
      </c>
      <c r="D705" s="201">
        <f>$C705-$B705+1</f>
        <v/>
      </c>
      <c r="E705" s="201">
        <f>MONTH($B705)</f>
        <v/>
      </c>
      <c r="F705" s="235">
        <f>($B705+$C705+1)/2</f>
        <v/>
      </c>
      <c r="G705" s="201">
        <f>YEAR($B705)*12+MONTH($B705)-1</f>
        <v/>
      </c>
      <c r="H705" s="207">
        <f>IF(OR(nr_SeasonOn="OFF",$D$670=0,$E$670=0),1,12*INDEX(se_block,$D$670,$E705)/$E$670)</f>
        <v/>
      </c>
      <c r="I705" s="208">
        <f>EXP(SUMPRODUCT((rl_eff&lt;$B705)*(rl_key=$A$670)*rl_ln1p))</f>
        <v/>
      </c>
      <c r="J705" s="208">
        <f>EXP(SUMPRODUCT((rl_eff&lt;=$C705)*(rl_key=$A$670)*rl_ln1p))</f>
        <v/>
      </c>
      <c r="K705" s="201">
        <f>COUNTIFS(rl_key,$A$670,rl_eff,"&gt;="&amp;$B705,rl_eff,"&lt;="&amp;$C705)</f>
        <v/>
      </c>
      <c r="L705" s="201">
        <f>SUMIFS(rl_daysafter,rl_key,$A$670,rl_effmonth,$B705,rl_first,1)</f>
        <v/>
      </c>
      <c r="M705" s="209">
        <f>IF($K705=0,0,MIN(1,$L705/$D705))</f>
        <v/>
      </c>
      <c r="N705" s="208">
        <f>IF($K705=0,$J705,(1-$M705)*$I705+$M705*$J705)</f>
        <v/>
      </c>
      <c r="O705" s="209">
        <f>IF($F705&lt;$B$671,$E$671+$I$671*($F705-$A$671),IF($F705&lt;$C$671,$F$671+$J$671*($F705-$B$671),$G$671+$K$671*($F705-$C$671)))</f>
        <v/>
      </c>
      <c r="P705" s="208">
        <f>MIN(1,MAX(0,(nr_MEndPm1-$G705+0.5)/$C$670))-MIN(1,MAX(0,(nr_MStartPm1-1-$G705+0.5)/$C$670))</f>
        <v/>
      </c>
      <c r="Q705" s="208">
        <f>MIN(1,MAX(0,(nr_MEndP-$G705+0.5)/$C$670))-MIN(1,MAX(0,(nr_MStartP-1-$G705+0.5)/$C$670))</f>
        <v/>
      </c>
      <c r="R705" s="208">
        <f>MIN(1,MAX(0,(nr_MEndP1-$G705+0.5)/$C$670))-MIN(1,MAX(0,(nr_MStartP1-1-$G705+0.5)/$C$670))</f>
        <v/>
      </c>
      <c r="S705" s="208">
        <f>IF($L$670,$N705*IF($O$670=1,$O705/$F$670,1),"")</f>
        <v/>
      </c>
      <c r="T705" s="208">
        <f>IF(NOT($L$670),"",IF($G705&lt;nr_MStartP,$S705,$T693*(1+IF($G705&lt;nr_MStartP1,$M$670,$N$670))))</f>
        <v/>
      </c>
      <c r="U705" s="208">
        <f>IF($L$670,$T705,$N705)</f>
        <v/>
      </c>
    </row>
    <row r="706">
      <c r="A706" s="145" t="n">
        <v>34</v>
      </c>
      <c r="B706" s="204">
        <f>EDATE($B705,1)</f>
        <v/>
      </c>
      <c r="C706" s="205">
        <f>EOMONTH($B706,0)</f>
        <v/>
      </c>
      <c r="D706" s="201">
        <f>$C706-$B706+1</f>
        <v/>
      </c>
      <c r="E706" s="201">
        <f>MONTH($B706)</f>
        <v/>
      </c>
      <c r="F706" s="235">
        <f>($B706+$C706+1)/2</f>
        <v/>
      </c>
      <c r="G706" s="201">
        <f>YEAR($B706)*12+MONTH($B706)-1</f>
        <v/>
      </c>
      <c r="H706" s="207">
        <f>IF(OR(nr_SeasonOn="OFF",$D$670=0,$E$670=0),1,12*INDEX(se_block,$D$670,$E706)/$E$670)</f>
        <v/>
      </c>
      <c r="I706" s="208">
        <f>EXP(SUMPRODUCT((rl_eff&lt;$B706)*(rl_key=$A$670)*rl_ln1p))</f>
        <v/>
      </c>
      <c r="J706" s="208">
        <f>EXP(SUMPRODUCT((rl_eff&lt;=$C706)*(rl_key=$A$670)*rl_ln1p))</f>
        <v/>
      </c>
      <c r="K706" s="201">
        <f>COUNTIFS(rl_key,$A$670,rl_eff,"&gt;="&amp;$B706,rl_eff,"&lt;="&amp;$C706)</f>
        <v/>
      </c>
      <c r="L706" s="201">
        <f>SUMIFS(rl_daysafter,rl_key,$A$670,rl_effmonth,$B706,rl_first,1)</f>
        <v/>
      </c>
      <c r="M706" s="209">
        <f>IF($K706=0,0,MIN(1,$L706/$D706))</f>
        <v/>
      </c>
      <c r="N706" s="208">
        <f>IF($K706=0,$J706,(1-$M706)*$I706+$M706*$J706)</f>
        <v/>
      </c>
      <c r="O706" s="209">
        <f>IF($F706&lt;$B$671,$E$671+$I$671*($F706-$A$671),IF($F706&lt;$C$671,$F$671+$J$671*($F706-$B$671),$G$671+$K$671*($F706-$C$671)))</f>
        <v/>
      </c>
      <c r="P706" s="208">
        <f>MIN(1,MAX(0,(nr_MEndPm1-$G706+0.5)/$C$670))-MIN(1,MAX(0,(nr_MStartPm1-1-$G706+0.5)/$C$670))</f>
        <v/>
      </c>
      <c r="Q706" s="208">
        <f>MIN(1,MAX(0,(nr_MEndP-$G706+0.5)/$C$670))-MIN(1,MAX(0,(nr_MStartP-1-$G706+0.5)/$C$670))</f>
        <v/>
      </c>
      <c r="R706" s="208">
        <f>MIN(1,MAX(0,(nr_MEndP1-$G706+0.5)/$C$670))-MIN(1,MAX(0,(nr_MStartP1-1-$G706+0.5)/$C$670))</f>
        <v/>
      </c>
      <c r="S706" s="208">
        <f>IF($L$670,$N706*IF($O$670=1,$O706/$F$670,1),"")</f>
        <v/>
      </c>
      <c r="T706" s="208">
        <f>IF(NOT($L$670),"",IF($G706&lt;nr_MStartP,$S706,$T694*(1+IF($G706&lt;nr_MStartP1,$M$670,$N$670))))</f>
        <v/>
      </c>
      <c r="U706" s="208">
        <f>IF($L$670,$T706,$N706)</f>
        <v/>
      </c>
    </row>
    <row r="707">
      <c r="A707" s="145" t="n">
        <v>35</v>
      </c>
      <c r="B707" s="204">
        <f>EDATE($B706,1)</f>
        <v/>
      </c>
      <c r="C707" s="205">
        <f>EOMONTH($B707,0)</f>
        <v/>
      </c>
      <c r="D707" s="201">
        <f>$C707-$B707+1</f>
        <v/>
      </c>
      <c r="E707" s="201">
        <f>MONTH($B707)</f>
        <v/>
      </c>
      <c r="F707" s="235">
        <f>($B707+$C707+1)/2</f>
        <v/>
      </c>
      <c r="G707" s="201">
        <f>YEAR($B707)*12+MONTH($B707)-1</f>
        <v/>
      </c>
      <c r="H707" s="207">
        <f>IF(OR(nr_SeasonOn="OFF",$D$670=0,$E$670=0),1,12*INDEX(se_block,$D$670,$E707)/$E$670)</f>
        <v/>
      </c>
      <c r="I707" s="208">
        <f>EXP(SUMPRODUCT((rl_eff&lt;$B707)*(rl_key=$A$670)*rl_ln1p))</f>
        <v/>
      </c>
      <c r="J707" s="208">
        <f>EXP(SUMPRODUCT((rl_eff&lt;=$C707)*(rl_key=$A$670)*rl_ln1p))</f>
        <v/>
      </c>
      <c r="K707" s="201">
        <f>COUNTIFS(rl_key,$A$670,rl_eff,"&gt;="&amp;$B707,rl_eff,"&lt;="&amp;$C707)</f>
        <v/>
      </c>
      <c r="L707" s="201">
        <f>SUMIFS(rl_daysafter,rl_key,$A$670,rl_effmonth,$B707,rl_first,1)</f>
        <v/>
      </c>
      <c r="M707" s="209">
        <f>IF($K707=0,0,MIN(1,$L707/$D707))</f>
        <v/>
      </c>
      <c r="N707" s="208">
        <f>IF($K707=0,$J707,(1-$M707)*$I707+$M707*$J707)</f>
        <v/>
      </c>
      <c r="O707" s="209">
        <f>IF($F707&lt;$B$671,$E$671+$I$671*($F707-$A$671),IF($F707&lt;$C$671,$F$671+$J$671*($F707-$B$671),$G$671+$K$671*($F707-$C$671)))</f>
        <v/>
      </c>
      <c r="P707" s="208">
        <f>MIN(1,MAX(0,(nr_MEndPm1-$G707+0.5)/$C$670))-MIN(1,MAX(0,(nr_MStartPm1-1-$G707+0.5)/$C$670))</f>
        <v/>
      </c>
      <c r="Q707" s="208">
        <f>MIN(1,MAX(0,(nr_MEndP-$G707+0.5)/$C$670))-MIN(1,MAX(0,(nr_MStartP-1-$G707+0.5)/$C$670))</f>
        <v/>
      </c>
      <c r="R707" s="208">
        <f>MIN(1,MAX(0,(nr_MEndP1-$G707+0.5)/$C$670))-MIN(1,MAX(0,(nr_MStartP1-1-$G707+0.5)/$C$670))</f>
        <v/>
      </c>
      <c r="S707" s="208">
        <f>IF($L$670,$N707*IF($O$670=1,$O707/$F$670,1),"")</f>
        <v/>
      </c>
      <c r="T707" s="208">
        <f>IF(NOT($L$670),"",IF($G707&lt;nr_MStartP,$S707,$T695*(1+IF($G707&lt;nr_MStartP1,$M$670,$N$670))))</f>
        <v/>
      </c>
      <c r="U707" s="208">
        <f>IF($L$670,$T707,$N707)</f>
        <v/>
      </c>
    </row>
    <row r="708">
      <c r="A708" s="145" t="n">
        <v>36</v>
      </c>
      <c r="B708" s="204">
        <f>EDATE($B707,1)</f>
        <v/>
      </c>
      <c r="C708" s="205">
        <f>EOMONTH($B708,0)</f>
        <v/>
      </c>
      <c r="D708" s="201">
        <f>$C708-$B708+1</f>
        <v/>
      </c>
      <c r="E708" s="201">
        <f>MONTH($B708)</f>
        <v/>
      </c>
      <c r="F708" s="235">
        <f>($B708+$C708+1)/2</f>
        <v/>
      </c>
      <c r="G708" s="201">
        <f>YEAR($B708)*12+MONTH($B708)-1</f>
        <v/>
      </c>
      <c r="H708" s="207">
        <f>IF(OR(nr_SeasonOn="OFF",$D$670=0,$E$670=0),1,12*INDEX(se_block,$D$670,$E708)/$E$670)</f>
        <v/>
      </c>
      <c r="I708" s="208">
        <f>EXP(SUMPRODUCT((rl_eff&lt;$B708)*(rl_key=$A$670)*rl_ln1p))</f>
        <v/>
      </c>
      <c r="J708" s="208">
        <f>EXP(SUMPRODUCT((rl_eff&lt;=$C708)*(rl_key=$A$670)*rl_ln1p))</f>
        <v/>
      </c>
      <c r="K708" s="201">
        <f>COUNTIFS(rl_key,$A$670,rl_eff,"&gt;="&amp;$B708,rl_eff,"&lt;="&amp;$C708)</f>
        <v/>
      </c>
      <c r="L708" s="201">
        <f>SUMIFS(rl_daysafter,rl_key,$A$670,rl_effmonth,$B708,rl_first,1)</f>
        <v/>
      </c>
      <c r="M708" s="209">
        <f>IF($K708=0,0,MIN(1,$L708/$D708))</f>
        <v/>
      </c>
      <c r="N708" s="208">
        <f>IF($K708=0,$J708,(1-$M708)*$I708+$M708*$J708)</f>
        <v/>
      </c>
      <c r="O708" s="209">
        <f>IF($F708&lt;$B$671,$E$671+$I$671*($F708-$A$671),IF($F708&lt;$C$671,$F$671+$J$671*($F708-$B$671),$G$671+$K$671*($F708-$C$671)))</f>
        <v/>
      </c>
      <c r="P708" s="208">
        <f>MIN(1,MAX(0,(nr_MEndPm1-$G708+0.5)/$C$670))-MIN(1,MAX(0,(nr_MStartPm1-1-$G708+0.5)/$C$670))</f>
        <v/>
      </c>
      <c r="Q708" s="208">
        <f>MIN(1,MAX(0,(nr_MEndP-$G708+0.5)/$C$670))-MIN(1,MAX(0,(nr_MStartP-1-$G708+0.5)/$C$670))</f>
        <v/>
      </c>
      <c r="R708" s="208">
        <f>MIN(1,MAX(0,(nr_MEndP1-$G708+0.5)/$C$670))-MIN(1,MAX(0,(nr_MStartP1-1-$G708+0.5)/$C$670))</f>
        <v/>
      </c>
      <c r="S708" s="208">
        <f>IF($L$670,$N708*IF($O$670=1,$O708/$F$670,1),"")</f>
        <v/>
      </c>
      <c r="T708" s="208">
        <f>IF(NOT($L$670),"",IF($G708&lt;nr_MStartP,$S708,$T696*(1+IF($G708&lt;nr_MStartP1,$M$670,$N$670))))</f>
        <v/>
      </c>
      <c r="U708" s="208">
        <f>IF($L$670,$T708,$N708)</f>
        <v/>
      </c>
    </row>
    <row r="709">
      <c r="A709" s="145" t="n">
        <v>37</v>
      </c>
      <c r="B709" s="204">
        <f>EDATE($B708,1)</f>
        <v/>
      </c>
      <c r="C709" s="205">
        <f>EOMONTH($B709,0)</f>
        <v/>
      </c>
      <c r="D709" s="201">
        <f>$C709-$B709+1</f>
        <v/>
      </c>
      <c r="E709" s="201">
        <f>MONTH($B709)</f>
        <v/>
      </c>
      <c r="F709" s="235">
        <f>($B709+$C709+1)/2</f>
        <v/>
      </c>
      <c r="G709" s="201">
        <f>YEAR($B709)*12+MONTH($B709)-1</f>
        <v/>
      </c>
      <c r="H709" s="207">
        <f>IF(OR(nr_SeasonOn="OFF",$D$670=0,$E$670=0),1,12*INDEX(se_block,$D$670,$E709)/$E$670)</f>
        <v/>
      </c>
      <c r="I709" s="208">
        <f>EXP(SUMPRODUCT((rl_eff&lt;$B709)*(rl_key=$A$670)*rl_ln1p))</f>
        <v/>
      </c>
      <c r="J709" s="208">
        <f>EXP(SUMPRODUCT((rl_eff&lt;=$C709)*(rl_key=$A$670)*rl_ln1p))</f>
        <v/>
      </c>
      <c r="K709" s="201">
        <f>COUNTIFS(rl_key,$A$670,rl_eff,"&gt;="&amp;$B709,rl_eff,"&lt;="&amp;$C709)</f>
        <v/>
      </c>
      <c r="L709" s="201">
        <f>SUMIFS(rl_daysafter,rl_key,$A$670,rl_effmonth,$B709,rl_first,1)</f>
        <v/>
      </c>
      <c r="M709" s="209">
        <f>IF($K709=0,0,MIN(1,$L709/$D709))</f>
        <v/>
      </c>
      <c r="N709" s="208">
        <f>IF($K709=0,$J709,(1-$M709)*$I709+$M709*$J709)</f>
        <v/>
      </c>
      <c r="O709" s="209">
        <f>IF($F709&lt;$B$671,$E$671+$I$671*($F709-$A$671),IF($F709&lt;$C$671,$F$671+$J$671*($F709-$B$671),$G$671+$K$671*($F709-$C$671)))</f>
        <v/>
      </c>
      <c r="P709" s="208">
        <f>MIN(1,MAX(0,(nr_MEndPm1-$G709+0.5)/$C$670))-MIN(1,MAX(0,(nr_MStartPm1-1-$G709+0.5)/$C$670))</f>
        <v/>
      </c>
      <c r="Q709" s="208">
        <f>MIN(1,MAX(0,(nr_MEndP-$G709+0.5)/$C$670))-MIN(1,MAX(0,(nr_MStartP-1-$G709+0.5)/$C$670))</f>
        <v/>
      </c>
      <c r="R709" s="208">
        <f>MIN(1,MAX(0,(nr_MEndP1-$G709+0.5)/$C$670))-MIN(1,MAX(0,(nr_MStartP1-1-$G709+0.5)/$C$670))</f>
        <v/>
      </c>
      <c r="S709" s="208">
        <f>IF($L$670,$N709*IF($O$670=1,$O709/$F$670,1),"")</f>
        <v/>
      </c>
      <c r="T709" s="208">
        <f>IF(NOT($L$670),"",IF($G709&lt;nr_MStartP,$S709,$T697*(1+IF($G709&lt;nr_MStartP1,$M$670,$N$670))))</f>
        <v/>
      </c>
      <c r="U709" s="208">
        <f>IF($L$670,$T709,$N709)</f>
        <v/>
      </c>
    </row>
    <row r="710">
      <c r="A710" s="145" t="n">
        <v>38</v>
      </c>
      <c r="B710" s="204">
        <f>EDATE($B709,1)</f>
        <v/>
      </c>
      <c r="C710" s="205">
        <f>EOMONTH($B710,0)</f>
        <v/>
      </c>
      <c r="D710" s="201">
        <f>$C710-$B710+1</f>
        <v/>
      </c>
      <c r="E710" s="201">
        <f>MONTH($B710)</f>
        <v/>
      </c>
      <c r="F710" s="235">
        <f>($B710+$C710+1)/2</f>
        <v/>
      </c>
      <c r="G710" s="201">
        <f>YEAR($B710)*12+MONTH($B710)-1</f>
        <v/>
      </c>
      <c r="H710" s="207">
        <f>IF(OR(nr_SeasonOn="OFF",$D$670=0,$E$670=0),1,12*INDEX(se_block,$D$670,$E710)/$E$670)</f>
        <v/>
      </c>
      <c r="I710" s="208">
        <f>EXP(SUMPRODUCT((rl_eff&lt;$B710)*(rl_key=$A$670)*rl_ln1p))</f>
        <v/>
      </c>
      <c r="J710" s="208">
        <f>EXP(SUMPRODUCT((rl_eff&lt;=$C710)*(rl_key=$A$670)*rl_ln1p))</f>
        <v/>
      </c>
      <c r="K710" s="201">
        <f>COUNTIFS(rl_key,$A$670,rl_eff,"&gt;="&amp;$B710,rl_eff,"&lt;="&amp;$C710)</f>
        <v/>
      </c>
      <c r="L710" s="201">
        <f>SUMIFS(rl_daysafter,rl_key,$A$670,rl_effmonth,$B710,rl_first,1)</f>
        <v/>
      </c>
      <c r="M710" s="209">
        <f>IF($K710=0,0,MIN(1,$L710/$D710))</f>
        <v/>
      </c>
      <c r="N710" s="208">
        <f>IF($K710=0,$J710,(1-$M710)*$I710+$M710*$J710)</f>
        <v/>
      </c>
      <c r="O710" s="209">
        <f>IF($F710&lt;$B$671,$E$671+$I$671*($F710-$A$671),IF($F710&lt;$C$671,$F$671+$J$671*($F710-$B$671),$G$671+$K$671*($F710-$C$671)))</f>
        <v/>
      </c>
      <c r="P710" s="208">
        <f>MIN(1,MAX(0,(nr_MEndPm1-$G710+0.5)/$C$670))-MIN(1,MAX(0,(nr_MStartPm1-1-$G710+0.5)/$C$670))</f>
        <v/>
      </c>
      <c r="Q710" s="208">
        <f>MIN(1,MAX(0,(nr_MEndP-$G710+0.5)/$C$670))-MIN(1,MAX(0,(nr_MStartP-1-$G710+0.5)/$C$670))</f>
        <v/>
      </c>
      <c r="R710" s="208">
        <f>MIN(1,MAX(0,(nr_MEndP1-$G710+0.5)/$C$670))-MIN(1,MAX(0,(nr_MStartP1-1-$G710+0.5)/$C$670))</f>
        <v/>
      </c>
      <c r="S710" s="208">
        <f>IF($L$670,$N710*IF($O$670=1,$O710/$F$670,1),"")</f>
        <v/>
      </c>
      <c r="T710" s="208">
        <f>IF(NOT($L$670),"",IF($G710&lt;nr_MStartP,$S710,$T698*(1+IF($G710&lt;nr_MStartP1,$M$670,$N$670))))</f>
        <v/>
      </c>
      <c r="U710" s="208">
        <f>IF($L$670,$T710,$N710)</f>
        <v/>
      </c>
    </row>
    <row r="711">
      <c r="A711" s="145" t="n">
        <v>39</v>
      </c>
      <c r="B711" s="204">
        <f>EDATE($B710,1)</f>
        <v/>
      </c>
      <c r="C711" s="205">
        <f>EOMONTH($B711,0)</f>
        <v/>
      </c>
      <c r="D711" s="201">
        <f>$C711-$B711+1</f>
        <v/>
      </c>
      <c r="E711" s="201">
        <f>MONTH($B711)</f>
        <v/>
      </c>
      <c r="F711" s="235">
        <f>($B711+$C711+1)/2</f>
        <v/>
      </c>
      <c r="G711" s="201">
        <f>YEAR($B711)*12+MONTH($B711)-1</f>
        <v/>
      </c>
      <c r="H711" s="207">
        <f>IF(OR(nr_SeasonOn="OFF",$D$670=0,$E$670=0),1,12*INDEX(se_block,$D$670,$E711)/$E$670)</f>
        <v/>
      </c>
      <c r="I711" s="208">
        <f>EXP(SUMPRODUCT((rl_eff&lt;$B711)*(rl_key=$A$670)*rl_ln1p))</f>
        <v/>
      </c>
      <c r="J711" s="208">
        <f>EXP(SUMPRODUCT((rl_eff&lt;=$C711)*(rl_key=$A$670)*rl_ln1p))</f>
        <v/>
      </c>
      <c r="K711" s="201">
        <f>COUNTIFS(rl_key,$A$670,rl_eff,"&gt;="&amp;$B711,rl_eff,"&lt;="&amp;$C711)</f>
        <v/>
      </c>
      <c r="L711" s="201">
        <f>SUMIFS(rl_daysafter,rl_key,$A$670,rl_effmonth,$B711,rl_first,1)</f>
        <v/>
      </c>
      <c r="M711" s="209">
        <f>IF($K711=0,0,MIN(1,$L711/$D711))</f>
        <v/>
      </c>
      <c r="N711" s="208">
        <f>IF($K711=0,$J711,(1-$M711)*$I711+$M711*$J711)</f>
        <v/>
      </c>
      <c r="O711" s="209">
        <f>IF($F711&lt;$B$671,$E$671+$I$671*($F711-$A$671),IF($F711&lt;$C$671,$F$671+$J$671*($F711-$B$671),$G$671+$K$671*($F711-$C$671)))</f>
        <v/>
      </c>
      <c r="P711" s="208">
        <f>MIN(1,MAX(0,(nr_MEndPm1-$G711+0.5)/$C$670))-MIN(1,MAX(0,(nr_MStartPm1-1-$G711+0.5)/$C$670))</f>
        <v/>
      </c>
      <c r="Q711" s="208">
        <f>MIN(1,MAX(0,(nr_MEndP-$G711+0.5)/$C$670))-MIN(1,MAX(0,(nr_MStartP-1-$G711+0.5)/$C$670))</f>
        <v/>
      </c>
      <c r="R711" s="208">
        <f>MIN(1,MAX(0,(nr_MEndP1-$G711+0.5)/$C$670))-MIN(1,MAX(0,(nr_MStartP1-1-$G711+0.5)/$C$670))</f>
        <v/>
      </c>
      <c r="S711" s="208">
        <f>IF($L$670,$N711*IF($O$670=1,$O711/$F$670,1),"")</f>
        <v/>
      </c>
      <c r="T711" s="208">
        <f>IF(NOT($L$670),"",IF($G711&lt;nr_MStartP,$S711,$T699*(1+IF($G711&lt;nr_MStartP1,$M$670,$N$670))))</f>
        <v/>
      </c>
      <c r="U711" s="208">
        <f>IF($L$670,$T711,$N711)</f>
        <v/>
      </c>
    </row>
    <row r="712">
      <c r="A712" s="145" t="n">
        <v>40</v>
      </c>
      <c r="B712" s="204">
        <f>EDATE($B711,1)</f>
        <v/>
      </c>
      <c r="C712" s="205">
        <f>EOMONTH($B712,0)</f>
        <v/>
      </c>
      <c r="D712" s="201">
        <f>$C712-$B712+1</f>
        <v/>
      </c>
      <c r="E712" s="201">
        <f>MONTH($B712)</f>
        <v/>
      </c>
      <c r="F712" s="235">
        <f>($B712+$C712+1)/2</f>
        <v/>
      </c>
      <c r="G712" s="201">
        <f>YEAR($B712)*12+MONTH($B712)-1</f>
        <v/>
      </c>
      <c r="H712" s="207">
        <f>IF(OR(nr_SeasonOn="OFF",$D$670=0,$E$670=0),1,12*INDEX(se_block,$D$670,$E712)/$E$670)</f>
        <v/>
      </c>
      <c r="I712" s="208">
        <f>EXP(SUMPRODUCT((rl_eff&lt;$B712)*(rl_key=$A$670)*rl_ln1p))</f>
        <v/>
      </c>
      <c r="J712" s="208">
        <f>EXP(SUMPRODUCT((rl_eff&lt;=$C712)*(rl_key=$A$670)*rl_ln1p))</f>
        <v/>
      </c>
      <c r="K712" s="201">
        <f>COUNTIFS(rl_key,$A$670,rl_eff,"&gt;="&amp;$B712,rl_eff,"&lt;="&amp;$C712)</f>
        <v/>
      </c>
      <c r="L712" s="201">
        <f>SUMIFS(rl_daysafter,rl_key,$A$670,rl_effmonth,$B712,rl_first,1)</f>
        <v/>
      </c>
      <c r="M712" s="209">
        <f>IF($K712=0,0,MIN(1,$L712/$D712))</f>
        <v/>
      </c>
      <c r="N712" s="208">
        <f>IF($K712=0,$J712,(1-$M712)*$I712+$M712*$J712)</f>
        <v/>
      </c>
      <c r="O712" s="209">
        <f>IF($F712&lt;$B$671,$E$671+$I$671*($F712-$A$671),IF($F712&lt;$C$671,$F$671+$J$671*($F712-$B$671),$G$671+$K$671*($F712-$C$671)))</f>
        <v/>
      </c>
      <c r="P712" s="208">
        <f>MIN(1,MAX(0,(nr_MEndPm1-$G712+0.5)/$C$670))-MIN(1,MAX(0,(nr_MStartPm1-1-$G712+0.5)/$C$670))</f>
        <v/>
      </c>
      <c r="Q712" s="208">
        <f>MIN(1,MAX(0,(nr_MEndP-$G712+0.5)/$C$670))-MIN(1,MAX(0,(nr_MStartP-1-$G712+0.5)/$C$670))</f>
        <v/>
      </c>
      <c r="R712" s="208">
        <f>MIN(1,MAX(0,(nr_MEndP1-$G712+0.5)/$C$670))-MIN(1,MAX(0,(nr_MStartP1-1-$G712+0.5)/$C$670))</f>
        <v/>
      </c>
      <c r="S712" s="208">
        <f>IF($L$670,$N712*IF($O$670=1,$O712/$F$670,1),"")</f>
        <v/>
      </c>
      <c r="T712" s="208">
        <f>IF(NOT($L$670),"",IF($G712&lt;nr_MStartP,$S712,$T700*(1+IF($G712&lt;nr_MStartP1,$M$670,$N$670))))</f>
        <v/>
      </c>
      <c r="U712" s="208">
        <f>IF($L$670,$T712,$N712)</f>
        <v/>
      </c>
    </row>
    <row r="713">
      <c r="A713" s="145" t="n">
        <v>41</v>
      </c>
      <c r="B713" s="204">
        <f>EDATE($B712,1)</f>
        <v/>
      </c>
      <c r="C713" s="205">
        <f>EOMONTH($B713,0)</f>
        <v/>
      </c>
      <c r="D713" s="201">
        <f>$C713-$B713+1</f>
        <v/>
      </c>
      <c r="E713" s="201">
        <f>MONTH($B713)</f>
        <v/>
      </c>
      <c r="F713" s="235">
        <f>($B713+$C713+1)/2</f>
        <v/>
      </c>
      <c r="G713" s="201">
        <f>YEAR($B713)*12+MONTH($B713)-1</f>
        <v/>
      </c>
      <c r="H713" s="207">
        <f>IF(OR(nr_SeasonOn="OFF",$D$670=0,$E$670=0),1,12*INDEX(se_block,$D$670,$E713)/$E$670)</f>
        <v/>
      </c>
      <c r="I713" s="208">
        <f>EXP(SUMPRODUCT((rl_eff&lt;$B713)*(rl_key=$A$670)*rl_ln1p))</f>
        <v/>
      </c>
      <c r="J713" s="208">
        <f>EXP(SUMPRODUCT((rl_eff&lt;=$C713)*(rl_key=$A$670)*rl_ln1p))</f>
        <v/>
      </c>
      <c r="K713" s="201">
        <f>COUNTIFS(rl_key,$A$670,rl_eff,"&gt;="&amp;$B713,rl_eff,"&lt;="&amp;$C713)</f>
        <v/>
      </c>
      <c r="L713" s="201">
        <f>SUMIFS(rl_daysafter,rl_key,$A$670,rl_effmonth,$B713,rl_first,1)</f>
        <v/>
      </c>
      <c r="M713" s="209">
        <f>IF($K713=0,0,MIN(1,$L713/$D713))</f>
        <v/>
      </c>
      <c r="N713" s="208">
        <f>IF($K713=0,$J713,(1-$M713)*$I713+$M713*$J713)</f>
        <v/>
      </c>
      <c r="O713" s="209">
        <f>IF($F713&lt;$B$671,$E$671+$I$671*($F713-$A$671),IF($F713&lt;$C$671,$F$671+$J$671*($F713-$B$671),$G$671+$K$671*($F713-$C$671)))</f>
        <v/>
      </c>
      <c r="P713" s="208">
        <f>MIN(1,MAX(0,(nr_MEndPm1-$G713+0.5)/$C$670))-MIN(1,MAX(0,(nr_MStartPm1-1-$G713+0.5)/$C$670))</f>
        <v/>
      </c>
      <c r="Q713" s="208">
        <f>MIN(1,MAX(0,(nr_MEndP-$G713+0.5)/$C$670))-MIN(1,MAX(0,(nr_MStartP-1-$G713+0.5)/$C$670))</f>
        <v/>
      </c>
      <c r="R713" s="208">
        <f>MIN(1,MAX(0,(nr_MEndP1-$G713+0.5)/$C$670))-MIN(1,MAX(0,(nr_MStartP1-1-$G713+0.5)/$C$670))</f>
        <v/>
      </c>
      <c r="S713" s="208">
        <f>IF($L$670,$N713*IF($O$670=1,$O713/$F$670,1),"")</f>
        <v/>
      </c>
      <c r="T713" s="208">
        <f>IF(NOT($L$670),"",IF($G713&lt;nr_MStartP,$S713,$T701*(1+IF($G713&lt;nr_MStartP1,$M$670,$N$670))))</f>
        <v/>
      </c>
      <c r="U713" s="208">
        <f>IF($L$670,$T713,$N713)</f>
        <v/>
      </c>
    </row>
    <row r="714">
      <c r="A714" s="145" t="n">
        <v>42</v>
      </c>
      <c r="B714" s="204">
        <f>EDATE($B713,1)</f>
        <v/>
      </c>
      <c r="C714" s="205">
        <f>EOMONTH($B714,0)</f>
        <v/>
      </c>
      <c r="D714" s="201">
        <f>$C714-$B714+1</f>
        <v/>
      </c>
      <c r="E714" s="201">
        <f>MONTH($B714)</f>
        <v/>
      </c>
      <c r="F714" s="235">
        <f>($B714+$C714+1)/2</f>
        <v/>
      </c>
      <c r="G714" s="201">
        <f>YEAR($B714)*12+MONTH($B714)-1</f>
        <v/>
      </c>
      <c r="H714" s="207">
        <f>IF(OR(nr_SeasonOn="OFF",$D$670=0,$E$670=0),1,12*INDEX(se_block,$D$670,$E714)/$E$670)</f>
        <v/>
      </c>
      <c r="I714" s="208">
        <f>EXP(SUMPRODUCT((rl_eff&lt;$B714)*(rl_key=$A$670)*rl_ln1p))</f>
        <v/>
      </c>
      <c r="J714" s="208">
        <f>EXP(SUMPRODUCT((rl_eff&lt;=$C714)*(rl_key=$A$670)*rl_ln1p))</f>
        <v/>
      </c>
      <c r="K714" s="201">
        <f>COUNTIFS(rl_key,$A$670,rl_eff,"&gt;="&amp;$B714,rl_eff,"&lt;="&amp;$C714)</f>
        <v/>
      </c>
      <c r="L714" s="201">
        <f>SUMIFS(rl_daysafter,rl_key,$A$670,rl_effmonth,$B714,rl_first,1)</f>
        <v/>
      </c>
      <c r="M714" s="209">
        <f>IF($K714=0,0,MIN(1,$L714/$D714))</f>
        <v/>
      </c>
      <c r="N714" s="208">
        <f>IF($K714=0,$J714,(1-$M714)*$I714+$M714*$J714)</f>
        <v/>
      </c>
      <c r="O714" s="209">
        <f>IF($F714&lt;$B$671,$E$671+$I$671*($F714-$A$671),IF($F714&lt;$C$671,$F$671+$J$671*($F714-$B$671),$G$671+$K$671*($F714-$C$671)))</f>
        <v/>
      </c>
      <c r="P714" s="208">
        <f>MIN(1,MAX(0,(nr_MEndPm1-$G714+0.5)/$C$670))-MIN(1,MAX(0,(nr_MStartPm1-1-$G714+0.5)/$C$670))</f>
        <v/>
      </c>
      <c r="Q714" s="208">
        <f>MIN(1,MAX(0,(nr_MEndP-$G714+0.5)/$C$670))-MIN(1,MAX(0,(nr_MStartP-1-$G714+0.5)/$C$670))</f>
        <v/>
      </c>
      <c r="R714" s="208">
        <f>MIN(1,MAX(0,(nr_MEndP1-$G714+0.5)/$C$670))-MIN(1,MAX(0,(nr_MStartP1-1-$G714+0.5)/$C$670))</f>
        <v/>
      </c>
      <c r="S714" s="208">
        <f>IF($L$670,$N714*IF($O$670=1,$O714/$F$670,1),"")</f>
        <v/>
      </c>
      <c r="T714" s="208">
        <f>IF(NOT($L$670),"",IF($G714&lt;nr_MStartP,$S714,$T702*(1+IF($G714&lt;nr_MStartP1,$M$670,$N$670))))</f>
        <v/>
      </c>
      <c r="U714" s="208">
        <f>IF($L$670,$T714,$N714)</f>
        <v/>
      </c>
    </row>
    <row r="715">
      <c r="A715" s="145" t="n">
        <v>43</v>
      </c>
      <c r="B715" s="204">
        <f>EDATE($B714,1)</f>
        <v/>
      </c>
      <c r="C715" s="205">
        <f>EOMONTH($B715,0)</f>
        <v/>
      </c>
      <c r="D715" s="201">
        <f>$C715-$B715+1</f>
        <v/>
      </c>
      <c r="E715" s="201">
        <f>MONTH($B715)</f>
        <v/>
      </c>
      <c r="F715" s="235">
        <f>($B715+$C715+1)/2</f>
        <v/>
      </c>
      <c r="G715" s="201">
        <f>YEAR($B715)*12+MONTH($B715)-1</f>
        <v/>
      </c>
      <c r="H715" s="207">
        <f>IF(OR(nr_SeasonOn="OFF",$D$670=0,$E$670=0),1,12*INDEX(se_block,$D$670,$E715)/$E$670)</f>
        <v/>
      </c>
      <c r="I715" s="208">
        <f>EXP(SUMPRODUCT((rl_eff&lt;$B715)*(rl_key=$A$670)*rl_ln1p))</f>
        <v/>
      </c>
      <c r="J715" s="208">
        <f>EXP(SUMPRODUCT((rl_eff&lt;=$C715)*(rl_key=$A$670)*rl_ln1p))</f>
        <v/>
      </c>
      <c r="K715" s="201">
        <f>COUNTIFS(rl_key,$A$670,rl_eff,"&gt;="&amp;$B715,rl_eff,"&lt;="&amp;$C715)</f>
        <v/>
      </c>
      <c r="L715" s="201">
        <f>SUMIFS(rl_daysafter,rl_key,$A$670,rl_effmonth,$B715,rl_first,1)</f>
        <v/>
      </c>
      <c r="M715" s="209">
        <f>IF($K715=0,0,MIN(1,$L715/$D715))</f>
        <v/>
      </c>
      <c r="N715" s="208">
        <f>IF($K715=0,$J715,(1-$M715)*$I715+$M715*$J715)</f>
        <v/>
      </c>
      <c r="O715" s="209">
        <f>IF($F715&lt;$B$671,$E$671+$I$671*($F715-$A$671),IF($F715&lt;$C$671,$F$671+$J$671*($F715-$B$671),$G$671+$K$671*($F715-$C$671)))</f>
        <v/>
      </c>
      <c r="P715" s="208">
        <f>MIN(1,MAX(0,(nr_MEndPm1-$G715+0.5)/$C$670))-MIN(1,MAX(0,(nr_MStartPm1-1-$G715+0.5)/$C$670))</f>
        <v/>
      </c>
      <c r="Q715" s="208">
        <f>MIN(1,MAX(0,(nr_MEndP-$G715+0.5)/$C$670))-MIN(1,MAX(0,(nr_MStartP-1-$G715+0.5)/$C$670))</f>
        <v/>
      </c>
      <c r="R715" s="208">
        <f>MIN(1,MAX(0,(nr_MEndP1-$G715+0.5)/$C$670))-MIN(1,MAX(0,(nr_MStartP1-1-$G715+0.5)/$C$670))</f>
        <v/>
      </c>
      <c r="S715" s="208">
        <f>IF($L$670,$N715*IF($O$670=1,$O715/$F$670,1),"")</f>
        <v/>
      </c>
      <c r="T715" s="208">
        <f>IF(NOT($L$670),"",IF($G715&lt;nr_MStartP,$S715,$T703*(1+IF($G715&lt;nr_MStartP1,$M$670,$N$670))))</f>
        <v/>
      </c>
      <c r="U715" s="208">
        <f>IF($L$670,$T715,$N715)</f>
        <v/>
      </c>
    </row>
    <row r="716">
      <c r="A716" s="145" t="n">
        <v>44</v>
      </c>
      <c r="B716" s="204">
        <f>EDATE($B715,1)</f>
        <v/>
      </c>
      <c r="C716" s="205">
        <f>EOMONTH($B716,0)</f>
        <v/>
      </c>
      <c r="D716" s="201">
        <f>$C716-$B716+1</f>
        <v/>
      </c>
      <c r="E716" s="201">
        <f>MONTH($B716)</f>
        <v/>
      </c>
      <c r="F716" s="235">
        <f>($B716+$C716+1)/2</f>
        <v/>
      </c>
      <c r="G716" s="201">
        <f>YEAR($B716)*12+MONTH($B716)-1</f>
        <v/>
      </c>
      <c r="H716" s="207">
        <f>IF(OR(nr_SeasonOn="OFF",$D$670=0,$E$670=0),1,12*INDEX(se_block,$D$670,$E716)/$E$670)</f>
        <v/>
      </c>
      <c r="I716" s="208">
        <f>EXP(SUMPRODUCT((rl_eff&lt;$B716)*(rl_key=$A$670)*rl_ln1p))</f>
        <v/>
      </c>
      <c r="J716" s="208">
        <f>EXP(SUMPRODUCT((rl_eff&lt;=$C716)*(rl_key=$A$670)*rl_ln1p))</f>
        <v/>
      </c>
      <c r="K716" s="201">
        <f>COUNTIFS(rl_key,$A$670,rl_eff,"&gt;="&amp;$B716,rl_eff,"&lt;="&amp;$C716)</f>
        <v/>
      </c>
      <c r="L716" s="201">
        <f>SUMIFS(rl_daysafter,rl_key,$A$670,rl_effmonth,$B716,rl_first,1)</f>
        <v/>
      </c>
      <c r="M716" s="209">
        <f>IF($K716=0,0,MIN(1,$L716/$D716))</f>
        <v/>
      </c>
      <c r="N716" s="208">
        <f>IF($K716=0,$J716,(1-$M716)*$I716+$M716*$J716)</f>
        <v/>
      </c>
      <c r="O716" s="209">
        <f>IF($F716&lt;$B$671,$E$671+$I$671*($F716-$A$671),IF($F716&lt;$C$671,$F$671+$J$671*($F716-$B$671),$G$671+$K$671*($F716-$C$671)))</f>
        <v/>
      </c>
      <c r="P716" s="208">
        <f>MIN(1,MAX(0,(nr_MEndPm1-$G716+0.5)/$C$670))-MIN(1,MAX(0,(nr_MStartPm1-1-$G716+0.5)/$C$670))</f>
        <v/>
      </c>
      <c r="Q716" s="208">
        <f>MIN(1,MAX(0,(nr_MEndP-$G716+0.5)/$C$670))-MIN(1,MAX(0,(nr_MStartP-1-$G716+0.5)/$C$670))</f>
        <v/>
      </c>
      <c r="R716" s="208">
        <f>MIN(1,MAX(0,(nr_MEndP1-$G716+0.5)/$C$670))-MIN(1,MAX(0,(nr_MStartP1-1-$G716+0.5)/$C$670))</f>
        <v/>
      </c>
      <c r="S716" s="208">
        <f>IF($L$670,$N716*IF($O$670=1,$O716/$F$670,1),"")</f>
        <v/>
      </c>
      <c r="T716" s="208">
        <f>IF(NOT($L$670),"",IF($G716&lt;nr_MStartP,$S716,$T704*(1+IF($G716&lt;nr_MStartP1,$M$670,$N$670))))</f>
        <v/>
      </c>
      <c r="U716" s="208">
        <f>IF($L$670,$T716,$N716)</f>
        <v/>
      </c>
    </row>
    <row r="717">
      <c r="A717" s="145" t="n">
        <v>45</v>
      </c>
      <c r="B717" s="204">
        <f>EDATE($B716,1)</f>
        <v/>
      </c>
      <c r="C717" s="205">
        <f>EOMONTH($B717,0)</f>
        <v/>
      </c>
      <c r="D717" s="201">
        <f>$C717-$B717+1</f>
        <v/>
      </c>
      <c r="E717" s="201">
        <f>MONTH($B717)</f>
        <v/>
      </c>
      <c r="F717" s="235">
        <f>($B717+$C717+1)/2</f>
        <v/>
      </c>
      <c r="G717" s="201">
        <f>YEAR($B717)*12+MONTH($B717)-1</f>
        <v/>
      </c>
      <c r="H717" s="207">
        <f>IF(OR(nr_SeasonOn="OFF",$D$670=0,$E$670=0),1,12*INDEX(se_block,$D$670,$E717)/$E$670)</f>
        <v/>
      </c>
      <c r="I717" s="208">
        <f>EXP(SUMPRODUCT((rl_eff&lt;$B717)*(rl_key=$A$670)*rl_ln1p))</f>
        <v/>
      </c>
      <c r="J717" s="208">
        <f>EXP(SUMPRODUCT((rl_eff&lt;=$C717)*(rl_key=$A$670)*rl_ln1p))</f>
        <v/>
      </c>
      <c r="K717" s="201">
        <f>COUNTIFS(rl_key,$A$670,rl_eff,"&gt;="&amp;$B717,rl_eff,"&lt;="&amp;$C717)</f>
        <v/>
      </c>
      <c r="L717" s="201">
        <f>SUMIFS(rl_daysafter,rl_key,$A$670,rl_effmonth,$B717,rl_first,1)</f>
        <v/>
      </c>
      <c r="M717" s="209">
        <f>IF($K717=0,0,MIN(1,$L717/$D717))</f>
        <v/>
      </c>
      <c r="N717" s="208">
        <f>IF($K717=0,$J717,(1-$M717)*$I717+$M717*$J717)</f>
        <v/>
      </c>
      <c r="O717" s="209">
        <f>IF($F717&lt;$B$671,$E$671+$I$671*($F717-$A$671),IF($F717&lt;$C$671,$F$671+$J$671*($F717-$B$671),$G$671+$K$671*($F717-$C$671)))</f>
        <v/>
      </c>
      <c r="P717" s="208">
        <f>MIN(1,MAX(0,(nr_MEndPm1-$G717+0.5)/$C$670))-MIN(1,MAX(0,(nr_MStartPm1-1-$G717+0.5)/$C$670))</f>
        <v/>
      </c>
      <c r="Q717" s="208">
        <f>MIN(1,MAX(0,(nr_MEndP-$G717+0.5)/$C$670))-MIN(1,MAX(0,(nr_MStartP-1-$G717+0.5)/$C$670))</f>
        <v/>
      </c>
      <c r="R717" s="208">
        <f>MIN(1,MAX(0,(nr_MEndP1-$G717+0.5)/$C$670))-MIN(1,MAX(0,(nr_MStartP1-1-$G717+0.5)/$C$670))</f>
        <v/>
      </c>
      <c r="S717" s="208">
        <f>IF($L$670,$N717*IF($O$670=1,$O717/$F$670,1),"")</f>
        <v/>
      </c>
      <c r="T717" s="208">
        <f>IF(NOT($L$670),"",IF($G717&lt;nr_MStartP,$S717,$T705*(1+IF($G717&lt;nr_MStartP1,$M$670,$N$670))))</f>
        <v/>
      </c>
      <c r="U717" s="208">
        <f>IF($L$670,$T717,$N717)</f>
        <v/>
      </c>
    </row>
    <row r="718">
      <c r="A718" s="145" t="n">
        <v>46</v>
      </c>
      <c r="B718" s="204">
        <f>EDATE($B717,1)</f>
        <v/>
      </c>
      <c r="C718" s="205">
        <f>EOMONTH($B718,0)</f>
        <v/>
      </c>
      <c r="D718" s="201">
        <f>$C718-$B718+1</f>
        <v/>
      </c>
      <c r="E718" s="201">
        <f>MONTH($B718)</f>
        <v/>
      </c>
      <c r="F718" s="235">
        <f>($B718+$C718+1)/2</f>
        <v/>
      </c>
      <c r="G718" s="201">
        <f>YEAR($B718)*12+MONTH($B718)-1</f>
        <v/>
      </c>
      <c r="H718" s="207">
        <f>IF(OR(nr_SeasonOn="OFF",$D$670=0,$E$670=0),1,12*INDEX(se_block,$D$670,$E718)/$E$670)</f>
        <v/>
      </c>
      <c r="I718" s="208">
        <f>EXP(SUMPRODUCT((rl_eff&lt;$B718)*(rl_key=$A$670)*rl_ln1p))</f>
        <v/>
      </c>
      <c r="J718" s="208">
        <f>EXP(SUMPRODUCT((rl_eff&lt;=$C718)*(rl_key=$A$670)*rl_ln1p))</f>
        <v/>
      </c>
      <c r="K718" s="201">
        <f>COUNTIFS(rl_key,$A$670,rl_eff,"&gt;="&amp;$B718,rl_eff,"&lt;="&amp;$C718)</f>
        <v/>
      </c>
      <c r="L718" s="201">
        <f>SUMIFS(rl_daysafter,rl_key,$A$670,rl_effmonth,$B718,rl_first,1)</f>
        <v/>
      </c>
      <c r="M718" s="209">
        <f>IF($K718=0,0,MIN(1,$L718/$D718))</f>
        <v/>
      </c>
      <c r="N718" s="208">
        <f>IF($K718=0,$J718,(1-$M718)*$I718+$M718*$J718)</f>
        <v/>
      </c>
      <c r="O718" s="209">
        <f>IF($F718&lt;$B$671,$E$671+$I$671*($F718-$A$671),IF($F718&lt;$C$671,$F$671+$J$671*($F718-$B$671),$G$671+$K$671*($F718-$C$671)))</f>
        <v/>
      </c>
      <c r="P718" s="208">
        <f>MIN(1,MAX(0,(nr_MEndPm1-$G718+0.5)/$C$670))-MIN(1,MAX(0,(nr_MStartPm1-1-$G718+0.5)/$C$670))</f>
        <v/>
      </c>
      <c r="Q718" s="208">
        <f>MIN(1,MAX(0,(nr_MEndP-$G718+0.5)/$C$670))-MIN(1,MAX(0,(nr_MStartP-1-$G718+0.5)/$C$670))</f>
        <v/>
      </c>
      <c r="R718" s="208">
        <f>MIN(1,MAX(0,(nr_MEndP1-$G718+0.5)/$C$670))-MIN(1,MAX(0,(nr_MStartP1-1-$G718+0.5)/$C$670))</f>
        <v/>
      </c>
      <c r="S718" s="208">
        <f>IF($L$670,$N718*IF($O$670=1,$O718/$F$670,1),"")</f>
        <v/>
      </c>
      <c r="T718" s="208">
        <f>IF(NOT($L$670),"",IF($G718&lt;nr_MStartP,$S718,$T706*(1+IF($G718&lt;nr_MStartP1,$M$670,$N$670))))</f>
        <v/>
      </c>
      <c r="U718" s="208">
        <f>IF($L$670,$T718,$N718)</f>
        <v/>
      </c>
    </row>
    <row r="719">
      <c r="A719" s="145" t="n">
        <v>47</v>
      </c>
      <c r="B719" s="204">
        <f>EDATE($B718,1)</f>
        <v/>
      </c>
      <c r="C719" s="205">
        <f>EOMONTH($B719,0)</f>
        <v/>
      </c>
      <c r="D719" s="201">
        <f>$C719-$B719+1</f>
        <v/>
      </c>
      <c r="E719" s="201">
        <f>MONTH($B719)</f>
        <v/>
      </c>
      <c r="F719" s="235">
        <f>($B719+$C719+1)/2</f>
        <v/>
      </c>
      <c r="G719" s="201">
        <f>YEAR($B719)*12+MONTH($B719)-1</f>
        <v/>
      </c>
      <c r="H719" s="207">
        <f>IF(OR(nr_SeasonOn="OFF",$D$670=0,$E$670=0),1,12*INDEX(se_block,$D$670,$E719)/$E$670)</f>
        <v/>
      </c>
      <c r="I719" s="208">
        <f>EXP(SUMPRODUCT((rl_eff&lt;$B719)*(rl_key=$A$670)*rl_ln1p))</f>
        <v/>
      </c>
      <c r="J719" s="208">
        <f>EXP(SUMPRODUCT((rl_eff&lt;=$C719)*(rl_key=$A$670)*rl_ln1p))</f>
        <v/>
      </c>
      <c r="K719" s="201">
        <f>COUNTIFS(rl_key,$A$670,rl_eff,"&gt;="&amp;$B719,rl_eff,"&lt;="&amp;$C719)</f>
        <v/>
      </c>
      <c r="L719" s="201">
        <f>SUMIFS(rl_daysafter,rl_key,$A$670,rl_effmonth,$B719,rl_first,1)</f>
        <v/>
      </c>
      <c r="M719" s="209">
        <f>IF($K719=0,0,MIN(1,$L719/$D719))</f>
        <v/>
      </c>
      <c r="N719" s="208">
        <f>IF($K719=0,$J719,(1-$M719)*$I719+$M719*$J719)</f>
        <v/>
      </c>
      <c r="O719" s="209">
        <f>IF($F719&lt;$B$671,$E$671+$I$671*($F719-$A$671),IF($F719&lt;$C$671,$F$671+$J$671*($F719-$B$671),$G$671+$K$671*($F719-$C$671)))</f>
        <v/>
      </c>
      <c r="P719" s="208">
        <f>MIN(1,MAX(0,(nr_MEndPm1-$G719+0.5)/$C$670))-MIN(1,MAX(0,(nr_MStartPm1-1-$G719+0.5)/$C$670))</f>
        <v/>
      </c>
      <c r="Q719" s="208">
        <f>MIN(1,MAX(0,(nr_MEndP-$G719+0.5)/$C$670))-MIN(1,MAX(0,(nr_MStartP-1-$G719+0.5)/$C$670))</f>
        <v/>
      </c>
      <c r="R719" s="208">
        <f>MIN(1,MAX(0,(nr_MEndP1-$G719+0.5)/$C$670))-MIN(1,MAX(0,(nr_MStartP1-1-$G719+0.5)/$C$670))</f>
        <v/>
      </c>
      <c r="S719" s="208">
        <f>IF($L$670,$N719*IF($O$670=1,$O719/$F$670,1),"")</f>
        <v/>
      </c>
      <c r="T719" s="208">
        <f>IF(NOT($L$670),"",IF($G719&lt;nr_MStartP,$S719,$T707*(1+IF($G719&lt;nr_MStartP1,$M$670,$N$670))))</f>
        <v/>
      </c>
      <c r="U719" s="208">
        <f>IF($L$670,$T719,$N719)</f>
        <v/>
      </c>
    </row>
    <row r="720">
      <c r="A720" s="145" t="n">
        <v>48</v>
      </c>
      <c r="B720" s="204">
        <f>EDATE($B719,1)</f>
        <v/>
      </c>
      <c r="C720" s="205">
        <f>EOMONTH($B720,0)</f>
        <v/>
      </c>
      <c r="D720" s="201">
        <f>$C720-$B720+1</f>
        <v/>
      </c>
      <c r="E720" s="201">
        <f>MONTH($B720)</f>
        <v/>
      </c>
      <c r="F720" s="235">
        <f>($B720+$C720+1)/2</f>
        <v/>
      </c>
      <c r="G720" s="201">
        <f>YEAR($B720)*12+MONTH($B720)-1</f>
        <v/>
      </c>
      <c r="H720" s="207">
        <f>IF(OR(nr_SeasonOn="OFF",$D$670=0,$E$670=0),1,12*INDEX(se_block,$D$670,$E720)/$E$670)</f>
        <v/>
      </c>
      <c r="I720" s="208">
        <f>EXP(SUMPRODUCT((rl_eff&lt;$B720)*(rl_key=$A$670)*rl_ln1p))</f>
        <v/>
      </c>
      <c r="J720" s="208">
        <f>EXP(SUMPRODUCT((rl_eff&lt;=$C720)*(rl_key=$A$670)*rl_ln1p))</f>
        <v/>
      </c>
      <c r="K720" s="201">
        <f>COUNTIFS(rl_key,$A$670,rl_eff,"&gt;="&amp;$B720,rl_eff,"&lt;="&amp;$C720)</f>
        <v/>
      </c>
      <c r="L720" s="201">
        <f>SUMIFS(rl_daysafter,rl_key,$A$670,rl_effmonth,$B720,rl_first,1)</f>
        <v/>
      </c>
      <c r="M720" s="209">
        <f>IF($K720=0,0,MIN(1,$L720/$D720))</f>
        <v/>
      </c>
      <c r="N720" s="208">
        <f>IF($K720=0,$J720,(1-$M720)*$I720+$M720*$J720)</f>
        <v/>
      </c>
      <c r="O720" s="209">
        <f>IF($F720&lt;$B$671,$E$671+$I$671*($F720-$A$671),IF($F720&lt;$C$671,$F$671+$J$671*($F720-$B$671),$G$671+$K$671*($F720-$C$671)))</f>
        <v/>
      </c>
      <c r="P720" s="208">
        <f>MIN(1,MAX(0,(nr_MEndPm1-$G720+0.5)/$C$670))-MIN(1,MAX(0,(nr_MStartPm1-1-$G720+0.5)/$C$670))</f>
        <v/>
      </c>
      <c r="Q720" s="208">
        <f>MIN(1,MAX(0,(nr_MEndP-$G720+0.5)/$C$670))-MIN(1,MAX(0,(nr_MStartP-1-$G720+0.5)/$C$670))</f>
        <v/>
      </c>
      <c r="R720" s="208">
        <f>MIN(1,MAX(0,(nr_MEndP1-$G720+0.5)/$C$670))-MIN(1,MAX(0,(nr_MStartP1-1-$G720+0.5)/$C$670))</f>
        <v/>
      </c>
      <c r="S720" s="208">
        <f>IF($L$670,$N720*IF($O$670=1,$O720/$F$670,1),"")</f>
        <v/>
      </c>
      <c r="T720" s="208">
        <f>IF(NOT($L$670),"",IF($G720&lt;nr_MStartP,$S720,$T708*(1+IF($G720&lt;nr_MStartP1,$M$670,$N$670))))</f>
        <v/>
      </c>
      <c r="U720" s="208">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184">
        <f>SUMPRODUCT($H$673:$H$720,$Q$673:$Q$720,$O$673:$O$720)/SUMPRODUCT($H$673:$H$720,$Q$673:$Q$720)</f>
        <v/>
      </c>
      <c r="G721" s="184">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184">
        <f>IF(N(INDEX(lr_mind,13))=0,1,INDEX(lr_mind,13))</f>
        <v/>
      </c>
      <c r="G724" s="184">
        <f>IF(N(INDEX(lr_m0,13))=0,1,INDEX(lr_m0,13))</f>
        <v/>
      </c>
      <c r="H724" s="73">
        <f>IF(N(INDEX(lr_m0asof,13))=0,DATE(nr_PlanYear-1,10,1),INDEX(lr_m0asof,13))</f>
        <v/>
      </c>
      <c r="I724" s="184">
        <f>IF(N(INDEX(lr_m1,13))=0,1,INDEX(lr_m1,13))</f>
        <v/>
      </c>
      <c r="J724" s="184">
        <f>INDEX(lr_mprior,13)</f>
        <v/>
      </c>
      <c r="K724" s="184">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145" t="n">
        <v>1</v>
      </c>
      <c r="B727" s="204">
        <f>DATE(nr_PlanYear-2,1,1)</f>
        <v/>
      </c>
      <c r="C727" s="205">
        <f>EOMONTH($B727,0)</f>
        <v/>
      </c>
      <c r="D727" s="201">
        <f>$C727-$B727+1</f>
        <v/>
      </c>
      <c r="E727" s="201">
        <f>MONTH($B727)</f>
        <v/>
      </c>
      <c r="F727" s="235">
        <f>($B727+$C727+1)/2</f>
        <v/>
      </c>
      <c r="G727" s="201">
        <f>YEAR($B727)*12+MONTH($B727)-1</f>
        <v/>
      </c>
      <c r="H727" s="207">
        <f>IF(OR(nr_SeasonOn="OFF",$D$724=0,$E$724=0),1,12*INDEX(se_block,$D$724,$E727)/$E$724)</f>
        <v/>
      </c>
      <c r="I727" s="208">
        <f>EXP(SUMPRODUCT((rl_eff&lt;$B727)*(rl_key=$A$724)*rl_ln1p))</f>
        <v/>
      </c>
      <c r="J727" s="208">
        <f>EXP(SUMPRODUCT((rl_eff&lt;=$C727)*(rl_key=$A$724)*rl_ln1p))</f>
        <v/>
      </c>
      <c r="K727" s="201">
        <f>COUNTIFS(rl_key,$A$724,rl_eff,"&gt;="&amp;$B727,rl_eff,"&lt;="&amp;$C727)</f>
        <v/>
      </c>
      <c r="L727" s="201">
        <f>SUMIFS(rl_daysafter,rl_key,$A$724,rl_effmonth,$B727,rl_first,1)</f>
        <v/>
      </c>
      <c r="M727" s="209">
        <f>IF($K727=0,0,MIN(1,$L727/$D727))</f>
        <v/>
      </c>
      <c r="N727" s="208">
        <f>IF($K727=0,$J727,(1-$M727)*$I727+$M727*$J727)</f>
        <v/>
      </c>
      <c r="O727" s="209">
        <f>IF($F727&lt;$B$725,$E$725+$I$725*($F727-$A$725),IF($F727&lt;$C$725,$F$725+$J$725*($F727-$B$725),$G$725+$K$725*($F727-$C$725)))</f>
        <v/>
      </c>
      <c r="P727" s="208">
        <f>MIN(1,MAX(0,(nr_MEndPm1-$G727+0.5)/$C$724))-MIN(1,MAX(0,(nr_MStartPm1-1-$G727+0.5)/$C$724))</f>
        <v/>
      </c>
      <c r="Q727" s="208">
        <f>MIN(1,MAX(0,(nr_MEndP-$G727+0.5)/$C$724))-MIN(1,MAX(0,(nr_MStartP-1-$G727+0.5)/$C$724))</f>
        <v/>
      </c>
      <c r="R727" s="208">
        <f>MIN(1,MAX(0,(nr_MEndP1-$G727+0.5)/$C$724))-MIN(1,MAX(0,(nr_MStartP1-1-$G727+0.5)/$C$724))</f>
        <v/>
      </c>
      <c r="S727" s="208">
        <f>IF($L$724,$N727*IF($O$724=1,$O727/$F$724,1),"")</f>
        <v/>
      </c>
      <c r="T727" s="208">
        <f>IF(NOT($L$724),"",IF($G727&lt;nr_MStartP,$S727,$T715*(1+IF($G727&lt;nr_MStartP1,$M$724,$N$724))))</f>
        <v/>
      </c>
      <c r="U727" s="208">
        <f>IF($L$724,$T727,$N727)</f>
        <v/>
      </c>
    </row>
    <row r="728">
      <c r="A728" s="145" t="n">
        <v>2</v>
      </c>
      <c r="B728" s="204">
        <f>EDATE($B727,1)</f>
        <v/>
      </c>
      <c r="C728" s="205">
        <f>EOMONTH($B728,0)</f>
        <v/>
      </c>
      <c r="D728" s="201">
        <f>$C728-$B728+1</f>
        <v/>
      </c>
      <c r="E728" s="201">
        <f>MONTH($B728)</f>
        <v/>
      </c>
      <c r="F728" s="235">
        <f>($B728+$C728+1)/2</f>
        <v/>
      </c>
      <c r="G728" s="201">
        <f>YEAR($B728)*12+MONTH($B728)-1</f>
        <v/>
      </c>
      <c r="H728" s="207">
        <f>IF(OR(nr_SeasonOn="OFF",$D$724=0,$E$724=0),1,12*INDEX(se_block,$D$724,$E728)/$E$724)</f>
        <v/>
      </c>
      <c r="I728" s="208">
        <f>EXP(SUMPRODUCT((rl_eff&lt;$B728)*(rl_key=$A$724)*rl_ln1p))</f>
        <v/>
      </c>
      <c r="J728" s="208">
        <f>EXP(SUMPRODUCT((rl_eff&lt;=$C728)*(rl_key=$A$724)*rl_ln1p))</f>
        <v/>
      </c>
      <c r="K728" s="201">
        <f>COUNTIFS(rl_key,$A$724,rl_eff,"&gt;="&amp;$B728,rl_eff,"&lt;="&amp;$C728)</f>
        <v/>
      </c>
      <c r="L728" s="201">
        <f>SUMIFS(rl_daysafter,rl_key,$A$724,rl_effmonth,$B728,rl_first,1)</f>
        <v/>
      </c>
      <c r="M728" s="209">
        <f>IF($K728=0,0,MIN(1,$L728/$D728))</f>
        <v/>
      </c>
      <c r="N728" s="208">
        <f>IF($K728=0,$J728,(1-$M728)*$I728+$M728*$J728)</f>
        <v/>
      </c>
      <c r="O728" s="209">
        <f>IF($F728&lt;$B$725,$E$725+$I$725*($F728-$A$725),IF($F728&lt;$C$725,$F$725+$J$725*($F728-$B$725),$G$725+$K$725*($F728-$C$725)))</f>
        <v/>
      </c>
      <c r="P728" s="208">
        <f>MIN(1,MAX(0,(nr_MEndPm1-$G728+0.5)/$C$724))-MIN(1,MAX(0,(nr_MStartPm1-1-$G728+0.5)/$C$724))</f>
        <v/>
      </c>
      <c r="Q728" s="208">
        <f>MIN(1,MAX(0,(nr_MEndP-$G728+0.5)/$C$724))-MIN(1,MAX(0,(nr_MStartP-1-$G728+0.5)/$C$724))</f>
        <v/>
      </c>
      <c r="R728" s="208">
        <f>MIN(1,MAX(0,(nr_MEndP1-$G728+0.5)/$C$724))-MIN(1,MAX(0,(nr_MStartP1-1-$G728+0.5)/$C$724))</f>
        <v/>
      </c>
      <c r="S728" s="208">
        <f>IF($L$724,$N728*IF($O$724=1,$O728/$F$724,1),"")</f>
        <v/>
      </c>
      <c r="T728" s="208">
        <f>IF(NOT($L$724),"",IF($G728&lt;nr_MStartP,$S728,$T716*(1+IF($G728&lt;nr_MStartP1,$M$724,$N$724))))</f>
        <v/>
      </c>
      <c r="U728" s="208">
        <f>IF($L$724,$T728,$N728)</f>
        <v/>
      </c>
    </row>
    <row r="729">
      <c r="A729" s="145" t="n">
        <v>3</v>
      </c>
      <c r="B729" s="204">
        <f>EDATE($B728,1)</f>
        <v/>
      </c>
      <c r="C729" s="205">
        <f>EOMONTH($B729,0)</f>
        <v/>
      </c>
      <c r="D729" s="201">
        <f>$C729-$B729+1</f>
        <v/>
      </c>
      <c r="E729" s="201">
        <f>MONTH($B729)</f>
        <v/>
      </c>
      <c r="F729" s="235">
        <f>($B729+$C729+1)/2</f>
        <v/>
      </c>
      <c r="G729" s="201">
        <f>YEAR($B729)*12+MONTH($B729)-1</f>
        <v/>
      </c>
      <c r="H729" s="207">
        <f>IF(OR(nr_SeasonOn="OFF",$D$724=0,$E$724=0),1,12*INDEX(se_block,$D$724,$E729)/$E$724)</f>
        <v/>
      </c>
      <c r="I729" s="208">
        <f>EXP(SUMPRODUCT((rl_eff&lt;$B729)*(rl_key=$A$724)*rl_ln1p))</f>
        <v/>
      </c>
      <c r="J729" s="208">
        <f>EXP(SUMPRODUCT((rl_eff&lt;=$C729)*(rl_key=$A$724)*rl_ln1p))</f>
        <v/>
      </c>
      <c r="K729" s="201">
        <f>COUNTIFS(rl_key,$A$724,rl_eff,"&gt;="&amp;$B729,rl_eff,"&lt;="&amp;$C729)</f>
        <v/>
      </c>
      <c r="L729" s="201">
        <f>SUMIFS(rl_daysafter,rl_key,$A$724,rl_effmonth,$B729,rl_first,1)</f>
        <v/>
      </c>
      <c r="M729" s="209">
        <f>IF($K729=0,0,MIN(1,$L729/$D729))</f>
        <v/>
      </c>
      <c r="N729" s="208">
        <f>IF($K729=0,$J729,(1-$M729)*$I729+$M729*$J729)</f>
        <v/>
      </c>
      <c r="O729" s="209">
        <f>IF($F729&lt;$B$725,$E$725+$I$725*($F729-$A$725),IF($F729&lt;$C$725,$F$725+$J$725*($F729-$B$725),$G$725+$K$725*($F729-$C$725)))</f>
        <v/>
      </c>
      <c r="P729" s="208">
        <f>MIN(1,MAX(0,(nr_MEndPm1-$G729+0.5)/$C$724))-MIN(1,MAX(0,(nr_MStartPm1-1-$G729+0.5)/$C$724))</f>
        <v/>
      </c>
      <c r="Q729" s="208">
        <f>MIN(1,MAX(0,(nr_MEndP-$G729+0.5)/$C$724))-MIN(1,MAX(0,(nr_MStartP-1-$G729+0.5)/$C$724))</f>
        <v/>
      </c>
      <c r="R729" s="208">
        <f>MIN(1,MAX(0,(nr_MEndP1-$G729+0.5)/$C$724))-MIN(1,MAX(0,(nr_MStartP1-1-$G729+0.5)/$C$724))</f>
        <v/>
      </c>
      <c r="S729" s="208">
        <f>IF($L$724,$N729*IF($O$724=1,$O729/$F$724,1),"")</f>
        <v/>
      </c>
      <c r="T729" s="208">
        <f>IF(NOT($L$724),"",IF($G729&lt;nr_MStartP,$S729,$T717*(1+IF($G729&lt;nr_MStartP1,$M$724,$N$724))))</f>
        <v/>
      </c>
      <c r="U729" s="208">
        <f>IF($L$724,$T729,$N729)</f>
        <v/>
      </c>
    </row>
    <row r="730">
      <c r="A730" s="145" t="n">
        <v>4</v>
      </c>
      <c r="B730" s="204">
        <f>EDATE($B729,1)</f>
        <v/>
      </c>
      <c r="C730" s="205">
        <f>EOMONTH($B730,0)</f>
        <v/>
      </c>
      <c r="D730" s="201">
        <f>$C730-$B730+1</f>
        <v/>
      </c>
      <c r="E730" s="201">
        <f>MONTH($B730)</f>
        <v/>
      </c>
      <c r="F730" s="235">
        <f>($B730+$C730+1)/2</f>
        <v/>
      </c>
      <c r="G730" s="201">
        <f>YEAR($B730)*12+MONTH($B730)-1</f>
        <v/>
      </c>
      <c r="H730" s="207">
        <f>IF(OR(nr_SeasonOn="OFF",$D$724=0,$E$724=0),1,12*INDEX(se_block,$D$724,$E730)/$E$724)</f>
        <v/>
      </c>
      <c r="I730" s="208">
        <f>EXP(SUMPRODUCT((rl_eff&lt;$B730)*(rl_key=$A$724)*rl_ln1p))</f>
        <v/>
      </c>
      <c r="J730" s="208">
        <f>EXP(SUMPRODUCT((rl_eff&lt;=$C730)*(rl_key=$A$724)*rl_ln1p))</f>
        <v/>
      </c>
      <c r="K730" s="201">
        <f>COUNTIFS(rl_key,$A$724,rl_eff,"&gt;="&amp;$B730,rl_eff,"&lt;="&amp;$C730)</f>
        <v/>
      </c>
      <c r="L730" s="201">
        <f>SUMIFS(rl_daysafter,rl_key,$A$724,rl_effmonth,$B730,rl_first,1)</f>
        <v/>
      </c>
      <c r="M730" s="209">
        <f>IF($K730=0,0,MIN(1,$L730/$D730))</f>
        <v/>
      </c>
      <c r="N730" s="208">
        <f>IF($K730=0,$J730,(1-$M730)*$I730+$M730*$J730)</f>
        <v/>
      </c>
      <c r="O730" s="209">
        <f>IF($F730&lt;$B$725,$E$725+$I$725*($F730-$A$725),IF($F730&lt;$C$725,$F$725+$J$725*($F730-$B$725),$G$725+$K$725*($F730-$C$725)))</f>
        <v/>
      </c>
      <c r="P730" s="208">
        <f>MIN(1,MAX(0,(nr_MEndPm1-$G730+0.5)/$C$724))-MIN(1,MAX(0,(nr_MStartPm1-1-$G730+0.5)/$C$724))</f>
        <v/>
      </c>
      <c r="Q730" s="208">
        <f>MIN(1,MAX(0,(nr_MEndP-$G730+0.5)/$C$724))-MIN(1,MAX(0,(nr_MStartP-1-$G730+0.5)/$C$724))</f>
        <v/>
      </c>
      <c r="R730" s="208">
        <f>MIN(1,MAX(0,(nr_MEndP1-$G730+0.5)/$C$724))-MIN(1,MAX(0,(nr_MStartP1-1-$G730+0.5)/$C$724))</f>
        <v/>
      </c>
      <c r="S730" s="208">
        <f>IF($L$724,$N730*IF($O$724=1,$O730/$F$724,1),"")</f>
        <v/>
      </c>
      <c r="T730" s="208">
        <f>IF(NOT($L$724),"",IF($G730&lt;nr_MStartP,$S730,$T718*(1+IF($G730&lt;nr_MStartP1,$M$724,$N$724))))</f>
        <v/>
      </c>
      <c r="U730" s="208">
        <f>IF($L$724,$T730,$N730)</f>
        <v/>
      </c>
    </row>
    <row r="731">
      <c r="A731" s="145" t="n">
        <v>5</v>
      </c>
      <c r="B731" s="204">
        <f>EDATE($B730,1)</f>
        <v/>
      </c>
      <c r="C731" s="205">
        <f>EOMONTH($B731,0)</f>
        <v/>
      </c>
      <c r="D731" s="201">
        <f>$C731-$B731+1</f>
        <v/>
      </c>
      <c r="E731" s="201">
        <f>MONTH($B731)</f>
        <v/>
      </c>
      <c r="F731" s="235">
        <f>($B731+$C731+1)/2</f>
        <v/>
      </c>
      <c r="G731" s="201">
        <f>YEAR($B731)*12+MONTH($B731)-1</f>
        <v/>
      </c>
      <c r="H731" s="207">
        <f>IF(OR(nr_SeasonOn="OFF",$D$724=0,$E$724=0),1,12*INDEX(se_block,$D$724,$E731)/$E$724)</f>
        <v/>
      </c>
      <c r="I731" s="208">
        <f>EXP(SUMPRODUCT((rl_eff&lt;$B731)*(rl_key=$A$724)*rl_ln1p))</f>
        <v/>
      </c>
      <c r="J731" s="208">
        <f>EXP(SUMPRODUCT((rl_eff&lt;=$C731)*(rl_key=$A$724)*rl_ln1p))</f>
        <v/>
      </c>
      <c r="K731" s="201">
        <f>COUNTIFS(rl_key,$A$724,rl_eff,"&gt;="&amp;$B731,rl_eff,"&lt;="&amp;$C731)</f>
        <v/>
      </c>
      <c r="L731" s="201">
        <f>SUMIFS(rl_daysafter,rl_key,$A$724,rl_effmonth,$B731,rl_first,1)</f>
        <v/>
      </c>
      <c r="M731" s="209">
        <f>IF($K731=0,0,MIN(1,$L731/$D731))</f>
        <v/>
      </c>
      <c r="N731" s="208">
        <f>IF($K731=0,$J731,(1-$M731)*$I731+$M731*$J731)</f>
        <v/>
      </c>
      <c r="O731" s="209">
        <f>IF($F731&lt;$B$725,$E$725+$I$725*($F731-$A$725),IF($F731&lt;$C$725,$F$725+$J$725*($F731-$B$725),$G$725+$K$725*($F731-$C$725)))</f>
        <v/>
      </c>
      <c r="P731" s="208">
        <f>MIN(1,MAX(0,(nr_MEndPm1-$G731+0.5)/$C$724))-MIN(1,MAX(0,(nr_MStartPm1-1-$G731+0.5)/$C$724))</f>
        <v/>
      </c>
      <c r="Q731" s="208">
        <f>MIN(1,MAX(0,(nr_MEndP-$G731+0.5)/$C$724))-MIN(1,MAX(0,(nr_MStartP-1-$G731+0.5)/$C$724))</f>
        <v/>
      </c>
      <c r="R731" s="208">
        <f>MIN(1,MAX(0,(nr_MEndP1-$G731+0.5)/$C$724))-MIN(1,MAX(0,(nr_MStartP1-1-$G731+0.5)/$C$724))</f>
        <v/>
      </c>
      <c r="S731" s="208">
        <f>IF($L$724,$N731*IF($O$724=1,$O731/$F$724,1),"")</f>
        <v/>
      </c>
      <c r="T731" s="208">
        <f>IF(NOT($L$724),"",IF($G731&lt;nr_MStartP,$S731,$T719*(1+IF($G731&lt;nr_MStartP1,$M$724,$N$724))))</f>
        <v/>
      </c>
      <c r="U731" s="208">
        <f>IF($L$724,$T731,$N731)</f>
        <v/>
      </c>
    </row>
    <row r="732">
      <c r="A732" s="145" t="n">
        <v>6</v>
      </c>
      <c r="B732" s="204">
        <f>EDATE($B731,1)</f>
        <v/>
      </c>
      <c r="C732" s="205">
        <f>EOMONTH($B732,0)</f>
        <v/>
      </c>
      <c r="D732" s="201">
        <f>$C732-$B732+1</f>
        <v/>
      </c>
      <c r="E732" s="201">
        <f>MONTH($B732)</f>
        <v/>
      </c>
      <c r="F732" s="235">
        <f>($B732+$C732+1)/2</f>
        <v/>
      </c>
      <c r="G732" s="201">
        <f>YEAR($B732)*12+MONTH($B732)-1</f>
        <v/>
      </c>
      <c r="H732" s="207">
        <f>IF(OR(nr_SeasonOn="OFF",$D$724=0,$E$724=0),1,12*INDEX(se_block,$D$724,$E732)/$E$724)</f>
        <v/>
      </c>
      <c r="I732" s="208">
        <f>EXP(SUMPRODUCT((rl_eff&lt;$B732)*(rl_key=$A$724)*rl_ln1p))</f>
        <v/>
      </c>
      <c r="J732" s="208">
        <f>EXP(SUMPRODUCT((rl_eff&lt;=$C732)*(rl_key=$A$724)*rl_ln1p))</f>
        <v/>
      </c>
      <c r="K732" s="201">
        <f>COUNTIFS(rl_key,$A$724,rl_eff,"&gt;="&amp;$B732,rl_eff,"&lt;="&amp;$C732)</f>
        <v/>
      </c>
      <c r="L732" s="201">
        <f>SUMIFS(rl_daysafter,rl_key,$A$724,rl_effmonth,$B732,rl_first,1)</f>
        <v/>
      </c>
      <c r="M732" s="209">
        <f>IF($K732=0,0,MIN(1,$L732/$D732))</f>
        <v/>
      </c>
      <c r="N732" s="208">
        <f>IF($K732=0,$J732,(1-$M732)*$I732+$M732*$J732)</f>
        <v/>
      </c>
      <c r="O732" s="209">
        <f>IF($F732&lt;$B$725,$E$725+$I$725*($F732-$A$725),IF($F732&lt;$C$725,$F$725+$J$725*($F732-$B$725),$G$725+$K$725*($F732-$C$725)))</f>
        <v/>
      </c>
      <c r="P732" s="208">
        <f>MIN(1,MAX(0,(nr_MEndPm1-$G732+0.5)/$C$724))-MIN(1,MAX(0,(nr_MStartPm1-1-$G732+0.5)/$C$724))</f>
        <v/>
      </c>
      <c r="Q732" s="208">
        <f>MIN(1,MAX(0,(nr_MEndP-$G732+0.5)/$C$724))-MIN(1,MAX(0,(nr_MStartP-1-$G732+0.5)/$C$724))</f>
        <v/>
      </c>
      <c r="R732" s="208">
        <f>MIN(1,MAX(0,(nr_MEndP1-$G732+0.5)/$C$724))-MIN(1,MAX(0,(nr_MStartP1-1-$G732+0.5)/$C$724))</f>
        <v/>
      </c>
      <c r="S732" s="208">
        <f>IF($L$724,$N732*IF($O$724=1,$O732/$F$724,1),"")</f>
        <v/>
      </c>
      <c r="T732" s="208">
        <f>IF(NOT($L$724),"",IF($G732&lt;nr_MStartP,$S732,$T720*(1+IF($G732&lt;nr_MStartP1,$M$724,$N$724))))</f>
        <v/>
      </c>
      <c r="U732" s="208">
        <f>IF($L$724,$T732,$N732)</f>
        <v/>
      </c>
    </row>
    <row r="733">
      <c r="A733" s="145" t="n">
        <v>7</v>
      </c>
      <c r="B733" s="204">
        <f>EDATE($B732,1)</f>
        <v/>
      </c>
      <c r="C733" s="205">
        <f>EOMONTH($B733,0)</f>
        <v/>
      </c>
      <c r="D733" s="201">
        <f>$C733-$B733+1</f>
        <v/>
      </c>
      <c r="E733" s="201">
        <f>MONTH($B733)</f>
        <v/>
      </c>
      <c r="F733" s="235">
        <f>($B733+$C733+1)/2</f>
        <v/>
      </c>
      <c r="G733" s="201">
        <f>YEAR($B733)*12+MONTH($B733)-1</f>
        <v/>
      </c>
      <c r="H733" s="207">
        <f>IF(OR(nr_SeasonOn="OFF",$D$724=0,$E$724=0),1,12*INDEX(se_block,$D$724,$E733)/$E$724)</f>
        <v/>
      </c>
      <c r="I733" s="208">
        <f>EXP(SUMPRODUCT((rl_eff&lt;$B733)*(rl_key=$A$724)*rl_ln1p))</f>
        <v/>
      </c>
      <c r="J733" s="208">
        <f>EXP(SUMPRODUCT((rl_eff&lt;=$C733)*(rl_key=$A$724)*rl_ln1p))</f>
        <v/>
      </c>
      <c r="K733" s="201">
        <f>COUNTIFS(rl_key,$A$724,rl_eff,"&gt;="&amp;$B733,rl_eff,"&lt;="&amp;$C733)</f>
        <v/>
      </c>
      <c r="L733" s="201">
        <f>SUMIFS(rl_daysafter,rl_key,$A$724,rl_effmonth,$B733,rl_first,1)</f>
        <v/>
      </c>
      <c r="M733" s="209">
        <f>IF($K733=0,0,MIN(1,$L733/$D733))</f>
        <v/>
      </c>
      <c r="N733" s="208">
        <f>IF($K733=0,$J733,(1-$M733)*$I733+$M733*$J733)</f>
        <v/>
      </c>
      <c r="O733" s="209">
        <f>IF($F733&lt;$B$725,$E$725+$I$725*($F733-$A$725),IF($F733&lt;$C$725,$F$725+$J$725*($F733-$B$725),$G$725+$K$725*($F733-$C$725)))</f>
        <v/>
      </c>
      <c r="P733" s="208">
        <f>MIN(1,MAX(0,(nr_MEndPm1-$G733+0.5)/$C$724))-MIN(1,MAX(0,(nr_MStartPm1-1-$G733+0.5)/$C$724))</f>
        <v/>
      </c>
      <c r="Q733" s="208">
        <f>MIN(1,MAX(0,(nr_MEndP-$G733+0.5)/$C$724))-MIN(1,MAX(0,(nr_MStartP-1-$G733+0.5)/$C$724))</f>
        <v/>
      </c>
      <c r="R733" s="208">
        <f>MIN(1,MAX(0,(nr_MEndP1-$G733+0.5)/$C$724))-MIN(1,MAX(0,(nr_MStartP1-1-$G733+0.5)/$C$724))</f>
        <v/>
      </c>
      <c r="S733" s="208">
        <f>IF($L$724,$N733*IF($O$724=1,$O733/$F$724,1),"")</f>
        <v/>
      </c>
      <c r="T733" s="208">
        <f>IF(NOT($L$724),"",IF($G733&lt;nr_MStartP,$S733,$T721*(1+IF($G733&lt;nr_MStartP1,$M$724,$N$724))))</f>
        <v/>
      </c>
      <c r="U733" s="208">
        <f>IF($L$724,$T733,$N733)</f>
        <v/>
      </c>
    </row>
    <row r="734">
      <c r="A734" s="145" t="n">
        <v>8</v>
      </c>
      <c r="B734" s="204">
        <f>EDATE($B733,1)</f>
        <v/>
      </c>
      <c r="C734" s="205">
        <f>EOMONTH($B734,0)</f>
        <v/>
      </c>
      <c r="D734" s="201">
        <f>$C734-$B734+1</f>
        <v/>
      </c>
      <c r="E734" s="201">
        <f>MONTH($B734)</f>
        <v/>
      </c>
      <c r="F734" s="235">
        <f>($B734+$C734+1)/2</f>
        <v/>
      </c>
      <c r="G734" s="201">
        <f>YEAR($B734)*12+MONTH($B734)-1</f>
        <v/>
      </c>
      <c r="H734" s="207">
        <f>IF(OR(nr_SeasonOn="OFF",$D$724=0,$E$724=0),1,12*INDEX(se_block,$D$724,$E734)/$E$724)</f>
        <v/>
      </c>
      <c r="I734" s="208">
        <f>EXP(SUMPRODUCT((rl_eff&lt;$B734)*(rl_key=$A$724)*rl_ln1p))</f>
        <v/>
      </c>
      <c r="J734" s="208">
        <f>EXP(SUMPRODUCT((rl_eff&lt;=$C734)*(rl_key=$A$724)*rl_ln1p))</f>
        <v/>
      </c>
      <c r="K734" s="201">
        <f>COUNTIFS(rl_key,$A$724,rl_eff,"&gt;="&amp;$B734,rl_eff,"&lt;="&amp;$C734)</f>
        <v/>
      </c>
      <c r="L734" s="201">
        <f>SUMIFS(rl_daysafter,rl_key,$A$724,rl_effmonth,$B734,rl_first,1)</f>
        <v/>
      </c>
      <c r="M734" s="209">
        <f>IF($K734=0,0,MIN(1,$L734/$D734))</f>
        <v/>
      </c>
      <c r="N734" s="208">
        <f>IF($K734=0,$J734,(1-$M734)*$I734+$M734*$J734)</f>
        <v/>
      </c>
      <c r="O734" s="209">
        <f>IF($F734&lt;$B$725,$E$725+$I$725*($F734-$A$725),IF($F734&lt;$C$725,$F$725+$J$725*($F734-$B$725),$G$725+$K$725*($F734-$C$725)))</f>
        <v/>
      </c>
      <c r="P734" s="208">
        <f>MIN(1,MAX(0,(nr_MEndPm1-$G734+0.5)/$C$724))-MIN(1,MAX(0,(nr_MStartPm1-1-$G734+0.5)/$C$724))</f>
        <v/>
      </c>
      <c r="Q734" s="208">
        <f>MIN(1,MAX(0,(nr_MEndP-$G734+0.5)/$C$724))-MIN(1,MAX(0,(nr_MStartP-1-$G734+0.5)/$C$724))</f>
        <v/>
      </c>
      <c r="R734" s="208">
        <f>MIN(1,MAX(0,(nr_MEndP1-$G734+0.5)/$C$724))-MIN(1,MAX(0,(nr_MStartP1-1-$G734+0.5)/$C$724))</f>
        <v/>
      </c>
      <c r="S734" s="208">
        <f>IF($L$724,$N734*IF($O$724=1,$O734/$F$724,1),"")</f>
        <v/>
      </c>
      <c r="T734" s="208">
        <f>IF(NOT($L$724),"",IF($G734&lt;nr_MStartP,$S734,$T722*(1+IF($G734&lt;nr_MStartP1,$M$724,$N$724))))</f>
        <v/>
      </c>
      <c r="U734" s="208">
        <f>IF($L$724,$T734,$N734)</f>
        <v/>
      </c>
    </row>
    <row r="735">
      <c r="A735" s="145" t="n">
        <v>9</v>
      </c>
      <c r="B735" s="204">
        <f>EDATE($B734,1)</f>
        <v/>
      </c>
      <c r="C735" s="205">
        <f>EOMONTH($B735,0)</f>
        <v/>
      </c>
      <c r="D735" s="201">
        <f>$C735-$B735+1</f>
        <v/>
      </c>
      <c r="E735" s="201">
        <f>MONTH($B735)</f>
        <v/>
      </c>
      <c r="F735" s="235">
        <f>($B735+$C735+1)/2</f>
        <v/>
      </c>
      <c r="G735" s="201">
        <f>YEAR($B735)*12+MONTH($B735)-1</f>
        <v/>
      </c>
      <c r="H735" s="207">
        <f>IF(OR(nr_SeasonOn="OFF",$D$724=0,$E$724=0),1,12*INDEX(se_block,$D$724,$E735)/$E$724)</f>
        <v/>
      </c>
      <c r="I735" s="208">
        <f>EXP(SUMPRODUCT((rl_eff&lt;$B735)*(rl_key=$A$724)*rl_ln1p))</f>
        <v/>
      </c>
      <c r="J735" s="208">
        <f>EXP(SUMPRODUCT((rl_eff&lt;=$C735)*(rl_key=$A$724)*rl_ln1p))</f>
        <v/>
      </c>
      <c r="K735" s="201">
        <f>COUNTIFS(rl_key,$A$724,rl_eff,"&gt;="&amp;$B735,rl_eff,"&lt;="&amp;$C735)</f>
        <v/>
      </c>
      <c r="L735" s="201">
        <f>SUMIFS(rl_daysafter,rl_key,$A$724,rl_effmonth,$B735,rl_first,1)</f>
        <v/>
      </c>
      <c r="M735" s="209">
        <f>IF($K735=0,0,MIN(1,$L735/$D735))</f>
        <v/>
      </c>
      <c r="N735" s="208">
        <f>IF($K735=0,$J735,(1-$M735)*$I735+$M735*$J735)</f>
        <v/>
      </c>
      <c r="O735" s="209">
        <f>IF($F735&lt;$B$725,$E$725+$I$725*($F735-$A$725),IF($F735&lt;$C$725,$F$725+$J$725*($F735-$B$725),$G$725+$K$725*($F735-$C$725)))</f>
        <v/>
      </c>
      <c r="P735" s="208">
        <f>MIN(1,MAX(0,(nr_MEndPm1-$G735+0.5)/$C$724))-MIN(1,MAX(0,(nr_MStartPm1-1-$G735+0.5)/$C$724))</f>
        <v/>
      </c>
      <c r="Q735" s="208">
        <f>MIN(1,MAX(0,(nr_MEndP-$G735+0.5)/$C$724))-MIN(1,MAX(0,(nr_MStartP-1-$G735+0.5)/$C$724))</f>
        <v/>
      </c>
      <c r="R735" s="208">
        <f>MIN(1,MAX(0,(nr_MEndP1-$G735+0.5)/$C$724))-MIN(1,MAX(0,(nr_MStartP1-1-$G735+0.5)/$C$724))</f>
        <v/>
      </c>
      <c r="S735" s="208">
        <f>IF($L$724,$N735*IF($O$724=1,$O735/$F$724,1),"")</f>
        <v/>
      </c>
      <c r="T735" s="208">
        <f>IF(NOT($L$724),"",IF($G735&lt;nr_MStartP,$S735,$T723*(1+IF($G735&lt;nr_MStartP1,$M$724,$N$724))))</f>
        <v/>
      </c>
      <c r="U735" s="208">
        <f>IF($L$724,$T735,$N735)</f>
        <v/>
      </c>
    </row>
    <row r="736">
      <c r="A736" s="145" t="n">
        <v>10</v>
      </c>
      <c r="B736" s="204">
        <f>EDATE($B735,1)</f>
        <v/>
      </c>
      <c r="C736" s="205">
        <f>EOMONTH($B736,0)</f>
        <v/>
      </c>
      <c r="D736" s="201">
        <f>$C736-$B736+1</f>
        <v/>
      </c>
      <c r="E736" s="201">
        <f>MONTH($B736)</f>
        <v/>
      </c>
      <c r="F736" s="235">
        <f>($B736+$C736+1)/2</f>
        <v/>
      </c>
      <c r="G736" s="201">
        <f>YEAR($B736)*12+MONTH($B736)-1</f>
        <v/>
      </c>
      <c r="H736" s="207">
        <f>IF(OR(nr_SeasonOn="OFF",$D$724=0,$E$724=0),1,12*INDEX(se_block,$D$724,$E736)/$E$724)</f>
        <v/>
      </c>
      <c r="I736" s="208">
        <f>EXP(SUMPRODUCT((rl_eff&lt;$B736)*(rl_key=$A$724)*rl_ln1p))</f>
        <v/>
      </c>
      <c r="J736" s="208">
        <f>EXP(SUMPRODUCT((rl_eff&lt;=$C736)*(rl_key=$A$724)*rl_ln1p))</f>
        <v/>
      </c>
      <c r="K736" s="201">
        <f>COUNTIFS(rl_key,$A$724,rl_eff,"&gt;="&amp;$B736,rl_eff,"&lt;="&amp;$C736)</f>
        <v/>
      </c>
      <c r="L736" s="201">
        <f>SUMIFS(rl_daysafter,rl_key,$A$724,rl_effmonth,$B736,rl_first,1)</f>
        <v/>
      </c>
      <c r="M736" s="209">
        <f>IF($K736=0,0,MIN(1,$L736/$D736))</f>
        <v/>
      </c>
      <c r="N736" s="208">
        <f>IF($K736=0,$J736,(1-$M736)*$I736+$M736*$J736)</f>
        <v/>
      </c>
      <c r="O736" s="209">
        <f>IF($F736&lt;$B$725,$E$725+$I$725*($F736-$A$725),IF($F736&lt;$C$725,$F$725+$J$725*($F736-$B$725),$G$725+$K$725*($F736-$C$725)))</f>
        <v/>
      </c>
      <c r="P736" s="208">
        <f>MIN(1,MAX(0,(nr_MEndPm1-$G736+0.5)/$C$724))-MIN(1,MAX(0,(nr_MStartPm1-1-$G736+0.5)/$C$724))</f>
        <v/>
      </c>
      <c r="Q736" s="208">
        <f>MIN(1,MAX(0,(nr_MEndP-$G736+0.5)/$C$724))-MIN(1,MAX(0,(nr_MStartP-1-$G736+0.5)/$C$724))</f>
        <v/>
      </c>
      <c r="R736" s="208">
        <f>MIN(1,MAX(0,(nr_MEndP1-$G736+0.5)/$C$724))-MIN(1,MAX(0,(nr_MStartP1-1-$G736+0.5)/$C$724))</f>
        <v/>
      </c>
      <c r="S736" s="208">
        <f>IF($L$724,$N736*IF($O$724=1,$O736/$F$724,1),"")</f>
        <v/>
      </c>
      <c r="T736" s="208">
        <f>IF(NOT($L$724),"",IF($G736&lt;nr_MStartP,$S736,$T724*(1+IF($G736&lt;nr_MStartP1,$M$724,$N$724))))</f>
        <v/>
      </c>
      <c r="U736" s="208">
        <f>IF($L$724,$T736,$N736)</f>
        <v/>
      </c>
    </row>
    <row r="737">
      <c r="A737" s="145" t="n">
        <v>11</v>
      </c>
      <c r="B737" s="204">
        <f>EDATE($B736,1)</f>
        <v/>
      </c>
      <c r="C737" s="205">
        <f>EOMONTH($B737,0)</f>
        <v/>
      </c>
      <c r="D737" s="201">
        <f>$C737-$B737+1</f>
        <v/>
      </c>
      <c r="E737" s="201">
        <f>MONTH($B737)</f>
        <v/>
      </c>
      <c r="F737" s="235">
        <f>($B737+$C737+1)/2</f>
        <v/>
      </c>
      <c r="G737" s="201">
        <f>YEAR($B737)*12+MONTH($B737)-1</f>
        <v/>
      </c>
      <c r="H737" s="207">
        <f>IF(OR(nr_SeasonOn="OFF",$D$724=0,$E$724=0),1,12*INDEX(se_block,$D$724,$E737)/$E$724)</f>
        <v/>
      </c>
      <c r="I737" s="208">
        <f>EXP(SUMPRODUCT((rl_eff&lt;$B737)*(rl_key=$A$724)*rl_ln1p))</f>
        <v/>
      </c>
      <c r="J737" s="208">
        <f>EXP(SUMPRODUCT((rl_eff&lt;=$C737)*(rl_key=$A$724)*rl_ln1p))</f>
        <v/>
      </c>
      <c r="K737" s="201">
        <f>COUNTIFS(rl_key,$A$724,rl_eff,"&gt;="&amp;$B737,rl_eff,"&lt;="&amp;$C737)</f>
        <v/>
      </c>
      <c r="L737" s="201">
        <f>SUMIFS(rl_daysafter,rl_key,$A$724,rl_effmonth,$B737,rl_first,1)</f>
        <v/>
      </c>
      <c r="M737" s="209">
        <f>IF($K737=0,0,MIN(1,$L737/$D737))</f>
        <v/>
      </c>
      <c r="N737" s="208">
        <f>IF($K737=0,$J737,(1-$M737)*$I737+$M737*$J737)</f>
        <v/>
      </c>
      <c r="O737" s="209">
        <f>IF($F737&lt;$B$725,$E$725+$I$725*($F737-$A$725),IF($F737&lt;$C$725,$F$725+$J$725*($F737-$B$725),$G$725+$K$725*($F737-$C$725)))</f>
        <v/>
      </c>
      <c r="P737" s="208">
        <f>MIN(1,MAX(0,(nr_MEndPm1-$G737+0.5)/$C$724))-MIN(1,MAX(0,(nr_MStartPm1-1-$G737+0.5)/$C$724))</f>
        <v/>
      </c>
      <c r="Q737" s="208">
        <f>MIN(1,MAX(0,(nr_MEndP-$G737+0.5)/$C$724))-MIN(1,MAX(0,(nr_MStartP-1-$G737+0.5)/$C$724))</f>
        <v/>
      </c>
      <c r="R737" s="208">
        <f>MIN(1,MAX(0,(nr_MEndP1-$G737+0.5)/$C$724))-MIN(1,MAX(0,(nr_MStartP1-1-$G737+0.5)/$C$724))</f>
        <v/>
      </c>
      <c r="S737" s="208">
        <f>IF($L$724,$N737*IF($O$724=1,$O737/$F$724,1),"")</f>
        <v/>
      </c>
      <c r="T737" s="208">
        <f>IF(NOT($L$724),"",IF($G737&lt;nr_MStartP,$S737,$T725*(1+IF($G737&lt;nr_MStartP1,$M$724,$N$724))))</f>
        <v/>
      </c>
      <c r="U737" s="208">
        <f>IF($L$724,$T737,$N737)</f>
        <v/>
      </c>
    </row>
    <row r="738">
      <c r="A738" s="145" t="n">
        <v>12</v>
      </c>
      <c r="B738" s="204">
        <f>EDATE($B737,1)</f>
        <v/>
      </c>
      <c r="C738" s="205">
        <f>EOMONTH($B738,0)</f>
        <v/>
      </c>
      <c r="D738" s="201">
        <f>$C738-$B738+1</f>
        <v/>
      </c>
      <c r="E738" s="201">
        <f>MONTH($B738)</f>
        <v/>
      </c>
      <c r="F738" s="235">
        <f>($B738+$C738+1)/2</f>
        <v/>
      </c>
      <c r="G738" s="201">
        <f>YEAR($B738)*12+MONTH($B738)-1</f>
        <v/>
      </c>
      <c r="H738" s="207">
        <f>IF(OR(nr_SeasonOn="OFF",$D$724=0,$E$724=0),1,12*INDEX(se_block,$D$724,$E738)/$E$724)</f>
        <v/>
      </c>
      <c r="I738" s="208">
        <f>EXP(SUMPRODUCT((rl_eff&lt;$B738)*(rl_key=$A$724)*rl_ln1p))</f>
        <v/>
      </c>
      <c r="J738" s="208">
        <f>EXP(SUMPRODUCT((rl_eff&lt;=$C738)*(rl_key=$A$724)*rl_ln1p))</f>
        <v/>
      </c>
      <c r="K738" s="201">
        <f>COUNTIFS(rl_key,$A$724,rl_eff,"&gt;="&amp;$B738,rl_eff,"&lt;="&amp;$C738)</f>
        <v/>
      </c>
      <c r="L738" s="201">
        <f>SUMIFS(rl_daysafter,rl_key,$A$724,rl_effmonth,$B738,rl_first,1)</f>
        <v/>
      </c>
      <c r="M738" s="209">
        <f>IF($K738=0,0,MIN(1,$L738/$D738))</f>
        <v/>
      </c>
      <c r="N738" s="208">
        <f>IF($K738=0,$J738,(1-$M738)*$I738+$M738*$J738)</f>
        <v/>
      </c>
      <c r="O738" s="209">
        <f>IF($F738&lt;$B$725,$E$725+$I$725*($F738-$A$725),IF($F738&lt;$C$725,$F$725+$J$725*($F738-$B$725),$G$725+$K$725*($F738-$C$725)))</f>
        <v/>
      </c>
      <c r="P738" s="208">
        <f>MIN(1,MAX(0,(nr_MEndPm1-$G738+0.5)/$C$724))-MIN(1,MAX(0,(nr_MStartPm1-1-$G738+0.5)/$C$724))</f>
        <v/>
      </c>
      <c r="Q738" s="208">
        <f>MIN(1,MAX(0,(nr_MEndP-$G738+0.5)/$C$724))-MIN(1,MAX(0,(nr_MStartP-1-$G738+0.5)/$C$724))</f>
        <v/>
      </c>
      <c r="R738" s="208">
        <f>MIN(1,MAX(0,(nr_MEndP1-$G738+0.5)/$C$724))-MIN(1,MAX(0,(nr_MStartP1-1-$G738+0.5)/$C$724))</f>
        <v/>
      </c>
      <c r="S738" s="208">
        <f>IF($L$724,$N738*IF($O$724=1,$O738/$F$724,1),"")</f>
        <v/>
      </c>
      <c r="T738" s="208">
        <f>IF(NOT($L$724),"",IF($G738&lt;nr_MStartP,$S738,$T726*(1+IF($G738&lt;nr_MStartP1,$M$724,$N$724))))</f>
        <v/>
      </c>
      <c r="U738" s="208">
        <f>IF($L$724,$T738,$N738)</f>
        <v/>
      </c>
    </row>
    <row r="739">
      <c r="A739" s="145" t="n">
        <v>13</v>
      </c>
      <c r="B739" s="204">
        <f>EDATE($B738,1)</f>
        <v/>
      </c>
      <c r="C739" s="205">
        <f>EOMONTH($B739,0)</f>
        <v/>
      </c>
      <c r="D739" s="201">
        <f>$C739-$B739+1</f>
        <v/>
      </c>
      <c r="E739" s="201">
        <f>MONTH($B739)</f>
        <v/>
      </c>
      <c r="F739" s="235">
        <f>($B739+$C739+1)/2</f>
        <v/>
      </c>
      <c r="G739" s="201">
        <f>YEAR($B739)*12+MONTH($B739)-1</f>
        <v/>
      </c>
      <c r="H739" s="207">
        <f>IF(OR(nr_SeasonOn="OFF",$D$724=0,$E$724=0),1,12*INDEX(se_block,$D$724,$E739)/$E$724)</f>
        <v/>
      </c>
      <c r="I739" s="208">
        <f>EXP(SUMPRODUCT((rl_eff&lt;$B739)*(rl_key=$A$724)*rl_ln1p))</f>
        <v/>
      </c>
      <c r="J739" s="208">
        <f>EXP(SUMPRODUCT((rl_eff&lt;=$C739)*(rl_key=$A$724)*rl_ln1p))</f>
        <v/>
      </c>
      <c r="K739" s="201">
        <f>COUNTIFS(rl_key,$A$724,rl_eff,"&gt;="&amp;$B739,rl_eff,"&lt;="&amp;$C739)</f>
        <v/>
      </c>
      <c r="L739" s="201">
        <f>SUMIFS(rl_daysafter,rl_key,$A$724,rl_effmonth,$B739,rl_first,1)</f>
        <v/>
      </c>
      <c r="M739" s="209">
        <f>IF($K739=0,0,MIN(1,$L739/$D739))</f>
        <v/>
      </c>
      <c r="N739" s="208">
        <f>IF($K739=0,$J739,(1-$M739)*$I739+$M739*$J739)</f>
        <v/>
      </c>
      <c r="O739" s="209">
        <f>IF($F739&lt;$B$725,$E$725+$I$725*($F739-$A$725),IF($F739&lt;$C$725,$F$725+$J$725*($F739-$B$725),$G$725+$K$725*($F739-$C$725)))</f>
        <v/>
      </c>
      <c r="P739" s="208">
        <f>MIN(1,MAX(0,(nr_MEndPm1-$G739+0.5)/$C$724))-MIN(1,MAX(0,(nr_MStartPm1-1-$G739+0.5)/$C$724))</f>
        <v/>
      </c>
      <c r="Q739" s="208">
        <f>MIN(1,MAX(0,(nr_MEndP-$G739+0.5)/$C$724))-MIN(1,MAX(0,(nr_MStartP-1-$G739+0.5)/$C$724))</f>
        <v/>
      </c>
      <c r="R739" s="208">
        <f>MIN(1,MAX(0,(nr_MEndP1-$G739+0.5)/$C$724))-MIN(1,MAX(0,(nr_MStartP1-1-$G739+0.5)/$C$724))</f>
        <v/>
      </c>
      <c r="S739" s="208">
        <f>IF($L$724,$N739*IF($O$724=1,$O739/$F$724,1),"")</f>
        <v/>
      </c>
      <c r="T739" s="208">
        <f>IF(NOT($L$724),"",IF($G739&lt;nr_MStartP,$S739,$T727*(1+IF($G739&lt;nr_MStartP1,$M$724,$N$724))))</f>
        <v/>
      </c>
      <c r="U739" s="208">
        <f>IF($L$724,$T739,$N739)</f>
        <v/>
      </c>
    </row>
    <row r="740">
      <c r="A740" s="145" t="n">
        <v>14</v>
      </c>
      <c r="B740" s="204">
        <f>EDATE($B739,1)</f>
        <v/>
      </c>
      <c r="C740" s="205">
        <f>EOMONTH($B740,0)</f>
        <v/>
      </c>
      <c r="D740" s="201">
        <f>$C740-$B740+1</f>
        <v/>
      </c>
      <c r="E740" s="201">
        <f>MONTH($B740)</f>
        <v/>
      </c>
      <c r="F740" s="235">
        <f>($B740+$C740+1)/2</f>
        <v/>
      </c>
      <c r="G740" s="201">
        <f>YEAR($B740)*12+MONTH($B740)-1</f>
        <v/>
      </c>
      <c r="H740" s="207">
        <f>IF(OR(nr_SeasonOn="OFF",$D$724=0,$E$724=0),1,12*INDEX(se_block,$D$724,$E740)/$E$724)</f>
        <v/>
      </c>
      <c r="I740" s="208">
        <f>EXP(SUMPRODUCT((rl_eff&lt;$B740)*(rl_key=$A$724)*rl_ln1p))</f>
        <v/>
      </c>
      <c r="J740" s="208">
        <f>EXP(SUMPRODUCT((rl_eff&lt;=$C740)*(rl_key=$A$724)*rl_ln1p))</f>
        <v/>
      </c>
      <c r="K740" s="201">
        <f>COUNTIFS(rl_key,$A$724,rl_eff,"&gt;="&amp;$B740,rl_eff,"&lt;="&amp;$C740)</f>
        <v/>
      </c>
      <c r="L740" s="201">
        <f>SUMIFS(rl_daysafter,rl_key,$A$724,rl_effmonth,$B740,rl_first,1)</f>
        <v/>
      </c>
      <c r="M740" s="209">
        <f>IF($K740=0,0,MIN(1,$L740/$D740))</f>
        <v/>
      </c>
      <c r="N740" s="208">
        <f>IF($K740=0,$J740,(1-$M740)*$I740+$M740*$J740)</f>
        <v/>
      </c>
      <c r="O740" s="209">
        <f>IF($F740&lt;$B$725,$E$725+$I$725*($F740-$A$725),IF($F740&lt;$C$725,$F$725+$J$725*($F740-$B$725),$G$725+$K$725*($F740-$C$725)))</f>
        <v/>
      </c>
      <c r="P740" s="208">
        <f>MIN(1,MAX(0,(nr_MEndPm1-$G740+0.5)/$C$724))-MIN(1,MAX(0,(nr_MStartPm1-1-$G740+0.5)/$C$724))</f>
        <v/>
      </c>
      <c r="Q740" s="208">
        <f>MIN(1,MAX(0,(nr_MEndP-$G740+0.5)/$C$724))-MIN(1,MAX(0,(nr_MStartP-1-$G740+0.5)/$C$724))</f>
        <v/>
      </c>
      <c r="R740" s="208">
        <f>MIN(1,MAX(0,(nr_MEndP1-$G740+0.5)/$C$724))-MIN(1,MAX(0,(nr_MStartP1-1-$G740+0.5)/$C$724))</f>
        <v/>
      </c>
      <c r="S740" s="208">
        <f>IF($L$724,$N740*IF($O$724=1,$O740/$F$724,1),"")</f>
        <v/>
      </c>
      <c r="T740" s="208">
        <f>IF(NOT($L$724),"",IF($G740&lt;nr_MStartP,$S740,$T728*(1+IF($G740&lt;nr_MStartP1,$M$724,$N$724))))</f>
        <v/>
      </c>
      <c r="U740" s="208">
        <f>IF($L$724,$T740,$N740)</f>
        <v/>
      </c>
    </row>
    <row r="741">
      <c r="A741" s="145" t="n">
        <v>15</v>
      </c>
      <c r="B741" s="204">
        <f>EDATE($B740,1)</f>
        <v/>
      </c>
      <c r="C741" s="205">
        <f>EOMONTH($B741,0)</f>
        <v/>
      </c>
      <c r="D741" s="201">
        <f>$C741-$B741+1</f>
        <v/>
      </c>
      <c r="E741" s="201">
        <f>MONTH($B741)</f>
        <v/>
      </c>
      <c r="F741" s="235">
        <f>($B741+$C741+1)/2</f>
        <v/>
      </c>
      <c r="G741" s="201">
        <f>YEAR($B741)*12+MONTH($B741)-1</f>
        <v/>
      </c>
      <c r="H741" s="207">
        <f>IF(OR(nr_SeasonOn="OFF",$D$724=0,$E$724=0),1,12*INDEX(se_block,$D$724,$E741)/$E$724)</f>
        <v/>
      </c>
      <c r="I741" s="208">
        <f>EXP(SUMPRODUCT((rl_eff&lt;$B741)*(rl_key=$A$724)*rl_ln1p))</f>
        <v/>
      </c>
      <c r="J741" s="208">
        <f>EXP(SUMPRODUCT((rl_eff&lt;=$C741)*(rl_key=$A$724)*rl_ln1p))</f>
        <v/>
      </c>
      <c r="K741" s="201">
        <f>COUNTIFS(rl_key,$A$724,rl_eff,"&gt;="&amp;$B741,rl_eff,"&lt;="&amp;$C741)</f>
        <v/>
      </c>
      <c r="L741" s="201">
        <f>SUMIFS(rl_daysafter,rl_key,$A$724,rl_effmonth,$B741,rl_first,1)</f>
        <v/>
      </c>
      <c r="M741" s="209">
        <f>IF($K741=0,0,MIN(1,$L741/$D741))</f>
        <v/>
      </c>
      <c r="N741" s="208">
        <f>IF($K741=0,$J741,(1-$M741)*$I741+$M741*$J741)</f>
        <v/>
      </c>
      <c r="O741" s="209">
        <f>IF($F741&lt;$B$725,$E$725+$I$725*($F741-$A$725),IF($F741&lt;$C$725,$F$725+$J$725*($F741-$B$725),$G$725+$K$725*($F741-$C$725)))</f>
        <v/>
      </c>
      <c r="P741" s="208">
        <f>MIN(1,MAX(0,(nr_MEndPm1-$G741+0.5)/$C$724))-MIN(1,MAX(0,(nr_MStartPm1-1-$G741+0.5)/$C$724))</f>
        <v/>
      </c>
      <c r="Q741" s="208">
        <f>MIN(1,MAX(0,(nr_MEndP-$G741+0.5)/$C$724))-MIN(1,MAX(0,(nr_MStartP-1-$G741+0.5)/$C$724))</f>
        <v/>
      </c>
      <c r="R741" s="208">
        <f>MIN(1,MAX(0,(nr_MEndP1-$G741+0.5)/$C$724))-MIN(1,MAX(0,(nr_MStartP1-1-$G741+0.5)/$C$724))</f>
        <v/>
      </c>
      <c r="S741" s="208">
        <f>IF($L$724,$N741*IF($O$724=1,$O741/$F$724,1),"")</f>
        <v/>
      </c>
      <c r="T741" s="208">
        <f>IF(NOT($L$724),"",IF($G741&lt;nr_MStartP,$S741,$T729*(1+IF($G741&lt;nr_MStartP1,$M$724,$N$724))))</f>
        <v/>
      </c>
      <c r="U741" s="208">
        <f>IF($L$724,$T741,$N741)</f>
        <v/>
      </c>
    </row>
    <row r="742">
      <c r="A742" s="145" t="n">
        <v>16</v>
      </c>
      <c r="B742" s="204">
        <f>EDATE($B741,1)</f>
        <v/>
      </c>
      <c r="C742" s="205">
        <f>EOMONTH($B742,0)</f>
        <v/>
      </c>
      <c r="D742" s="201">
        <f>$C742-$B742+1</f>
        <v/>
      </c>
      <c r="E742" s="201">
        <f>MONTH($B742)</f>
        <v/>
      </c>
      <c r="F742" s="235">
        <f>($B742+$C742+1)/2</f>
        <v/>
      </c>
      <c r="G742" s="201">
        <f>YEAR($B742)*12+MONTH($B742)-1</f>
        <v/>
      </c>
      <c r="H742" s="207">
        <f>IF(OR(nr_SeasonOn="OFF",$D$724=0,$E$724=0),1,12*INDEX(se_block,$D$724,$E742)/$E$724)</f>
        <v/>
      </c>
      <c r="I742" s="208">
        <f>EXP(SUMPRODUCT((rl_eff&lt;$B742)*(rl_key=$A$724)*rl_ln1p))</f>
        <v/>
      </c>
      <c r="J742" s="208">
        <f>EXP(SUMPRODUCT((rl_eff&lt;=$C742)*(rl_key=$A$724)*rl_ln1p))</f>
        <v/>
      </c>
      <c r="K742" s="201">
        <f>COUNTIFS(rl_key,$A$724,rl_eff,"&gt;="&amp;$B742,rl_eff,"&lt;="&amp;$C742)</f>
        <v/>
      </c>
      <c r="L742" s="201">
        <f>SUMIFS(rl_daysafter,rl_key,$A$724,rl_effmonth,$B742,rl_first,1)</f>
        <v/>
      </c>
      <c r="M742" s="209">
        <f>IF($K742=0,0,MIN(1,$L742/$D742))</f>
        <v/>
      </c>
      <c r="N742" s="208">
        <f>IF($K742=0,$J742,(1-$M742)*$I742+$M742*$J742)</f>
        <v/>
      </c>
      <c r="O742" s="209">
        <f>IF($F742&lt;$B$725,$E$725+$I$725*($F742-$A$725),IF($F742&lt;$C$725,$F$725+$J$725*($F742-$B$725),$G$725+$K$725*($F742-$C$725)))</f>
        <v/>
      </c>
      <c r="P742" s="208">
        <f>MIN(1,MAX(0,(nr_MEndPm1-$G742+0.5)/$C$724))-MIN(1,MAX(0,(nr_MStartPm1-1-$G742+0.5)/$C$724))</f>
        <v/>
      </c>
      <c r="Q742" s="208">
        <f>MIN(1,MAX(0,(nr_MEndP-$G742+0.5)/$C$724))-MIN(1,MAX(0,(nr_MStartP-1-$G742+0.5)/$C$724))</f>
        <v/>
      </c>
      <c r="R742" s="208">
        <f>MIN(1,MAX(0,(nr_MEndP1-$G742+0.5)/$C$724))-MIN(1,MAX(0,(nr_MStartP1-1-$G742+0.5)/$C$724))</f>
        <v/>
      </c>
      <c r="S742" s="208">
        <f>IF($L$724,$N742*IF($O$724=1,$O742/$F$724,1),"")</f>
        <v/>
      </c>
      <c r="T742" s="208">
        <f>IF(NOT($L$724),"",IF($G742&lt;nr_MStartP,$S742,$T730*(1+IF($G742&lt;nr_MStartP1,$M$724,$N$724))))</f>
        <v/>
      </c>
      <c r="U742" s="208">
        <f>IF($L$724,$T742,$N742)</f>
        <v/>
      </c>
    </row>
    <row r="743">
      <c r="A743" s="145" t="n">
        <v>17</v>
      </c>
      <c r="B743" s="204">
        <f>EDATE($B742,1)</f>
        <v/>
      </c>
      <c r="C743" s="205">
        <f>EOMONTH($B743,0)</f>
        <v/>
      </c>
      <c r="D743" s="201">
        <f>$C743-$B743+1</f>
        <v/>
      </c>
      <c r="E743" s="201">
        <f>MONTH($B743)</f>
        <v/>
      </c>
      <c r="F743" s="235">
        <f>($B743+$C743+1)/2</f>
        <v/>
      </c>
      <c r="G743" s="201">
        <f>YEAR($B743)*12+MONTH($B743)-1</f>
        <v/>
      </c>
      <c r="H743" s="207">
        <f>IF(OR(nr_SeasonOn="OFF",$D$724=0,$E$724=0),1,12*INDEX(se_block,$D$724,$E743)/$E$724)</f>
        <v/>
      </c>
      <c r="I743" s="208">
        <f>EXP(SUMPRODUCT((rl_eff&lt;$B743)*(rl_key=$A$724)*rl_ln1p))</f>
        <v/>
      </c>
      <c r="J743" s="208">
        <f>EXP(SUMPRODUCT((rl_eff&lt;=$C743)*(rl_key=$A$724)*rl_ln1p))</f>
        <v/>
      </c>
      <c r="K743" s="201">
        <f>COUNTIFS(rl_key,$A$724,rl_eff,"&gt;="&amp;$B743,rl_eff,"&lt;="&amp;$C743)</f>
        <v/>
      </c>
      <c r="L743" s="201">
        <f>SUMIFS(rl_daysafter,rl_key,$A$724,rl_effmonth,$B743,rl_first,1)</f>
        <v/>
      </c>
      <c r="M743" s="209">
        <f>IF($K743=0,0,MIN(1,$L743/$D743))</f>
        <v/>
      </c>
      <c r="N743" s="208">
        <f>IF($K743=0,$J743,(1-$M743)*$I743+$M743*$J743)</f>
        <v/>
      </c>
      <c r="O743" s="209">
        <f>IF($F743&lt;$B$725,$E$725+$I$725*($F743-$A$725),IF($F743&lt;$C$725,$F$725+$J$725*($F743-$B$725),$G$725+$K$725*($F743-$C$725)))</f>
        <v/>
      </c>
      <c r="P743" s="208">
        <f>MIN(1,MAX(0,(nr_MEndPm1-$G743+0.5)/$C$724))-MIN(1,MAX(0,(nr_MStartPm1-1-$G743+0.5)/$C$724))</f>
        <v/>
      </c>
      <c r="Q743" s="208">
        <f>MIN(1,MAX(0,(nr_MEndP-$G743+0.5)/$C$724))-MIN(1,MAX(0,(nr_MStartP-1-$G743+0.5)/$C$724))</f>
        <v/>
      </c>
      <c r="R743" s="208">
        <f>MIN(1,MAX(0,(nr_MEndP1-$G743+0.5)/$C$724))-MIN(1,MAX(0,(nr_MStartP1-1-$G743+0.5)/$C$724))</f>
        <v/>
      </c>
      <c r="S743" s="208">
        <f>IF($L$724,$N743*IF($O$724=1,$O743/$F$724,1),"")</f>
        <v/>
      </c>
      <c r="T743" s="208">
        <f>IF(NOT($L$724),"",IF($G743&lt;nr_MStartP,$S743,$T731*(1+IF($G743&lt;nr_MStartP1,$M$724,$N$724))))</f>
        <v/>
      </c>
      <c r="U743" s="208">
        <f>IF($L$724,$T743,$N743)</f>
        <v/>
      </c>
    </row>
    <row r="744">
      <c r="A744" s="145" t="n">
        <v>18</v>
      </c>
      <c r="B744" s="204">
        <f>EDATE($B743,1)</f>
        <v/>
      </c>
      <c r="C744" s="205">
        <f>EOMONTH($B744,0)</f>
        <v/>
      </c>
      <c r="D744" s="201">
        <f>$C744-$B744+1</f>
        <v/>
      </c>
      <c r="E744" s="201">
        <f>MONTH($B744)</f>
        <v/>
      </c>
      <c r="F744" s="235">
        <f>($B744+$C744+1)/2</f>
        <v/>
      </c>
      <c r="G744" s="201">
        <f>YEAR($B744)*12+MONTH($B744)-1</f>
        <v/>
      </c>
      <c r="H744" s="207">
        <f>IF(OR(nr_SeasonOn="OFF",$D$724=0,$E$724=0),1,12*INDEX(se_block,$D$724,$E744)/$E$724)</f>
        <v/>
      </c>
      <c r="I744" s="208">
        <f>EXP(SUMPRODUCT((rl_eff&lt;$B744)*(rl_key=$A$724)*rl_ln1p))</f>
        <v/>
      </c>
      <c r="J744" s="208">
        <f>EXP(SUMPRODUCT((rl_eff&lt;=$C744)*(rl_key=$A$724)*rl_ln1p))</f>
        <v/>
      </c>
      <c r="K744" s="201">
        <f>COUNTIFS(rl_key,$A$724,rl_eff,"&gt;="&amp;$B744,rl_eff,"&lt;="&amp;$C744)</f>
        <v/>
      </c>
      <c r="L744" s="201">
        <f>SUMIFS(rl_daysafter,rl_key,$A$724,rl_effmonth,$B744,rl_first,1)</f>
        <v/>
      </c>
      <c r="M744" s="209">
        <f>IF($K744=0,0,MIN(1,$L744/$D744))</f>
        <v/>
      </c>
      <c r="N744" s="208">
        <f>IF($K744=0,$J744,(1-$M744)*$I744+$M744*$J744)</f>
        <v/>
      </c>
      <c r="O744" s="209">
        <f>IF($F744&lt;$B$725,$E$725+$I$725*($F744-$A$725),IF($F744&lt;$C$725,$F$725+$J$725*($F744-$B$725),$G$725+$K$725*($F744-$C$725)))</f>
        <v/>
      </c>
      <c r="P744" s="208">
        <f>MIN(1,MAX(0,(nr_MEndPm1-$G744+0.5)/$C$724))-MIN(1,MAX(0,(nr_MStartPm1-1-$G744+0.5)/$C$724))</f>
        <v/>
      </c>
      <c r="Q744" s="208">
        <f>MIN(1,MAX(0,(nr_MEndP-$G744+0.5)/$C$724))-MIN(1,MAX(0,(nr_MStartP-1-$G744+0.5)/$C$724))</f>
        <v/>
      </c>
      <c r="R744" s="208">
        <f>MIN(1,MAX(0,(nr_MEndP1-$G744+0.5)/$C$724))-MIN(1,MAX(0,(nr_MStartP1-1-$G744+0.5)/$C$724))</f>
        <v/>
      </c>
      <c r="S744" s="208">
        <f>IF($L$724,$N744*IF($O$724=1,$O744/$F$724,1),"")</f>
        <v/>
      </c>
      <c r="T744" s="208">
        <f>IF(NOT($L$724),"",IF($G744&lt;nr_MStartP,$S744,$T732*(1+IF($G744&lt;nr_MStartP1,$M$724,$N$724))))</f>
        <v/>
      </c>
      <c r="U744" s="208">
        <f>IF($L$724,$T744,$N744)</f>
        <v/>
      </c>
    </row>
    <row r="745">
      <c r="A745" s="145" t="n">
        <v>19</v>
      </c>
      <c r="B745" s="204">
        <f>EDATE($B744,1)</f>
        <v/>
      </c>
      <c r="C745" s="205">
        <f>EOMONTH($B745,0)</f>
        <v/>
      </c>
      <c r="D745" s="201">
        <f>$C745-$B745+1</f>
        <v/>
      </c>
      <c r="E745" s="201">
        <f>MONTH($B745)</f>
        <v/>
      </c>
      <c r="F745" s="235">
        <f>($B745+$C745+1)/2</f>
        <v/>
      </c>
      <c r="G745" s="201">
        <f>YEAR($B745)*12+MONTH($B745)-1</f>
        <v/>
      </c>
      <c r="H745" s="207">
        <f>IF(OR(nr_SeasonOn="OFF",$D$724=0,$E$724=0),1,12*INDEX(se_block,$D$724,$E745)/$E$724)</f>
        <v/>
      </c>
      <c r="I745" s="208">
        <f>EXP(SUMPRODUCT((rl_eff&lt;$B745)*(rl_key=$A$724)*rl_ln1p))</f>
        <v/>
      </c>
      <c r="J745" s="208">
        <f>EXP(SUMPRODUCT((rl_eff&lt;=$C745)*(rl_key=$A$724)*rl_ln1p))</f>
        <v/>
      </c>
      <c r="K745" s="201">
        <f>COUNTIFS(rl_key,$A$724,rl_eff,"&gt;="&amp;$B745,rl_eff,"&lt;="&amp;$C745)</f>
        <v/>
      </c>
      <c r="L745" s="201">
        <f>SUMIFS(rl_daysafter,rl_key,$A$724,rl_effmonth,$B745,rl_first,1)</f>
        <v/>
      </c>
      <c r="M745" s="209">
        <f>IF($K745=0,0,MIN(1,$L745/$D745))</f>
        <v/>
      </c>
      <c r="N745" s="208">
        <f>IF($K745=0,$J745,(1-$M745)*$I745+$M745*$J745)</f>
        <v/>
      </c>
      <c r="O745" s="209">
        <f>IF($F745&lt;$B$725,$E$725+$I$725*($F745-$A$725),IF($F745&lt;$C$725,$F$725+$J$725*($F745-$B$725),$G$725+$K$725*($F745-$C$725)))</f>
        <v/>
      </c>
      <c r="P745" s="208">
        <f>MIN(1,MAX(0,(nr_MEndPm1-$G745+0.5)/$C$724))-MIN(1,MAX(0,(nr_MStartPm1-1-$G745+0.5)/$C$724))</f>
        <v/>
      </c>
      <c r="Q745" s="208">
        <f>MIN(1,MAX(0,(nr_MEndP-$G745+0.5)/$C$724))-MIN(1,MAX(0,(nr_MStartP-1-$G745+0.5)/$C$724))</f>
        <v/>
      </c>
      <c r="R745" s="208">
        <f>MIN(1,MAX(0,(nr_MEndP1-$G745+0.5)/$C$724))-MIN(1,MAX(0,(nr_MStartP1-1-$G745+0.5)/$C$724))</f>
        <v/>
      </c>
      <c r="S745" s="208">
        <f>IF($L$724,$N745*IF($O$724=1,$O745/$F$724,1),"")</f>
        <v/>
      </c>
      <c r="T745" s="208">
        <f>IF(NOT($L$724),"",IF($G745&lt;nr_MStartP,$S745,$T733*(1+IF($G745&lt;nr_MStartP1,$M$724,$N$724))))</f>
        <v/>
      </c>
      <c r="U745" s="208">
        <f>IF($L$724,$T745,$N745)</f>
        <v/>
      </c>
    </row>
    <row r="746">
      <c r="A746" s="145" t="n">
        <v>20</v>
      </c>
      <c r="B746" s="204">
        <f>EDATE($B745,1)</f>
        <v/>
      </c>
      <c r="C746" s="205">
        <f>EOMONTH($B746,0)</f>
        <v/>
      </c>
      <c r="D746" s="201">
        <f>$C746-$B746+1</f>
        <v/>
      </c>
      <c r="E746" s="201">
        <f>MONTH($B746)</f>
        <v/>
      </c>
      <c r="F746" s="235">
        <f>($B746+$C746+1)/2</f>
        <v/>
      </c>
      <c r="G746" s="201">
        <f>YEAR($B746)*12+MONTH($B746)-1</f>
        <v/>
      </c>
      <c r="H746" s="207">
        <f>IF(OR(nr_SeasonOn="OFF",$D$724=0,$E$724=0),1,12*INDEX(se_block,$D$724,$E746)/$E$724)</f>
        <v/>
      </c>
      <c r="I746" s="208">
        <f>EXP(SUMPRODUCT((rl_eff&lt;$B746)*(rl_key=$A$724)*rl_ln1p))</f>
        <v/>
      </c>
      <c r="J746" s="208">
        <f>EXP(SUMPRODUCT((rl_eff&lt;=$C746)*(rl_key=$A$724)*rl_ln1p))</f>
        <v/>
      </c>
      <c r="K746" s="201">
        <f>COUNTIFS(rl_key,$A$724,rl_eff,"&gt;="&amp;$B746,rl_eff,"&lt;="&amp;$C746)</f>
        <v/>
      </c>
      <c r="L746" s="201">
        <f>SUMIFS(rl_daysafter,rl_key,$A$724,rl_effmonth,$B746,rl_first,1)</f>
        <v/>
      </c>
      <c r="M746" s="209">
        <f>IF($K746=0,0,MIN(1,$L746/$D746))</f>
        <v/>
      </c>
      <c r="N746" s="208">
        <f>IF($K746=0,$J746,(1-$M746)*$I746+$M746*$J746)</f>
        <v/>
      </c>
      <c r="O746" s="209">
        <f>IF($F746&lt;$B$725,$E$725+$I$725*($F746-$A$725),IF($F746&lt;$C$725,$F$725+$J$725*($F746-$B$725),$G$725+$K$725*($F746-$C$725)))</f>
        <v/>
      </c>
      <c r="P746" s="208">
        <f>MIN(1,MAX(0,(nr_MEndPm1-$G746+0.5)/$C$724))-MIN(1,MAX(0,(nr_MStartPm1-1-$G746+0.5)/$C$724))</f>
        <v/>
      </c>
      <c r="Q746" s="208">
        <f>MIN(1,MAX(0,(nr_MEndP-$G746+0.5)/$C$724))-MIN(1,MAX(0,(nr_MStartP-1-$G746+0.5)/$C$724))</f>
        <v/>
      </c>
      <c r="R746" s="208">
        <f>MIN(1,MAX(0,(nr_MEndP1-$G746+0.5)/$C$724))-MIN(1,MAX(0,(nr_MStartP1-1-$G746+0.5)/$C$724))</f>
        <v/>
      </c>
      <c r="S746" s="208">
        <f>IF($L$724,$N746*IF($O$724=1,$O746/$F$724,1),"")</f>
        <v/>
      </c>
      <c r="T746" s="208">
        <f>IF(NOT($L$724),"",IF($G746&lt;nr_MStartP,$S746,$T734*(1+IF($G746&lt;nr_MStartP1,$M$724,$N$724))))</f>
        <v/>
      </c>
      <c r="U746" s="208">
        <f>IF($L$724,$T746,$N746)</f>
        <v/>
      </c>
    </row>
    <row r="747">
      <c r="A747" s="145" t="n">
        <v>21</v>
      </c>
      <c r="B747" s="204">
        <f>EDATE($B746,1)</f>
        <v/>
      </c>
      <c r="C747" s="205">
        <f>EOMONTH($B747,0)</f>
        <v/>
      </c>
      <c r="D747" s="201">
        <f>$C747-$B747+1</f>
        <v/>
      </c>
      <c r="E747" s="201">
        <f>MONTH($B747)</f>
        <v/>
      </c>
      <c r="F747" s="235">
        <f>($B747+$C747+1)/2</f>
        <v/>
      </c>
      <c r="G747" s="201">
        <f>YEAR($B747)*12+MONTH($B747)-1</f>
        <v/>
      </c>
      <c r="H747" s="207">
        <f>IF(OR(nr_SeasonOn="OFF",$D$724=0,$E$724=0),1,12*INDEX(se_block,$D$724,$E747)/$E$724)</f>
        <v/>
      </c>
      <c r="I747" s="208">
        <f>EXP(SUMPRODUCT((rl_eff&lt;$B747)*(rl_key=$A$724)*rl_ln1p))</f>
        <v/>
      </c>
      <c r="J747" s="208">
        <f>EXP(SUMPRODUCT((rl_eff&lt;=$C747)*(rl_key=$A$724)*rl_ln1p))</f>
        <v/>
      </c>
      <c r="K747" s="201">
        <f>COUNTIFS(rl_key,$A$724,rl_eff,"&gt;="&amp;$B747,rl_eff,"&lt;="&amp;$C747)</f>
        <v/>
      </c>
      <c r="L747" s="201">
        <f>SUMIFS(rl_daysafter,rl_key,$A$724,rl_effmonth,$B747,rl_first,1)</f>
        <v/>
      </c>
      <c r="M747" s="209">
        <f>IF($K747=0,0,MIN(1,$L747/$D747))</f>
        <v/>
      </c>
      <c r="N747" s="208">
        <f>IF($K747=0,$J747,(1-$M747)*$I747+$M747*$J747)</f>
        <v/>
      </c>
      <c r="O747" s="209">
        <f>IF($F747&lt;$B$725,$E$725+$I$725*($F747-$A$725),IF($F747&lt;$C$725,$F$725+$J$725*($F747-$B$725),$G$725+$K$725*($F747-$C$725)))</f>
        <v/>
      </c>
      <c r="P747" s="208">
        <f>MIN(1,MAX(0,(nr_MEndPm1-$G747+0.5)/$C$724))-MIN(1,MAX(0,(nr_MStartPm1-1-$G747+0.5)/$C$724))</f>
        <v/>
      </c>
      <c r="Q747" s="208">
        <f>MIN(1,MAX(0,(nr_MEndP-$G747+0.5)/$C$724))-MIN(1,MAX(0,(nr_MStartP-1-$G747+0.5)/$C$724))</f>
        <v/>
      </c>
      <c r="R747" s="208">
        <f>MIN(1,MAX(0,(nr_MEndP1-$G747+0.5)/$C$724))-MIN(1,MAX(0,(nr_MStartP1-1-$G747+0.5)/$C$724))</f>
        <v/>
      </c>
      <c r="S747" s="208">
        <f>IF($L$724,$N747*IF($O$724=1,$O747/$F$724,1),"")</f>
        <v/>
      </c>
      <c r="T747" s="208">
        <f>IF(NOT($L$724),"",IF($G747&lt;nr_MStartP,$S747,$T735*(1+IF($G747&lt;nr_MStartP1,$M$724,$N$724))))</f>
        <v/>
      </c>
      <c r="U747" s="208">
        <f>IF($L$724,$T747,$N747)</f>
        <v/>
      </c>
    </row>
    <row r="748">
      <c r="A748" s="145" t="n">
        <v>22</v>
      </c>
      <c r="B748" s="204">
        <f>EDATE($B747,1)</f>
        <v/>
      </c>
      <c r="C748" s="205">
        <f>EOMONTH($B748,0)</f>
        <v/>
      </c>
      <c r="D748" s="201">
        <f>$C748-$B748+1</f>
        <v/>
      </c>
      <c r="E748" s="201">
        <f>MONTH($B748)</f>
        <v/>
      </c>
      <c r="F748" s="235">
        <f>($B748+$C748+1)/2</f>
        <v/>
      </c>
      <c r="G748" s="201">
        <f>YEAR($B748)*12+MONTH($B748)-1</f>
        <v/>
      </c>
      <c r="H748" s="207">
        <f>IF(OR(nr_SeasonOn="OFF",$D$724=0,$E$724=0),1,12*INDEX(se_block,$D$724,$E748)/$E$724)</f>
        <v/>
      </c>
      <c r="I748" s="208">
        <f>EXP(SUMPRODUCT((rl_eff&lt;$B748)*(rl_key=$A$724)*rl_ln1p))</f>
        <v/>
      </c>
      <c r="J748" s="208">
        <f>EXP(SUMPRODUCT((rl_eff&lt;=$C748)*(rl_key=$A$724)*rl_ln1p))</f>
        <v/>
      </c>
      <c r="K748" s="201">
        <f>COUNTIFS(rl_key,$A$724,rl_eff,"&gt;="&amp;$B748,rl_eff,"&lt;="&amp;$C748)</f>
        <v/>
      </c>
      <c r="L748" s="201">
        <f>SUMIFS(rl_daysafter,rl_key,$A$724,rl_effmonth,$B748,rl_first,1)</f>
        <v/>
      </c>
      <c r="M748" s="209">
        <f>IF($K748=0,0,MIN(1,$L748/$D748))</f>
        <v/>
      </c>
      <c r="N748" s="208">
        <f>IF($K748=0,$J748,(1-$M748)*$I748+$M748*$J748)</f>
        <v/>
      </c>
      <c r="O748" s="209">
        <f>IF($F748&lt;$B$725,$E$725+$I$725*($F748-$A$725),IF($F748&lt;$C$725,$F$725+$J$725*($F748-$B$725),$G$725+$K$725*($F748-$C$725)))</f>
        <v/>
      </c>
      <c r="P748" s="208">
        <f>MIN(1,MAX(0,(nr_MEndPm1-$G748+0.5)/$C$724))-MIN(1,MAX(0,(nr_MStartPm1-1-$G748+0.5)/$C$724))</f>
        <v/>
      </c>
      <c r="Q748" s="208">
        <f>MIN(1,MAX(0,(nr_MEndP-$G748+0.5)/$C$724))-MIN(1,MAX(0,(nr_MStartP-1-$G748+0.5)/$C$724))</f>
        <v/>
      </c>
      <c r="R748" s="208">
        <f>MIN(1,MAX(0,(nr_MEndP1-$G748+0.5)/$C$724))-MIN(1,MAX(0,(nr_MStartP1-1-$G748+0.5)/$C$724))</f>
        <v/>
      </c>
      <c r="S748" s="208">
        <f>IF($L$724,$N748*IF($O$724=1,$O748/$F$724,1),"")</f>
        <v/>
      </c>
      <c r="T748" s="208">
        <f>IF(NOT($L$724),"",IF($G748&lt;nr_MStartP,$S748,$T736*(1+IF($G748&lt;nr_MStartP1,$M$724,$N$724))))</f>
        <v/>
      </c>
      <c r="U748" s="208">
        <f>IF($L$724,$T748,$N748)</f>
        <v/>
      </c>
    </row>
    <row r="749">
      <c r="A749" s="145" t="n">
        <v>23</v>
      </c>
      <c r="B749" s="204">
        <f>EDATE($B748,1)</f>
        <v/>
      </c>
      <c r="C749" s="205">
        <f>EOMONTH($B749,0)</f>
        <v/>
      </c>
      <c r="D749" s="201">
        <f>$C749-$B749+1</f>
        <v/>
      </c>
      <c r="E749" s="201">
        <f>MONTH($B749)</f>
        <v/>
      </c>
      <c r="F749" s="235">
        <f>($B749+$C749+1)/2</f>
        <v/>
      </c>
      <c r="G749" s="201">
        <f>YEAR($B749)*12+MONTH($B749)-1</f>
        <v/>
      </c>
      <c r="H749" s="207">
        <f>IF(OR(nr_SeasonOn="OFF",$D$724=0,$E$724=0),1,12*INDEX(se_block,$D$724,$E749)/$E$724)</f>
        <v/>
      </c>
      <c r="I749" s="208">
        <f>EXP(SUMPRODUCT((rl_eff&lt;$B749)*(rl_key=$A$724)*rl_ln1p))</f>
        <v/>
      </c>
      <c r="J749" s="208">
        <f>EXP(SUMPRODUCT((rl_eff&lt;=$C749)*(rl_key=$A$724)*rl_ln1p))</f>
        <v/>
      </c>
      <c r="K749" s="201">
        <f>COUNTIFS(rl_key,$A$724,rl_eff,"&gt;="&amp;$B749,rl_eff,"&lt;="&amp;$C749)</f>
        <v/>
      </c>
      <c r="L749" s="201">
        <f>SUMIFS(rl_daysafter,rl_key,$A$724,rl_effmonth,$B749,rl_first,1)</f>
        <v/>
      </c>
      <c r="M749" s="209">
        <f>IF($K749=0,0,MIN(1,$L749/$D749))</f>
        <v/>
      </c>
      <c r="N749" s="208">
        <f>IF($K749=0,$J749,(1-$M749)*$I749+$M749*$J749)</f>
        <v/>
      </c>
      <c r="O749" s="209">
        <f>IF($F749&lt;$B$725,$E$725+$I$725*($F749-$A$725),IF($F749&lt;$C$725,$F$725+$J$725*($F749-$B$725),$G$725+$K$725*($F749-$C$725)))</f>
        <v/>
      </c>
      <c r="P749" s="208">
        <f>MIN(1,MAX(0,(nr_MEndPm1-$G749+0.5)/$C$724))-MIN(1,MAX(0,(nr_MStartPm1-1-$G749+0.5)/$C$724))</f>
        <v/>
      </c>
      <c r="Q749" s="208">
        <f>MIN(1,MAX(0,(nr_MEndP-$G749+0.5)/$C$724))-MIN(1,MAX(0,(nr_MStartP-1-$G749+0.5)/$C$724))</f>
        <v/>
      </c>
      <c r="R749" s="208">
        <f>MIN(1,MAX(0,(nr_MEndP1-$G749+0.5)/$C$724))-MIN(1,MAX(0,(nr_MStartP1-1-$G749+0.5)/$C$724))</f>
        <v/>
      </c>
      <c r="S749" s="208">
        <f>IF($L$724,$N749*IF($O$724=1,$O749/$F$724,1),"")</f>
        <v/>
      </c>
      <c r="T749" s="208">
        <f>IF(NOT($L$724),"",IF($G749&lt;nr_MStartP,$S749,$T737*(1+IF($G749&lt;nr_MStartP1,$M$724,$N$724))))</f>
        <v/>
      </c>
      <c r="U749" s="208">
        <f>IF($L$724,$T749,$N749)</f>
        <v/>
      </c>
    </row>
    <row r="750">
      <c r="A750" s="145" t="n">
        <v>24</v>
      </c>
      <c r="B750" s="204">
        <f>EDATE($B749,1)</f>
        <v/>
      </c>
      <c r="C750" s="205">
        <f>EOMONTH($B750,0)</f>
        <v/>
      </c>
      <c r="D750" s="201">
        <f>$C750-$B750+1</f>
        <v/>
      </c>
      <c r="E750" s="201">
        <f>MONTH($B750)</f>
        <v/>
      </c>
      <c r="F750" s="235">
        <f>($B750+$C750+1)/2</f>
        <v/>
      </c>
      <c r="G750" s="201">
        <f>YEAR($B750)*12+MONTH($B750)-1</f>
        <v/>
      </c>
      <c r="H750" s="207">
        <f>IF(OR(nr_SeasonOn="OFF",$D$724=0,$E$724=0),1,12*INDEX(se_block,$D$724,$E750)/$E$724)</f>
        <v/>
      </c>
      <c r="I750" s="208">
        <f>EXP(SUMPRODUCT((rl_eff&lt;$B750)*(rl_key=$A$724)*rl_ln1p))</f>
        <v/>
      </c>
      <c r="J750" s="208">
        <f>EXP(SUMPRODUCT((rl_eff&lt;=$C750)*(rl_key=$A$724)*rl_ln1p))</f>
        <v/>
      </c>
      <c r="K750" s="201">
        <f>COUNTIFS(rl_key,$A$724,rl_eff,"&gt;="&amp;$B750,rl_eff,"&lt;="&amp;$C750)</f>
        <v/>
      </c>
      <c r="L750" s="201">
        <f>SUMIFS(rl_daysafter,rl_key,$A$724,rl_effmonth,$B750,rl_first,1)</f>
        <v/>
      </c>
      <c r="M750" s="209">
        <f>IF($K750=0,0,MIN(1,$L750/$D750))</f>
        <v/>
      </c>
      <c r="N750" s="208">
        <f>IF($K750=0,$J750,(1-$M750)*$I750+$M750*$J750)</f>
        <v/>
      </c>
      <c r="O750" s="209">
        <f>IF($F750&lt;$B$725,$E$725+$I$725*($F750-$A$725),IF($F750&lt;$C$725,$F$725+$J$725*($F750-$B$725),$G$725+$K$725*($F750-$C$725)))</f>
        <v/>
      </c>
      <c r="P750" s="208">
        <f>MIN(1,MAX(0,(nr_MEndPm1-$G750+0.5)/$C$724))-MIN(1,MAX(0,(nr_MStartPm1-1-$G750+0.5)/$C$724))</f>
        <v/>
      </c>
      <c r="Q750" s="208">
        <f>MIN(1,MAX(0,(nr_MEndP-$G750+0.5)/$C$724))-MIN(1,MAX(0,(nr_MStartP-1-$G750+0.5)/$C$724))</f>
        <v/>
      </c>
      <c r="R750" s="208">
        <f>MIN(1,MAX(0,(nr_MEndP1-$G750+0.5)/$C$724))-MIN(1,MAX(0,(nr_MStartP1-1-$G750+0.5)/$C$724))</f>
        <v/>
      </c>
      <c r="S750" s="208">
        <f>IF($L$724,$N750*IF($O$724=1,$O750/$F$724,1),"")</f>
        <v/>
      </c>
      <c r="T750" s="208">
        <f>IF(NOT($L$724),"",IF($G750&lt;nr_MStartP,$S750,$T738*(1+IF($G750&lt;nr_MStartP1,$M$724,$N$724))))</f>
        <v/>
      </c>
      <c r="U750" s="208">
        <f>IF($L$724,$T750,$N750)</f>
        <v/>
      </c>
    </row>
    <row r="751">
      <c r="A751" s="145" t="n">
        <v>25</v>
      </c>
      <c r="B751" s="204">
        <f>EDATE($B750,1)</f>
        <v/>
      </c>
      <c r="C751" s="205">
        <f>EOMONTH($B751,0)</f>
        <v/>
      </c>
      <c r="D751" s="201">
        <f>$C751-$B751+1</f>
        <v/>
      </c>
      <c r="E751" s="201">
        <f>MONTH($B751)</f>
        <v/>
      </c>
      <c r="F751" s="235">
        <f>($B751+$C751+1)/2</f>
        <v/>
      </c>
      <c r="G751" s="201">
        <f>YEAR($B751)*12+MONTH($B751)-1</f>
        <v/>
      </c>
      <c r="H751" s="207">
        <f>IF(OR(nr_SeasonOn="OFF",$D$724=0,$E$724=0),1,12*INDEX(se_block,$D$724,$E751)/$E$724)</f>
        <v/>
      </c>
      <c r="I751" s="208">
        <f>EXP(SUMPRODUCT((rl_eff&lt;$B751)*(rl_key=$A$724)*rl_ln1p))</f>
        <v/>
      </c>
      <c r="J751" s="208">
        <f>EXP(SUMPRODUCT((rl_eff&lt;=$C751)*(rl_key=$A$724)*rl_ln1p))</f>
        <v/>
      </c>
      <c r="K751" s="201">
        <f>COUNTIFS(rl_key,$A$724,rl_eff,"&gt;="&amp;$B751,rl_eff,"&lt;="&amp;$C751)</f>
        <v/>
      </c>
      <c r="L751" s="201">
        <f>SUMIFS(rl_daysafter,rl_key,$A$724,rl_effmonth,$B751,rl_first,1)</f>
        <v/>
      </c>
      <c r="M751" s="209">
        <f>IF($K751=0,0,MIN(1,$L751/$D751))</f>
        <v/>
      </c>
      <c r="N751" s="208">
        <f>IF($K751=0,$J751,(1-$M751)*$I751+$M751*$J751)</f>
        <v/>
      </c>
      <c r="O751" s="209">
        <f>IF($F751&lt;$B$725,$E$725+$I$725*($F751-$A$725),IF($F751&lt;$C$725,$F$725+$J$725*($F751-$B$725),$G$725+$K$725*($F751-$C$725)))</f>
        <v/>
      </c>
      <c r="P751" s="208">
        <f>MIN(1,MAX(0,(nr_MEndPm1-$G751+0.5)/$C$724))-MIN(1,MAX(0,(nr_MStartPm1-1-$G751+0.5)/$C$724))</f>
        <v/>
      </c>
      <c r="Q751" s="208">
        <f>MIN(1,MAX(0,(nr_MEndP-$G751+0.5)/$C$724))-MIN(1,MAX(0,(nr_MStartP-1-$G751+0.5)/$C$724))</f>
        <v/>
      </c>
      <c r="R751" s="208">
        <f>MIN(1,MAX(0,(nr_MEndP1-$G751+0.5)/$C$724))-MIN(1,MAX(0,(nr_MStartP1-1-$G751+0.5)/$C$724))</f>
        <v/>
      </c>
      <c r="S751" s="208">
        <f>IF($L$724,$N751*IF($O$724=1,$O751/$F$724,1),"")</f>
        <v/>
      </c>
      <c r="T751" s="208">
        <f>IF(NOT($L$724),"",IF($G751&lt;nr_MStartP,$S751,$T739*(1+IF($G751&lt;nr_MStartP1,$M$724,$N$724))))</f>
        <v/>
      </c>
      <c r="U751" s="208">
        <f>IF($L$724,$T751,$N751)</f>
        <v/>
      </c>
    </row>
    <row r="752">
      <c r="A752" s="145" t="n">
        <v>26</v>
      </c>
      <c r="B752" s="204">
        <f>EDATE($B751,1)</f>
        <v/>
      </c>
      <c r="C752" s="205">
        <f>EOMONTH($B752,0)</f>
        <v/>
      </c>
      <c r="D752" s="201">
        <f>$C752-$B752+1</f>
        <v/>
      </c>
      <c r="E752" s="201">
        <f>MONTH($B752)</f>
        <v/>
      </c>
      <c r="F752" s="235">
        <f>($B752+$C752+1)/2</f>
        <v/>
      </c>
      <c r="G752" s="201">
        <f>YEAR($B752)*12+MONTH($B752)-1</f>
        <v/>
      </c>
      <c r="H752" s="207">
        <f>IF(OR(nr_SeasonOn="OFF",$D$724=0,$E$724=0),1,12*INDEX(se_block,$D$724,$E752)/$E$724)</f>
        <v/>
      </c>
      <c r="I752" s="208">
        <f>EXP(SUMPRODUCT((rl_eff&lt;$B752)*(rl_key=$A$724)*rl_ln1p))</f>
        <v/>
      </c>
      <c r="J752" s="208">
        <f>EXP(SUMPRODUCT((rl_eff&lt;=$C752)*(rl_key=$A$724)*rl_ln1p))</f>
        <v/>
      </c>
      <c r="K752" s="201">
        <f>COUNTIFS(rl_key,$A$724,rl_eff,"&gt;="&amp;$B752,rl_eff,"&lt;="&amp;$C752)</f>
        <v/>
      </c>
      <c r="L752" s="201">
        <f>SUMIFS(rl_daysafter,rl_key,$A$724,rl_effmonth,$B752,rl_first,1)</f>
        <v/>
      </c>
      <c r="M752" s="209">
        <f>IF($K752=0,0,MIN(1,$L752/$D752))</f>
        <v/>
      </c>
      <c r="N752" s="208">
        <f>IF($K752=0,$J752,(1-$M752)*$I752+$M752*$J752)</f>
        <v/>
      </c>
      <c r="O752" s="209">
        <f>IF($F752&lt;$B$725,$E$725+$I$725*($F752-$A$725),IF($F752&lt;$C$725,$F$725+$J$725*($F752-$B$725),$G$725+$K$725*($F752-$C$725)))</f>
        <v/>
      </c>
      <c r="P752" s="208">
        <f>MIN(1,MAX(0,(nr_MEndPm1-$G752+0.5)/$C$724))-MIN(1,MAX(0,(nr_MStartPm1-1-$G752+0.5)/$C$724))</f>
        <v/>
      </c>
      <c r="Q752" s="208">
        <f>MIN(1,MAX(0,(nr_MEndP-$G752+0.5)/$C$724))-MIN(1,MAX(0,(nr_MStartP-1-$G752+0.5)/$C$724))</f>
        <v/>
      </c>
      <c r="R752" s="208">
        <f>MIN(1,MAX(0,(nr_MEndP1-$G752+0.5)/$C$724))-MIN(1,MAX(0,(nr_MStartP1-1-$G752+0.5)/$C$724))</f>
        <v/>
      </c>
      <c r="S752" s="208">
        <f>IF($L$724,$N752*IF($O$724=1,$O752/$F$724,1),"")</f>
        <v/>
      </c>
      <c r="T752" s="208">
        <f>IF(NOT($L$724),"",IF($G752&lt;nr_MStartP,$S752,$T740*(1+IF($G752&lt;nr_MStartP1,$M$724,$N$724))))</f>
        <v/>
      </c>
      <c r="U752" s="208">
        <f>IF($L$724,$T752,$N752)</f>
        <v/>
      </c>
    </row>
    <row r="753">
      <c r="A753" s="145" t="n">
        <v>27</v>
      </c>
      <c r="B753" s="204">
        <f>EDATE($B752,1)</f>
        <v/>
      </c>
      <c r="C753" s="205">
        <f>EOMONTH($B753,0)</f>
        <v/>
      </c>
      <c r="D753" s="201">
        <f>$C753-$B753+1</f>
        <v/>
      </c>
      <c r="E753" s="201">
        <f>MONTH($B753)</f>
        <v/>
      </c>
      <c r="F753" s="235">
        <f>($B753+$C753+1)/2</f>
        <v/>
      </c>
      <c r="G753" s="201">
        <f>YEAR($B753)*12+MONTH($B753)-1</f>
        <v/>
      </c>
      <c r="H753" s="207">
        <f>IF(OR(nr_SeasonOn="OFF",$D$724=0,$E$724=0),1,12*INDEX(se_block,$D$724,$E753)/$E$724)</f>
        <v/>
      </c>
      <c r="I753" s="208">
        <f>EXP(SUMPRODUCT((rl_eff&lt;$B753)*(rl_key=$A$724)*rl_ln1p))</f>
        <v/>
      </c>
      <c r="J753" s="208">
        <f>EXP(SUMPRODUCT((rl_eff&lt;=$C753)*(rl_key=$A$724)*rl_ln1p))</f>
        <v/>
      </c>
      <c r="K753" s="201">
        <f>COUNTIFS(rl_key,$A$724,rl_eff,"&gt;="&amp;$B753,rl_eff,"&lt;="&amp;$C753)</f>
        <v/>
      </c>
      <c r="L753" s="201">
        <f>SUMIFS(rl_daysafter,rl_key,$A$724,rl_effmonth,$B753,rl_first,1)</f>
        <v/>
      </c>
      <c r="M753" s="209">
        <f>IF($K753=0,0,MIN(1,$L753/$D753))</f>
        <v/>
      </c>
      <c r="N753" s="208">
        <f>IF($K753=0,$J753,(1-$M753)*$I753+$M753*$J753)</f>
        <v/>
      </c>
      <c r="O753" s="209">
        <f>IF($F753&lt;$B$725,$E$725+$I$725*($F753-$A$725),IF($F753&lt;$C$725,$F$725+$J$725*($F753-$B$725),$G$725+$K$725*($F753-$C$725)))</f>
        <v/>
      </c>
      <c r="P753" s="208">
        <f>MIN(1,MAX(0,(nr_MEndPm1-$G753+0.5)/$C$724))-MIN(1,MAX(0,(nr_MStartPm1-1-$G753+0.5)/$C$724))</f>
        <v/>
      </c>
      <c r="Q753" s="208">
        <f>MIN(1,MAX(0,(nr_MEndP-$G753+0.5)/$C$724))-MIN(1,MAX(0,(nr_MStartP-1-$G753+0.5)/$C$724))</f>
        <v/>
      </c>
      <c r="R753" s="208">
        <f>MIN(1,MAX(0,(nr_MEndP1-$G753+0.5)/$C$724))-MIN(1,MAX(0,(nr_MStartP1-1-$G753+0.5)/$C$724))</f>
        <v/>
      </c>
      <c r="S753" s="208">
        <f>IF($L$724,$N753*IF($O$724=1,$O753/$F$724,1),"")</f>
        <v/>
      </c>
      <c r="T753" s="208">
        <f>IF(NOT($L$724),"",IF($G753&lt;nr_MStartP,$S753,$T741*(1+IF($G753&lt;nr_MStartP1,$M$724,$N$724))))</f>
        <v/>
      </c>
      <c r="U753" s="208">
        <f>IF($L$724,$T753,$N753)</f>
        <v/>
      </c>
    </row>
    <row r="754">
      <c r="A754" s="145" t="n">
        <v>28</v>
      </c>
      <c r="B754" s="204">
        <f>EDATE($B753,1)</f>
        <v/>
      </c>
      <c r="C754" s="205">
        <f>EOMONTH($B754,0)</f>
        <v/>
      </c>
      <c r="D754" s="201">
        <f>$C754-$B754+1</f>
        <v/>
      </c>
      <c r="E754" s="201">
        <f>MONTH($B754)</f>
        <v/>
      </c>
      <c r="F754" s="235">
        <f>($B754+$C754+1)/2</f>
        <v/>
      </c>
      <c r="G754" s="201">
        <f>YEAR($B754)*12+MONTH($B754)-1</f>
        <v/>
      </c>
      <c r="H754" s="207">
        <f>IF(OR(nr_SeasonOn="OFF",$D$724=0,$E$724=0),1,12*INDEX(se_block,$D$724,$E754)/$E$724)</f>
        <v/>
      </c>
      <c r="I754" s="208">
        <f>EXP(SUMPRODUCT((rl_eff&lt;$B754)*(rl_key=$A$724)*rl_ln1p))</f>
        <v/>
      </c>
      <c r="J754" s="208">
        <f>EXP(SUMPRODUCT((rl_eff&lt;=$C754)*(rl_key=$A$724)*rl_ln1p))</f>
        <v/>
      </c>
      <c r="K754" s="201">
        <f>COUNTIFS(rl_key,$A$724,rl_eff,"&gt;="&amp;$B754,rl_eff,"&lt;="&amp;$C754)</f>
        <v/>
      </c>
      <c r="L754" s="201">
        <f>SUMIFS(rl_daysafter,rl_key,$A$724,rl_effmonth,$B754,rl_first,1)</f>
        <v/>
      </c>
      <c r="M754" s="209">
        <f>IF($K754=0,0,MIN(1,$L754/$D754))</f>
        <v/>
      </c>
      <c r="N754" s="208">
        <f>IF($K754=0,$J754,(1-$M754)*$I754+$M754*$J754)</f>
        <v/>
      </c>
      <c r="O754" s="209">
        <f>IF($F754&lt;$B$725,$E$725+$I$725*($F754-$A$725),IF($F754&lt;$C$725,$F$725+$J$725*($F754-$B$725),$G$725+$K$725*($F754-$C$725)))</f>
        <v/>
      </c>
      <c r="P754" s="208">
        <f>MIN(1,MAX(0,(nr_MEndPm1-$G754+0.5)/$C$724))-MIN(1,MAX(0,(nr_MStartPm1-1-$G754+0.5)/$C$724))</f>
        <v/>
      </c>
      <c r="Q754" s="208">
        <f>MIN(1,MAX(0,(nr_MEndP-$G754+0.5)/$C$724))-MIN(1,MAX(0,(nr_MStartP-1-$G754+0.5)/$C$724))</f>
        <v/>
      </c>
      <c r="R754" s="208">
        <f>MIN(1,MAX(0,(nr_MEndP1-$G754+0.5)/$C$724))-MIN(1,MAX(0,(nr_MStartP1-1-$G754+0.5)/$C$724))</f>
        <v/>
      </c>
      <c r="S754" s="208">
        <f>IF($L$724,$N754*IF($O$724=1,$O754/$F$724,1),"")</f>
        <v/>
      </c>
      <c r="T754" s="208">
        <f>IF(NOT($L$724),"",IF($G754&lt;nr_MStartP,$S754,$T742*(1+IF($G754&lt;nr_MStartP1,$M$724,$N$724))))</f>
        <v/>
      </c>
      <c r="U754" s="208">
        <f>IF($L$724,$T754,$N754)</f>
        <v/>
      </c>
    </row>
    <row r="755">
      <c r="A755" s="145" t="n">
        <v>29</v>
      </c>
      <c r="B755" s="204">
        <f>EDATE($B754,1)</f>
        <v/>
      </c>
      <c r="C755" s="205">
        <f>EOMONTH($B755,0)</f>
        <v/>
      </c>
      <c r="D755" s="201">
        <f>$C755-$B755+1</f>
        <v/>
      </c>
      <c r="E755" s="201">
        <f>MONTH($B755)</f>
        <v/>
      </c>
      <c r="F755" s="235">
        <f>($B755+$C755+1)/2</f>
        <v/>
      </c>
      <c r="G755" s="201">
        <f>YEAR($B755)*12+MONTH($B755)-1</f>
        <v/>
      </c>
      <c r="H755" s="207">
        <f>IF(OR(nr_SeasonOn="OFF",$D$724=0,$E$724=0),1,12*INDEX(se_block,$D$724,$E755)/$E$724)</f>
        <v/>
      </c>
      <c r="I755" s="208">
        <f>EXP(SUMPRODUCT((rl_eff&lt;$B755)*(rl_key=$A$724)*rl_ln1p))</f>
        <v/>
      </c>
      <c r="J755" s="208">
        <f>EXP(SUMPRODUCT((rl_eff&lt;=$C755)*(rl_key=$A$724)*rl_ln1p))</f>
        <v/>
      </c>
      <c r="K755" s="201">
        <f>COUNTIFS(rl_key,$A$724,rl_eff,"&gt;="&amp;$B755,rl_eff,"&lt;="&amp;$C755)</f>
        <v/>
      </c>
      <c r="L755" s="201">
        <f>SUMIFS(rl_daysafter,rl_key,$A$724,rl_effmonth,$B755,rl_first,1)</f>
        <v/>
      </c>
      <c r="M755" s="209">
        <f>IF($K755=0,0,MIN(1,$L755/$D755))</f>
        <v/>
      </c>
      <c r="N755" s="208">
        <f>IF($K755=0,$J755,(1-$M755)*$I755+$M755*$J755)</f>
        <v/>
      </c>
      <c r="O755" s="209">
        <f>IF($F755&lt;$B$725,$E$725+$I$725*($F755-$A$725),IF($F755&lt;$C$725,$F$725+$J$725*($F755-$B$725),$G$725+$K$725*($F755-$C$725)))</f>
        <v/>
      </c>
      <c r="P755" s="208">
        <f>MIN(1,MAX(0,(nr_MEndPm1-$G755+0.5)/$C$724))-MIN(1,MAX(0,(nr_MStartPm1-1-$G755+0.5)/$C$724))</f>
        <v/>
      </c>
      <c r="Q755" s="208">
        <f>MIN(1,MAX(0,(nr_MEndP-$G755+0.5)/$C$724))-MIN(1,MAX(0,(nr_MStartP-1-$G755+0.5)/$C$724))</f>
        <v/>
      </c>
      <c r="R755" s="208">
        <f>MIN(1,MAX(0,(nr_MEndP1-$G755+0.5)/$C$724))-MIN(1,MAX(0,(nr_MStartP1-1-$G755+0.5)/$C$724))</f>
        <v/>
      </c>
      <c r="S755" s="208">
        <f>IF($L$724,$N755*IF($O$724=1,$O755/$F$724,1),"")</f>
        <v/>
      </c>
      <c r="T755" s="208">
        <f>IF(NOT($L$724),"",IF($G755&lt;nr_MStartP,$S755,$T743*(1+IF($G755&lt;nr_MStartP1,$M$724,$N$724))))</f>
        <v/>
      </c>
      <c r="U755" s="208">
        <f>IF($L$724,$T755,$N755)</f>
        <v/>
      </c>
    </row>
    <row r="756">
      <c r="A756" s="145" t="n">
        <v>30</v>
      </c>
      <c r="B756" s="204">
        <f>EDATE($B755,1)</f>
        <v/>
      </c>
      <c r="C756" s="205">
        <f>EOMONTH($B756,0)</f>
        <v/>
      </c>
      <c r="D756" s="201">
        <f>$C756-$B756+1</f>
        <v/>
      </c>
      <c r="E756" s="201">
        <f>MONTH($B756)</f>
        <v/>
      </c>
      <c r="F756" s="235">
        <f>($B756+$C756+1)/2</f>
        <v/>
      </c>
      <c r="G756" s="201">
        <f>YEAR($B756)*12+MONTH($B756)-1</f>
        <v/>
      </c>
      <c r="H756" s="207">
        <f>IF(OR(nr_SeasonOn="OFF",$D$724=0,$E$724=0),1,12*INDEX(se_block,$D$724,$E756)/$E$724)</f>
        <v/>
      </c>
      <c r="I756" s="208">
        <f>EXP(SUMPRODUCT((rl_eff&lt;$B756)*(rl_key=$A$724)*rl_ln1p))</f>
        <v/>
      </c>
      <c r="J756" s="208">
        <f>EXP(SUMPRODUCT((rl_eff&lt;=$C756)*(rl_key=$A$724)*rl_ln1p))</f>
        <v/>
      </c>
      <c r="K756" s="201">
        <f>COUNTIFS(rl_key,$A$724,rl_eff,"&gt;="&amp;$B756,rl_eff,"&lt;="&amp;$C756)</f>
        <v/>
      </c>
      <c r="L756" s="201">
        <f>SUMIFS(rl_daysafter,rl_key,$A$724,rl_effmonth,$B756,rl_first,1)</f>
        <v/>
      </c>
      <c r="M756" s="209">
        <f>IF($K756=0,0,MIN(1,$L756/$D756))</f>
        <v/>
      </c>
      <c r="N756" s="208">
        <f>IF($K756=0,$J756,(1-$M756)*$I756+$M756*$J756)</f>
        <v/>
      </c>
      <c r="O756" s="209">
        <f>IF($F756&lt;$B$725,$E$725+$I$725*($F756-$A$725),IF($F756&lt;$C$725,$F$725+$J$725*($F756-$B$725),$G$725+$K$725*($F756-$C$725)))</f>
        <v/>
      </c>
      <c r="P756" s="208">
        <f>MIN(1,MAX(0,(nr_MEndPm1-$G756+0.5)/$C$724))-MIN(1,MAX(0,(nr_MStartPm1-1-$G756+0.5)/$C$724))</f>
        <v/>
      </c>
      <c r="Q756" s="208">
        <f>MIN(1,MAX(0,(nr_MEndP-$G756+0.5)/$C$724))-MIN(1,MAX(0,(nr_MStartP-1-$G756+0.5)/$C$724))</f>
        <v/>
      </c>
      <c r="R756" s="208">
        <f>MIN(1,MAX(0,(nr_MEndP1-$G756+0.5)/$C$724))-MIN(1,MAX(0,(nr_MStartP1-1-$G756+0.5)/$C$724))</f>
        <v/>
      </c>
      <c r="S756" s="208">
        <f>IF($L$724,$N756*IF($O$724=1,$O756/$F$724,1),"")</f>
        <v/>
      </c>
      <c r="T756" s="208">
        <f>IF(NOT($L$724),"",IF($G756&lt;nr_MStartP,$S756,$T744*(1+IF($G756&lt;nr_MStartP1,$M$724,$N$724))))</f>
        <v/>
      </c>
      <c r="U756" s="208">
        <f>IF($L$724,$T756,$N756)</f>
        <v/>
      </c>
    </row>
    <row r="757">
      <c r="A757" s="145" t="n">
        <v>31</v>
      </c>
      <c r="B757" s="204">
        <f>EDATE($B756,1)</f>
        <v/>
      </c>
      <c r="C757" s="205">
        <f>EOMONTH($B757,0)</f>
        <v/>
      </c>
      <c r="D757" s="201">
        <f>$C757-$B757+1</f>
        <v/>
      </c>
      <c r="E757" s="201">
        <f>MONTH($B757)</f>
        <v/>
      </c>
      <c r="F757" s="235">
        <f>($B757+$C757+1)/2</f>
        <v/>
      </c>
      <c r="G757" s="201">
        <f>YEAR($B757)*12+MONTH($B757)-1</f>
        <v/>
      </c>
      <c r="H757" s="207">
        <f>IF(OR(nr_SeasonOn="OFF",$D$724=0,$E$724=0),1,12*INDEX(se_block,$D$724,$E757)/$E$724)</f>
        <v/>
      </c>
      <c r="I757" s="208">
        <f>EXP(SUMPRODUCT((rl_eff&lt;$B757)*(rl_key=$A$724)*rl_ln1p))</f>
        <v/>
      </c>
      <c r="J757" s="208">
        <f>EXP(SUMPRODUCT((rl_eff&lt;=$C757)*(rl_key=$A$724)*rl_ln1p))</f>
        <v/>
      </c>
      <c r="K757" s="201">
        <f>COUNTIFS(rl_key,$A$724,rl_eff,"&gt;="&amp;$B757,rl_eff,"&lt;="&amp;$C757)</f>
        <v/>
      </c>
      <c r="L757" s="201">
        <f>SUMIFS(rl_daysafter,rl_key,$A$724,rl_effmonth,$B757,rl_first,1)</f>
        <v/>
      </c>
      <c r="M757" s="209">
        <f>IF($K757=0,0,MIN(1,$L757/$D757))</f>
        <v/>
      </c>
      <c r="N757" s="208">
        <f>IF($K757=0,$J757,(1-$M757)*$I757+$M757*$J757)</f>
        <v/>
      </c>
      <c r="O757" s="209">
        <f>IF($F757&lt;$B$725,$E$725+$I$725*($F757-$A$725),IF($F757&lt;$C$725,$F$725+$J$725*($F757-$B$725),$G$725+$K$725*($F757-$C$725)))</f>
        <v/>
      </c>
      <c r="P757" s="208">
        <f>MIN(1,MAX(0,(nr_MEndPm1-$G757+0.5)/$C$724))-MIN(1,MAX(0,(nr_MStartPm1-1-$G757+0.5)/$C$724))</f>
        <v/>
      </c>
      <c r="Q757" s="208">
        <f>MIN(1,MAX(0,(nr_MEndP-$G757+0.5)/$C$724))-MIN(1,MAX(0,(nr_MStartP-1-$G757+0.5)/$C$724))</f>
        <v/>
      </c>
      <c r="R757" s="208">
        <f>MIN(1,MAX(0,(nr_MEndP1-$G757+0.5)/$C$724))-MIN(1,MAX(0,(nr_MStartP1-1-$G757+0.5)/$C$724))</f>
        <v/>
      </c>
      <c r="S757" s="208">
        <f>IF($L$724,$N757*IF($O$724=1,$O757/$F$724,1),"")</f>
        <v/>
      </c>
      <c r="T757" s="208">
        <f>IF(NOT($L$724),"",IF($G757&lt;nr_MStartP,$S757,$T745*(1+IF($G757&lt;nr_MStartP1,$M$724,$N$724))))</f>
        <v/>
      </c>
      <c r="U757" s="208">
        <f>IF($L$724,$T757,$N757)</f>
        <v/>
      </c>
    </row>
    <row r="758">
      <c r="A758" s="145" t="n">
        <v>32</v>
      </c>
      <c r="B758" s="204">
        <f>EDATE($B757,1)</f>
        <v/>
      </c>
      <c r="C758" s="205">
        <f>EOMONTH($B758,0)</f>
        <v/>
      </c>
      <c r="D758" s="201">
        <f>$C758-$B758+1</f>
        <v/>
      </c>
      <c r="E758" s="201">
        <f>MONTH($B758)</f>
        <v/>
      </c>
      <c r="F758" s="235">
        <f>($B758+$C758+1)/2</f>
        <v/>
      </c>
      <c r="G758" s="201">
        <f>YEAR($B758)*12+MONTH($B758)-1</f>
        <v/>
      </c>
      <c r="H758" s="207">
        <f>IF(OR(nr_SeasonOn="OFF",$D$724=0,$E$724=0),1,12*INDEX(se_block,$D$724,$E758)/$E$724)</f>
        <v/>
      </c>
      <c r="I758" s="208">
        <f>EXP(SUMPRODUCT((rl_eff&lt;$B758)*(rl_key=$A$724)*rl_ln1p))</f>
        <v/>
      </c>
      <c r="J758" s="208">
        <f>EXP(SUMPRODUCT((rl_eff&lt;=$C758)*(rl_key=$A$724)*rl_ln1p))</f>
        <v/>
      </c>
      <c r="K758" s="201">
        <f>COUNTIFS(rl_key,$A$724,rl_eff,"&gt;="&amp;$B758,rl_eff,"&lt;="&amp;$C758)</f>
        <v/>
      </c>
      <c r="L758" s="201">
        <f>SUMIFS(rl_daysafter,rl_key,$A$724,rl_effmonth,$B758,rl_first,1)</f>
        <v/>
      </c>
      <c r="M758" s="209">
        <f>IF($K758=0,0,MIN(1,$L758/$D758))</f>
        <v/>
      </c>
      <c r="N758" s="208">
        <f>IF($K758=0,$J758,(1-$M758)*$I758+$M758*$J758)</f>
        <v/>
      </c>
      <c r="O758" s="209">
        <f>IF($F758&lt;$B$725,$E$725+$I$725*($F758-$A$725),IF($F758&lt;$C$725,$F$725+$J$725*($F758-$B$725),$G$725+$K$725*($F758-$C$725)))</f>
        <v/>
      </c>
      <c r="P758" s="208">
        <f>MIN(1,MAX(0,(nr_MEndPm1-$G758+0.5)/$C$724))-MIN(1,MAX(0,(nr_MStartPm1-1-$G758+0.5)/$C$724))</f>
        <v/>
      </c>
      <c r="Q758" s="208">
        <f>MIN(1,MAX(0,(nr_MEndP-$G758+0.5)/$C$724))-MIN(1,MAX(0,(nr_MStartP-1-$G758+0.5)/$C$724))</f>
        <v/>
      </c>
      <c r="R758" s="208">
        <f>MIN(1,MAX(0,(nr_MEndP1-$G758+0.5)/$C$724))-MIN(1,MAX(0,(nr_MStartP1-1-$G758+0.5)/$C$724))</f>
        <v/>
      </c>
      <c r="S758" s="208">
        <f>IF($L$724,$N758*IF($O$724=1,$O758/$F$724,1),"")</f>
        <v/>
      </c>
      <c r="T758" s="208">
        <f>IF(NOT($L$724),"",IF($G758&lt;nr_MStartP,$S758,$T746*(1+IF($G758&lt;nr_MStartP1,$M$724,$N$724))))</f>
        <v/>
      </c>
      <c r="U758" s="208">
        <f>IF($L$724,$T758,$N758)</f>
        <v/>
      </c>
    </row>
    <row r="759">
      <c r="A759" s="145" t="n">
        <v>33</v>
      </c>
      <c r="B759" s="204">
        <f>EDATE($B758,1)</f>
        <v/>
      </c>
      <c r="C759" s="205">
        <f>EOMONTH($B759,0)</f>
        <v/>
      </c>
      <c r="D759" s="201">
        <f>$C759-$B759+1</f>
        <v/>
      </c>
      <c r="E759" s="201">
        <f>MONTH($B759)</f>
        <v/>
      </c>
      <c r="F759" s="235">
        <f>($B759+$C759+1)/2</f>
        <v/>
      </c>
      <c r="G759" s="201">
        <f>YEAR($B759)*12+MONTH($B759)-1</f>
        <v/>
      </c>
      <c r="H759" s="207">
        <f>IF(OR(nr_SeasonOn="OFF",$D$724=0,$E$724=0),1,12*INDEX(se_block,$D$724,$E759)/$E$724)</f>
        <v/>
      </c>
      <c r="I759" s="208">
        <f>EXP(SUMPRODUCT((rl_eff&lt;$B759)*(rl_key=$A$724)*rl_ln1p))</f>
        <v/>
      </c>
      <c r="J759" s="208">
        <f>EXP(SUMPRODUCT((rl_eff&lt;=$C759)*(rl_key=$A$724)*rl_ln1p))</f>
        <v/>
      </c>
      <c r="K759" s="201">
        <f>COUNTIFS(rl_key,$A$724,rl_eff,"&gt;="&amp;$B759,rl_eff,"&lt;="&amp;$C759)</f>
        <v/>
      </c>
      <c r="L759" s="201">
        <f>SUMIFS(rl_daysafter,rl_key,$A$724,rl_effmonth,$B759,rl_first,1)</f>
        <v/>
      </c>
      <c r="M759" s="209">
        <f>IF($K759=0,0,MIN(1,$L759/$D759))</f>
        <v/>
      </c>
      <c r="N759" s="208">
        <f>IF($K759=0,$J759,(1-$M759)*$I759+$M759*$J759)</f>
        <v/>
      </c>
      <c r="O759" s="209">
        <f>IF($F759&lt;$B$725,$E$725+$I$725*($F759-$A$725),IF($F759&lt;$C$725,$F$725+$J$725*($F759-$B$725),$G$725+$K$725*($F759-$C$725)))</f>
        <v/>
      </c>
      <c r="P759" s="208">
        <f>MIN(1,MAX(0,(nr_MEndPm1-$G759+0.5)/$C$724))-MIN(1,MAX(0,(nr_MStartPm1-1-$G759+0.5)/$C$724))</f>
        <v/>
      </c>
      <c r="Q759" s="208">
        <f>MIN(1,MAX(0,(nr_MEndP-$G759+0.5)/$C$724))-MIN(1,MAX(0,(nr_MStartP-1-$G759+0.5)/$C$724))</f>
        <v/>
      </c>
      <c r="R759" s="208">
        <f>MIN(1,MAX(0,(nr_MEndP1-$G759+0.5)/$C$724))-MIN(1,MAX(0,(nr_MStartP1-1-$G759+0.5)/$C$724))</f>
        <v/>
      </c>
      <c r="S759" s="208">
        <f>IF($L$724,$N759*IF($O$724=1,$O759/$F$724,1),"")</f>
        <v/>
      </c>
      <c r="T759" s="208">
        <f>IF(NOT($L$724),"",IF($G759&lt;nr_MStartP,$S759,$T747*(1+IF($G759&lt;nr_MStartP1,$M$724,$N$724))))</f>
        <v/>
      </c>
      <c r="U759" s="208">
        <f>IF($L$724,$T759,$N759)</f>
        <v/>
      </c>
    </row>
    <row r="760">
      <c r="A760" s="145" t="n">
        <v>34</v>
      </c>
      <c r="B760" s="204">
        <f>EDATE($B759,1)</f>
        <v/>
      </c>
      <c r="C760" s="205">
        <f>EOMONTH($B760,0)</f>
        <v/>
      </c>
      <c r="D760" s="201">
        <f>$C760-$B760+1</f>
        <v/>
      </c>
      <c r="E760" s="201">
        <f>MONTH($B760)</f>
        <v/>
      </c>
      <c r="F760" s="235">
        <f>($B760+$C760+1)/2</f>
        <v/>
      </c>
      <c r="G760" s="201">
        <f>YEAR($B760)*12+MONTH($B760)-1</f>
        <v/>
      </c>
      <c r="H760" s="207">
        <f>IF(OR(nr_SeasonOn="OFF",$D$724=0,$E$724=0),1,12*INDEX(se_block,$D$724,$E760)/$E$724)</f>
        <v/>
      </c>
      <c r="I760" s="208">
        <f>EXP(SUMPRODUCT((rl_eff&lt;$B760)*(rl_key=$A$724)*rl_ln1p))</f>
        <v/>
      </c>
      <c r="J760" s="208">
        <f>EXP(SUMPRODUCT((rl_eff&lt;=$C760)*(rl_key=$A$724)*rl_ln1p))</f>
        <v/>
      </c>
      <c r="K760" s="201">
        <f>COUNTIFS(rl_key,$A$724,rl_eff,"&gt;="&amp;$B760,rl_eff,"&lt;="&amp;$C760)</f>
        <v/>
      </c>
      <c r="L760" s="201">
        <f>SUMIFS(rl_daysafter,rl_key,$A$724,rl_effmonth,$B760,rl_first,1)</f>
        <v/>
      </c>
      <c r="M760" s="209">
        <f>IF($K760=0,0,MIN(1,$L760/$D760))</f>
        <v/>
      </c>
      <c r="N760" s="208">
        <f>IF($K760=0,$J760,(1-$M760)*$I760+$M760*$J760)</f>
        <v/>
      </c>
      <c r="O760" s="209">
        <f>IF($F760&lt;$B$725,$E$725+$I$725*($F760-$A$725),IF($F760&lt;$C$725,$F$725+$J$725*($F760-$B$725),$G$725+$K$725*($F760-$C$725)))</f>
        <v/>
      </c>
      <c r="P760" s="208">
        <f>MIN(1,MAX(0,(nr_MEndPm1-$G760+0.5)/$C$724))-MIN(1,MAX(0,(nr_MStartPm1-1-$G760+0.5)/$C$724))</f>
        <v/>
      </c>
      <c r="Q760" s="208">
        <f>MIN(1,MAX(0,(nr_MEndP-$G760+0.5)/$C$724))-MIN(1,MAX(0,(nr_MStartP-1-$G760+0.5)/$C$724))</f>
        <v/>
      </c>
      <c r="R760" s="208">
        <f>MIN(1,MAX(0,(nr_MEndP1-$G760+0.5)/$C$724))-MIN(1,MAX(0,(nr_MStartP1-1-$G760+0.5)/$C$724))</f>
        <v/>
      </c>
      <c r="S760" s="208">
        <f>IF($L$724,$N760*IF($O$724=1,$O760/$F$724,1),"")</f>
        <v/>
      </c>
      <c r="T760" s="208">
        <f>IF(NOT($L$724),"",IF($G760&lt;nr_MStartP,$S760,$T748*(1+IF($G760&lt;nr_MStartP1,$M$724,$N$724))))</f>
        <v/>
      </c>
      <c r="U760" s="208">
        <f>IF($L$724,$T760,$N760)</f>
        <v/>
      </c>
    </row>
    <row r="761">
      <c r="A761" s="145" t="n">
        <v>35</v>
      </c>
      <c r="B761" s="204">
        <f>EDATE($B760,1)</f>
        <v/>
      </c>
      <c r="C761" s="205">
        <f>EOMONTH($B761,0)</f>
        <v/>
      </c>
      <c r="D761" s="201">
        <f>$C761-$B761+1</f>
        <v/>
      </c>
      <c r="E761" s="201">
        <f>MONTH($B761)</f>
        <v/>
      </c>
      <c r="F761" s="235">
        <f>($B761+$C761+1)/2</f>
        <v/>
      </c>
      <c r="G761" s="201">
        <f>YEAR($B761)*12+MONTH($B761)-1</f>
        <v/>
      </c>
      <c r="H761" s="207">
        <f>IF(OR(nr_SeasonOn="OFF",$D$724=0,$E$724=0),1,12*INDEX(se_block,$D$724,$E761)/$E$724)</f>
        <v/>
      </c>
      <c r="I761" s="208">
        <f>EXP(SUMPRODUCT((rl_eff&lt;$B761)*(rl_key=$A$724)*rl_ln1p))</f>
        <v/>
      </c>
      <c r="J761" s="208">
        <f>EXP(SUMPRODUCT((rl_eff&lt;=$C761)*(rl_key=$A$724)*rl_ln1p))</f>
        <v/>
      </c>
      <c r="K761" s="201">
        <f>COUNTIFS(rl_key,$A$724,rl_eff,"&gt;="&amp;$B761,rl_eff,"&lt;="&amp;$C761)</f>
        <v/>
      </c>
      <c r="L761" s="201">
        <f>SUMIFS(rl_daysafter,rl_key,$A$724,rl_effmonth,$B761,rl_first,1)</f>
        <v/>
      </c>
      <c r="M761" s="209">
        <f>IF($K761=0,0,MIN(1,$L761/$D761))</f>
        <v/>
      </c>
      <c r="N761" s="208">
        <f>IF($K761=0,$J761,(1-$M761)*$I761+$M761*$J761)</f>
        <v/>
      </c>
      <c r="O761" s="209">
        <f>IF($F761&lt;$B$725,$E$725+$I$725*($F761-$A$725),IF($F761&lt;$C$725,$F$725+$J$725*($F761-$B$725),$G$725+$K$725*($F761-$C$725)))</f>
        <v/>
      </c>
      <c r="P761" s="208">
        <f>MIN(1,MAX(0,(nr_MEndPm1-$G761+0.5)/$C$724))-MIN(1,MAX(0,(nr_MStartPm1-1-$G761+0.5)/$C$724))</f>
        <v/>
      </c>
      <c r="Q761" s="208">
        <f>MIN(1,MAX(0,(nr_MEndP-$G761+0.5)/$C$724))-MIN(1,MAX(0,(nr_MStartP-1-$G761+0.5)/$C$724))</f>
        <v/>
      </c>
      <c r="R761" s="208">
        <f>MIN(1,MAX(0,(nr_MEndP1-$G761+0.5)/$C$724))-MIN(1,MAX(0,(nr_MStartP1-1-$G761+0.5)/$C$724))</f>
        <v/>
      </c>
      <c r="S761" s="208">
        <f>IF($L$724,$N761*IF($O$724=1,$O761/$F$724,1),"")</f>
        <v/>
      </c>
      <c r="T761" s="208">
        <f>IF(NOT($L$724),"",IF($G761&lt;nr_MStartP,$S761,$T749*(1+IF($G761&lt;nr_MStartP1,$M$724,$N$724))))</f>
        <v/>
      </c>
      <c r="U761" s="208">
        <f>IF($L$724,$T761,$N761)</f>
        <v/>
      </c>
    </row>
    <row r="762">
      <c r="A762" s="145" t="n">
        <v>36</v>
      </c>
      <c r="B762" s="204">
        <f>EDATE($B761,1)</f>
        <v/>
      </c>
      <c r="C762" s="205">
        <f>EOMONTH($B762,0)</f>
        <v/>
      </c>
      <c r="D762" s="201">
        <f>$C762-$B762+1</f>
        <v/>
      </c>
      <c r="E762" s="201">
        <f>MONTH($B762)</f>
        <v/>
      </c>
      <c r="F762" s="235">
        <f>($B762+$C762+1)/2</f>
        <v/>
      </c>
      <c r="G762" s="201">
        <f>YEAR($B762)*12+MONTH($B762)-1</f>
        <v/>
      </c>
      <c r="H762" s="207">
        <f>IF(OR(nr_SeasonOn="OFF",$D$724=0,$E$724=0),1,12*INDEX(se_block,$D$724,$E762)/$E$724)</f>
        <v/>
      </c>
      <c r="I762" s="208">
        <f>EXP(SUMPRODUCT((rl_eff&lt;$B762)*(rl_key=$A$724)*rl_ln1p))</f>
        <v/>
      </c>
      <c r="J762" s="208">
        <f>EXP(SUMPRODUCT((rl_eff&lt;=$C762)*(rl_key=$A$724)*rl_ln1p))</f>
        <v/>
      </c>
      <c r="K762" s="201">
        <f>COUNTIFS(rl_key,$A$724,rl_eff,"&gt;="&amp;$B762,rl_eff,"&lt;="&amp;$C762)</f>
        <v/>
      </c>
      <c r="L762" s="201">
        <f>SUMIFS(rl_daysafter,rl_key,$A$724,rl_effmonth,$B762,rl_first,1)</f>
        <v/>
      </c>
      <c r="M762" s="209">
        <f>IF($K762=0,0,MIN(1,$L762/$D762))</f>
        <v/>
      </c>
      <c r="N762" s="208">
        <f>IF($K762=0,$J762,(1-$M762)*$I762+$M762*$J762)</f>
        <v/>
      </c>
      <c r="O762" s="209">
        <f>IF($F762&lt;$B$725,$E$725+$I$725*($F762-$A$725),IF($F762&lt;$C$725,$F$725+$J$725*($F762-$B$725),$G$725+$K$725*($F762-$C$725)))</f>
        <v/>
      </c>
      <c r="P762" s="208">
        <f>MIN(1,MAX(0,(nr_MEndPm1-$G762+0.5)/$C$724))-MIN(1,MAX(0,(nr_MStartPm1-1-$G762+0.5)/$C$724))</f>
        <v/>
      </c>
      <c r="Q762" s="208">
        <f>MIN(1,MAX(0,(nr_MEndP-$G762+0.5)/$C$724))-MIN(1,MAX(0,(nr_MStartP-1-$G762+0.5)/$C$724))</f>
        <v/>
      </c>
      <c r="R762" s="208">
        <f>MIN(1,MAX(0,(nr_MEndP1-$G762+0.5)/$C$724))-MIN(1,MAX(0,(nr_MStartP1-1-$G762+0.5)/$C$724))</f>
        <v/>
      </c>
      <c r="S762" s="208">
        <f>IF($L$724,$N762*IF($O$724=1,$O762/$F$724,1),"")</f>
        <v/>
      </c>
      <c r="T762" s="208">
        <f>IF(NOT($L$724),"",IF($G762&lt;nr_MStartP,$S762,$T750*(1+IF($G762&lt;nr_MStartP1,$M$724,$N$724))))</f>
        <v/>
      </c>
      <c r="U762" s="208">
        <f>IF($L$724,$T762,$N762)</f>
        <v/>
      </c>
    </row>
    <row r="763">
      <c r="A763" s="145" t="n">
        <v>37</v>
      </c>
      <c r="B763" s="204">
        <f>EDATE($B762,1)</f>
        <v/>
      </c>
      <c r="C763" s="205">
        <f>EOMONTH($B763,0)</f>
        <v/>
      </c>
      <c r="D763" s="201">
        <f>$C763-$B763+1</f>
        <v/>
      </c>
      <c r="E763" s="201">
        <f>MONTH($B763)</f>
        <v/>
      </c>
      <c r="F763" s="235">
        <f>($B763+$C763+1)/2</f>
        <v/>
      </c>
      <c r="G763" s="201">
        <f>YEAR($B763)*12+MONTH($B763)-1</f>
        <v/>
      </c>
      <c r="H763" s="207">
        <f>IF(OR(nr_SeasonOn="OFF",$D$724=0,$E$724=0),1,12*INDEX(se_block,$D$724,$E763)/$E$724)</f>
        <v/>
      </c>
      <c r="I763" s="208">
        <f>EXP(SUMPRODUCT((rl_eff&lt;$B763)*(rl_key=$A$724)*rl_ln1p))</f>
        <v/>
      </c>
      <c r="J763" s="208">
        <f>EXP(SUMPRODUCT((rl_eff&lt;=$C763)*(rl_key=$A$724)*rl_ln1p))</f>
        <v/>
      </c>
      <c r="K763" s="201">
        <f>COUNTIFS(rl_key,$A$724,rl_eff,"&gt;="&amp;$B763,rl_eff,"&lt;="&amp;$C763)</f>
        <v/>
      </c>
      <c r="L763" s="201">
        <f>SUMIFS(rl_daysafter,rl_key,$A$724,rl_effmonth,$B763,rl_first,1)</f>
        <v/>
      </c>
      <c r="M763" s="209">
        <f>IF($K763=0,0,MIN(1,$L763/$D763))</f>
        <v/>
      </c>
      <c r="N763" s="208">
        <f>IF($K763=0,$J763,(1-$M763)*$I763+$M763*$J763)</f>
        <v/>
      </c>
      <c r="O763" s="209">
        <f>IF($F763&lt;$B$725,$E$725+$I$725*($F763-$A$725),IF($F763&lt;$C$725,$F$725+$J$725*($F763-$B$725),$G$725+$K$725*($F763-$C$725)))</f>
        <v/>
      </c>
      <c r="P763" s="208">
        <f>MIN(1,MAX(0,(nr_MEndPm1-$G763+0.5)/$C$724))-MIN(1,MAX(0,(nr_MStartPm1-1-$G763+0.5)/$C$724))</f>
        <v/>
      </c>
      <c r="Q763" s="208">
        <f>MIN(1,MAX(0,(nr_MEndP-$G763+0.5)/$C$724))-MIN(1,MAX(0,(nr_MStartP-1-$G763+0.5)/$C$724))</f>
        <v/>
      </c>
      <c r="R763" s="208">
        <f>MIN(1,MAX(0,(nr_MEndP1-$G763+0.5)/$C$724))-MIN(1,MAX(0,(nr_MStartP1-1-$G763+0.5)/$C$724))</f>
        <v/>
      </c>
      <c r="S763" s="208">
        <f>IF($L$724,$N763*IF($O$724=1,$O763/$F$724,1),"")</f>
        <v/>
      </c>
      <c r="T763" s="208">
        <f>IF(NOT($L$724),"",IF($G763&lt;nr_MStartP,$S763,$T751*(1+IF($G763&lt;nr_MStartP1,$M$724,$N$724))))</f>
        <v/>
      </c>
      <c r="U763" s="208">
        <f>IF($L$724,$T763,$N763)</f>
        <v/>
      </c>
    </row>
    <row r="764">
      <c r="A764" s="145" t="n">
        <v>38</v>
      </c>
      <c r="B764" s="204">
        <f>EDATE($B763,1)</f>
        <v/>
      </c>
      <c r="C764" s="205">
        <f>EOMONTH($B764,0)</f>
        <v/>
      </c>
      <c r="D764" s="201">
        <f>$C764-$B764+1</f>
        <v/>
      </c>
      <c r="E764" s="201">
        <f>MONTH($B764)</f>
        <v/>
      </c>
      <c r="F764" s="235">
        <f>($B764+$C764+1)/2</f>
        <v/>
      </c>
      <c r="G764" s="201">
        <f>YEAR($B764)*12+MONTH($B764)-1</f>
        <v/>
      </c>
      <c r="H764" s="207">
        <f>IF(OR(nr_SeasonOn="OFF",$D$724=0,$E$724=0),1,12*INDEX(se_block,$D$724,$E764)/$E$724)</f>
        <v/>
      </c>
      <c r="I764" s="208">
        <f>EXP(SUMPRODUCT((rl_eff&lt;$B764)*(rl_key=$A$724)*rl_ln1p))</f>
        <v/>
      </c>
      <c r="J764" s="208">
        <f>EXP(SUMPRODUCT((rl_eff&lt;=$C764)*(rl_key=$A$724)*rl_ln1p))</f>
        <v/>
      </c>
      <c r="K764" s="201">
        <f>COUNTIFS(rl_key,$A$724,rl_eff,"&gt;="&amp;$B764,rl_eff,"&lt;="&amp;$C764)</f>
        <v/>
      </c>
      <c r="L764" s="201">
        <f>SUMIFS(rl_daysafter,rl_key,$A$724,rl_effmonth,$B764,rl_first,1)</f>
        <v/>
      </c>
      <c r="M764" s="209">
        <f>IF($K764=0,0,MIN(1,$L764/$D764))</f>
        <v/>
      </c>
      <c r="N764" s="208">
        <f>IF($K764=0,$J764,(1-$M764)*$I764+$M764*$J764)</f>
        <v/>
      </c>
      <c r="O764" s="209">
        <f>IF($F764&lt;$B$725,$E$725+$I$725*($F764-$A$725),IF($F764&lt;$C$725,$F$725+$J$725*($F764-$B$725),$G$725+$K$725*($F764-$C$725)))</f>
        <v/>
      </c>
      <c r="P764" s="208">
        <f>MIN(1,MAX(0,(nr_MEndPm1-$G764+0.5)/$C$724))-MIN(1,MAX(0,(nr_MStartPm1-1-$G764+0.5)/$C$724))</f>
        <v/>
      </c>
      <c r="Q764" s="208">
        <f>MIN(1,MAX(0,(nr_MEndP-$G764+0.5)/$C$724))-MIN(1,MAX(0,(nr_MStartP-1-$G764+0.5)/$C$724))</f>
        <v/>
      </c>
      <c r="R764" s="208">
        <f>MIN(1,MAX(0,(nr_MEndP1-$G764+0.5)/$C$724))-MIN(1,MAX(0,(nr_MStartP1-1-$G764+0.5)/$C$724))</f>
        <v/>
      </c>
      <c r="S764" s="208">
        <f>IF($L$724,$N764*IF($O$724=1,$O764/$F$724,1),"")</f>
        <v/>
      </c>
      <c r="T764" s="208">
        <f>IF(NOT($L$724),"",IF($G764&lt;nr_MStartP,$S764,$T752*(1+IF($G764&lt;nr_MStartP1,$M$724,$N$724))))</f>
        <v/>
      </c>
      <c r="U764" s="208">
        <f>IF($L$724,$T764,$N764)</f>
        <v/>
      </c>
    </row>
    <row r="765">
      <c r="A765" s="145" t="n">
        <v>39</v>
      </c>
      <c r="B765" s="204">
        <f>EDATE($B764,1)</f>
        <v/>
      </c>
      <c r="C765" s="205">
        <f>EOMONTH($B765,0)</f>
        <v/>
      </c>
      <c r="D765" s="201">
        <f>$C765-$B765+1</f>
        <v/>
      </c>
      <c r="E765" s="201">
        <f>MONTH($B765)</f>
        <v/>
      </c>
      <c r="F765" s="235">
        <f>($B765+$C765+1)/2</f>
        <v/>
      </c>
      <c r="G765" s="201">
        <f>YEAR($B765)*12+MONTH($B765)-1</f>
        <v/>
      </c>
      <c r="H765" s="207">
        <f>IF(OR(nr_SeasonOn="OFF",$D$724=0,$E$724=0),1,12*INDEX(se_block,$D$724,$E765)/$E$724)</f>
        <v/>
      </c>
      <c r="I765" s="208">
        <f>EXP(SUMPRODUCT((rl_eff&lt;$B765)*(rl_key=$A$724)*rl_ln1p))</f>
        <v/>
      </c>
      <c r="J765" s="208">
        <f>EXP(SUMPRODUCT((rl_eff&lt;=$C765)*(rl_key=$A$724)*rl_ln1p))</f>
        <v/>
      </c>
      <c r="K765" s="201">
        <f>COUNTIFS(rl_key,$A$724,rl_eff,"&gt;="&amp;$B765,rl_eff,"&lt;="&amp;$C765)</f>
        <v/>
      </c>
      <c r="L765" s="201">
        <f>SUMIFS(rl_daysafter,rl_key,$A$724,rl_effmonth,$B765,rl_first,1)</f>
        <v/>
      </c>
      <c r="M765" s="209">
        <f>IF($K765=0,0,MIN(1,$L765/$D765))</f>
        <v/>
      </c>
      <c r="N765" s="208">
        <f>IF($K765=0,$J765,(1-$M765)*$I765+$M765*$J765)</f>
        <v/>
      </c>
      <c r="O765" s="209">
        <f>IF($F765&lt;$B$725,$E$725+$I$725*($F765-$A$725),IF($F765&lt;$C$725,$F$725+$J$725*($F765-$B$725),$G$725+$K$725*($F765-$C$725)))</f>
        <v/>
      </c>
      <c r="P765" s="208">
        <f>MIN(1,MAX(0,(nr_MEndPm1-$G765+0.5)/$C$724))-MIN(1,MAX(0,(nr_MStartPm1-1-$G765+0.5)/$C$724))</f>
        <v/>
      </c>
      <c r="Q765" s="208">
        <f>MIN(1,MAX(0,(nr_MEndP-$G765+0.5)/$C$724))-MIN(1,MAX(0,(nr_MStartP-1-$G765+0.5)/$C$724))</f>
        <v/>
      </c>
      <c r="R765" s="208">
        <f>MIN(1,MAX(0,(nr_MEndP1-$G765+0.5)/$C$724))-MIN(1,MAX(0,(nr_MStartP1-1-$G765+0.5)/$C$724))</f>
        <v/>
      </c>
      <c r="S765" s="208">
        <f>IF($L$724,$N765*IF($O$724=1,$O765/$F$724,1),"")</f>
        <v/>
      </c>
      <c r="T765" s="208">
        <f>IF(NOT($L$724),"",IF($G765&lt;nr_MStartP,$S765,$T753*(1+IF($G765&lt;nr_MStartP1,$M$724,$N$724))))</f>
        <v/>
      </c>
      <c r="U765" s="208">
        <f>IF($L$724,$T765,$N765)</f>
        <v/>
      </c>
    </row>
    <row r="766">
      <c r="A766" s="145" t="n">
        <v>40</v>
      </c>
      <c r="B766" s="204">
        <f>EDATE($B765,1)</f>
        <v/>
      </c>
      <c r="C766" s="205">
        <f>EOMONTH($B766,0)</f>
        <v/>
      </c>
      <c r="D766" s="201">
        <f>$C766-$B766+1</f>
        <v/>
      </c>
      <c r="E766" s="201">
        <f>MONTH($B766)</f>
        <v/>
      </c>
      <c r="F766" s="235">
        <f>($B766+$C766+1)/2</f>
        <v/>
      </c>
      <c r="G766" s="201">
        <f>YEAR($B766)*12+MONTH($B766)-1</f>
        <v/>
      </c>
      <c r="H766" s="207">
        <f>IF(OR(nr_SeasonOn="OFF",$D$724=0,$E$724=0),1,12*INDEX(se_block,$D$724,$E766)/$E$724)</f>
        <v/>
      </c>
      <c r="I766" s="208">
        <f>EXP(SUMPRODUCT((rl_eff&lt;$B766)*(rl_key=$A$724)*rl_ln1p))</f>
        <v/>
      </c>
      <c r="J766" s="208">
        <f>EXP(SUMPRODUCT((rl_eff&lt;=$C766)*(rl_key=$A$724)*rl_ln1p))</f>
        <v/>
      </c>
      <c r="K766" s="201">
        <f>COUNTIFS(rl_key,$A$724,rl_eff,"&gt;="&amp;$B766,rl_eff,"&lt;="&amp;$C766)</f>
        <v/>
      </c>
      <c r="L766" s="201">
        <f>SUMIFS(rl_daysafter,rl_key,$A$724,rl_effmonth,$B766,rl_first,1)</f>
        <v/>
      </c>
      <c r="M766" s="209">
        <f>IF($K766=0,0,MIN(1,$L766/$D766))</f>
        <v/>
      </c>
      <c r="N766" s="208">
        <f>IF($K766=0,$J766,(1-$M766)*$I766+$M766*$J766)</f>
        <v/>
      </c>
      <c r="O766" s="209">
        <f>IF($F766&lt;$B$725,$E$725+$I$725*($F766-$A$725),IF($F766&lt;$C$725,$F$725+$J$725*($F766-$B$725),$G$725+$K$725*($F766-$C$725)))</f>
        <v/>
      </c>
      <c r="P766" s="208">
        <f>MIN(1,MAX(0,(nr_MEndPm1-$G766+0.5)/$C$724))-MIN(1,MAX(0,(nr_MStartPm1-1-$G766+0.5)/$C$724))</f>
        <v/>
      </c>
      <c r="Q766" s="208">
        <f>MIN(1,MAX(0,(nr_MEndP-$G766+0.5)/$C$724))-MIN(1,MAX(0,(nr_MStartP-1-$G766+0.5)/$C$724))</f>
        <v/>
      </c>
      <c r="R766" s="208">
        <f>MIN(1,MAX(0,(nr_MEndP1-$G766+0.5)/$C$724))-MIN(1,MAX(0,(nr_MStartP1-1-$G766+0.5)/$C$724))</f>
        <v/>
      </c>
      <c r="S766" s="208">
        <f>IF($L$724,$N766*IF($O$724=1,$O766/$F$724,1),"")</f>
        <v/>
      </c>
      <c r="T766" s="208">
        <f>IF(NOT($L$724),"",IF($G766&lt;nr_MStartP,$S766,$T754*(1+IF($G766&lt;nr_MStartP1,$M$724,$N$724))))</f>
        <v/>
      </c>
      <c r="U766" s="208">
        <f>IF($L$724,$T766,$N766)</f>
        <v/>
      </c>
    </row>
    <row r="767">
      <c r="A767" s="145" t="n">
        <v>41</v>
      </c>
      <c r="B767" s="204">
        <f>EDATE($B766,1)</f>
        <v/>
      </c>
      <c r="C767" s="205">
        <f>EOMONTH($B767,0)</f>
        <v/>
      </c>
      <c r="D767" s="201">
        <f>$C767-$B767+1</f>
        <v/>
      </c>
      <c r="E767" s="201">
        <f>MONTH($B767)</f>
        <v/>
      </c>
      <c r="F767" s="235">
        <f>($B767+$C767+1)/2</f>
        <v/>
      </c>
      <c r="G767" s="201">
        <f>YEAR($B767)*12+MONTH($B767)-1</f>
        <v/>
      </c>
      <c r="H767" s="207">
        <f>IF(OR(nr_SeasonOn="OFF",$D$724=0,$E$724=0),1,12*INDEX(se_block,$D$724,$E767)/$E$724)</f>
        <v/>
      </c>
      <c r="I767" s="208">
        <f>EXP(SUMPRODUCT((rl_eff&lt;$B767)*(rl_key=$A$724)*rl_ln1p))</f>
        <v/>
      </c>
      <c r="J767" s="208">
        <f>EXP(SUMPRODUCT((rl_eff&lt;=$C767)*(rl_key=$A$724)*rl_ln1p))</f>
        <v/>
      </c>
      <c r="K767" s="201">
        <f>COUNTIFS(rl_key,$A$724,rl_eff,"&gt;="&amp;$B767,rl_eff,"&lt;="&amp;$C767)</f>
        <v/>
      </c>
      <c r="L767" s="201">
        <f>SUMIFS(rl_daysafter,rl_key,$A$724,rl_effmonth,$B767,rl_first,1)</f>
        <v/>
      </c>
      <c r="M767" s="209">
        <f>IF($K767=0,0,MIN(1,$L767/$D767))</f>
        <v/>
      </c>
      <c r="N767" s="208">
        <f>IF($K767=0,$J767,(1-$M767)*$I767+$M767*$J767)</f>
        <v/>
      </c>
      <c r="O767" s="209">
        <f>IF($F767&lt;$B$725,$E$725+$I$725*($F767-$A$725),IF($F767&lt;$C$725,$F$725+$J$725*($F767-$B$725),$G$725+$K$725*($F767-$C$725)))</f>
        <v/>
      </c>
      <c r="P767" s="208">
        <f>MIN(1,MAX(0,(nr_MEndPm1-$G767+0.5)/$C$724))-MIN(1,MAX(0,(nr_MStartPm1-1-$G767+0.5)/$C$724))</f>
        <v/>
      </c>
      <c r="Q767" s="208">
        <f>MIN(1,MAX(0,(nr_MEndP-$G767+0.5)/$C$724))-MIN(1,MAX(0,(nr_MStartP-1-$G767+0.5)/$C$724))</f>
        <v/>
      </c>
      <c r="R767" s="208">
        <f>MIN(1,MAX(0,(nr_MEndP1-$G767+0.5)/$C$724))-MIN(1,MAX(0,(nr_MStartP1-1-$G767+0.5)/$C$724))</f>
        <v/>
      </c>
      <c r="S767" s="208">
        <f>IF($L$724,$N767*IF($O$724=1,$O767/$F$724,1),"")</f>
        <v/>
      </c>
      <c r="T767" s="208">
        <f>IF(NOT($L$724),"",IF($G767&lt;nr_MStartP,$S767,$T755*(1+IF($G767&lt;nr_MStartP1,$M$724,$N$724))))</f>
        <v/>
      </c>
      <c r="U767" s="208">
        <f>IF($L$724,$T767,$N767)</f>
        <v/>
      </c>
    </row>
    <row r="768">
      <c r="A768" s="145" t="n">
        <v>42</v>
      </c>
      <c r="B768" s="204">
        <f>EDATE($B767,1)</f>
        <v/>
      </c>
      <c r="C768" s="205">
        <f>EOMONTH($B768,0)</f>
        <v/>
      </c>
      <c r="D768" s="201">
        <f>$C768-$B768+1</f>
        <v/>
      </c>
      <c r="E768" s="201">
        <f>MONTH($B768)</f>
        <v/>
      </c>
      <c r="F768" s="235">
        <f>($B768+$C768+1)/2</f>
        <v/>
      </c>
      <c r="G768" s="201">
        <f>YEAR($B768)*12+MONTH($B768)-1</f>
        <v/>
      </c>
      <c r="H768" s="207">
        <f>IF(OR(nr_SeasonOn="OFF",$D$724=0,$E$724=0),1,12*INDEX(se_block,$D$724,$E768)/$E$724)</f>
        <v/>
      </c>
      <c r="I768" s="208">
        <f>EXP(SUMPRODUCT((rl_eff&lt;$B768)*(rl_key=$A$724)*rl_ln1p))</f>
        <v/>
      </c>
      <c r="J768" s="208">
        <f>EXP(SUMPRODUCT((rl_eff&lt;=$C768)*(rl_key=$A$724)*rl_ln1p))</f>
        <v/>
      </c>
      <c r="K768" s="201">
        <f>COUNTIFS(rl_key,$A$724,rl_eff,"&gt;="&amp;$B768,rl_eff,"&lt;="&amp;$C768)</f>
        <v/>
      </c>
      <c r="L768" s="201">
        <f>SUMIFS(rl_daysafter,rl_key,$A$724,rl_effmonth,$B768,rl_first,1)</f>
        <v/>
      </c>
      <c r="M768" s="209">
        <f>IF($K768=0,0,MIN(1,$L768/$D768))</f>
        <v/>
      </c>
      <c r="N768" s="208">
        <f>IF($K768=0,$J768,(1-$M768)*$I768+$M768*$J768)</f>
        <v/>
      </c>
      <c r="O768" s="209">
        <f>IF($F768&lt;$B$725,$E$725+$I$725*($F768-$A$725),IF($F768&lt;$C$725,$F$725+$J$725*($F768-$B$725),$G$725+$K$725*($F768-$C$725)))</f>
        <v/>
      </c>
      <c r="P768" s="208">
        <f>MIN(1,MAX(0,(nr_MEndPm1-$G768+0.5)/$C$724))-MIN(1,MAX(0,(nr_MStartPm1-1-$G768+0.5)/$C$724))</f>
        <v/>
      </c>
      <c r="Q768" s="208">
        <f>MIN(1,MAX(0,(nr_MEndP-$G768+0.5)/$C$724))-MIN(1,MAX(0,(nr_MStartP-1-$G768+0.5)/$C$724))</f>
        <v/>
      </c>
      <c r="R768" s="208">
        <f>MIN(1,MAX(0,(nr_MEndP1-$G768+0.5)/$C$724))-MIN(1,MAX(0,(nr_MStartP1-1-$G768+0.5)/$C$724))</f>
        <v/>
      </c>
      <c r="S768" s="208">
        <f>IF($L$724,$N768*IF($O$724=1,$O768/$F$724,1),"")</f>
        <v/>
      </c>
      <c r="T768" s="208">
        <f>IF(NOT($L$724),"",IF($G768&lt;nr_MStartP,$S768,$T756*(1+IF($G768&lt;nr_MStartP1,$M$724,$N$724))))</f>
        <v/>
      </c>
      <c r="U768" s="208">
        <f>IF($L$724,$T768,$N768)</f>
        <v/>
      </c>
    </row>
    <row r="769">
      <c r="A769" s="145" t="n">
        <v>43</v>
      </c>
      <c r="B769" s="204">
        <f>EDATE($B768,1)</f>
        <v/>
      </c>
      <c r="C769" s="205">
        <f>EOMONTH($B769,0)</f>
        <v/>
      </c>
      <c r="D769" s="201">
        <f>$C769-$B769+1</f>
        <v/>
      </c>
      <c r="E769" s="201">
        <f>MONTH($B769)</f>
        <v/>
      </c>
      <c r="F769" s="235">
        <f>($B769+$C769+1)/2</f>
        <v/>
      </c>
      <c r="G769" s="201">
        <f>YEAR($B769)*12+MONTH($B769)-1</f>
        <v/>
      </c>
      <c r="H769" s="207">
        <f>IF(OR(nr_SeasonOn="OFF",$D$724=0,$E$724=0),1,12*INDEX(se_block,$D$724,$E769)/$E$724)</f>
        <v/>
      </c>
      <c r="I769" s="208">
        <f>EXP(SUMPRODUCT((rl_eff&lt;$B769)*(rl_key=$A$724)*rl_ln1p))</f>
        <v/>
      </c>
      <c r="J769" s="208">
        <f>EXP(SUMPRODUCT((rl_eff&lt;=$C769)*(rl_key=$A$724)*rl_ln1p))</f>
        <v/>
      </c>
      <c r="K769" s="201">
        <f>COUNTIFS(rl_key,$A$724,rl_eff,"&gt;="&amp;$B769,rl_eff,"&lt;="&amp;$C769)</f>
        <v/>
      </c>
      <c r="L769" s="201">
        <f>SUMIFS(rl_daysafter,rl_key,$A$724,rl_effmonth,$B769,rl_first,1)</f>
        <v/>
      </c>
      <c r="M769" s="209">
        <f>IF($K769=0,0,MIN(1,$L769/$D769))</f>
        <v/>
      </c>
      <c r="N769" s="208">
        <f>IF($K769=0,$J769,(1-$M769)*$I769+$M769*$J769)</f>
        <v/>
      </c>
      <c r="O769" s="209">
        <f>IF($F769&lt;$B$725,$E$725+$I$725*($F769-$A$725),IF($F769&lt;$C$725,$F$725+$J$725*($F769-$B$725),$G$725+$K$725*($F769-$C$725)))</f>
        <v/>
      </c>
      <c r="P769" s="208">
        <f>MIN(1,MAX(0,(nr_MEndPm1-$G769+0.5)/$C$724))-MIN(1,MAX(0,(nr_MStartPm1-1-$G769+0.5)/$C$724))</f>
        <v/>
      </c>
      <c r="Q769" s="208">
        <f>MIN(1,MAX(0,(nr_MEndP-$G769+0.5)/$C$724))-MIN(1,MAX(0,(nr_MStartP-1-$G769+0.5)/$C$724))</f>
        <v/>
      </c>
      <c r="R769" s="208">
        <f>MIN(1,MAX(0,(nr_MEndP1-$G769+0.5)/$C$724))-MIN(1,MAX(0,(nr_MStartP1-1-$G769+0.5)/$C$724))</f>
        <v/>
      </c>
      <c r="S769" s="208">
        <f>IF($L$724,$N769*IF($O$724=1,$O769/$F$724,1),"")</f>
        <v/>
      </c>
      <c r="T769" s="208">
        <f>IF(NOT($L$724),"",IF($G769&lt;nr_MStartP,$S769,$T757*(1+IF($G769&lt;nr_MStartP1,$M$724,$N$724))))</f>
        <v/>
      </c>
      <c r="U769" s="208">
        <f>IF($L$724,$T769,$N769)</f>
        <v/>
      </c>
    </row>
    <row r="770">
      <c r="A770" s="145" t="n">
        <v>44</v>
      </c>
      <c r="B770" s="204">
        <f>EDATE($B769,1)</f>
        <v/>
      </c>
      <c r="C770" s="205">
        <f>EOMONTH($B770,0)</f>
        <v/>
      </c>
      <c r="D770" s="201">
        <f>$C770-$B770+1</f>
        <v/>
      </c>
      <c r="E770" s="201">
        <f>MONTH($B770)</f>
        <v/>
      </c>
      <c r="F770" s="235">
        <f>($B770+$C770+1)/2</f>
        <v/>
      </c>
      <c r="G770" s="201">
        <f>YEAR($B770)*12+MONTH($B770)-1</f>
        <v/>
      </c>
      <c r="H770" s="207">
        <f>IF(OR(nr_SeasonOn="OFF",$D$724=0,$E$724=0),1,12*INDEX(se_block,$D$724,$E770)/$E$724)</f>
        <v/>
      </c>
      <c r="I770" s="208">
        <f>EXP(SUMPRODUCT((rl_eff&lt;$B770)*(rl_key=$A$724)*rl_ln1p))</f>
        <v/>
      </c>
      <c r="J770" s="208">
        <f>EXP(SUMPRODUCT((rl_eff&lt;=$C770)*(rl_key=$A$724)*rl_ln1p))</f>
        <v/>
      </c>
      <c r="K770" s="201">
        <f>COUNTIFS(rl_key,$A$724,rl_eff,"&gt;="&amp;$B770,rl_eff,"&lt;="&amp;$C770)</f>
        <v/>
      </c>
      <c r="L770" s="201">
        <f>SUMIFS(rl_daysafter,rl_key,$A$724,rl_effmonth,$B770,rl_first,1)</f>
        <v/>
      </c>
      <c r="M770" s="209">
        <f>IF($K770=0,0,MIN(1,$L770/$D770))</f>
        <v/>
      </c>
      <c r="N770" s="208">
        <f>IF($K770=0,$J770,(1-$M770)*$I770+$M770*$J770)</f>
        <v/>
      </c>
      <c r="O770" s="209">
        <f>IF($F770&lt;$B$725,$E$725+$I$725*($F770-$A$725),IF($F770&lt;$C$725,$F$725+$J$725*($F770-$B$725),$G$725+$K$725*($F770-$C$725)))</f>
        <v/>
      </c>
      <c r="P770" s="208">
        <f>MIN(1,MAX(0,(nr_MEndPm1-$G770+0.5)/$C$724))-MIN(1,MAX(0,(nr_MStartPm1-1-$G770+0.5)/$C$724))</f>
        <v/>
      </c>
      <c r="Q770" s="208">
        <f>MIN(1,MAX(0,(nr_MEndP-$G770+0.5)/$C$724))-MIN(1,MAX(0,(nr_MStartP-1-$G770+0.5)/$C$724))</f>
        <v/>
      </c>
      <c r="R770" s="208">
        <f>MIN(1,MAX(0,(nr_MEndP1-$G770+0.5)/$C$724))-MIN(1,MAX(0,(nr_MStartP1-1-$G770+0.5)/$C$724))</f>
        <v/>
      </c>
      <c r="S770" s="208">
        <f>IF($L$724,$N770*IF($O$724=1,$O770/$F$724,1),"")</f>
        <v/>
      </c>
      <c r="T770" s="208">
        <f>IF(NOT($L$724),"",IF($G770&lt;nr_MStartP,$S770,$T758*(1+IF($G770&lt;nr_MStartP1,$M$724,$N$724))))</f>
        <v/>
      </c>
      <c r="U770" s="208">
        <f>IF($L$724,$T770,$N770)</f>
        <v/>
      </c>
    </row>
    <row r="771">
      <c r="A771" s="145" t="n">
        <v>45</v>
      </c>
      <c r="B771" s="204">
        <f>EDATE($B770,1)</f>
        <v/>
      </c>
      <c r="C771" s="205">
        <f>EOMONTH($B771,0)</f>
        <v/>
      </c>
      <c r="D771" s="201">
        <f>$C771-$B771+1</f>
        <v/>
      </c>
      <c r="E771" s="201">
        <f>MONTH($B771)</f>
        <v/>
      </c>
      <c r="F771" s="235">
        <f>($B771+$C771+1)/2</f>
        <v/>
      </c>
      <c r="G771" s="201">
        <f>YEAR($B771)*12+MONTH($B771)-1</f>
        <v/>
      </c>
      <c r="H771" s="207">
        <f>IF(OR(nr_SeasonOn="OFF",$D$724=0,$E$724=0),1,12*INDEX(se_block,$D$724,$E771)/$E$724)</f>
        <v/>
      </c>
      <c r="I771" s="208">
        <f>EXP(SUMPRODUCT((rl_eff&lt;$B771)*(rl_key=$A$724)*rl_ln1p))</f>
        <v/>
      </c>
      <c r="J771" s="208">
        <f>EXP(SUMPRODUCT((rl_eff&lt;=$C771)*(rl_key=$A$724)*rl_ln1p))</f>
        <v/>
      </c>
      <c r="K771" s="201">
        <f>COUNTIFS(rl_key,$A$724,rl_eff,"&gt;="&amp;$B771,rl_eff,"&lt;="&amp;$C771)</f>
        <v/>
      </c>
      <c r="L771" s="201">
        <f>SUMIFS(rl_daysafter,rl_key,$A$724,rl_effmonth,$B771,rl_first,1)</f>
        <v/>
      </c>
      <c r="M771" s="209">
        <f>IF($K771=0,0,MIN(1,$L771/$D771))</f>
        <v/>
      </c>
      <c r="N771" s="208">
        <f>IF($K771=0,$J771,(1-$M771)*$I771+$M771*$J771)</f>
        <v/>
      </c>
      <c r="O771" s="209">
        <f>IF($F771&lt;$B$725,$E$725+$I$725*($F771-$A$725),IF($F771&lt;$C$725,$F$725+$J$725*($F771-$B$725),$G$725+$K$725*($F771-$C$725)))</f>
        <v/>
      </c>
      <c r="P771" s="208">
        <f>MIN(1,MAX(0,(nr_MEndPm1-$G771+0.5)/$C$724))-MIN(1,MAX(0,(nr_MStartPm1-1-$G771+0.5)/$C$724))</f>
        <v/>
      </c>
      <c r="Q771" s="208">
        <f>MIN(1,MAX(0,(nr_MEndP-$G771+0.5)/$C$724))-MIN(1,MAX(0,(nr_MStartP-1-$G771+0.5)/$C$724))</f>
        <v/>
      </c>
      <c r="R771" s="208">
        <f>MIN(1,MAX(0,(nr_MEndP1-$G771+0.5)/$C$724))-MIN(1,MAX(0,(nr_MStartP1-1-$G771+0.5)/$C$724))</f>
        <v/>
      </c>
      <c r="S771" s="208">
        <f>IF($L$724,$N771*IF($O$724=1,$O771/$F$724,1),"")</f>
        <v/>
      </c>
      <c r="T771" s="208">
        <f>IF(NOT($L$724),"",IF($G771&lt;nr_MStartP,$S771,$T759*(1+IF($G771&lt;nr_MStartP1,$M$724,$N$724))))</f>
        <v/>
      </c>
      <c r="U771" s="208">
        <f>IF($L$724,$T771,$N771)</f>
        <v/>
      </c>
    </row>
    <row r="772">
      <c r="A772" s="145" t="n">
        <v>46</v>
      </c>
      <c r="B772" s="204">
        <f>EDATE($B771,1)</f>
        <v/>
      </c>
      <c r="C772" s="205">
        <f>EOMONTH($B772,0)</f>
        <v/>
      </c>
      <c r="D772" s="201">
        <f>$C772-$B772+1</f>
        <v/>
      </c>
      <c r="E772" s="201">
        <f>MONTH($B772)</f>
        <v/>
      </c>
      <c r="F772" s="235">
        <f>($B772+$C772+1)/2</f>
        <v/>
      </c>
      <c r="G772" s="201">
        <f>YEAR($B772)*12+MONTH($B772)-1</f>
        <v/>
      </c>
      <c r="H772" s="207">
        <f>IF(OR(nr_SeasonOn="OFF",$D$724=0,$E$724=0),1,12*INDEX(se_block,$D$724,$E772)/$E$724)</f>
        <v/>
      </c>
      <c r="I772" s="208">
        <f>EXP(SUMPRODUCT((rl_eff&lt;$B772)*(rl_key=$A$724)*rl_ln1p))</f>
        <v/>
      </c>
      <c r="J772" s="208">
        <f>EXP(SUMPRODUCT((rl_eff&lt;=$C772)*(rl_key=$A$724)*rl_ln1p))</f>
        <v/>
      </c>
      <c r="K772" s="201">
        <f>COUNTIFS(rl_key,$A$724,rl_eff,"&gt;="&amp;$B772,rl_eff,"&lt;="&amp;$C772)</f>
        <v/>
      </c>
      <c r="L772" s="201">
        <f>SUMIFS(rl_daysafter,rl_key,$A$724,rl_effmonth,$B772,rl_first,1)</f>
        <v/>
      </c>
      <c r="M772" s="209">
        <f>IF($K772=0,0,MIN(1,$L772/$D772))</f>
        <v/>
      </c>
      <c r="N772" s="208">
        <f>IF($K772=0,$J772,(1-$M772)*$I772+$M772*$J772)</f>
        <v/>
      </c>
      <c r="O772" s="209">
        <f>IF($F772&lt;$B$725,$E$725+$I$725*($F772-$A$725),IF($F772&lt;$C$725,$F$725+$J$725*($F772-$B$725),$G$725+$K$725*($F772-$C$725)))</f>
        <v/>
      </c>
      <c r="P772" s="208">
        <f>MIN(1,MAX(0,(nr_MEndPm1-$G772+0.5)/$C$724))-MIN(1,MAX(0,(nr_MStartPm1-1-$G772+0.5)/$C$724))</f>
        <v/>
      </c>
      <c r="Q772" s="208">
        <f>MIN(1,MAX(0,(nr_MEndP-$G772+0.5)/$C$724))-MIN(1,MAX(0,(nr_MStartP-1-$G772+0.5)/$C$724))</f>
        <v/>
      </c>
      <c r="R772" s="208">
        <f>MIN(1,MAX(0,(nr_MEndP1-$G772+0.5)/$C$724))-MIN(1,MAX(0,(nr_MStartP1-1-$G772+0.5)/$C$724))</f>
        <v/>
      </c>
      <c r="S772" s="208">
        <f>IF($L$724,$N772*IF($O$724=1,$O772/$F$724,1),"")</f>
        <v/>
      </c>
      <c r="T772" s="208">
        <f>IF(NOT($L$724),"",IF($G772&lt;nr_MStartP,$S772,$T760*(1+IF($G772&lt;nr_MStartP1,$M$724,$N$724))))</f>
        <v/>
      </c>
      <c r="U772" s="208">
        <f>IF($L$724,$T772,$N772)</f>
        <v/>
      </c>
    </row>
    <row r="773">
      <c r="A773" s="145" t="n">
        <v>47</v>
      </c>
      <c r="B773" s="204">
        <f>EDATE($B772,1)</f>
        <v/>
      </c>
      <c r="C773" s="205">
        <f>EOMONTH($B773,0)</f>
        <v/>
      </c>
      <c r="D773" s="201">
        <f>$C773-$B773+1</f>
        <v/>
      </c>
      <c r="E773" s="201">
        <f>MONTH($B773)</f>
        <v/>
      </c>
      <c r="F773" s="235">
        <f>($B773+$C773+1)/2</f>
        <v/>
      </c>
      <c r="G773" s="201">
        <f>YEAR($B773)*12+MONTH($B773)-1</f>
        <v/>
      </c>
      <c r="H773" s="207">
        <f>IF(OR(nr_SeasonOn="OFF",$D$724=0,$E$724=0),1,12*INDEX(se_block,$D$724,$E773)/$E$724)</f>
        <v/>
      </c>
      <c r="I773" s="208">
        <f>EXP(SUMPRODUCT((rl_eff&lt;$B773)*(rl_key=$A$724)*rl_ln1p))</f>
        <v/>
      </c>
      <c r="J773" s="208">
        <f>EXP(SUMPRODUCT((rl_eff&lt;=$C773)*(rl_key=$A$724)*rl_ln1p))</f>
        <v/>
      </c>
      <c r="K773" s="201">
        <f>COUNTIFS(rl_key,$A$724,rl_eff,"&gt;="&amp;$B773,rl_eff,"&lt;="&amp;$C773)</f>
        <v/>
      </c>
      <c r="L773" s="201">
        <f>SUMIFS(rl_daysafter,rl_key,$A$724,rl_effmonth,$B773,rl_first,1)</f>
        <v/>
      </c>
      <c r="M773" s="209">
        <f>IF($K773=0,0,MIN(1,$L773/$D773))</f>
        <v/>
      </c>
      <c r="N773" s="208">
        <f>IF($K773=0,$J773,(1-$M773)*$I773+$M773*$J773)</f>
        <v/>
      </c>
      <c r="O773" s="209">
        <f>IF($F773&lt;$B$725,$E$725+$I$725*($F773-$A$725),IF($F773&lt;$C$725,$F$725+$J$725*($F773-$B$725),$G$725+$K$725*($F773-$C$725)))</f>
        <v/>
      </c>
      <c r="P773" s="208">
        <f>MIN(1,MAX(0,(nr_MEndPm1-$G773+0.5)/$C$724))-MIN(1,MAX(0,(nr_MStartPm1-1-$G773+0.5)/$C$724))</f>
        <v/>
      </c>
      <c r="Q773" s="208">
        <f>MIN(1,MAX(0,(nr_MEndP-$G773+0.5)/$C$724))-MIN(1,MAX(0,(nr_MStartP-1-$G773+0.5)/$C$724))</f>
        <v/>
      </c>
      <c r="R773" s="208">
        <f>MIN(1,MAX(0,(nr_MEndP1-$G773+0.5)/$C$724))-MIN(1,MAX(0,(nr_MStartP1-1-$G773+0.5)/$C$724))</f>
        <v/>
      </c>
      <c r="S773" s="208">
        <f>IF($L$724,$N773*IF($O$724=1,$O773/$F$724,1),"")</f>
        <v/>
      </c>
      <c r="T773" s="208">
        <f>IF(NOT($L$724),"",IF($G773&lt;nr_MStartP,$S773,$T761*(1+IF($G773&lt;nr_MStartP1,$M$724,$N$724))))</f>
        <v/>
      </c>
      <c r="U773" s="208">
        <f>IF($L$724,$T773,$N773)</f>
        <v/>
      </c>
    </row>
    <row r="774">
      <c r="A774" s="145" t="n">
        <v>48</v>
      </c>
      <c r="B774" s="204">
        <f>EDATE($B773,1)</f>
        <v/>
      </c>
      <c r="C774" s="205">
        <f>EOMONTH($B774,0)</f>
        <v/>
      </c>
      <c r="D774" s="201">
        <f>$C774-$B774+1</f>
        <v/>
      </c>
      <c r="E774" s="201">
        <f>MONTH($B774)</f>
        <v/>
      </c>
      <c r="F774" s="235">
        <f>($B774+$C774+1)/2</f>
        <v/>
      </c>
      <c r="G774" s="201">
        <f>YEAR($B774)*12+MONTH($B774)-1</f>
        <v/>
      </c>
      <c r="H774" s="207">
        <f>IF(OR(nr_SeasonOn="OFF",$D$724=0,$E$724=0),1,12*INDEX(se_block,$D$724,$E774)/$E$724)</f>
        <v/>
      </c>
      <c r="I774" s="208">
        <f>EXP(SUMPRODUCT((rl_eff&lt;$B774)*(rl_key=$A$724)*rl_ln1p))</f>
        <v/>
      </c>
      <c r="J774" s="208">
        <f>EXP(SUMPRODUCT((rl_eff&lt;=$C774)*(rl_key=$A$724)*rl_ln1p))</f>
        <v/>
      </c>
      <c r="K774" s="201">
        <f>COUNTIFS(rl_key,$A$724,rl_eff,"&gt;="&amp;$B774,rl_eff,"&lt;="&amp;$C774)</f>
        <v/>
      </c>
      <c r="L774" s="201">
        <f>SUMIFS(rl_daysafter,rl_key,$A$724,rl_effmonth,$B774,rl_first,1)</f>
        <v/>
      </c>
      <c r="M774" s="209">
        <f>IF($K774=0,0,MIN(1,$L774/$D774))</f>
        <v/>
      </c>
      <c r="N774" s="208">
        <f>IF($K774=0,$J774,(1-$M774)*$I774+$M774*$J774)</f>
        <v/>
      </c>
      <c r="O774" s="209">
        <f>IF($F774&lt;$B$725,$E$725+$I$725*($F774-$A$725),IF($F774&lt;$C$725,$F$725+$J$725*($F774-$B$725),$G$725+$K$725*($F774-$C$725)))</f>
        <v/>
      </c>
      <c r="P774" s="208">
        <f>MIN(1,MAX(0,(nr_MEndPm1-$G774+0.5)/$C$724))-MIN(1,MAX(0,(nr_MStartPm1-1-$G774+0.5)/$C$724))</f>
        <v/>
      </c>
      <c r="Q774" s="208">
        <f>MIN(1,MAX(0,(nr_MEndP-$G774+0.5)/$C$724))-MIN(1,MAX(0,(nr_MStartP-1-$G774+0.5)/$C$724))</f>
        <v/>
      </c>
      <c r="R774" s="208">
        <f>MIN(1,MAX(0,(nr_MEndP1-$G774+0.5)/$C$724))-MIN(1,MAX(0,(nr_MStartP1-1-$G774+0.5)/$C$724))</f>
        <v/>
      </c>
      <c r="S774" s="208">
        <f>IF($L$724,$N774*IF($O$724=1,$O774/$F$724,1),"")</f>
        <v/>
      </c>
      <c r="T774" s="208">
        <f>IF(NOT($L$724),"",IF($G774&lt;nr_MStartP,$S774,$T762*(1+IF($G774&lt;nr_MStartP1,$M$724,$N$724))))</f>
        <v/>
      </c>
      <c r="U774" s="208">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184">
        <f>SUMPRODUCT($H$727:$H$774,$Q$727:$Q$774,$O$727:$O$774)/SUMPRODUCT($H$727:$H$774,$Q$727:$Q$774)</f>
        <v/>
      </c>
      <c r="G775" s="184">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184">
        <f>IF(N(INDEX(lr_mind,14))=0,1,INDEX(lr_mind,14))</f>
        <v/>
      </c>
      <c r="G778" s="184">
        <f>IF(N(INDEX(lr_m0,14))=0,1,INDEX(lr_m0,14))</f>
        <v/>
      </c>
      <c r="H778" s="73">
        <f>IF(N(INDEX(lr_m0asof,14))=0,DATE(nr_PlanYear-1,10,1),INDEX(lr_m0asof,14))</f>
        <v/>
      </c>
      <c r="I778" s="184">
        <f>IF(N(INDEX(lr_m1,14))=0,1,INDEX(lr_m1,14))</f>
        <v/>
      </c>
      <c r="J778" s="184">
        <f>INDEX(lr_mprior,14)</f>
        <v/>
      </c>
      <c r="K778" s="184">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145" t="n">
        <v>1</v>
      </c>
      <c r="B781" s="204">
        <f>DATE(nr_PlanYear-2,1,1)</f>
        <v/>
      </c>
      <c r="C781" s="205">
        <f>EOMONTH($B781,0)</f>
        <v/>
      </c>
      <c r="D781" s="201">
        <f>$C781-$B781+1</f>
        <v/>
      </c>
      <c r="E781" s="201">
        <f>MONTH($B781)</f>
        <v/>
      </c>
      <c r="F781" s="235">
        <f>($B781+$C781+1)/2</f>
        <v/>
      </c>
      <c r="G781" s="201">
        <f>YEAR($B781)*12+MONTH($B781)-1</f>
        <v/>
      </c>
      <c r="H781" s="207">
        <f>IF(OR(nr_SeasonOn="OFF",$D$778=0,$E$778=0),1,12*INDEX(se_block,$D$778,$E781)/$E$778)</f>
        <v/>
      </c>
      <c r="I781" s="208">
        <f>EXP(SUMPRODUCT((rl_eff&lt;$B781)*(rl_key=$A$778)*rl_ln1p))</f>
        <v/>
      </c>
      <c r="J781" s="208">
        <f>EXP(SUMPRODUCT((rl_eff&lt;=$C781)*(rl_key=$A$778)*rl_ln1p))</f>
        <v/>
      </c>
      <c r="K781" s="201">
        <f>COUNTIFS(rl_key,$A$778,rl_eff,"&gt;="&amp;$B781,rl_eff,"&lt;="&amp;$C781)</f>
        <v/>
      </c>
      <c r="L781" s="201">
        <f>SUMIFS(rl_daysafter,rl_key,$A$778,rl_effmonth,$B781,rl_first,1)</f>
        <v/>
      </c>
      <c r="M781" s="209">
        <f>IF($K781=0,0,MIN(1,$L781/$D781))</f>
        <v/>
      </c>
      <c r="N781" s="208">
        <f>IF($K781=0,$J781,(1-$M781)*$I781+$M781*$J781)</f>
        <v/>
      </c>
      <c r="O781" s="209">
        <f>IF($F781&lt;$B$779,$E$779+$I$779*($F781-$A$779),IF($F781&lt;$C$779,$F$779+$J$779*($F781-$B$779),$G$779+$K$779*($F781-$C$779)))</f>
        <v/>
      </c>
      <c r="P781" s="208">
        <f>MIN(1,MAX(0,(nr_MEndPm1-$G781+0.5)/$C$778))-MIN(1,MAX(0,(nr_MStartPm1-1-$G781+0.5)/$C$778))</f>
        <v/>
      </c>
      <c r="Q781" s="208">
        <f>MIN(1,MAX(0,(nr_MEndP-$G781+0.5)/$C$778))-MIN(1,MAX(0,(nr_MStartP-1-$G781+0.5)/$C$778))</f>
        <v/>
      </c>
      <c r="R781" s="208">
        <f>MIN(1,MAX(0,(nr_MEndP1-$G781+0.5)/$C$778))-MIN(1,MAX(0,(nr_MStartP1-1-$G781+0.5)/$C$778))</f>
        <v/>
      </c>
      <c r="S781" s="208">
        <f>IF($L$778,$N781*IF($O$778=1,$O781/$F$778,1),"")</f>
        <v/>
      </c>
      <c r="T781" s="208">
        <f>IF(NOT($L$778),"",IF($G781&lt;nr_MStartP,$S781,$T769*(1+IF($G781&lt;nr_MStartP1,$M$778,$N$778))))</f>
        <v/>
      </c>
      <c r="U781" s="208">
        <f>IF($L$778,$T781,$N781)</f>
        <v/>
      </c>
    </row>
    <row r="782">
      <c r="A782" s="145" t="n">
        <v>2</v>
      </c>
      <c r="B782" s="204">
        <f>EDATE($B781,1)</f>
        <v/>
      </c>
      <c r="C782" s="205">
        <f>EOMONTH($B782,0)</f>
        <v/>
      </c>
      <c r="D782" s="201">
        <f>$C782-$B782+1</f>
        <v/>
      </c>
      <c r="E782" s="201">
        <f>MONTH($B782)</f>
        <v/>
      </c>
      <c r="F782" s="235">
        <f>($B782+$C782+1)/2</f>
        <v/>
      </c>
      <c r="G782" s="201">
        <f>YEAR($B782)*12+MONTH($B782)-1</f>
        <v/>
      </c>
      <c r="H782" s="207">
        <f>IF(OR(nr_SeasonOn="OFF",$D$778=0,$E$778=0),1,12*INDEX(se_block,$D$778,$E782)/$E$778)</f>
        <v/>
      </c>
      <c r="I782" s="208">
        <f>EXP(SUMPRODUCT((rl_eff&lt;$B782)*(rl_key=$A$778)*rl_ln1p))</f>
        <v/>
      </c>
      <c r="J782" s="208">
        <f>EXP(SUMPRODUCT((rl_eff&lt;=$C782)*(rl_key=$A$778)*rl_ln1p))</f>
        <v/>
      </c>
      <c r="K782" s="201">
        <f>COUNTIFS(rl_key,$A$778,rl_eff,"&gt;="&amp;$B782,rl_eff,"&lt;="&amp;$C782)</f>
        <v/>
      </c>
      <c r="L782" s="201">
        <f>SUMIFS(rl_daysafter,rl_key,$A$778,rl_effmonth,$B782,rl_first,1)</f>
        <v/>
      </c>
      <c r="M782" s="209">
        <f>IF($K782=0,0,MIN(1,$L782/$D782))</f>
        <v/>
      </c>
      <c r="N782" s="208">
        <f>IF($K782=0,$J782,(1-$M782)*$I782+$M782*$J782)</f>
        <v/>
      </c>
      <c r="O782" s="209">
        <f>IF($F782&lt;$B$779,$E$779+$I$779*($F782-$A$779),IF($F782&lt;$C$779,$F$779+$J$779*($F782-$B$779),$G$779+$K$779*($F782-$C$779)))</f>
        <v/>
      </c>
      <c r="P782" s="208">
        <f>MIN(1,MAX(0,(nr_MEndPm1-$G782+0.5)/$C$778))-MIN(1,MAX(0,(nr_MStartPm1-1-$G782+0.5)/$C$778))</f>
        <v/>
      </c>
      <c r="Q782" s="208">
        <f>MIN(1,MAX(0,(nr_MEndP-$G782+0.5)/$C$778))-MIN(1,MAX(0,(nr_MStartP-1-$G782+0.5)/$C$778))</f>
        <v/>
      </c>
      <c r="R782" s="208">
        <f>MIN(1,MAX(0,(nr_MEndP1-$G782+0.5)/$C$778))-MIN(1,MAX(0,(nr_MStartP1-1-$G782+0.5)/$C$778))</f>
        <v/>
      </c>
      <c r="S782" s="208">
        <f>IF($L$778,$N782*IF($O$778=1,$O782/$F$778,1),"")</f>
        <v/>
      </c>
      <c r="T782" s="208">
        <f>IF(NOT($L$778),"",IF($G782&lt;nr_MStartP,$S782,$T770*(1+IF($G782&lt;nr_MStartP1,$M$778,$N$778))))</f>
        <v/>
      </c>
      <c r="U782" s="208">
        <f>IF($L$778,$T782,$N782)</f>
        <v/>
      </c>
    </row>
    <row r="783">
      <c r="A783" s="145" t="n">
        <v>3</v>
      </c>
      <c r="B783" s="204">
        <f>EDATE($B782,1)</f>
        <v/>
      </c>
      <c r="C783" s="205">
        <f>EOMONTH($B783,0)</f>
        <v/>
      </c>
      <c r="D783" s="201">
        <f>$C783-$B783+1</f>
        <v/>
      </c>
      <c r="E783" s="201">
        <f>MONTH($B783)</f>
        <v/>
      </c>
      <c r="F783" s="235">
        <f>($B783+$C783+1)/2</f>
        <v/>
      </c>
      <c r="G783" s="201">
        <f>YEAR($B783)*12+MONTH($B783)-1</f>
        <v/>
      </c>
      <c r="H783" s="207">
        <f>IF(OR(nr_SeasonOn="OFF",$D$778=0,$E$778=0),1,12*INDEX(se_block,$D$778,$E783)/$E$778)</f>
        <v/>
      </c>
      <c r="I783" s="208">
        <f>EXP(SUMPRODUCT((rl_eff&lt;$B783)*(rl_key=$A$778)*rl_ln1p))</f>
        <v/>
      </c>
      <c r="J783" s="208">
        <f>EXP(SUMPRODUCT((rl_eff&lt;=$C783)*(rl_key=$A$778)*rl_ln1p))</f>
        <v/>
      </c>
      <c r="K783" s="201">
        <f>COUNTIFS(rl_key,$A$778,rl_eff,"&gt;="&amp;$B783,rl_eff,"&lt;="&amp;$C783)</f>
        <v/>
      </c>
      <c r="L783" s="201">
        <f>SUMIFS(rl_daysafter,rl_key,$A$778,rl_effmonth,$B783,rl_first,1)</f>
        <v/>
      </c>
      <c r="M783" s="209">
        <f>IF($K783=0,0,MIN(1,$L783/$D783))</f>
        <v/>
      </c>
      <c r="N783" s="208">
        <f>IF($K783=0,$J783,(1-$M783)*$I783+$M783*$J783)</f>
        <v/>
      </c>
      <c r="O783" s="209">
        <f>IF($F783&lt;$B$779,$E$779+$I$779*($F783-$A$779),IF($F783&lt;$C$779,$F$779+$J$779*($F783-$B$779),$G$779+$K$779*($F783-$C$779)))</f>
        <v/>
      </c>
      <c r="P783" s="208">
        <f>MIN(1,MAX(0,(nr_MEndPm1-$G783+0.5)/$C$778))-MIN(1,MAX(0,(nr_MStartPm1-1-$G783+0.5)/$C$778))</f>
        <v/>
      </c>
      <c r="Q783" s="208">
        <f>MIN(1,MAX(0,(nr_MEndP-$G783+0.5)/$C$778))-MIN(1,MAX(0,(nr_MStartP-1-$G783+0.5)/$C$778))</f>
        <v/>
      </c>
      <c r="R783" s="208">
        <f>MIN(1,MAX(0,(nr_MEndP1-$G783+0.5)/$C$778))-MIN(1,MAX(0,(nr_MStartP1-1-$G783+0.5)/$C$778))</f>
        <v/>
      </c>
      <c r="S783" s="208">
        <f>IF($L$778,$N783*IF($O$778=1,$O783/$F$778,1),"")</f>
        <v/>
      </c>
      <c r="T783" s="208">
        <f>IF(NOT($L$778),"",IF($G783&lt;nr_MStartP,$S783,$T771*(1+IF($G783&lt;nr_MStartP1,$M$778,$N$778))))</f>
        <v/>
      </c>
      <c r="U783" s="208">
        <f>IF($L$778,$T783,$N783)</f>
        <v/>
      </c>
    </row>
    <row r="784">
      <c r="A784" s="145" t="n">
        <v>4</v>
      </c>
      <c r="B784" s="204">
        <f>EDATE($B783,1)</f>
        <v/>
      </c>
      <c r="C784" s="205">
        <f>EOMONTH($B784,0)</f>
        <v/>
      </c>
      <c r="D784" s="201">
        <f>$C784-$B784+1</f>
        <v/>
      </c>
      <c r="E784" s="201">
        <f>MONTH($B784)</f>
        <v/>
      </c>
      <c r="F784" s="235">
        <f>($B784+$C784+1)/2</f>
        <v/>
      </c>
      <c r="G784" s="201">
        <f>YEAR($B784)*12+MONTH($B784)-1</f>
        <v/>
      </c>
      <c r="H784" s="207">
        <f>IF(OR(nr_SeasonOn="OFF",$D$778=0,$E$778=0),1,12*INDEX(se_block,$D$778,$E784)/$E$778)</f>
        <v/>
      </c>
      <c r="I784" s="208">
        <f>EXP(SUMPRODUCT((rl_eff&lt;$B784)*(rl_key=$A$778)*rl_ln1p))</f>
        <v/>
      </c>
      <c r="J784" s="208">
        <f>EXP(SUMPRODUCT((rl_eff&lt;=$C784)*(rl_key=$A$778)*rl_ln1p))</f>
        <v/>
      </c>
      <c r="K784" s="201">
        <f>COUNTIFS(rl_key,$A$778,rl_eff,"&gt;="&amp;$B784,rl_eff,"&lt;="&amp;$C784)</f>
        <v/>
      </c>
      <c r="L784" s="201">
        <f>SUMIFS(rl_daysafter,rl_key,$A$778,rl_effmonth,$B784,rl_first,1)</f>
        <v/>
      </c>
      <c r="M784" s="209">
        <f>IF($K784=0,0,MIN(1,$L784/$D784))</f>
        <v/>
      </c>
      <c r="N784" s="208">
        <f>IF($K784=0,$J784,(1-$M784)*$I784+$M784*$J784)</f>
        <v/>
      </c>
      <c r="O784" s="209">
        <f>IF($F784&lt;$B$779,$E$779+$I$779*($F784-$A$779),IF($F784&lt;$C$779,$F$779+$J$779*($F784-$B$779),$G$779+$K$779*($F784-$C$779)))</f>
        <v/>
      </c>
      <c r="P784" s="208">
        <f>MIN(1,MAX(0,(nr_MEndPm1-$G784+0.5)/$C$778))-MIN(1,MAX(0,(nr_MStartPm1-1-$G784+0.5)/$C$778))</f>
        <v/>
      </c>
      <c r="Q784" s="208">
        <f>MIN(1,MAX(0,(nr_MEndP-$G784+0.5)/$C$778))-MIN(1,MAX(0,(nr_MStartP-1-$G784+0.5)/$C$778))</f>
        <v/>
      </c>
      <c r="R784" s="208">
        <f>MIN(1,MAX(0,(nr_MEndP1-$G784+0.5)/$C$778))-MIN(1,MAX(0,(nr_MStartP1-1-$G784+0.5)/$C$778))</f>
        <v/>
      </c>
      <c r="S784" s="208">
        <f>IF($L$778,$N784*IF($O$778=1,$O784/$F$778,1),"")</f>
        <v/>
      </c>
      <c r="T784" s="208">
        <f>IF(NOT($L$778),"",IF($G784&lt;nr_MStartP,$S784,$T772*(1+IF($G784&lt;nr_MStartP1,$M$778,$N$778))))</f>
        <v/>
      </c>
      <c r="U784" s="208">
        <f>IF($L$778,$T784,$N784)</f>
        <v/>
      </c>
    </row>
    <row r="785">
      <c r="A785" s="145" t="n">
        <v>5</v>
      </c>
      <c r="B785" s="204">
        <f>EDATE($B784,1)</f>
        <v/>
      </c>
      <c r="C785" s="205">
        <f>EOMONTH($B785,0)</f>
        <v/>
      </c>
      <c r="D785" s="201">
        <f>$C785-$B785+1</f>
        <v/>
      </c>
      <c r="E785" s="201">
        <f>MONTH($B785)</f>
        <v/>
      </c>
      <c r="F785" s="235">
        <f>($B785+$C785+1)/2</f>
        <v/>
      </c>
      <c r="G785" s="201">
        <f>YEAR($B785)*12+MONTH($B785)-1</f>
        <v/>
      </c>
      <c r="H785" s="207">
        <f>IF(OR(nr_SeasonOn="OFF",$D$778=0,$E$778=0),1,12*INDEX(se_block,$D$778,$E785)/$E$778)</f>
        <v/>
      </c>
      <c r="I785" s="208">
        <f>EXP(SUMPRODUCT((rl_eff&lt;$B785)*(rl_key=$A$778)*rl_ln1p))</f>
        <v/>
      </c>
      <c r="J785" s="208">
        <f>EXP(SUMPRODUCT((rl_eff&lt;=$C785)*(rl_key=$A$778)*rl_ln1p))</f>
        <v/>
      </c>
      <c r="K785" s="201">
        <f>COUNTIFS(rl_key,$A$778,rl_eff,"&gt;="&amp;$B785,rl_eff,"&lt;="&amp;$C785)</f>
        <v/>
      </c>
      <c r="L785" s="201">
        <f>SUMIFS(rl_daysafter,rl_key,$A$778,rl_effmonth,$B785,rl_first,1)</f>
        <v/>
      </c>
      <c r="M785" s="209">
        <f>IF($K785=0,0,MIN(1,$L785/$D785))</f>
        <v/>
      </c>
      <c r="N785" s="208">
        <f>IF($K785=0,$J785,(1-$M785)*$I785+$M785*$J785)</f>
        <v/>
      </c>
      <c r="O785" s="209">
        <f>IF($F785&lt;$B$779,$E$779+$I$779*($F785-$A$779),IF($F785&lt;$C$779,$F$779+$J$779*($F785-$B$779),$G$779+$K$779*($F785-$C$779)))</f>
        <v/>
      </c>
      <c r="P785" s="208">
        <f>MIN(1,MAX(0,(nr_MEndPm1-$G785+0.5)/$C$778))-MIN(1,MAX(0,(nr_MStartPm1-1-$G785+0.5)/$C$778))</f>
        <v/>
      </c>
      <c r="Q785" s="208">
        <f>MIN(1,MAX(0,(nr_MEndP-$G785+0.5)/$C$778))-MIN(1,MAX(0,(nr_MStartP-1-$G785+0.5)/$C$778))</f>
        <v/>
      </c>
      <c r="R785" s="208">
        <f>MIN(1,MAX(0,(nr_MEndP1-$G785+0.5)/$C$778))-MIN(1,MAX(0,(nr_MStartP1-1-$G785+0.5)/$C$778))</f>
        <v/>
      </c>
      <c r="S785" s="208">
        <f>IF($L$778,$N785*IF($O$778=1,$O785/$F$778,1),"")</f>
        <v/>
      </c>
      <c r="T785" s="208">
        <f>IF(NOT($L$778),"",IF($G785&lt;nr_MStartP,$S785,$T773*(1+IF($G785&lt;nr_MStartP1,$M$778,$N$778))))</f>
        <v/>
      </c>
      <c r="U785" s="208">
        <f>IF($L$778,$T785,$N785)</f>
        <v/>
      </c>
    </row>
    <row r="786">
      <c r="A786" s="145" t="n">
        <v>6</v>
      </c>
      <c r="B786" s="204">
        <f>EDATE($B785,1)</f>
        <v/>
      </c>
      <c r="C786" s="205">
        <f>EOMONTH($B786,0)</f>
        <v/>
      </c>
      <c r="D786" s="201">
        <f>$C786-$B786+1</f>
        <v/>
      </c>
      <c r="E786" s="201">
        <f>MONTH($B786)</f>
        <v/>
      </c>
      <c r="F786" s="235">
        <f>($B786+$C786+1)/2</f>
        <v/>
      </c>
      <c r="G786" s="201">
        <f>YEAR($B786)*12+MONTH($B786)-1</f>
        <v/>
      </c>
      <c r="H786" s="207">
        <f>IF(OR(nr_SeasonOn="OFF",$D$778=0,$E$778=0),1,12*INDEX(se_block,$D$778,$E786)/$E$778)</f>
        <v/>
      </c>
      <c r="I786" s="208">
        <f>EXP(SUMPRODUCT((rl_eff&lt;$B786)*(rl_key=$A$778)*rl_ln1p))</f>
        <v/>
      </c>
      <c r="J786" s="208">
        <f>EXP(SUMPRODUCT((rl_eff&lt;=$C786)*(rl_key=$A$778)*rl_ln1p))</f>
        <v/>
      </c>
      <c r="K786" s="201">
        <f>COUNTIFS(rl_key,$A$778,rl_eff,"&gt;="&amp;$B786,rl_eff,"&lt;="&amp;$C786)</f>
        <v/>
      </c>
      <c r="L786" s="201">
        <f>SUMIFS(rl_daysafter,rl_key,$A$778,rl_effmonth,$B786,rl_first,1)</f>
        <v/>
      </c>
      <c r="M786" s="209">
        <f>IF($K786=0,0,MIN(1,$L786/$D786))</f>
        <v/>
      </c>
      <c r="N786" s="208">
        <f>IF($K786=0,$J786,(1-$M786)*$I786+$M786*$J786)</f>
        <v/>
      </c>
      <c r="O786" s="209">
        <f>IF($F786&lt;$B$779,$E$779+$I$779*($F786-$A$779),IF($F786&lt;$C$779,$F$779+$J$779*($F786-$B$779),$G$779+$K$779*($F786-$C$779)))</f>
        <v/>
      </c>
      <c r="P786" s="208">
        <f>MIN(1,MAX(0,(nr_MEndPm1-$G786+0.5)/$C$778))-MIN(1,MAX(0,(nr_MStartPm1-1-$G786+0.5)/$C$778))</f>
        <v/>
      </c>
      <c r="Q786" s="208">
        <f>MIN(1,MAX(0,(nr_MEndP-$G786+0.5)/$C$778))-MIN(1,MAX(0,(nr_MStartP-1-$G786+0.5)/$C$778))</f>
        <v/>
      </c>
      <c r="R786" s="208">
        <f>MIN(1,MAX(0,(nr_MEndP1-$G786+0.5)/$C$778))-MIN(1,MAX(0,(nr_MStartP1-1-$G786+0.5)/$C$778))</f>
        <v/>
      </c>
      <c r="S786" s="208">
        <f>IF($L$778,$N786*IF($O$778=1,$O786/$F$778,1),"")</f>
        <v/>
      </c>
      <c r="T786" s="208">
        <f>IF(NOT($L$778),"",IF($G786&lt;nr_MStartP,$S786,$T774*(1+IF($G786&lt;nr_MStartP1,$M$778,$N$778))))</f>
        <v/>
      </c>
      <c r="U786" s="208">
        <f>IF($L$778,$T786,$N786)</f>
        <v/>
      </c>
    </row>
    <row r="787">
      <c r="A787" s="145" t="n">
        <v>7</v>
      </c>
      <c r="B787" s="204">
        <f>EDATE($B786,1)</f>
        <v/>
      </c>
      <c r="C787" s="205">
        <f>EOMONTH($B787,0)</f>
        <v/>
      </c>
      <c r="D787" s="201">
        <f>$C787-$B787+1</f>
        <v/>
      </c>
      <c r="E787" s="201">
        <f>MONTH($B787)</f>
        <v/>
      </c>
      <c r="F787" s="235">
        <f>($B787+$C787+1)/2</f>
        <v/>
      </c>
      <c r="G787" s="201">
        <f>YEAR($B787)*12+MONTH($B787)-1</f>
        <v/>
      </c>
      <c r="H787" s="207">
        <f>IF(OR(nr_SeasonOn="OFF",$D$778=0,$E$778=0),1,12*INDEX(se_block,$D$778,$E787)/$E$778)</f>
        <v/>
      </c>
      <c r="I787" s="208">
        <f>EXP(SUMPRODUCT((rl_eff&lt;$B787)*(rl_key=$A$778)*rl_ln1p))</f>
        <v/>
      </c>
      <c r="J787" s="208">
        <f>EXP(SUMPRODUCT((rl_eff&lt;=$C787)*(rl_key=$A$778)*rl_ln1p))</f>
        <v/>
      </c>
      <c r="K787" s="201">
        <f>COUNTIFS(rl_key,$A$778,rl_eff,"&gt;="&amp;$B787,rl_eff,"&lt;="&amp;$C787)</f>
        <v/>
      </c>
      <c r="L787" s="201">
        <f>SUMIFS(rl_daysafter,rl_key,$A$778,rl_effmonth,$B787,rl_first,1)</f>
        <v/>
      </c>
      <c r="M787" s="209">
        <f>IF($K787=0,0,MIN(1,$L787/$D787))</f>
        <v/>
      </c>
      <c r="N787" s="208">
        <f>IF($K787=0,$J787,(1-$M787)*$I787+$M787*$J787)</f>
        <v/>
      </c>
      <c r="O787" s="209">
        <f>IF($F787&lt;$B$779,$E$779+$I$779*($F787-$A$779),IF($F787&lt;$C$779,$F$779+$J$779*($F787-$B$779),$G$779+$K$779*($F787-$C$779)))</f>
        <v/>
      </c>
      <c r="P787" s="208">
        <f>MIN(1,MAX(0,(nr_MEndPm1-$G787+0.5)/$C$778))-MIN(1,MAX(0,(nr_MStartPm1-1-$G787+0.5)/$C$778))</f>
        <v/>
      </c>
      <c r="Q787" s="208">
        <f>MIN(1,MAX(0,(nr_MEndP-$G787+0.5)/$C$778))-MIN(1,MAX(0,(nr_MStartP-1-$G787+0.5)/$C$778))</f>
        <v/>
      </c>
      <c r="R787" s="208">
        <f>MIN(1,MAX(0,(nr_MEndP1-$G787+0.5)/$C$778))-MIN(1,MAX(0,(nr_MStartP1-1-$G787+0.5)/$C$778))</f>
        <v/>
      </c>
      <c r="S787" s="208">
        <f>IF($L$778,$N787*IF($O$778=1,$O787/$F$778,1),"")</f>
        <v/>
      </c>
      <c r="T787" s="208">
        <f>IF(NOT($L$778),"",IF($G787&lt;nr_MStartP,$S787,$T775*(1+IF($G787&lt;nr_MStartP1,$M$778,$N$778))))</f>
        <v/>
      </c>
      <c r="U787" s="208">
        <f>IF($L$778,$T787,$N787)</f>
        <v/>
      </c>
    </row>
    <row r="788">
      <c r="A788" s="145" t="n">
        <v>8</v>
      </c>
      <c r="B788" s="204">
        <f>EDATE($B787,1)</f>
        <v/>
      </c>
      <c r="C788" s="205">
        <f>EOMONTH($B788,0)</f>
        <v/>
      </c>
      <c r="D788" s="201">
        <f>$C788-$B788+1</f>
        <v/>
      </c>
      <c r="E788" s="201">
        <f>MONTH($B788)</f>
        <v/>
      </c>
      <c r="F788" s="235">
        <f>($B788+$C788+1)/2</f>
        <v/>
      </c>
      <c r="G788" s="201">
        <f>YEAR($B788)*12+MONTH($B788)-1</f>
        <v/>
      </c>
      <c r="H788" s="207">
        <f>IF(OR(nr_SeasonOn="OFF",$D$778=0,$E$778=0),1,12*INDEX(se_block,$D$778,$E788)/$E$778)</f>
        <v/>
      </c>
      <c r="I788" s="208">
        <f>EXP(SUMPRODUCT((rl_eff&lt;$B788)*(rl_key=$A$778)*rl_ln1p))</f>
        <v/>
      </c>
      <c r="J788" s="208">
        <f>EXP(SUMPRODUCT((rl_eff&lt;=$C788)*(rl_key=$A$778)*rl_ln1p))</f>
        <v/>
      </c>
      <c r="K788" s="201">
        <f>COUNTIFS(rl_key,$A$778,rl_eff,"&gt;="&amp;$B788,rl_eff,"&lt;="&amp;$C788)</f>
        <v/>
      </c>
      <c r="L788" s="201">
        <f>SUMIFS(rl_daysafter,rl_key,$A$778,rl_effmonth,$B788,rl_first,1)</f>
        <v/>
      </c>
      <c r="M788" s="209">
        <f>IF($K788=0,0,MIN(1,$L788/$D788))</f>
        <v/>
      </c>
      <c r="N788" s="208">
        <f>IF($K788=0,$J788,(1-$M788)*$I788+$M788*$J788)</f>
        <v/>
      </c>
      <c r="O788" s="209">
        <f>IF($F788&lt;$B$779,$E$779+$I$779*($F788-$A$779),IF($F788&lt;$C$779,$F$779+$J$779*($F788-$B$779),$G$779+$K$779*($F788-$C$779)))</f>
        <v/>
      </c>
      <c r="P788" s="208">
        <f>MIN(1,MAX(0,(nr_MEndPm1-$G788+0.5)/$C$778))-MIN(1,MAX(0,(nr_MStartPm1-1-$G788+0.5)/$C$778))</f>
        <v/>
      </c>
      <c r="Q788" s="208">
        <f>MIN(1,MAX(0,(nr_MEndP-$G788+0.5)/$C$778))-MIN(1,MAX(0,(nr_MStartP-1-$G788+0.5)/$C$778))</f>
        <v/>
      </c>
      <c r="R788" s="208">
        <f>MIN(1,MAX(0,(nr_MEndP1-$G788+0.5)/$C$778))-MIN(1,MAX(0,(nr_MStartP1-1-$G788+0.5)/$C$778))</f>
        <v/>
      </c>
      <c r="S788" s="208">
        <f>IF($L$778,$N788*IF($O$778=1,$O788/$F$778,1),"")</f>
        <v/>
      </c>
      <c r="T788" s="208">
        <f>IF(NOT($L$778),"",IF($G788&lt;nr_MStartP,$S788,$T776*(1+IF($G788&lt;nr_MStartP1,$M$778,$N$778))))</f>
        <v/>
      </c>
      <c r="U788" s="208">
        <f>IF($L$778,$T788,$N788)</f>
        <v/>
      </c>
    </row>
    <row r="789">
      <c r="A789" s="145" t="n">
        <v>9</v>
      </c>
      <c r="B789" s="204">
        <f>EDATE($B788,1)</f>
        <v/>
      </c>
      <c r="C789" s="205">
        <f>EOMONTH($B789,0)</f>
        <v/>
      </c>
      <c r="D789" s="201">
        <f>$C789-$B789+1</f>
        <v/>
      </c>
      <c r="E789" s="201">
        <f>MONTH($B789)</f>
        <v/>
      </c>
      <c r="F789" s="235">
        <f>($B789+$C789+1)/2</f>
        <v/>
      </c>
      <c r="G789" s="201">
        <f>YEAR($B789)*12+MONTH($B789)-1</f>
        <v/>
      </c>
      <c r="H789" s="207">
        <f>IF(OR(nr_SeasonOn="OFF",$D$778=0,$E$778=0),1,12*INDEX(se_block,$D$778,$E789)/$E$778)</f>
        <v/>
      </c>
      <c r="I789" s="208">
        <f>EXP(SUMPRODUCT((rl_eff&lt;$B789)*(rl_key=$A$778)*rl_ln1p))</f>
        <v/>
      </c>
      <c r="J789" s="208">
        <f>EXP(SUMPRODUCT((rl_eff&lt;=$C789)*(rl_key=$A$778)*rl_ln1p))</f>
        <v/>
      </c>
      <c r="K789" s="201">
        <f>COUNTIFS(rl_key,$A$778,rl_eff,"&gt;="&amp;$B789,rl_eff,"&lt;="&amp;$C789)</f>
        <v/>
      </c>
      <c r="L789" s="201">
        <f>SUMIFS(rl_daysafter,rl_key,$A$778,rl_effmonth,$B789,rl_first,1)</f>
        <v/>
      </c>
      <c r="M789" s="209">
        <f>IF($K789=0,0,MIN(1,$L789/$D789))</f>
        <v/>
      </c>
      <c r="N789" s="208">
        <f>IF($K789=0,$J789,(1-$M789)*$I789+$M789*$J789)</f>
        <v/>
      </c>
      <c r="O789" s="209">
        <f>IF($F789&lt;$B$779,$E$779+$I$779*($F789-$A$779),IF($F789&lt;$C$779,$F$779+$J$779*($F789-$B$779),$G$779+$K$779*($F789-$C$779)))</f>
        <v/>
      </c>
      <c r="P789" s="208">
        <f>MIN(1,MAX(0,(nr_MEndPm1-$G789+0.5)/$C$778))-MIN(1,MAX(0,(nr_MStartPm1-1-$G789+0.5)/$C$778))</f>
        <v/>
      </c>
      <c r="Q789" s="208">
        <f>MIN(1,MAX(0,(nr_MEndP-$G789+0.5)/$C$778))-MIN(1,MAX(0,(nr_MStartP-1-$G789+0.5)/$C$778))</f>
        <v/>
      </c>
      <c r="R789" s="208">
        <f>MIN(1,MAX(0,(nr_MEndP1-$G789+0.5)/$C$778))-MIN(1,MAX(0,(nr_MStartP1-1-$G789+0.5)/$C$778))</f>
        <v/>
      </c>
      <c r="S789" s="208">
        <f>IF($L$778,$N789*IF($O$778=1,$O789/$F$778,1),"")</f>
        <v/>
      </c>
      <c r="T789" s="208">
        <f>IF(NOT($L$778),"",IF($G789&lt;nr_MStartP,$S789,$T777*(1+IF($G789&lt;nr_MStartP1,$M$778,$N$778))))</f>
        <v/>
      </c>
      <c r="U789" s="208">
        <f>IF($L$778,$T789,$N789)</f>
        <v/>
      </c>
    </row>
    <row r="790">
      <c r="A790" s="145" t="n">
        <v>10</v>
      </c>
      <c r="B790" s="204">
        <f>EDATE($B789,1)</f>
        <v/>
      </c>
      <c r="C790" s="205">
        <f>EOMONTH($B790,0)</f>
        <v/>
      </c>
      <c r="D790" s="201">
        <f>$C790-$B790+1</f>
        <v/>
      </c>
      <c r="E790" s="201">
        <f>MONTH($B790)</f>
        <v/>
      </c>
      <c r="F790" s="235">
        <f>($B790+$C790+1)/2</f>
        <v/>
      </c>
      <c r="G790" s="201">
        <f>YEAR($B790)*12+MONTH($B790)-1</f>
        <v/>
      </c>
      <c r="H790" s="207">
        <f>IF(OR(nr_SeasonOn="OFF",$D$778=0,$E$778=0),1,12*INDEX(se_block,$D$778,$E790)/$E$778)</f>
        <v/>
      </c>
      <c r="I790" s="208">
        <f>EXP(SUMPRODUCT((rl_eff&lt;$B790)*(rl_key=$A$778)*rl_ln1p))</f>
        <v/>
      </c>
      <c r="J790" s="208">
        <f>EXP(SUMPRODUCT((rl_eff&lt;=$C790)*(rl_key=$A$778)*rl_ln1p))</f>
        <v/>
      </c>
      <c r="K790" s="201">
        <f>COUNTIFS(rl_key,$A$778,rl_eff,"&gt;="&amp;$B790,rl_eff,"&lt;="&amp;$C790)</f>
        <v/>
      </c>
      <c r="L790" s="201">
        <f>SUMIFS(rl_daysafter,rl_key,$A$778,rl_effmonth,$B790,rl_first,1)</f>
        <v/>
      </c>
      <c r="M790" s="209">
        <f>IF($K790=0,0,MIN(1,$L790/$D790))</f>
        <v/>
      </c>
      <c r="N790" s="208">
        <f>IF($K790=0,$J790,(1-$M790)*$I790+$M790*$J790)</f>
        <v/>
      </c>
      <c r="O790" s="209">
        <f>IF($F790&lt;$B$779,$E$779+$I$779*($F790-$A$779),IF($F790&lt;$C$779,$F$779+$J$779*($F790-$B$779),$G$779+$K$779*($F790-$C$779)))</f>
        <v/>
      </c>
      <c r="P790" s="208">
        <f>MIN(1,MAX(0,(nr_MEndPm1-$G790+0.5)/$C$778))-MIN(1,MAX(0,(nr_MStartPm1-1-$G790+0.5)/$C$778))</f>
        <v/>
      </c>
      <c r="Q790" s="208">
        <f>MIN(1,MAX(0,(nr_MEndP-$G790+0.5)/$C$778))-MIN(1,MAX(0,(nr_MStartP-1-$G790+0.5)/$C$778))</f>
        <v/>
      </c>
      <c r="R790" s="208">
        <f>MIN(1,MAX(0,(nr_MEndP1-$G790+0.5)/$C$778))-MIN(1,MAX(0,(nr_MStartP1-1-$G790+0.5)/$C$778))</f>
        <v/>
      </c>
      <c r="S790" s="208">
        <f>IF($L$778,$N790*IF($O$778=1,$O790/$F$778,1),"")</f>
        <v/>
      </c>
      <c r="T790" s="208">
        <f>IF(NOT($L$778),"",IF($G790&lt;nr_MStartP,$S790,$T778*(1+IF($G790&lt;nr_MStartP1,$M$778,$N$778))))</f>
        <v/>
      </c>
      <c r="U790" s="208">
        <f>IF($L$778,$T790,$N790)</f>
        <v/>
      </c>
    </row>
    <row r="791">
      <c r="A791" s="145" t="n">
        <v>11</v>
      </c>
      <c r="B791" s="204">
        <f>EDATE($B790,1)</f>
        <v/>
      </c>
      <c r="C791" s="205">
        <f>EOMONTH($B791,0)</f>
        <v/>
      </c>
      <c r="D791" s="201">
        <f>$C791-$B791+1</f>
        <v/>
      </c>
      <c r="E791" s="201">
        <f>MONTH($B791)</f>
        <v/>
      </c>
      <c r="F791" s="235">
        <f>($B791+$C791+1)/2</f>
        <v/>
      </c>
      <c r="G791" s="201">
        <f>YEAR($B791)*12+MONTH($B791)-1</f>
        <v/>
      </c>
      <c r="H791" s="207">
        <f>IF(OR(nr_SeasonOn="OFF",$D$778=0,$E$778=0),1,12*INDEX(se_block,$D$778,$E791)/$E$778)</f>
        <v/>
      </c>
      <c r="I791" s="208">
        <f>EXP(SUMPRODUCT((rl_eff&lt;$B791)*(rl_key=$A$778)*rl_ln1p))</f>
        <v/>
      </c>
      <c r="J791" s="208">
        <f>EXP(SUMPRODUCT((rl_eff&lt;=$C791)*(rl_key=$A$778)*rl_ln1p))</f>
        <v/>
      </c>
      <c r="K791" s="201">
        <f>COUNTIFS(rl_key,$A$778,rl_eff,"&gt;="&amp;$B791,rl_eff,"&lt;="&amp;$C791)</f>
        <v/>
      </c>
      <c r="L791" s="201">
        <f>SUMIFS(rl_daysafter,rl_key,$A$778,rl_effmonth,$B791,rl_first,1)</f>
        <v/>
      </c>
      <c r="M791" s="209">
        <f>IF($K791=0,0,MIN(1,$L791/$D791))</f>
        <v/>
      </c>
      <c r="N791" s="208">
        <f>IF($K791=0,$J791,(1-$M791)*$I791+$M791*$J791)</f>
        <v/>
      </c>
      <c r="O791" s="209">
        <f>IF($F791&lt;$B$779,$E$779+$I$779*($F791-$A$779),IF($F791&lt;$C$779,$F$779+$J$779*($F791-$B$779),$G$779+$K$779*($F791-$C$779)))</f>
        <v/>
      </c>
      <c r="P791" s="208">
        <f>MIN(1,MAX(0,(nr_MEndPm1-$G791+0.5)/$C$778))-MIN(1,MAX(0,(nr_MStartPm1-1-$G791+0.5)/$C$778))</f>
        <v/>
      </c>
      <c r="Q791" s="208">
        <f>MIN(1,MAX(0,(nr_MEndP-$G791+0.5)/$C$778))-MIN(1,MAX(0,(nr_MStartP-1-$G791+0.5)/$C$778))</f>
        <v/>
      </c>
      <c r="R791" s="208">
        <f>MIN(1,MAX(0,(nr_MEndP1-$G791+0.5)/$C$778))-MIN(1,MAX(0,(nr_MStartP1-1-$G791+0.5)/$C$778))</f>
        <v/>
      </c>
      <c r="S791" s="208">
        <f>IF($L$778,$N791*IF($O$778=1,$O791/$F$778,1),"")</f>
        <v/>
      </c>
      <c r="T791" s="208">
        <f>IF(NOT($L$778),"",IF($G791&lt;nr_MStartP,$S791,$T779*(1+IF($G791&lt;nr_MStartP1,$M$778,$N$778))))</f>
        <v/>
      </c>
      <c r="U791" s="208">
        <f>IF($L$778,$T791,$N791)</f>
        <v/>
      </c>
    </row>
    <row r="792">
      <c r="A792" s="145" t="n">
        <v>12</v>
      </c>
      <c r="B792" s="204">
        <f>EDATE($B791,1)</f>
        <v/>
      </c>
      <c r="C792" s="205">
        <f>EOMONTH($B792,0)</f>
        <v/>
      </c>
      <c r="D792" s="201">
        <f>$C792-$B792+1</f>
        <v/>
      </c>
      <c r="E792" s="201">
        <f>MONTH($B792)</f>
        <v/>
      </c>
      <c r="F792" s="235">
        <f>($B792+$C792+1)/2</f>
        <v/>
      </c>
      <c r="G792" s="201">
        <f>YEAR($B792)*12+MONTH($B792)-1</f>
        <v/>
      </c>
      <c r="H792" s="207">
        <f>IF(OR(nr_SeasonOn="OFF",$D$778=0,$E$778=0),1,12*INDEX(se_block,$D$778,$E792)/$E$778)</f>
        <v/>
      </c>
      <c r="I792" s="208">
        <f>EXP(SUMPRODUCT((rl_eff&lt;$B792)*(rl_key=$A$778)*rl_ln1p))</f>
        <v/>
      </c>
      <c r="J792" s="208">
        <f>EXP(SUMPRODUCT((rl_eff&lt;=$C792)*(rl_key=$A$778)*rl_ln1p))</f>
        <v/>
      </c>
      <c r="K792" s="201">
        <f>COUNTIFS(rl_key,$A$778,rl_eff,"&gt;="&amp;$B792,rl_eff,"&lt;="&amp;$C792)</f>
        <v/>
      </c>
      <c r="L792" s="201">
        <f>SUMIFS(rl_daysafter,rl_key,$A$778,rl_effmonth,$B792,rl_first,1)</f>
        <v/>
      </c>
      <c r="M792" s="209">
        <f>IF($K792=0,0,MIN(1,$L792/$D792))</f>
        <v/>
      </c>
      <c r="N792" s="208">
        <f>IF($K792=0,$J792,(1-$M792)*$I792+$M792*$J792)</f>
        <v/>
      </c>
      <c r="O792" s="209">
        <f>IF($F792&lt;$B$779,$E$779+$I$779*($F792-$A$779),IF($F792&lt;$C$779,$F$779+$J$779*($F792-$B$779),$G$779+$K$779*($F792-$C$779)))</f>
        <v/>
      </c>
      <c r="P792" s="208">
        <f>MIN(1,MAX(0,(nr_MEndPm1-$G792+0.5)/$C$778))-MIN(1,MAX(0,(nr_MStartPm1-1-$G792+0.5)/$C$778))</f>
        <v/>
      </c>
      <c r="Q792" s="208">
        <f>MIN(1,MAX(0,(nr_MEndP-$G792+0.5)/$C$778))-MIN(1,MAX(0,(nr_MStartP-1-$G792+0.5)/$C$778))</f>
        <v/>
      </c>
      <c r="R792" s="208">
        <f>MIN(1,MAX(0,(nr_MEndP1-$G792+0.5)/$C$778))-MIN(1,MAX(0,(nr_MStartP1-1-$G792+0.5)/$C$778))</f>
        <v/>
      </c>
      <c r="S792" s="208">
        <f>IF($L$778,$N792*IF($O$778=1,$O792/$F$778,1),"")</f>
        <v/>
      </c>
      <c r="T792" s="208">
        <f>IF(NOT($L$778),"",IF($G792&lt;nr_MStartP,$S792,$T780*(1+IF($G792&lt;nr_MStartP1,$M$778,$N$778))))</f>
        <v/>
      </c>
      <c r="U792" s="208">
        <f>IF($L$778,$T792,$N792)</f>
        <v/>
      </c>
    </row>
    <row r="793">
      <c r="A793" s="145" t="n">
        <v>13</v>
      </c>
      <c r="B793" s="204">
        <f>EDATE($B792,1)</f>
        <v/>
      </c>
      <c r="C793" s="205">
        <f>EOMONTH($B793,0)</f>
        <v/>
      </c>
      <c r="D793" s="201">
        <f>$C793-$B793+1</f>
        <v/>
      </c>
      <c r="E793" s="201">
        <f>MONTH($B793)</f>
        <v/>
      </c>
      <c r="F793" s="235">
        <f>($B793+$C793+1)/2</f>
        <v/>
      </c>
      <c r="G793" s="201">
        <f>YEAR($B793)*12+MONTH($B793)-1</f>
        <v/>
      </c>
      <c r="H793" s="207">
        <f>IF(OR(nr_SeasonOn="OFF",$D$778=0,$E$778=0),1,12*INDEX(se_block,$D$778,$E793)/$E$778)</f>
        <v/>
      </c>
      <c r="I793" s="208">
        <f>EXP(SUMPRODUCT((rl_eff&lt;$B793)*(rl_key=$A$778)*rl_ln1p))</f>
        <v/>
      </c>
      <c r="J793" s="208">
        <f>EXP(SUMPRODUCT((rl_eff&lt;=$C793)*(rl_key=$A$778)*rl_ln1p))</f>
        <v/>
      </c>
      <c r="K793" s="201">
        <f>COUNTIFS(rl_key,$A$778,rl_eff,"&gt;="&amp;$B793,rl_eff,"&lt;="&amp;$C793)</f>
        <v/>
      </c>
      <c r="L793" s="201">
        <f>SUMIFS(rl_daysafter,rl_key,$A$778,rl_effmonth,$B793,rl_first,1)</f>
        <v/>
      </c>
      <c r="M793" s="209">
        <f>IF($K793=0,0,MIN(1,$L793/$D793))</f>
        <v/>
      </c>
      <c r="N793" s="208">
        <f>IF($K793=0,$J793,(1-$M793)*$I793+$M793*$J793)</f>
        <v/>
      </c>
      <c r="O793" s="209">
        <f>IF($F793&lt;$B$779,$E$779+$I$779*($F793-$A$779),IF($F793&lt;$C$779,$F$779+$J$779*($F793-$B$779),$G$779+$K$779*($F793-$C$779)))</f>
        <v/>
      </c>
      <c r="P793" s="208">
        <f>MIN(1,MAX(0,(nr_MEndPm1-$G793+0.5)/$C$778))-MIN(1,MAX(0,(nr_MStartPm1-1-$G793+0.5)/$C$778))</f>
        <v/>
      </c>
      <c r="Q793" s="208">
        <f>MIN(1,MAX(0,(nr_MEndP-$G793+0.5)/$C$778))-MIN(1,MAX(0,(nr_MStartP-1-$G793+0.5)/$C$778))</f>
        <v/>
      </c>
      <c r="R793" s="208">
        <f>MIN(1,MAX(0,(nr_MEndP1-$G793+0.5)/$C$778))-MIN(1,MAX(0,(nr_MStartP1-1-$G793+0.5)/$C$778))</f>
        <v/>
      </c>
      <c r="S793" s="208">
        <f>IF($L$778,$N793*IF($O$778=1,$O793/$F$778,1),"")</f>
        <v/>
      </c>
      <c r="T793" s="208">
        <f>IF(NOT($L$778),"",IF($G793&lt;nr_MStartP,$S793,$T781*(1+IF($G793&lt;nr_MStartP1,$M$778,$N$778))))</f>
        <v/>
      </c>
      <c r="U793" s="208">
        <f>IF($L$778,$T793,$N793)</f>
        <v/>
      </c>
    </row>
    <row r="794">
      <c r="A794" s="145" t="n">
        <v>14</v>
      </c>
      <c r="B794" s="204">
        <f>EDATE($B793,1)</f>
        <v/>
      </c>
      <c r="C794" s="205">
        <f>EOMONTH($B794,0)</f>
        <v/>
      </c>
      <c r="D794" s="201">
        <f>$C794-$B794+1</f>
        <v/>
      </c>
      <c r="E794" s="201">
        <f>MONTH($B794)</f>
        <v/>
      </c>
      <c r="F794" s="235">
        <f>($B794+$C794+1)/2</f>
        <v/>
      </c>
      <c r="G794" s="201">
        <f>YEAR($B794)*12+MONTH($B794)-1</f>
        <v/>
      </c>
      <c r="H794" s="207">
        <f>IF(OR(nr_SeasonOn="OFF",$D$778=0,$E$778=0),1,12*INDEX(se_block,$D$778,$E794)/$E$778)</f>
        <v/>
      </c>
      <c r="I794" s="208">
        <f>EXP(SUMPRODUCT((rl_eff&lt;$B794)*(rl_key=$A$778)*rl_ln1p))</f>
        <v/>
      </c>
      <c r="J794" s="208">
        <f>EXP(SUMPRODUCT((rl_eff&lt;=$C794)*(rl_key=$A$778)*rl_ln1p))</f>
        <v/>
      </c>
      <c r="K794" s="201">
        <f>COUNTIFS(rl_key,$A$778,rl_eff,"&gt;="&amp;$B794,rl_eff,"&lt;="&amp;$C794)</f>
        <v/>
      </c>
      <c r="L794" s="201">
        <f>SUMIFS(rl_daysafter,rl_key,$A$778,rl_effmonth,$B794,rl_first,1)</f>
        <v/>
      </c>
      <c r="M794" s="209">
        <f>IF($K794=0,0,MIN(1,$L794/$D794))</f>
        <v/>
      </c>
      <c r="N794" s="208">
        <f>IF($K794=0,$J794,(1-$M794)*$I794+$M794*$J794)</f>
        <v/>
      </c>
      <c r="O794" s="209">
        <f>IF($F794&lt;$B$779,$E$779+$I$779*($F794-$A$779),IF($F794&lt;$C$779,$F$779+$J$779*($F794-$B$779),$G$779+$K$779*($F794-$C$779)))</f>
        <v/>
      </c>
      <c r="P794" s="208">
        <f>MIN(1,MAX(0,(nr_MEndPm1-$G794+0.5)/$C$778))-MIN(1,MAX(0,(nr_MStartPm1-1-$G794+0.5)/$C$778))</f>
        <v/>
      </c>
      <c r="Q794" s="208">
        <f>MIN(1,MAX(0,(nr_MEndP-$G794+0.5)/$C$778))-MIN(1,MAX(0,(nr_MStartP-1-$G794+0.5)/$C$778))</f>
        <v/>
      </c>
      <c r="R794" s="208">
        <f>MIN(1,MAX(0,(nr_MEndP1-$G794+0.5)/$C$778))-MIN(1,MAX(0,(nr_MStartP1-1-$G794+0.5)/$C$778))</f>
        <v/>
      </c>
      <c r="S794" s="208">
        <f>IF($L$778,$N794*IF($O$778=1,$O794/$F$778,1),"")</f>
        <v/>
      </c>
      <c r="T794" s="208">
        <f>IF(NOT($L$778),"",IF($G794&lt;nr_MStartP,$S794,$T782*(1+IF($G794&lt;nr_MStartP1,$M$778,$N$778))))</f>
        <v/>
      </c>
      <c r="U794" s="208">
        <f>IF($L$778,$T794,$N794)</f>
        <v/>
      </c>
    </row>
    <row r="795">
      <c r="A795" s="145" t="n">
        <v>15</v>
      </c>
      <c r="B795" s="204">
        <f>EDATE($B794,1)</f>
        <v/>
      </c>
      <c r="C795" s="205">
        <f>EOMONTH($B795,0)</f>
        <v/>
      </c>
      <c r="D795" s="201">
        <f>$C795-$B795+1</f>
        <v/>
      </c>
      <c r="E795" s="201">
        <f>MONTH($B795)</f>
        <v/>
      </c>
      <c r="F795" s="235">
        <f>($B795+$C795+1)/2</f>
        <v/>
      </c>
      <c r="G795" s="201">
        <f>YEAR($B795)*12+MONTH($B795)-1</f>
        <v/>
      </c>
      <c r="H795" s="207">
        <f>IF(OR(nr_SeasonOn="OFF",$D$778=0,$E$778=0),1,12*INDEX(se_block,$D$778,$E795)/$E$778)</f>
        <v/>
      </c>
      <c r="I795" s="208">
        <f>EXP(SUMPRODUCT((rl_eff&lt;$B795)*(rl_key=$A$778)*rl_ln1p))</f>
        <v/>
      </c>
      <c r="J795" s="208">
        <f>EXP(SUMPRODUCT((rl_eff&lt;=$C795)*(rl_key=$A$778)*rl_ln1p))</f>
        <v/>
      </c>
      <c r="K795" s="201">
        <f>COUNTIFS(rl_key,$A$778,rl_eff,"&gt;="&amp;$B795,rl_eff,"&lt;="&amp;$C795)</f>
        <v/>
      </c>
      <c r="L795" s="201">
        <f>SUMIFS(rl_daysafter,rl_key,$A$778,rl_effmonth,$B795,rl_first,1)</f>
        <v/>
      </c>
      <c r="M795" s="209">
        <f>IF($K795=0,0,MIN(1,$L795/$D795))</f>
        <v/>
      </c>
      <c r="N795" s="208">
        <f>IF($K795=0,$J795,(1-$M795)*$I795+$M795*$J795)</f>
        <v/>
      </c>
      <c r="O795" s="209">
        <f>IF($F795&lt;$B$779,$E$779+$I$779*($F795-$A$779),IF($F795&lt;$C$779,$F$779+$J$779*($F795-$B$779),$G$779+$K$779*($F795-$C$779)))</f>
        <v/>
      </c>
      <c r="P795" s="208">
        <f>MIN(1,MAX(0,(nr_MEndPm1-$G795+0.5)/$C$778))-MIN(1,MAX(0,(nr_MStartPm1-1-$G795+0.5)/$C$778))</f>
        <v/>
      </c>
      <c r="Q795" s="208">
        <f>MIN(1,MAX(0,(nr_MEndP-$G795+0.5)/$C$778))-MIN(1,MAX(0,(nr_MStartP-1-$G795+0.5)/$C$778))</f>
        <v/>
      </c>
      <c r="R795" s="208">
        <f>MIN(1,MAX(0,(nr_MEndP1-$G795+0.5)/$C$778))-MIN(1,MAX(0,(nr_MStartP1-1-$G795+0.5)/$C$778))</f>
        <v/>
      </c>
      <c r="S795" s="208">
        <f>IF($L$778,$N795*IF($O$778=1,$O795/$F$778,1),"")</f>
        <v/>
      </c>
      <c r="T795" s="208">
        <f>IF(NOT($L$778),"",IF($G795&lt;nr_MStartP,$S795,$T783*(1+IF($G795&lt;nr_MStartP1,$M$778,$N$778))))</f>
        <v/>
      </c>
      <c r="U795" s="208">
        <f>IF($L$778,$T795,$N795)</f>
        <v/>
      </c>
    </row>
    <row r="796">
      <c r="A796" s="145" t="n">
        <v>16</v>
      </c>
      <c r="B796" s="204">
        <f>EDATE($B795,1)</f>
        <v/>
      </c>
      <c r="C796" s="205">
        <f>EOMONTH($B796,0)</f>
        <v/>
      </c>
      <c r="D796" s="201">
        <f>$C796-$B796+1</f>
        <v/>
      </c>
      <c r="E796" s="201">
        <f>MONTH($B796)</f>
        <v/>
      </c>
      <c r="F796" s="235">
        <f>($B796+$C796+1)/2</f>
        <v/>
      </c>
      <c r="G796" s="201">
        <f>YEAR($B796)*12+MONTH($B796)-1</f>
        <v/>
      </c>
      <c r="H796" s="207">
        <f>IF(OR(nr_SeasonOn="OFF",$D$778=0,$E$778=0),1,12*INDEX(se_block,$D$778,$E796)/$E$778)</f>
        <v/>
      </c>
      <c r="I796" s="208">
        <f>EXP(SUMPRODUCT((rl_eff&lt;$B796)*(rl_key=$A$778)*rl_ln1p))</f>
        <v/>
      </c>
      <c r="J796" s="208">
        <f>EXP(SUMPRODUCT((rl_eff&lt;=$C796)*(rl_key=$A$778)*rl_ln1p))</f>
        <v/>
      </c>
      <c r="K796" s="201">
        <f>COUNTIFS(rl_key,$A$778,rl_eff,"&gt;="&amp;$B796,rl_eff,"&lt;="&amp;$C796)</f>
        <v/>
      </c>
      <c r="L796" s="201">
        <f>SUMIFS(rl_daysafter,rl_key,$A$778,rl_effmonth,$B796,rl_first,1)</f>
        <v/>
      </c>
      <c r="M796" s="209">
        <f>IF($K796=0,0,MIN(1,$L796/$D796))</f>
        <v/>
      </c>
      <c r="N796" s="208">
        <f>IF($K796=0,$J796,(1-$M796)*$I796+$M796*$J796)</f>
        <v/>
      </c>
      <c r="O796" s="209">
        <f>IF($F796&lt;$B$779,$E$779+$I$779*($F796-$A$779),IF($F796&lt;$C$779,$F$779+$J$779*($F796-$B$779),$G$779+$K$779*($F796-$C$779)))</f>
        <v/>
      </c>
      <c r="P796" s="208">
        <f>MIN(1,MAX(0,(nr_MEndPm1-$G796+0.5)/$C$778))-MIN(1,MAX(0,(nr_MStartPm1-1-$G796+0.5)/$C$778))</f>
        <v/>
      </c>
      <c r="Q796" s="208">
        <f>MIN(1,MAX(0,(nr_MEndP-$G796+0.5)/$C$778))-MIN(1,MAX(0,(nr_MStartP-1-$G796+0.5)/$C$778))</f>
        <v/>
      </c>
      <c r="R796" s="208">
        <f>MIN(1,MAX(0,(nr_MEndP1-$G796+0.5)/$C$778))-MIN(1,MAX(0,(nr_MStartP1-1-$G796+0.5)/$C$778))</f>
        <v/>
      </c>
      <c r="S796" s="208">
        <f>IF($L$778,$N796*IF($O$778=1,$O796/$F$778,1),"")</f>
        <v/>
      </c>
      <c r="T796" s="208">
        <f>IF(NOT($L$778),"",IF($G796&lt;nr_MStartP,$S796,$T784*(1+IF($G796&lt;nr_MStartP1,$M$778,$N$778))))</f>
        <v/>
      </c>
      <c r="U796" s="208">
        <f>IF($L$778,$T796,$N796)</f>
        <v/>
      </c>
    </row>
    <row r="797">
      <c r="A797" s="145" t="n">
        <v>17</v>
      </c>
      <c r="B797" s="204">
        <f>EDATE($B796,1)</f>
        <v/>
      </c>
      <c r="C797" s="205">
        <f>EOMONTH($B797,0)</f>
        <v/>
      </c>
      <c r="D797" s="201">
        <f>$C797-$B797+1</f>
        <v/>
      </c>
      <c r="E797" s="201">
        <f>MONTH($B797)</f>
        <v/>
      </c>
      <c r="F797" s="235">
        <f>($B797+$C797+1)/2</f>
        <v/>
      </c>
      <c r="G797" s="201">
        <f>YEAR($B797)*12+MONTH($B797)-1</f>
        <v/>
      </c>
      <c r="H797" s="207">
        <f>IF(OR(nr_SeasonOn="OFF",$D$778=0,$E$778=0),1,12*INDEX(se_block,$D$778,$E797)/$E$778)</f>
        <v/>
      </c>
      <c r="I797" s="208">
        <f>EXP(SUMPRODUCT((rl_eff&lt;$B797)*(rl_key=$A$778)*rl_ln1p))</f>
        <v/>
      </c>
      <c r="J797" s="208">
        <f>EXP(SUMPRODUCT((rl_eff&lt;=$C797)*(rl_key=$A$778)*rl_ln1p))</f>
        <v/>
      </c>
      <c r="K797" s="201">
        <f>COUNTIFS(rl_key,$A$778,rl_eff,"&gt;="&amp;$B797,rl_eff,"&lt;="&amp;$C797)</f>
        <v/>
      </c>
      <c r="L797" s="201">
        <f>SUMIFS(rl_daysafter,rl_key,$A$778,rl_effmonth,$B797,rl_first,1)</f>
        <v/>
      </c>
      <c r="M797" s="209">
        <f>IF($K797=0,0,MIN(1,$L797/$D797))</f>
        <v/>
      </c>
      <c r="N797" s="208">
        <f>IF($K797=0,$J797,(1-$M797)*$I797+$M797*$J797)</f>
        <v/>
      </c>
      <c r="O797" s="209">
        <f>IF($F797&lt;$B$779,$E$779+$I$779*($F797-$A$779),IF($F797&lt;$C$779,$F$779+$J$779*($F797-$B$779),$G$779+$K$779*($F797-$C$779)))</f>
        <v/>
      </c>
      <c r="P797" s="208">
        <f>MIN(1,MAX(0,(nr_MEndPm1-$G797+0.5)/$C$778))-MIN(1,MAX(0,(nr_MStartPm1-1-$G797+0.5)/$C$778))</f>
        <v/>
      </c>
      <c r="Q797" s="208">
        <f>MIN(1,MAX(0,(nr_MEndP-$G797+0.5)/$C$778))-MIN(1,MAX(0,(nr_MStartP-1-$G797+0.5)/$C$778))</f>
        <v/>
      </c>
      <c r="R797" s="208">
        <f>MIN(1,MAX(0,(nr_MEndP1-$G797+0.5)/$C$778))-MIN(1,MAX(0,(nr_MStartP1-1-$G797+0.5)/$C$778))</f>
        <v/>
      </c>
      <c r="S797" s="208">
        <f>IF($L$778,$N797*IF($O$778=1,$O797/$F$778,1),"")</f>
        <v/>
      </c>
      <c r="T797" s="208">
        <f>IF(NOT($L$778),"",IF($G797&lt;nr_MStartP,$S797,$T785*(1+IF($G797&lt;nr_MStartP1,$M$778,$N$778))))</f>
        <v/>
      </c>
      <c r="U797" s="208">
        <f>IF($L$778,$T797,$N797)</f>
        <v/>
      </c>
    </row>
    <row r="798">
      <c r="A798" s="145" t="n">
        <v>18</v>
      </c>
      <c r="B798" s="204">
        <f>EDATE($B797,1)</f>
        <v/>
      </c>
      <c r="C798" s="205">
        <f>EOMONTH($B798,0)</f>
        <v/>
      </c>
      <c r="D798" s="201">
        <f>$C798-$B798+1</f>
        <v/>
      </c>
      <c r="E798" s="201">
        <f>MONTH($B798)</f>
        <v/>
      </c>
      <c r="F798" s="235">
        <f>($B798+$C798+1)/2</f>
        <v/>
      </c>
      <c r="G798" s="201">
        <f>YEAR($B798)*12+MONTH($B798)-1</f>
        <v/>
      </c>
      <c r="H798" s="207">
        <f>IF(OR(nr_SeasonOn="OFF",$D$778=0,$E$778=0),1,12*INDEX(se_block,$D$778,$E798)/$E$778)</f>
        <v/>
      </c>
      <c r="I798" s="208">
        <f>EXP(SUMPRODUCT((rl_eff&lt;$B798)*(rl_key=$A$778)*rl_ln1p))</f>
        <v/>
      </c>
      <c r="J798" s="208">
        <f>EXP(SUMPRODUCT((rl_eff&lt;=$C798)*(rl_key=$A$778)*rl_ln1p))</f>
        <v/>
      </c>
      <c r="K798" s="201">
        <f>COUNTIFS(rl_key,$A$778,rl_eff,"&gt;="&amp;$B798,rl_eff,"&lt;="&amp;$C798)</f>
        <v/>
      </c>
      <c r="L798" s="201">
        <f>SUMIFS(rl_daysafter,rl_key,$A$778,rl_effmonth,$B798,rl_first,1)</f>
        <v/>
      </c>
      <c r="M798" s="209">
        <f>IF($K798=0,0,MIN(1,$L798/$D798))</f>
        <v/>
      </c>
      <c r="N798" s="208">
        <f>IF($K798=0,$J798,(1-$M798)*$I798+$M798*$J798)</f>
        <v/>
      </c>
      <c r="O798" s="209">
        <f>IF($F798&lt;$B$779,$E$779+$I$779*($F798-$A$779),IF($F798&lt;$C$779,$F$779+$J$779*($F798-$B$779),$G$779+$K$779*($F798-$C$779)))</f>
        <v/>
      </c>
      <c r="P798" s="208">
        <f>MIN(1,MAX(0,(nr_MEndPm1-$G798+0.5)/$C$778))-MIN(1,MAX(0,(nr_MStartPm1-1-$G798+0.5)/$C$778))</f>
        <v/>
      </c>
      <c r="Q798" s="208">
        <f>MIN(1,MAX(0,(nr_MEndP-$G798+0.5)/$C$778))-MIN(1,MAX(0,(nr_MStartP-1-$G798+0.5)/$C$778))</f>
        <v/>
      </c>
      <c r="R798" s="208">
        <f>MIN(1,MAX(0,(nr_MEndP1-$G798+0.5)/$C$778))-MIN(1,MAX(0,(nr_MStartP1-1-$G798+0.5)/$C$778))</f>
        <v/>
      </c>
      <c r="S798" s="208">
        <f>IF($L$778,$N798*IF($O$778=1,$O798/$F$778,1),"")</f>
        <v/>
      </c>
      <c r="T798" s="208">
        <f>IF(NOT($L$778),"",IF($G798&lt;nr_MStartP,$S798,$T786*(1+IF($G798&lt;nr_MStartP1,$M$778,$N$778))))</f>
        <v/>
      </c>
      <c r="U798" s="208">
        <f>IF($L$778,$T798,$N798)</f>
        <v/>
      </c>
    </row>
    <row r="799">
      <c r="A799" s="145" t="n">
        <v>19</v>
      </c>
      <c r="B799" s="204">
        <f>EDATE($B798,1)</f>
        <v/>
      </c>
      <c r="C799" s="205">
        <f>EOMONTH($B799,0)</f>
        <v/>
      </c>
      <c r="D799" s="201">
        <f>$C799-$B799+1</f>
        <v/>
      </c>
      <c r="E799" s="201">
        <f>MONTH($B799)</f>
        <v/>
      </c>
      <c r="F799" s="235">
        <f>($B799+$C799+1)/2</f>
        <v/>
      </c>
      <c r="G799" s="201">
        <f>YEAR($B799)*12+MONTH($B799)-1</f>
        <v/>
      </c>
      <c r="H799" s="207">
        <f>IF(OR(nr_SeasonOn="OFF",$D$778=0,$E$778=0),1,12*INDEX(se_block,$D$778,$E799)/$E$778)</f>
        <v/>
      </c>
      <c r="I799" s="208">
        <f>EXP(SUMPRODUCT((rl_eff&lt;$B799)*(rl_key=$A$778)*rl_ln1p))</f>
        <v/>
      </c>
      <c r="J799" s="208">
        <f>EXP(SUMPRODUCT((rl_eff&lt;=$C799)*(rl_key=$A$778)*rl_ln1p))</f>
        <v/>
      </c>
      <c r="K799" s="201">
        <f>COUNTIFS(rl_key,$A$778,rl_eff,"&gt;="&amp;$B799,rl_eff,"&lt;="&amp;$C799)</f>
        <v/>
      </c>
      <c r="L799" s="201">
        <f>SUMIFS(rl_daysafter,rl_key,$A$778,rl_effmonth,$B799,rl_first,1)</f>
        <v/>
      </c>
      <c r="M799" s="209">
        <f>IF($K799=0,0,MIN(1,$L799/$D799))</f>
        <v/>
      </c>
      <c r="N799" s="208">
        <f>IF($K799=0,$J799,(1-$M799)*$I799+$M799*$J799)</f>
        <v/>
      </c>
      <c r="O799" s="209">
        <f>IF($F799&lt;$B$779,$E$779+$I$779*($F799-$A$779),IF($F799&lt;$C$779,$F$779+$J$779*($F799-$B$779),$G$779+$K$779*($F799-$C$779)))</f>
        <v/>
      </c>
      <c r="P799" s="208">
        <f>MIN(1,MAX(0,(nr_MEndPm1-$G799+0.5)/$C$778))-MIN(1,MAX(0,(nr_MStartPm1-1-$G799+0.5)/$C$778))</f>
        <v/>
      </c>
      <c r="Q799" s="208">
        <f>MIN(1,MAX(0,(nr_MEndP-$G799+0.5)/$C$778))-MIN(1,MAX(0,(nr_MStartP-1-$G799+0.5)/$C$778))</f>
        <v/>
      </c>
      <c r="R799" s="208">
        <f>MIN(1,MAX(0,(nr_MEndP1-$G799+0.5)/$C$778))-MIN(1,MAX(0,(nr_MStartP1-1-$G799+0.5)/$C$778))</f>
        <v/>
      </c>
      <c r="S799" s="208">
        <f>IF($L$778,$N799*IF($O$778=1,$O799/$F$778,1),"")</f>
        <v/>
      </c>
      <c r="T799" s="208">
        <f>IF(NOT($L$778),"",IF($G799&lt;nr_MStartP,$S799,$T787*(1+IF($G799&lt;nr_MStartP1,$M$778,$N$778))))</f>
        <v/>
      </c>
      <c r="U799" s="208">
        <f>IF($L$778,$T799,$N799)</f>
        <v/>
      </c>
    </row>
    <row r="800">
      <c r="A800" s="145" t="n">
        <v>20</v>
      </c>
      <c r="B800" s="204">
        <f>EDATE($B799,1)</f>
        <v/>
      </c>
      <c r="C800" s="205">
        <f>EOMONTH($B800,0)</f>
        <v/>
      </c>
      <c r="D800" s="201">
        <f>$C800-$B800+1</f>
        <v/>
      </c>
      <c r="E800" s="201">
        <f>MONTH($B800)</f>
        <v/>
      </c>
      <c r="F800" s="235">
        <f>($B800+$C800+1)/2</f>
        <v/>
      </c>
      <c r="G800" s="201">
        <f>YEAR($B800)*12+MONTH($B800)-1</f>
        <v/>
      </c>
      <c r="H800" s="207">
        <f>IF(OR(nr_SeasonOn="OFF",$D$778=0,$E$778=0),1,12*INDEX(se_block,$D$778,$E800)/$E$778)</f>
        <v/>
      </c>
      <c r="I800" s="208">
        <f>EXP(SUMPRODUCT((rl_eff&lt;$B800)*(rl_key=$A$778)*rl_ln1p))</f>
        <v/>
      </c>
      <c r="J800" s="208">
        <f>EXP(SUMPRODUCT((rl_eff&lt;=$C800)*(rl_key=$A$778)*rl_ln1p))</f>
        <v/>
      </c>
      <c r="K800" s="201">
        <f>COUNTIFS(rl_key,$A$778,rl_eff,"&gt;="&amp;$B800,rl_eff,"&lt;="&amp;$C800)</f>
        <v/>
      </c>
      <c r="L800" s="201">
        <f>SUMIFS(rl_daysafter,rl_key,$A$778,rl_effmonth,$B800,rl_first,1)</f>
        <v/>
      </c>
      <c r="M800" s="209">
        <f>IF($K800=0,0,MIN(1,$L800/$D800))</f>
        <v/>
      </c>
      <c r="N800" s="208">
        <f>IF($K800=0,$J800,(1-$M800)*$I800+$M800*$J800)</f>
        <v/>
      </c>
      <c r="O800" s="209">
        <f>IF($F800&lt;$B$779,$E$779+$I$779*($F800-$A$779),IF($F800&lt;$C$779,$F$779+$J$779*($F800-$B$779),$G$779+$K$779*($F800-$C$779)))</f>
        <v/>
      </c>
      <c r="P800" s="208">
        <f>MIN(1,MAX(0,(nr_MEndPm1-$G800+0.5)/$C$778))-MIN(1,MAX(0,(nr_MStartPm1-1-$G800+0.5)/$C$778))</f>
        <v/>
      </c>
      <c r="Q800" s="208">
        <f>MIN(1,MAX(0,(nr_MEndP-$G800+0.5)/$C$778))-MIN(1,MAX(0,(nr_MStartP-1-$G800+0.5)/$C$778))</f>
        <v/>
      </c>
      <c r="R800" s="208">
        <f>MIN(1,MAX(0,(nr_MEndP1-$G800+0.5)/$C$778))-MIN(1,MAX(0,(nr_MStartP1-1-$G800+0.5)/$C$778))</f>
        <v/>
      </c>
      <c r="S800" s="208">
        <f>IF($L$778,$N800*IF($O$778=1,$O800/$F$778,1),"")</f>
        <v/>
      </c>
      <c r="T800" s="208">
        <f>IF(NOT($L$778),"",IF($G800&lt;nr_MStartP,$S800,$T788*(1+IF($G800&lt;nr_MStartP1,$M$778,$N$778))))</f>
        <v/>
      </c>
      <c r="U800" s="208">
        <f>IF($L$778,$T800,$N800)</f>
        <v/>
      </c>
    </row>
    <row r="801">
      <c r="A801" s="145" t="n">
        <v>21</v>
      </c>
      <c r="B801" s="204">
        <f>EDATE($B800,1)</f>
        <v/>
      </c>
      <c r="C801" s="205">
        <f>EOMONTH($B801,0)</f>
        <v/>
      </c>
      <c r="D801" s="201">
        <f>$C801-$B801+1</f>
        <v/>
      </c>
      <c r="E801" s="201">
        <f>MONTH($B801)</f>
        <v/>
      </c>
      <c r="F801" s="235">
        <f>($B801+$C801+1)/2</f>
        <v/>
      </c>
      <c r="G801" s="201">
        <f>YEAR($B801)*12+MONTH($B801)-1</f>
        <v/>
      </c>
      <c r="H801" s="207">
        <f>IF(OR(nr_SeasonOn="OFF",$D$778=0,$E$778=0),1,12*INDEX(se_block,$D$778,$E801)/$E$778)</f>
        <v/>
      </c>
      <c r="I801" s="208">
        <f>EXP(SUMPRODUCT((rl_eff&lt;$B801)*(rl_key=$A$778)*rl_ln1p))</f>
        <v/>
      </c>
      <c r="J801" s="208">
        <f>EXP(SUMPRODUCT((rl_eff&lt;=$C801)*(rl_key=$A$778)*rl_ln1p))</f>
        <v/>
      </c>
      <c r="K801" s="201">
        <f>COUNTIFS(rl_key,$A$778,rl_eff,"&gt;="&amp;$B801,rl_eff,"&lt;="&amp;$C801)</f>
        <v/>
      </c>
      <c r="L801" s="201">
        <f>SUMIFS(rl_daysafter,rl_key,$A$778,rl_effmonth,$B801,rl_first,1)</f>
        <v/>
      </c>
      <c r="M801" s="209">
        <f>IF($K801=0,0,MIN(1,$L801/$D801))</f>
        <v/>
      </c>
      <c r="N801" s="208">
        <f>IF($K801=0,$J801,(1-$M801)*$I801+$M801*$J801)</f>
        <v/>
      </c>
      <c r="O801" s="209">
        <f>IF($F801&lt;$B$779,$E$779+$I$779*($F801-$A$779),IF($F801&lt;$C$779,$F$779+$J$779*($F801-$B$779),$G$779+$K$779*($F801-$C$779)))</f>
        <v/>
      </c>
      <c r="P801" s="208">
        <f>MIN(1,MAX(0,(nr_MEndPm1-$G801+0.5)/$C$778))-MIN(1,MAX(0,(nr_MStartPm1-1-$G801+0.5)/$C$778))</f>
        <v/>
      </c>
      <c r="Q801" s="208">
        <f>MIN(1,MAX(0,(nr_MEndP-$G801+0.5)/$C$778))-MIN(1,MAX(0,(nr_MStartP-1-$G801+0.5)/$C$778))</f>
        <v/>
      </c>
      <c r="R801" s="208">
        <f>MIN(1,MAX(0,(nr_MEndP1-$G801+0.5)/$C$778))-MIN(1,MAX(0,(nr_MStartP1-1-$G801+0.5)/$C$778))</f>
        <v/>
      </c>
      <c r="S801" s="208">
        <f>IF($L$778,$N801*IF($O$778=1,$O801/$F$778,1),"")</f>
        <v/>
      </c>
      <c r="T801" s="208">
        <f>IF(NOT($L$778),"",IF($G801&lt;nr_MStartP,$S801,$T789*(1+IF($G801&lt;nr_MStartP1,$M$778,$N$778))))</f>
        <v/>
      </c>
      <c r="U801" s="208">
        <f>IF($L$778,$T801,$N801)</f>
        <v/>
      </c>
    </row>
    <row r="802">
      <c r="A802" s="145" t="n">
        <v>22</v>
      </c>
      <c r="B802" s="204">
        <f>EDATE($B801,1)</f>
        <v/>
      </c>
      <c r="C802" s="205">
        <f>EOMONTH($B802,0)</f>
        <v/>
      </c>
      <c r="D802" s="201">
        <f>$C802-$B802+1</f>
        <v/>
      </c>
      <c r="E802" s="201">
        <f>MONTH($B802)</f>
        <v/>
      </c>
      <c r="F802" s="235">
        <f>($B802+$C802+1)/2</f>
        <v/>
      </c>
      <c r="G802" s="201">
        <f>YEAR($B802)*12+MONTH($B802)-1</f>
        <v/>
      </c>
      <c r="H802" s="207">
        <f>IF(OR(nr_SeasonOn="OFF",$D$778=0,$E$778=0),1,12*INDEX(se_block,$D$778,$E802)/$E$778)</f>
        <v/>
      </c>
      <c r="I802" s="208">
        <f>EXP(SUMPRODUCT((rl_eff&lt;$B802)*(rl_key=$A$778)*rl_ln1p))</f>
        <v/>
      </c>
      <c r="J802" s="208">
        <f>EXP(SUMPRODUCT((rl_eff&lt;=$C802)*(rl_key=$A$778)*rl_ln1p))</f>
        <v/>
      </c>
      <c r="K802" s="201">
        <f>COUNTIFS(rl_key,$A$778,rl_eff,"&gt;="&amp;$B802,rl_eff,"&lt;="&amp;$C802)</f>
        <v/>
      </c>
      <c r="L802" s="201">
        <f>SUMIFS(rl_daysafter,rl_key,$A$778,rl_effmonth,$B802,rl_first,1)</f>
        <v/>
      </c>
      <c r="M802" s="209">
        <f>IF($K802=0,0,MIN(1,$L802/$D802))</f>
        <v/>
      </c>
      <c r="N802" s="208">
        <f>IF($K802=0,$J802,(1-$M802)*$I802+$M802*$J802)</f>
        <v/>
      </c>
      <c r="O802" s="209">
        <f>IF($F802&lt;$B$779,$E$779+$I$779*($F802-$A$779),IF($F802&lt;$C$779,$F$779+$J$779*($F802-$B$779),$G$779+$K$779*($F802-$C$779)))</f>
        <v/>
      </c>
      <c r="P802" s="208">
        <f>MIN(1,MAX(0,(nr_MEndPm1-$G802+0.5)/$C$778))-MIN(1,MAX(0,(nr_MStartPm1-1-$G802+0.5)/$C$778))</f>
        <v/>
      </c>
      <c r="Q802" s="208">
        <f>MIN(1,MAX(0,(nr_MEndP-$G802+0.5)/$C$778))-MIN(1,MAX(0,(nr_MStartP-1-$G802+0.5)/$C$778))</f>
        <v/>
      </c>
      <c r="R802" s="208">
        <f>MIN(1,MAX(0,(nr_MEndP1-$G802+0.5)/$C$778))-MIN(1,MAX(0,(nr_MStartP1-1-$G802+0.5)/$C$778))</f>
        <v/>
      </c>
      <c r="S802" s="208">
        <f>IF($L$778,$N802*IF($O$778=1,$O802/$F$778,1),"")</f>
        <v/>
      </c>
      <c r="T802" s="208">
        <f>IF(NOT($L$778),"",IF($G802&lt;nr_MStartP,$S802,$T790*(1+IF($G802&lt;nr_MStartP1,$M$778,$N$778))))</f>
        <v/>
      </c>
      <c r="U802" s="208">
        <f>IF($L$778,$T802,$N802)</f>
        <v/>
      </c>
    </row>
    <row r="803">
      <c r="A803" s="145" t="n">
        <v>23</v>
      </c>
      <c r="B803" s="204">
        <f>EDATE($B802,1)</f>
        <v/>
      </c>
      <c r="C803" s="205">
        <f>EOMONTH($B803,0)</f>
        <v/>
      </c>
      <c r="D803" s="201">
        <f>$C803-$B803+1</f>
        <v/>
      </c>
      <c r="E803" s="201">
        <f>MONTH($B803)</f>
        <v/>
      </c>
      <c r="F803" s="235">
        <f>($B803+$C803+1)/2</f>
        <v/>
      </c>
      <c r="G803" s="201">
        <f>YEAR($B803)*12+MONTH($B803)-1</f>
        <v/>
      </c>
      <c r="H803" s="207">
        <f>IF(OR(nr_SeasonOn="OFF",$D$778=0,$E$778=0),1,12*INDEX(se_block,$D$778,$E803)/$E$778)</f>
        <v/>
      </c>
      <c r="I803" s="208">
        <f>EXP(SUMPRODUCT((rl_eff&lt;$B803)*(rl_key=$A$778)*rl_ln1p))</f>
        <v/>
      </c>
      <c r="J803" s="208">
        <f>EXP(SUMPRODUCT((rl_eff&lt;=$C803)*(rl_key=$A$778)*rl_ln1p))</f>
        <v/>
      </c>
      <c r="K803" s="201">
        <f>COUNTIFS(rl_key,$A$778,rl_eff,"&gt;="&amp;$B803,rl_eff,"&lt;="&amp;$C803)</f>
        <v/>
      </c>
      <c r="L803" s="201">
        <f>SUMIFS(rl_daysafter,rl_key,$A$778,rl_effmonth,$B803,rl_first,1)</f>
        <v/>
      </c>
      <c r="M803" s="209">
        <f>IF($K803=0,0,MIN(1,$L803/$D803))</f>
        <v/>
      </c>
      <c r="N803" s="208">
        <f>IF($K803=0,$J803,(1-$M803)*$I803+$M803*$J803)</f>
        <v/>
      </c>
      <c r="O803" s="209">
        <f>IF($F803&lt;$B$779,$E$779+$I$779*($F803-$A$779),IF($F803&lt;$C$779,$F$779+$J$779*($F803-$B$779),$G$779+$K$779*($F803-$C$779)))</f>
        <v/>
      </c>
      <c r="P803" s="208">
        <f>MIN(1,MAX(0,(nr_MEndPm1-$G803+0.5)/$C$778))-MIN(1,MAX(0,(nr_MStartPm1-1-$G803+0.5)/$C$778))</f>
        <v/>
      </c>
      <c r="Q803" s="208">
        <f>MIN(1,MAX(0,(nr_MEndP-$G803+0.5)/$C$778))-MIN(1,MAX(0,(nr_MStartP-1-$G803+0.5)/$C$778))</f>
        <v/>
      </c>
      <c r="R803" s="208">
        <f>MIN(1,MAX(0,(nr_MEndP1-$G803+0.5)/$C$778))-MIN(1,MAX(0,(nr_MStartP1-1-$G803+0.5)/$C$778))</f>
        <v/>
      </c>
      <c r="S803" s="208">
        <f>IF($L$778,$N803*IF($O$778=1,$O803/$F$778,1),"")</f>
        <v/>
      </c>
      <c r="T803" s="208">
        <f>IF(NOT($L$778),"",IF($G803&lt;nr_MStartP,$S803,$T791*(1+IF($G803&lt;nr_MStartP1,$M$778,$N$778))))</f>
        <v/>
      </c>
      <c r="U803" s="208">
        <f>IF($L$778,$T803,$N803)</f>
        <v/>
      </c>
    </row>
    <row r="804">
      <c r="A804" s="145" t="n">
        <v>24</v>
      </c>
      <c r="B804" s="204">
        <f>EDATE($B803,1)</f>
        <v/>
      </c>
      <c r="C804" s="205">
        <f>EOMONTH($B804,0)</f>
        <v/>
      </c>
      <c r="D804" s="201">
        <f>$C804-$B804+1</f>
        <v/>
      </c>
      <c r="E804" s="201">
        <f>MONTH($B804)</f>
        <v/>
      </c>
      <c r="F804" s="235">
        <f>($B804+$C804+1)/2</f>
        <v/>
      </c>
      <c r="G804" s="201">
        <f>YEAR($B804)*12+MONTH($B804)-1</f>
        <v/>
      </c>
      <c r="H804" s="207">
        <f>IF(OR(nr_SeasonOn="OFF",$D$778=0,$E$778=0),1,12*INDEX(se_block,$D$778,$E804)/$E$778)</f>
        <v/>
      </c>
      <c r="I804" s="208">
        <f>EXP(SUMPRODUCT((rl_eff&lt;$B804)*(rl_key=$A$778)*rl_ln1p))</f>
        <v/>
      </c>
      <c r="J804" s="208">
        <f>EXP(SUMPRODUCT((rl_eff&lt;=$C804)*(rl_key=$A$778)*rl_ln1p))</f>
        <v/>
      </c>
      <c r="K804" s="201">
        <f>COUNTIFS(rl_key,$A$778,rl_eff,"&gt;="&amp;$B804,rl_eff,"&lt;="&amp;$C804)</f>
        <v/>
      </c>
      <c r="L804" s="201">
        <f>SUMIFS(rl_daysafter,rl_key,$A$778,rl_effmonth,$B804,rl_first,1)</f>
        <v/>
      </c>
      <c r="M804" s="209">
        <f>IF($K804=0,0,MIN(1,$L804/$D804))</f>
        <v/>
      </c>
      <c r="N804" s="208">
        <f>IF($K804=0,$J804,(1-$M804)*$I804+$M804*$J804)</f>
        <v/>
      </c>
      <c r="O804" s="209">
        <f>IF($F804&lt;$B$779,$E$779+$I$779*($F804-$A$779),IF($F804&lt;$C$779,$F$779+$J$779*($F804-$B$779),$G$779+$K$779*($F804-$C$779)))</f>
        <v/>
      </c>
      <c r="P804" s="208">
        <f>MIN(1,MAX(0,(nr_MEndPm1-$G804+0.5)/$C$778))-MIN(1,MAX(0,(nr_MStartPm1-1-$G804+0.5)/$C$778))</f>
        <v/>
      </c>
      <c r="Q804" s="208">
        <f>MIN(1,MAX(0,(nr_MEndP-$G804+0.5)/$C$778))-MIN(1,MAX(0,(nr_MStartP-1-$G804+0.5)/$C$778))</f>
        <v/>
      </c>
      <c r="R804" s="208">
        <f>MIN(1,MAX(0,(nr_MEndP1-$G804+0.5)/$C$778))-MIN(1,MAX(0,(nr_MStartP1-1-$G804+0.5)/$C$778))</f>
        <v/>
      </c>
      <c r="S804" s="208">
        <f>IF($L$778,$N804*IF($O$778=1,$O804/$F$778,1),"")</f>
        <v/>
      </c>
      <c r="T804" s="208">
        <f>IF(NOT($L$778),"",IF($G804&lt;nr_MStartP,$S804,$T792*(1+IF($G804&lt;nr_MStartP1,$M$778,$N$778))))</f>
        <v/>
      </c>
      <c r="U804" s="208">
        <f>IF($L$778,$T804,$N804)</f>
        <v/>
      </c>
    </row>
    <row r="805">
      <c r="A805" s="145" t="n">
        <v>25</v>
      </c>
      <c r="B805" s="204">
        <f>EDATE($B804,1)</f>
        <v/>
      </c>
      <c r="C805" s="205">
        <f>EOMONTH($B805,0)</f>
        <v/>
      </c>
      <c r="D805" s="201">
        <f>$C805-$B805+1</f>
        <v/>
      </c>
      <c r="E805" s="201">
        <f>MONTH($B805)</f>
        <v/>
      </c>
      <c r="F805" s="235">
        <f>($B805+$C805+1)/2</f>
        <v/>
      </c>
      <c r="G805" s="201">
        <f>YEAR($B805)*12+MONTH($B805)-1</f>
        <v/>
      </c>
      <c r="H805" s="207">
        <f>IF(OR(nr_SeasonOn="OFF",$D$778=0,$E$778=0),1,12*INDEX(se_block,$D$778,$E805)/$E$778)</f>
        <v/>
      </c>
      <c r="I805" s="208">
        <f>EXP(SUMPRODUCT((rl_eff&lt;$B805)*(rl_key=$A$778)*rl_ln1p))</f>
        <v/>
      </c>
      <c r="J805" s="208">
        <f>EXP(SUMPRODUCT((rl_eff&lt;=$C805)*(rl_key=$A$778)*rl_ln1p))</f>
        <v/>
      </c>
      <c r="K805" s="201">
        <f>COUNTIFS(rl_key,$A$778,rl_eff,"&gt;="&amp;$B805,rl_eff,"&lt;="&amp;$C805)</f>
        <v/>
      </c>
      <c r="L805" s="201">
        <f>SUMIFS(rl_daysafter,rl_key,$A$778,rl_effmonth,$B805,rl_first,1)</f>
        <v/>
      </c>
      <c r="M805" s="209">
        <f>IF($K805=0,0,MIN(1,$L805/$D805))</f>
        <v/>
      </c>
      <c r="N805" s="208">
        <f>IF($K805=0,$J805,(1-$M805)*$I805+$M805*$J805)</f>
        <v/>
      </c>
      <c r="O805" s="209">
        <f>IF($F805&lt;$B$779,$E$779+$I$779*($F805-$A$779),IF($F805&lt;$C$779,$F$779+$J$779*($F805-$B$779),$G$779+$K$779*($F805-$C$779)))</f>
        <v/>
      </c>
      <c r="P805" s="208">
        <f>MIN(1,MAX(0,(nr_MEndPm1-$G805+0.5)/$C$778))-MIN(1,MAX(0,(nr_MStartPm1-1-$G805+0.5)/$C$778))</f>
        <v/>
      </c>
      <c r="Q805" s="208">
        <f>MIN(1,MAX(0,(nr_MEndP-$G805+0.5)/$C$778))-MIN(1,MAX(0,(nr_MStartP-1-$G805+0.5)/$C$778))</f>
        <v/>
      </c>
      <c r="R805" s="208">
        <f>MIN(1,MAX(0,(nr_MEndP1-$G805+0.5)/$C$778))-MIN(1,MAX(0,(nr_MStartP1-1-$G805+0.5)/$C$778))</f>
        <v/>
      </c>
      <c r="S805" s="208">
        <f>IF($L$778,$N805*IF($O$778=1,$O805/$F$778,1),"")</f>
        <v/>
      </c>
      <c r="T805" s="208">
        <f>IF(NOT($L$778),"",IF($G805&lt;nr_MStartP,$S805,$T793*(1+IF($G805&lt;nr_MStartP1,$M$778,$N$778))))</f>
        <v/>
      </c>
      <c r="U805" s="208">
        <f>IF($L$778,$T805,$N805)</f>
        <v/>
      </c>
    </row>
    <row r="806">
      <c r="A806" s="145" t="n">
        <v>26</v>
      </c>
      <c r="B806" s="204">
        <f>EDATE($B805,1)</f>
        <v/>
      </c>
      <c r="C806" s="205">
        <f>EOMONTH($B806,0)</f>
        <v/>
      </c>
      <c r="D806" s="201">
        <f>$C806-$B806+1</f>
        <v/>
      </c>
      <c r="E806" s="201">
        <f>MONTH($B806)</f>
        <v/>
      </c>
      <c r="F806" s="235">
        <f>($B806+$C806+1)/2</f>
        <v/>
      </c>
      <c r="G806" s="201">
        <f>YEAR($B806)*12+MONTH($B806)-1</f>
        <v/>
      </c>
      <c r="H806" s="207">
        <f>IF(OR(nr_SeasonOn="OFF",$D$778=0,$E$778=0),1,12*INDEX(se_block,$D$778,$E806)/$E$778)</f>
        <v/>
      </c>
      <c r="I806" s="208">
        <f>EXP(SUMPRODUCT((rl_eff&lt;$B806)*(rl_key=$A$778)*rl_ln1p))</f>
        <v/>
      </c>
      <c r="J806" s="208">
        <f>EXP(SUMPRODUCT((rl_eff&lt;=$C806)*(rl_key=$A$778)*rl_ln1p))</f>
        <v/>
      </c>
      <c r="K806" s="201">
        <f>COUNTIFS(rl_key,$A$778,rl_eff,"&gt;="&amp;$B806,rl_eff,"&lt;="&amp;$C806)</f>
        <v/>
      </c>
      <c r="L806" s="201">
        <f>SUMIFS(rl_daysafter,rl_key,$A$778,rl_effmonth,$B806,rl_first,1)</f>
        <v/>
      </c>
      <c r="M806" s="209">
        <f>IF($K806=0,0,MIN(1,$L806/$D806))</f>
        <v/>
      </c>
      <c r="N806" s="208">
        <f>IF($K806=0,$J806,(1-$M806)*$I806+$M806*$J806)</f>
        <v/>
      </c>
      <c r="O806" s="209">
        <f>IF($F806&lt;$B$779,$E$779+$I$779*($F806-$A$779),IF($F806&lt;$C$779,$F$779+$J$779*($F806-$B$779),$G$779+$K$779*($F806-$C$779)))</f>
        <v/>
      </c>
      <c r="P806" s="208">
        <f>MIN(1,MAX(0,(nr_MEndPm1-$G806+0.5)/$C$778))-MIN(1,MAX(0,(nr_MStartPm1-1-$G806+0.5)/$C$778))</f>
        <v/>
      </c>
      <c r="Q806" s="208">
        <f>MIN(1,MAX(0,(nr_MEndP-$G806+0.5)/$C$778))-MIN(1,MAX(0,(nr_MStartP-1-$G806+0.5)/$C$778))</f>
        <v/>
      </c>
      <c r="R806" s="208">
        <f>MIN(1,MAX(0,(nr_MEndP1-$G806+0.5)/$C$778))-MIN(1,MAX(0,(nr_MStartP1-1-$G806+0.5)/$C$778))</f>
        <v/>
      </c>
      <c r="S806" s="208">
        <f>IF($L$778,$N806*IF($O$778=1,$O806/$F$778,1),"")</f>
        <v/>
      </c>
      <c r="T806" s="208">
        <f>IF(NOT($L$778),"",IF($G806&lt;nr_MStartP,$S806,$T794*(1+IF($G806&lt;nr_MStartP1,$M$778,$N$778))))</f>
        <v/>
      </c>
      <c r="U806" s="208">
        <f>IF($L$778,$T806,$N806)</f>
        <v/>
      </c>
    </row>
    <row r="807">
      <c r="A807" s="145" t="n">
        <v>27</v>
      </c>
      <c r="B807" s="204">
        <f>EDATE($B806,1)</f>
        <v/>
      </c>
      <c r="C807" s="205">
        <f>EOMONTH($B807,0)</f>
        <v/>
      </c>
      <c r="D807" s="201">
        <f>$C807-$B807+1</f>
        <v/>
      </c>
      <c r="E807" s="201">
        <f>MONTH($B807)</f>
        <v/>
      </c>
      <c r="F807" s="235">
        <f>($B807+$C807+1)/2</f>
        <v/>
      </c>
      <c r="G807" s="201">
        <f>YEAR($B807)*12+MONTH($B807)-1</f>
        <v/>
      </c>
      <c r="H807" s="207">
        <f>IF(OR(nr_SeasonOn="OFF",$D$778=0,$E$778=0),1,12*INDEX(se_block,$D$778,$E807)/$E$778)</f>
        <v/>
      </c>
      <c r="I807" s="208">
        <f>EXP(SUMPRODUCT((rl_eff&lt;$B807)*(rl_key=$A$778)*rl_ln1p))</f>
        <v/>
      </c>
      <c r="J807" s="208">
        <f>EXP(SUMPRODUCT((rl_eff&lt;=$C807)*(rl_key=$A$778)*rl_ln1p))</f>
        <v/>
      </c>
      <c r="K807" s="201">
        <f>COUNTIFS(rl_key,$A$778,rl_eff,"&gt;="&amp;$B807,rl_eff,"&lt;="&amp;$C807)</f>
        <v/>
      </c>
      <c r="L807" s="201">
        <f>SUMIFS(rl_daysafter,rl_key,$A$778,rl_effmonth,$B807,rl_first,1)</f>
        <v/>
      </c>
      <c r="M807" s="209">
        <f>IF($K807=0,0,MIN(1,$L807/$D807))</f>
        <v/>
      </c>
      <c r="N807" s="208">
        <f>IF($K807=0,$J807,(1-$M807)*$I807+$M807*$J807)</f>
        <v/>
      </c>
      <c r="O807" s="209">
        <f>IF($F807&lt;$B$779,$E$779+$I$779*($F807-$A$779),IF($F807&lt;$C$779,$F$779+$J$779*($F807-$B$779),$G$779+$K$779*($F807-$C$779)))</f>
        <v/>
      </c>
      <c r="P807" s="208">
        <f>MIN(1,MAX(0,(nr_MEndPm1-$G807+0.5)/$C$778))-MIN(1,MAX(0,(nr_MStartPm1-1-$G807+0.5)/$C$778))</f>
        <v/>
      </c>
      <c r="Q807" s="208">
        <f>MIN(1,MAX(0,(nr_MEndP-$G807+0.5)/$C$778))-MIN(1,MAX(0,(nr_MStartP-1-$G807+0.5)/$C$778))</f>
        <v/>
      </c>
      <c r="R807" s="208">
        <f>MIN(1,MAX(0,(nr_MEndP1-$G807+0.5)/$C$778))-MIN(1,MAX(0,(nr_MStartP1-1-$G807+0.5)/$C$778))</f>
        <v/>
      </c>
      <c r="S807" s="208">
        <f>IF($L$778,$N807*IF($O$778=1,$O807/$F$778,1),"")</f>
        <v/>
      </c>
      <c r="T807" s="208">
        <f>IF(NOT($L$778),"",IF($G807&lt;nr_MStartP,$S807,$T795*(1+IF($G807&lt;nr_MStartP1,$M$778,$N$778))))</f>
        <v/>
      </c>
      <c r="U807" s="208">
        <f>IF($L$778,$T807,$N807)</f>
        <v/>
      </c>
    </row>
    <row r="808">
      <c r="A808" s="145" t="n">
        <v>28</v>
      </c>
      <c r="B808" s="204">
        <f>EDATE($B807,1)</f>
        <v/>
      </c>
      <c r="C808" s="205">
        <f>EOMONTH($B808,0)</f>
        <v/>
      </c>
      <c r="D808" s="201">
        <f>$C808-$B808+1</f>
        <v/>
      </c>
      <c r="E808" s="201">
        <f>MONTH($B808)</f>
        <v/>
      </c>
      <c r="F808" s="235">
        <f>($B808+$C808+1)/2</f>
        <v/>
      </c>
      <c r="G808" s="201">
        <f>YEAR($B808)*12+MONTH($B808)-1</f>
        <v/>
      </c>
      <c r="H808" s="207">
        <f>IF(OR(nr_SeasonOn="OFF",$D$778=0,$E$778=0),1,12*INDEX(se_block,$D$778,$E808)/$E$778)</f>
        <v/>
      </c>
      <c r="I808" s="208">
        <f>EXP(SUMPRODUCT((rl_eff&lt;$B808)*(rl_key=$A$778)*rl_ln1p))</f>
        <v/>
      </c>
      <c r="J808" s="208">
        <f>EXP(SUMPRODUCT((rl_eff&lt;=$C808)*(rl_key=$A$778)*rl_ln1p))</f>
        <v/>
      </c>
      <c r="K808" s="201">
        <f>COUNTIFS(rl_key,$A$778,rl_eff,"&gt;="&amp;$B808,rl_eff,"&lt;="&amp;$C808)</f>
        <v/>
      </c>
      <c r="L808" s="201">
        <f>SUMIFS(rl_daysafter,rl_key,$A$778,rl_effmonth,$B808,rl_first,1)</f>
        <v/>
      </c>
      <c r="M808" s="209">
        <f>IF($K808=0,0,MIN(1,$L808/$D808))</f>
        <v/>
      </c>
      <c r="N808" s="208">
        <f>IF($K808=0,$J808,(1-$M808)*$I808+$M808*$J808)</f>
        <v/>
      </c>
      <c r="O808" s="209">
        <f>IF($F808&lt;$B$779,$E$779+$I$779*($F808-$A$779),IF($F808&lt;$C$779,$F$779+$J$779*($F808-$B$779),$G$779+$K$779*($F808-$C$779)))</f>
        <v/>
      </c>
      <c r="P808" s="208">
        <f>MIN(1,MAX(0,(nr_MEndPm1-$G808+0.5)/$C$778))-MIN(1,MAX(0,(nr_MStartPm1-1-$G808+0.5)/$C$778))</f>
        <v/>
      </c>
      <c r="Q808" s="208">
        <f>MIN(1,MAX(0,(nr_MEndP-$G808+0.5)/$C$778))-MIN(1,MAX(0,(nr_MStartP-1-$G808+0.5)/$C$778))</f>
        <v/>
      </c>
      <c r="R808" s="208">
        <f>MIN(1,MAX(0,(nr_MEndP1-$G808+0.5)/$C$778))-MIN(1,MAX(0,(nr_MStartP1-1-$G808+0.5)/$C$778))</f>
        <v/>
      </c>
      <c r="S808" s="208">
        <f>IF($L$778,$N808*IF($O$778=1,$O808/$F$778,1),"")</f>
        <v/>
      </c>
      <c r="T808" s="208">
        <f>IF(NOT($L$778),"",IF($G808&lt;nr_MStartP,$S808,$T796*(1+IF($G808&lt;nr_MStartP1,$M$778,$N$778))))</f>
        <v/>
      </c>
      <c r="U808" s="208">
        <f>IF($L$778,$T808,$N808)</f>
        <v/>
      </c>
    </row>
    <row r="809">
      <c r="A809" s="145" t="n">
        <v>29</v>
      </c>
      <c r="B809" s="204">
        <f>EDATE($B808,1)</f>
        <v/>
      </c>
      <c r="C809" s="205">
        <f>EOMONTH($B809,0)</f>
        <v/>
      </c>
      <c r="D809" s="201">
        <f>$C809-$B809+1</f>
        <v/>
      </c>
      <c r="E809" s="201">
        <f>MONTH($B809)</f>
        <v/>
      </c>
      <c r="F809" s="235">
        <f>($B809+$C809+1)/2</f>
        <v/>
      </c>
      <c r="G809" s="201">
        <f>YEAR($B809)*12+MONTH($B809)-1</f>
        <v/>
      </c>
      <c r="H809" s="207">
        <f>IF(OR(nr_SeasonOn="OFF",$D$778=0,$E$778=0),1,12*INDEX(se_block,$D$778,$E809)/$E$778)</f>
        <v/>
      </c>
      <c r="I809" s="208">
        <f>EXP(SUMPRODUCT((rl_eff&lt;$B809)*(rl_key=$A$778)*rl_ln1p))</f>
        <v/>
      </c>
      <c r="J809" s="208">
        <f>EXP(SUMPRODUCT((rl_eff&lt;=$C809)*(rl_key=$A$778)*rl_ln1p))</f>
        <v/>
      </c>
      <c r="K809" s="201">
        <f>COUNTIFS(rl_key,$A$778,rl_eff,"&gt;="&amp;$B809,rl_eff,"&lt;="&amp;$C809)</f>
        <v/>
      </c>
      <c r="L809" s="201">
        <f>SUMIFS(rl_daysafter,rl_key,$A$778,rl_effmonth,$B809,rl_first,1)</f>
        <v/>
      </c>
      <c r="M809" s="209">
        <f>IF($K809=0,0,MIN(1,$L809/$D809))</f>
        <v/>
      </c>
      <c r="N809" s="208">
        <f>IF($K809=0,$J809,(1-$M809)*$I809+$M809*$J809)</f>
        <v/>
      </c>
      <c r="O809" s="209">
        <f>IF($F809&lt;$B$779,$E$779+$I$779*($F809-$A$779),IF($F809&lt;$C$779,$F$779+$J$779*($F809-$B$779),$G$779+$K$779*($F809-$C$779)))</f>
        <v/>
      </c>
      <c r="P809" s="208">
        <f>MIN(1,MAX(0,(nr_MEndPm1-$G809+0.5)/$C$778))-MIN(1,MAX(0,(nr_MStartPm1-1-$G809+0.5)/$C$778))</f>
        <v/>
      </c>
      <c r="Q809" s="208">
        <f>MIN(1,MAX(0,(nr_MEndP-$G809+0.5)/$C$778))-MIN(1,MAX(0,(nr_MStartP-1-$G809+0.5)/$C$778))</f>
        <v/>
      </c>
      <c r="R809" s="208">
        <f>MIN(1,MAX(0,(nr_MEndP1-$G809+0.5)/$C$778))-MIN(1,MAX(0,(nr_MStartP1-1-$G809+0.5)/$C$778))</f>
        <v/>
      </c>
      <c r="S809" s="208">
        <f>IF($L$778,$N809*IF($O$778=1,$O809/$F$778,1),"")</f>
        <v/>
      </c>
      <c r="T809" s="208">
        <f>IF(NOT($L$778),"",IF($G809&lt;nr_MStartP,$S809,$T797*(1+IF($G809&lt;nr_MStartP1,$M$778,$N$778))))</f>
        <v/>
      </c>
      <c r="U809" s="208">
        <f>IF($L$778,$T809,$N809)</f>
        <v/>
      </c>
    </row>
    <row r="810">
      <c r="A810" s="145" t="n">
        <v>30</v>
      </c>
      <c r="B810" s="204">
        <f>EDATE($B809,1)</f>
        <v/>
      </c>
      <c r="C810" s="205">
        <f>EOMONTH($B810,0)</f>
        <v/>
      </c>
      <c r="D810" s="201">
        <f>$C810-$B810+1</f>
        <v/>
      </c>
      <c r="E810" s="201">
        <f>MONTH($B810)</f>
        <v/>
      </c>
      <c r="F810" s="235">
        <f>($B810+$C810+1)/2</f>
        <v/>
      </c>
      <c r="G810" s="201">
        <f>YEAR($B810)*12+MONTH($B810)-1</f>
        <v/>
      </c>
      <c r="H810" s="207">
        <f>IF(OR(nr_SeasonOn="OFF",$D$778=0,$E$778=0),1,12*INDEX(se_block,$D$778,$E810)/$E$778)</f>
        <v/>
      </c>
      <c r="I810" s="208">
        <f>EXP(SUMPRODUCT((rl_eff&lt;$B810)*(rl_key=$A$778)*rl_ln1p))</f>
        <v/>
      </c>
      <c r="J810" s="208">
        <f>EXP(SUMPRODUCT((rl_eff&lt;=$C810)*(rl_key=$A$778)*rl_ln1p))</f>
        <v/>
      </c>
      <c r="K810" s="201">
        <f>COUNTIFS(rl_key,$A$778,rl_eff,"&gt;="&amp;$B810,rl_eff,"&lt;="&amp;$C810)</f>
        <v/>
      </c>
      <c r="L810" s="201">
        <f>SUMIFS(rl_daysafter,rl_key,$A$778,rl_effmonth,$B810,rl_first,1)</f>
        <v/>
      </c>
      <c r="M810" s="209">
        <f>IF($K810=0,0,MIN(1,$L810/$D810))</f>
        <v/>
      </c>
      <c r="N810" s="208">
        <f>IF($K810=0,$J810,(1-$M810)*$I810+$M810*$J810)</f>
        <v/>
      </c>
      <c r="O810" s="209">
        <f>IF($F810&lt;$B$779,$E$779+$I$779*($F810-$A$779),IF($F810&lt;$C$779,$F$779+$J$779*($F810-$B$779),$G$779+$K$779*($F810-$C$779)))</f>
        <v/>
      </c>
      <c r="P810" s="208">
        <f>MIN(1,MAX(0,(nr_MEndPm1-$G810+0.5)/$C$778))-MIN(1,MAX(0,(nr_MStartPm1-1-$G810+0.5)/$C$778))</f>
        <v/>
      </c>
      <c r="Q810" s="208">
        <f>MIN(1,MAX(0,(nr_MEndP-$G810+0.5)/$C$778))-MIN(1,MAX(0,(nr_MStartP-1-$G810+0.5)/$C$778))</f>
        <v/>
      </c>
      <c r="R810" s="208">
        <f>MIN(1,MAX(0,(nr_MEndP1-$G810+0.5)/$C$778))-MIN(1,MAX(0,(nr_MStartP1-1-$G810+0.5)/$C$778))</f>
        <v/>
      </c>
      <c r="S810" s="208">
        <f>IF($L$778,$N810*IF($O$778=1,$O810/$F$778,1),"")</f>
        <v/>
      </c>
      <c r="T810" s="208">
        <f>IF(NOT($L$778),"",IF($G810&lt;nr_MStartP,$S810,$T798*(1+IF($G810&lt;nr_MStartP1,$M$778,$N$778))))</f>
        <v/>
      </c>
      <c r="U810" s="208">
        <f>IF($L$778,$T810,$N810)</f>
        <v/>
      </c>
    </row>
    <row r="811">
      <c r="A811" s="145" t="n">
        <v>31</v>
      </c>
      <c r="B811" s="204">
        <f>EDATE($B810,1)</f>
        <v/>
      </c>
      <c r="C811" s="205">
        <f>EOMONTH($B811,0)</f>
        <v/>
      </c>
      <c r="D811" s="201">
        <f>$C811-$B811+1</f>
        <v/>
      </c>
      <c r="E811" s="201">
        <f>MONTH($B811)</f>
        <v/>
      </c>
      <c r="F811" s="235">
        <f>($B811+$C811+1)/2</f>
        <v/>
      </c>
      <c r="G811" s="201">
        <f>YEAR($B811)*12+MONTH($B811)-1</f>
        <v/>
      </c>
      <c r="H811" s="207">
        <f>IF(OR(nr_SeasonOn="OFF",$D$778=0,$E$778=0),1,12*INDEX(se_block,$D$778,$E811)/$E$778)</f>
        <v/>
      </c>
      <c r="I811" s="208">
        <f>EXP(SUMPRODUCT((rl_eff&lt;$B811)*(rl_key=$A$778)*rl_ln1p))</f>
        <v/>
      </c>
      <c r="J811" s="208">
        <f>EXP(SUMPRODUCT((rl_eff&lt;=$C811)*(rl_key=$A$778)*rl_ln1p))</f>
        <v/>
      </c>
      <c r="K811" s="201">
        <f>COUNTIFS(rl_key,$A$778,rl_eff,"&gt;="&amp;$B811,rl_eff,"&lt;="&amp;$C811)</f>
        <v/>
      </c>
      <c r="L811" s="201">
        <f>SUMIFS(rl_daysafter,rl_key,$A$778,rl_effmonth,$B811,rl_first,1)</f>
        <v/>
      </c>
      <c r="M811" s="209">
        <f>IF($K811=0,0,MIN(1,$L811/$D811))</f>
        <v/>
      </c>
      <c r="N811" s="208">
        <f>IF($K811=0,$J811,(1-$M811)*$I811+$M811*$J811)</f>
        <v/>
      </c>
      <c r="O811" s="209">
        <f>IF($F811&lt;$B$779,$E$779+$I$779*($F811-$A$779),IF($F811&lt;$C$779,$F$779+$J$779*($F811-$B$779),$G$779+$K$779*($F811-$C$779)))</f>
        <v/>
      </c>
      <c r="P811" s="208">
        <f>MIN(1,MAX(0,(nr_MEndPm1-$G811+0.5)/$C$778))-MIN(1,MAX(0,(nr_MStartPm1-1-$G811+0.5)/$C$778))</f>
        <v/>
      </c>
      <c r="Q811" s="208">
        <f>MIN(1,MAX(0,(nr_MEndP-$G811+0.5)/$C$778))-MIN(1,MAX(0,(nr_MStartP-1-$G811+0.5)/$C$778))</f>
        <v/>
      </c>
      <c r="R811" s="208">
        <f>MIN(1,MAX(0,(nr_MEndP1-$G811+0.5)/$C$778))-MIN(1,MAX(0,(nr_MStartP1-1-$G811+0.5)/$C$778))</f>
        <v/>
      </c>
      <c r="S811" s="208">
        <f>IF($L$778,$N811*IF($O$778=1,$O811/$F$778,1),"")</f>
        <v/>
      </c>
      <c r="T811" s="208">
        <f>IF(NOT($L$778),"",IF($G811&lt;nr_MStartP,$S811,$T799*(1+IF($G811&lt;nr_MStartP1,$M$778,$N$778))))</f>
        <v/>
      </c>
      <c r="U811" s="208">
        <f>IF($L$778,$T811,$N811)</f>
        <v/>
      </c>
    </row>
    <row r="812">
      <c r="A812" s="145" t="n">
        <v>32</v>
      </c>
      <c r="B812" s="204">
        <f>EDATE($B811,1)</f>
        <v/>
      </c>
      <c r="C812" s="205">
        <f>EOMONTH($B812,0)</f>
        <v/>
      </c>
      <c r="D812" s="201">
        <f>$C812-$B812+1</f>
        <v/>
      </c>
      <c r="E812" s="201">
        <f>MONTH($B812)</f>
        <v/>
      </c>
      <c r="F812" s="235">
        <f>($B812+$C812+1)/2</f>
        <v/>
      </c>
      <c r="G812" s="201">
        <f>YEAR($B812)*12+MONTH($B812)-1</f>
        <v/>
      </c>
      <c r="H812" s="207">
        <f>IF(OR(nr_SeasonOn="OFF",$D$778=0,$E$778=0),1,12*INDEX(se_block,$D$778,$E812)/$E$778)</f>
        <v/>
      </c>
      <c r="I812" s="208">
        <f>EXP(SUMPRODUCT((rl_eff&lt;$B812)*(rl_key=$A$778)*rl_ln1p))</f>
        <v/>
      </c>
      <c r="J812" s="208">
        <f>EXP(SUMPRODUCT((rl_eff&lt;=$C812)*(rl_key=$A$778)*rl_ln1p))</f>
        <v/>
      </c>
      <c r="K812" s="201">
        <f>COUNTIFS(rl_key,$A$778,rl_eff,"&gt;="&amp;$B812,rl_eff,"&lt;="&amp;$C812)</f>
        <v/>
      </c>
      <c r="L812" s="201">
        <f>SUMIFS(rl_daysafter,rl_key,$A$778,rl_effmonth,$B812,rl_first,1)</f>
        <v/>
      </c>
      <c r="M812" s="209">
        <f>IF($K812=0,0,MIN(1,$L812/$D812))</f>
        <v/>
      </c>
      <c r="N812" s="208">
        <f>IF($K812=0,$J812,(1-$M812)*$I812+$M812*$J812)</f>
        <v/>
      </c>
      <c r="O812" s="209">
        <f>IF($F812&lt;$B$779,$E$779+$I$779*($F812-$A$779),IF($F812&lt;$C$779,$F$779+$J$779*($F812-$B$779),$G$779+$K$779*($F812-$C$779)))</f>
        <v/>
      </c>
      <c r="P812" s="208">
        <f>MIN(1,MAX(0,(nr_MEndPm1-$G812+0.5)/$C$778))-MIN(1,MAX(0,(nr_MStartPm1-1-$G812+0.5)/$C$778))</f>
        <v/>
      </c>
      <c r="Q812" s="208">
        <f>MIN(1,MAX(0,(nr_MEndP-$G812+0.5)/$C$778))-MIN(1,MAX(0,(nr_MStartP-1-$G812+0.5)/$C$778))</f>
        <v/>
      </c>
      <c r="R812" s="208">
        <f>MIN(1,MAX(0,(nr_MEndP1-$G812+0.5)/$C$778))-MIN(1,MAX(0,(nr_MStartP1-1-$G812+0.5)/$C$778))</f>
        <v/>
      </c>
      <c r="S812" s="208">
        <f>IF($L$778,$N812*IF($O$778=1,$O812/$F$778,1),"")</f>
        <v/>
      </c>
      <c r="T812" s="208">
        <f>IF(NOT($L$778),"",IF($G812&lt;nr_MStartP,$S812,$T800*(1+IF($G812&lt;nr_MStartP1,$M$778,$N$778))))</f>
        <v/>
      </c>
      <c r="U812" s="208">
        <f>IF($L$778,$T812,$N812)</f>
        <v/>
      </c>
    </row>
    <row r="813">
      <c r="A813" s="145" t="n">
        <v>33</v>
      </c>
      <c r="B813" s="204">
        <f>EDATE($B812,1)</f>
        <v/>
      </c>
      <c r="C813" s="205">
        <f>EOMONTH($B813,0)</f>
        <v/>
      </c>
      <c r="D813" s="201">
        <f>$C813-$B813+1</f>
        <v/>
      </c>
      <c r="E813" s="201">
        <f>MONTH($B813)</f>
        <v/>
      </c>
      <c r="F813" s="235">
        <f>($B813+$C813+1)/2</f>
        <v/>
      </c>
      <c r="G813" s="201">
        <f>YEAR($B813)*12+MONTH($B813)-1</f>
        <v/>
      </c>
      <c r="H813" s="207">
        <f>IF(OR(nr_SeasonOn="OFF",$D$778=0,$E$778=0),1,12*INDEX(se_block,$D$778,$E813)/$E$778)</f>
        <v/>
      </c>
      <c r="I813" s="208">
        <f>EXP(SUMPRODUCT((rl_eff&lt;$B813)*(rl_key=$A$778)*rl_ln1p))</f>
        <v/>
      </c>
      <c r="J813" s="208">
        <f>EXP(SUMPRODUCT((rl_eff&lt;=$C813)*(rl_key=$A$778)*rl_ln1p))</f>
        <v/>
      </c>
      <c r="K813" s="201">
        <f>COUNTIFS(rl_key,$A$778,rl_eff,"&gt;="&amp;$B813,rl_eff,"&lt;="&amp;$C813)</f>
        <v/>
      </c>
      <c r="L813" s="201">
        <f>SUMIFS(rl_daysafter,rl_key,$A$778,rl_effmonth,$B813,rl_first,1)</f>
        <v/>
      </c>
      <c r="M813" s="209">
        <f>IF($K813=0,0,MIN(1,$L813/$D813))</f>
        <v/>
      </c>
      <c r="N813" s="208">
        <f>IF($K813=0,$J813,(1-$M813)*$I813+$M813*$J813)</f>
        <v/>
      </c>
      <c r="O813" s="209">
        <f>IF($F813&lt;$B$779,$E$779+$I$779*($F813-$A$779),IF($F813&lt;$C$779,$F$779+$J$779*($F813-$B$779),$G$779+$K$779*($F813-$C$779)))</f>
        <v/>
      </c>
      <c r="P813" s="208">
        <f>MIN(1,MAX(0,(nr_MEndPm1-$G813+0.5)/$C$778))-MIN(1,MAX(0,(nr_MStartPm1-1-$G813+0.5)/$C$778))</f>
        <v/>
      </c>
      <c r="Q813" s="208">
        <f>MIN(1,MAX(0,(nr_MEndP-$G813+0.5)/$C$778))-MIN(1,MAX(0,(nr_MStartP-1-$G813+0.5)/$C$778))</f>
        <v/>
      </c>
      <c r="R813" s="208">
        <f>MIN(1,MAX(0,(nr_MEndP1-$G813+0.5)/$C$778))-MIN(1,MAX(0,(nr_MStartP1-1-$G813+0.5)/$C$778))</f>
        <v/>
      </c>
      <c r="S813" s="208">
        <f>IF($L$778,$N813*IF($O$778=1,$O813/$F$778,1),"")</f>
        <v/>
      </c>
      <c r="T813" s="208">
        <f>IF(NOT($L$778),"",IF($G813&lt;nr_MStartP,$S813,$T801*(1+IF($G813&lt;nr_MStartP1,$M$778,$N$778))))</f>
        <v/>
      </c>
      <c r="U813" s="208">
        <f>IF($L$778,$T813,$N813)</f>
        <v/>
      </c>
    </row>
    <row r="814">
      <c r="A814" s="145" t="n">
        <v>34</v>
      </c>
      <c r="B814" s="204">
        <f>EDATE($B813,1)</f>
        <v/>
      </c>
      <c r="C814" s="205">
        <f>EOMONTH($B814,0)</f>
        <v/>
      </c>
      <c r="D814" s="201">
        <f>$C814-$B814+1</f>
        <v/>
      </c>
      <c r="E814" s="201">
        <f>MONTH($B814)</f>
        <v/>
      </c>
      <c r="F814" s="235">
        <f>($B814+$C814+1)/2</f>
        <v/>
      </c>
      <c r="G814" s="201">
        <f>YEAR($B814)*12+MONTH($B814)-1</f>
        <v/>
      </c>
      <c r="H814" s="207">
        <f>IF(OR(nr_SeasonOn="OFF",$D$778=0,$E$778=0),1,12*INDEX(se_block,$D$778,$E814)/$E$778)</f>
        <v/>
      </c>
      <c r="I814" s="208">
        <f>EXP(SUMPRODUCT((rl_eff&lt;$B814)*(rl_key=$A$778)*rl_ln1p))</f>
        <v/>
      </c>
      <c r="J814" s="208">
        <f>EXP(SUMPRODUCT((rl_eff&lt;=$C814)*(rl_key=$A$778)*rl_ln1p))</f>
        <v/>
      </c>
      <c r="K814" s="201">
        <f>COUNTIFS(rl_key,$A$778,rl_eff,"&gt;="&amp;$B814,rl_eff,"&lt;="&amp;$C814)</f>
        <v/>
      </c>
      <c r="L814" s="201">
        <f>SUMIFS(rl_daysafter,rl_key,$A$778,rl_effmonth,$B814,rl_first,1)</f>
        <v/>
      </c>
      <c r="M814" s="209">
        <f>IF($K814=0,0,MIN(1,$L814/$D814))</f>
        <v/>
      </c>
      <c r="N814" s="208">
        <f>IF($K814=0,$J814,(1-$M814)*$I814+$M814*$J814)</f>
        <v/>
      </c>
      <c r="O814" s="209">
        <f>IF($F814&lt;$B$779,$E$779+$I$779*($F814-$A$779),IF($F814&lt;$C$779,$F$779+$J$779*($F814-$B$779),$G$779+$K$779*($F814-$C$779)))</f>
        <v/>
      </c>
      <c r="P814" s="208">
        <f>MIN(1,MAX(0,(nr_MEndPm1-$G814+0.5)/$C$778))-MIN(1,MAX(0,(nr_MStartPm1-1-$G814+0.5)/$C$778))</f>
        <v/>
      </c>
      <c r="Q814" s="208">
        <f>MIN(1,MAX(0,(nr_MEndP-$G814+0.5)/$C$778))-MIN(1,MAX(0,(nr_MStartP-1-$G814+0.5)/$C$778))</f>
        <v/>
      </c>
      <c r="R814" s="208">
        <f>MIN(1,MAX(0,(nr_MEndP1-$G814+0.5)/$C$778))-MIN(1,MAX(0,(nr_MStartP1-1-$G814+0.5)/$C$778))</f>
        <v/>
      </c>
      <c r="S814" s="208">
        <f>IF($L$778,$N814*IF($O$778=1,$O814/$F$778,1),"")</f>
        <v/>
      </c>
      <c r="T814" s="208">
        <f>IF(NOT($L$778),"",IF($G814&lt;nr_MStartP,$S814,$T802*(1+IF($G814&lt;nr_MStartP1,$M$778,$N$778))))</f>
        <v/>
      </c>
      <c r="U814" s="208">
        <f>IF($L$778,$T814,$N814)</f>
        <v/>
      </c>
    </row>
    <row r="815">
      <c r="A815" s="145" t="n">
        <v>35</v>
      </c>
      <c r="B815" s="204">
        <f>EDATE($B814,1)</f>
        <v/>
      </c>
      <c r="C815" s="205">
        <f>EOMONTH($B815,0)</f>
        <v/>
      </c>
      <c r="D815" s="201">
        <f>$C815-$B815+1</f>
        <v/>
      </c>
      <c r="E815" s="201">
        <f>MONTH($B815)</f>
        <v/>
      </c>
      <c r="F815" s="235">
        <f>($B815+$C815+1)/2</f>
        <v/>
      </c>
      <c r="G815" s="201">
        <f>YEAR($B815)*12+MONTH($B815)-1</f>
        <v/>
      </c>
      <c r="H815" s="207">
        <f>IF(OR(nr_SeasonOn="OFF",$D$778=0,$E$778=0),1,12*INDEX(se_block,$D$778,$E815)/$E$778)</f>
        <v/>
      </c>
      <c r="I815" s="208">
        <f>EXP(SUMPRODUCT((rl_eff&lt;$B815)*(rl_key=$A$778)*rl_ln1p))</f>
        <v/>
      </c>
      <c r="J815" s="208">
        <f>EXP(SUMPRODUCT((rl_eff&lt;=$C815)*(rl_key=$A$778)*rl_ln1p))</f>
        <v/>
      </c>
      <c r="K815" s="201">
        <f>COUNTIFS(rl_key,$A$778,rl_eff,"&gt;="&amp;$B815,rl_eff,"&lt;="&amp;$C815)</f>
        <v/>
      </c>
      <c r="L815" s="201">
        <f>SUMIFS(rl_daysafter,rl_key,$A$778,rl_effmonth,$B815,rl_first,1)</f>
        <v/>
      </c>
      <c r="M815" s="209">
        <f>IF($K815=0,0,MIN(1,$L815/$D815))</f>
        <v/>
      </c>
      <c r="N815" s="208">
        <f>IF($K815=0,$J815,(1-$M815)*$I815+$M815*$J815)</f>
        <v/>
      </c>
      <c r="O815" s="209">
        <f>IF($F815&lt;$B$779,$E$779+$I$779*($F815-$A$779),IF($F815&lt;$C$779,$F$779+$J$779*($F815-$B$779),$G$779+$K$779*($F815-$C$779)))</f>
        <v/>
      </c>
      <c r="P815" s="208">
        <f>MIN(1,MAX(0,(nr_MEndPm1-$G815+0.5)/$C$778))-MIN(1,MAX(0,(nr_MStartPm1-1-$G815+0.5)/$C$778))</f>
        <v/>
      </c>
      <c r="Q815" s="208">
        <f>MIN(1,MAX(0,(nr_MEndP-$G815+0.5)/$C$778))-MIN(1,MAX(0,(nr_MStartP-1-$G815+0.5)/$C$778))</f>
        <v/>
      </c>
      <c r="R815" s="208">
        <f>MIN(1,MAX(0,(nr_MEndP1-$G815+0.5)/$C$778))-MIN(1,MAX(0,(nr_MStartP1-1-$G815+0.5)/$C$778))</f>
        <v/>
      </c>
      <c r="S815" s="208">
        <f>IF($L$778,$N815*IF($O$778=1,$O815/$F$778,1),"")</f>
        <v/>
      </c>
      <c r="T815" s="208">
        <f>IF(NOT($L$778),"",IF($G815&lt;nr_MStartP,$S815,$T803*(1+IF($G815&lt;nr_MStartP1,$M$778,$N$778))))</f>
        <v/>
      </c>
      <c r="U815" s="208">
        <f>IF($L$778,$T815,$N815)</f>
        <v/>
      </c>
    </row>
    <row r="816">
      <c r="A816" s="145" t="n">
        <v>36</v>
      </c>
      <c r="B816" s="204">
        <f>EDATE($B815,1)</f>
        <v/>
      </c>
      <c r="C816" s="205">
        <f>EOMONTH($B816,0)</f>
        <v/>
      </c>
      <c r="D816" s="201">
        <f>$C816-$B816+1</f>
        <v/>
      </c>
      <c r="E816" s="201">
        <f>MONTH($B816)</f>
        <v/>
      </c>
      <c r="F816" s="235">
        <f>($B816+$C816+1)/2</f>
        <v/>
      </c>
      <c r="G816" s="201">
        <f>YEAR($B816)*12+MONTH($B816)-1</f>
        <v/>
      </c>
      <c r="H816" s="207">
        <f>IF(OR(nr_SeasonOn="OFF",$D$778=0,$E$778=0),1,12*INDEX(se_block,$D$778,$E816)/$E$778)</f>
        <v/>
      </c>
      <c r="I816" s="208">
        <f>EXP(SUMPRODUCT((rl_eff&lt;$B816)*(rl_key=$A$778)*rl_ln1p))</f>
        <v/>
      </c>
      <c r="J816" s="208">
        <f>EXP(SUMPRODUCT((rl_eff&lt;=$C816)*(rl_key=$A$778)*rl_ln1p))</f>
        <v/>
      </c>
      <c r="K816" s="201">
        <f>COUNTIFS(rl_key,$A$778,rl_eff,"&gt;="&amp;$B816,rl_eff,"&lt;="&amp;$C816)</f>
        <v/>
      </c>
      <c r="L816" s="201">
        <f>SUMIFS(rl_daysafter,rl_key,$A$778,rl_effmonth,$B816,rl_first,1)</f>
        <v/>
      </c>
      <c r="M816" s="209">
        <f>IF($K816=0,0,MIN(1,$L816/$D816))</f>
        <v/>
      </c>
      <c r="N816" s="208">
        <f>IF($K816=0,$J816,(1-$M816)*$I816+$M816*$J816)</f>
        <v/>
      </c>
      <c r="O816" s="209">
        <f>IF($F816&lt;$B$779,$E$779+$I$779*($F816-$A$779),IF($F816&lt;$C$779,$F$779+$J$779*($F816-$B$779),$G$779+$K$779*($F816-$C$779)))</f>
        <v/>
      </c>
      <c r="P816" s="208">
        <f>MIN(1,MAX(0,(nr_MEndPm1-$G816+0.5)/$C$778))-MIN(1,MAX(0,(nr_MStartPm1-1-$G816+0.5)/$C$778))</f>
        <v/>
      </c>
      <c r="Q816" s="208">
        <f>MIN(1,MAX(0,(nr_MEndP-$G816+0.5)/$C$778))-MIN(1,MAX(0,(nr_MStartP-1-$G816+0.5)/$C$778))</f>
        <v/>
      </c>
      <c r="R816" s="208">
        <f>MIN(1,MAX(0,(nr_MEndP1-$G816+0.5)/$C$778))-MIN(1,MAX(0,(nr_MStartP1-1-$G816+0.5)/$C$778))</f>
        <v/>
      </c>
      <c r="S816" s="208">
        <f>IF($L$778,$N816*IF($O$778=1,$O816/$F$778,1),"")</f>
        <v/>
      </c>
      <c r="T816" s="208">
        <f>IF(NOT($L$778),"",IF($G816&lt;nr_MStartP,$S816,$T804*(1+IF($G816&lt;nr_MStartP1,$M$778,$N$778))))</f>
        <v/>
      </c>
      <c r="U816" s="208">
        <f>IF($L$778,$T816,$N816)</f>
        <v/>
      </c>
    </row>
    <row r="817">
      <c r="A817" s="145" t="n">
        <v>37</v>
      </c>
      <c r="B817" s="204">
        <f>EDATE($B816,1)</f>
        <v/>
      </c>
      <c r="C817" s="205">
        <f>EOMONTH($B817,0)</f>
        <v/>
      </c>
      <c r="D817" s="201">
        <f>$C817-$B817+1</f>
        <v/>
      </c>
      <c r="E817" s="201">
        <f>MONTH($B817)</f>
        <v/>
      </c>
      <c r="F817" s="235">
        <f>($B817+$C817+1)/2</f>
        <v/>
      </c>
      <c r="G817" s="201">
        <f>YEAR($B817)*12+MONTH($B817)-1</f>
        <v/>
      </c>
      <c r="H817" s="207">
        <f>IF(OR(nr_SeasonOn="OFF",$D$778=0,$E$778=0),1,12*INDEX(se_block,$D$778,$E817)/$E$778)</f>
        <v/>
      </c>
      <c r="I817" s="208">
        <f>EXP(SUMPRODUCT((rl_eff&lt;$B817)*(rl_key=$A$778)*rl_ln1p))</f>
        <v/>
      </c>
      <c r="J817" s="208">
        <f>EXP(SUMPRODUCT((rl_eff&lt;=$C817)*(rl_key=$A$778)*rl_ln1p))</f>
        <v/>
      </c>
      <c r="K817" s="201">
        <f>COUNTIFS(rl_key,$A$778,rl_eff,"&gt;="&amp;$B817,rl_eff,"&lt;="&amp;$C817)</f>
        <v/>
      </c>
      <c r="L817" s="201">
        <f>SUMIFS(rl_daysafter,rl_key,$A$778,rl_effmonth,$B817,rl_first,1)</f>
        <v/>
      </c>
      <c r="M817" s="209">
        <f>IF($K817=0,0,MIN(1,$L817/$D817))</f>
        <v/>
      </c>
      <c r="N817" s="208">
        <f>IF($K817=0,$J817,(1-$M817)*$I817+$M817*$J817)</f>
        <v/>
      </c>
      <c r="O817" s="209">
        <f>IF($F817&lt;$B$779,$E$779+$I$779*($F817-$A$779),IF($F817&lt;$C$779,$F$779+$J$779*($F817-$B$779),$G$779+$K$779*($F817-$C$779)))</f>
        <v/>
      </c>
      <c r="P817" s="208">
        <f>MIN(1,MAX(0,(nr_MEndPm1-$G817+0.5)/$C$778))-MIN(1,MAX(0,(nr_MStartPm1-1-$G817+0.5)/$C$778))</f>
        <v/>
      </c>
      <c r="Q817" s="208">
        <f>MIN(1,MAX(0,(nr_MEndP-$G817+0.5)/$C$778))-MIN(1,MAX(0,(nr_MStartP-1-$G817+0.5)/$C$778))</f>
        <v/>
      </c>
      <c r="R817" s="208">
        <f>MIN(1,MAX(0,(nr_MEndP1-$G817+0.5)/$C$778))-MIN(1,MAX(0,(nr_MStartP1-1-$G817+0.5)/$C$778))</f>
        <v/>
      </c>
      <c r="S817" s="208">
        <f>IF($L$778,$N817*IF($O$778=1,$O817/$F$778,1),"")</f>
        <v/>
      </c>
      <c r="T817" s="208">
        <f>IF(NOT($L$778),"",IF($G817&lt;nr_MStartP,$S817,$T805*(1+IF($G817&lt;nr_MStartP1,$M$778,$N$778))))</f>
        <v/>
      </c>
      <c r="U817" s="208">
        <f>IF($L$778,$T817,$N817)</f>
        <v/>
      </c>
    </row>
    <row r="818">
      <c r="A818" s="145" t="n">
        <v>38</v>
      </c>
      <c r="B818" s="204">
        <f>EDATE($B817,1)</f>
        <v/>
      </c>
      <c r="C818" s="205">
        <f>EOMONTH($B818,0)</f>
        <v/>
      </c>
      <c r="D818" s="201">
        <f>$C818-$B818+1</f>
        <v/>
      </c>
      <c r="E818" s="201">
        <f>MONTH($B818)</f>
        <v/>
      </c>
      <c r="F818" s="235">
        <f>($B818+$C818+1)/2</f>
        <v/>
      </c>
      <c r="G818" s="201">
        <f>YEAR($B818)*12+MONTH($B818)-1</f>
        <v/>
      </c>
      <c r="H818" s="207">
        <f>IF(OR(nr_SeasonOn="OFF",$D$778=0,$E$778=0),1,12*INDEX(se_block,$D$778,$E818)/$E$778)</f>
        <v/>
      </c>
      <c r="I818" s="208">
        <f>EXP(SUMPRODUCT((rl_eff&lt;$B818)*(rl_key=$A$778)*rl_ln1p))</f>
        <v/>
      </c>
      <c r="J818" s="208">
        <f>EXP(SUMPRODUCT((rl_eff&lt;=$C818)*(rl_key=$A$778)*rl_ln1p))</f>
        <v/>
      </c>
      <c r="K818" s="201">
        <f>COUNTIFS(rl_key,$A$778,rl_eff,"&gt;="&amp;$B818,rl_eff,"&lt;="&amp;$C818)</f>
        <v/>
      </c>
      <c r="L818" s="201">
        <f>SUMIFS(rl_daysafter,rl_key,$A$778,rl_effmonth,$B818,rl_first,1)</f>
        <v/>
      </c>
      <c r="M818" s="209">
        <f>IF($K818=0,0,MIN(1,$L818/$D818))</f>
        <v/>
      </c>
      <c r="N818" s="208">
        <f>IF($K818=0,$J818,(1-$M818)*$I818+$M818*$J818)</f>
        <v/>
      </c>
      <c r="O818" s="209">
        <f>IF($F818&lt;$B$779,$E$779+$I$779*($F818-$A$779),IF($F818&lt;$C$779,$F$779+$J$779*($F818-$B$779),$G$779+$K$779*($F818-$C$779)))</f>
        <v/>
      </c>
      <c r="P818" s="208">
        <f>MIN(1,MAX(0,(nr_MEndPm1-$G818+0.5)/$C$778))-MIN(1,MAX(0,(nr_MStartPm1-1-$G818+0.5)/$C$778))</f>
        <v/>
      </c>
      <c r="Q818" s="208">
        <f>MIN(1,MAX(0,(nr_MEndP-$G818+0.5)/$C$778))-MIN(1,MAX(0,(nr_MStartP-1-$G818+0.5)/$C$778))</f>
        <v/>
      </c>
      <c r="R818" s="208">
        <f>MIN(1,MAX(0,(nr_MEndP1-$G818+0.5)/$C$778))-MIN(1,MAX(0,(nr_MStartP1-1-$G818+0.5)/$C$778))</f>
        <v/>
      </c>
      <c r="S818" s="208">
        <f>IF($L$778,$N818*IF($O$778=1,$O818/$F$778,1),"")</f>
        <v/>
      </c>
      <c r="T818" s="208">
        <f>IF(NOT($L$778),"",IF($G818&lt;nr_MStartP,$S818,$T806*(1+IF($G818&lt;nr_MStartP1,$M$778,$N$778))))</f>
        <v/>
      </c>
      <c r="U818" s="208">
        <f>IF($L$778,$T818,$N818)</f>
        <v/>
      </c>
    </row>
    <row r="819">
      <c r="A819" s="145" t="n">
        <v>39</v>
      </c>
      <c r="B819" s="204">
        <f>EDATE($B818,1)</f>
        <v/>
      </c>
      <c r="C819" s="205">
        <f>EOMONTH($B819,0)</f>
        <v/>
      </c>
      <c r="D819" s="201">
        <f>$C819-$B819+1</f>
        <v/>
      </c>
      <c r="E819" s="201">
        <f>MONTH($B819)</f>
        <v/>
      </c>
      <c r="F819" s="235">
        <f>($B819+$C819+1)/2</f>
        <v/>
      </c>
      <c r="G819" s="201">
        <f>YEAR($B819)*12+MONTH($B819)-1</f>
        <v/>
      </c>
      <c r="H819" s="207">
        <f>IF(OR(nr_SeasonOn="OFF",$D$778=0,$E$778=0),1,12*INDEX(se_block,$D$778,$E819)/$E$778)</f>
        <v/>
      </c>
      <c r="I819" s="208">
        <f>EXP(SUMPRODUCT((rl_eff&lt;$B819)*(rl_key=$A$778)*rl_ln1p))</f>
        <v/>
      </c>
      <c r="J819" s="208">
        <f>EXP(SUMPRODUCT((rl_eff&lt;=$C819)*(rl_key=$A$778)*rl_ln1p))</f>
        <v/>
      </c>
      <c r="K819" s="201">
        <f>COUNTIFS(rl_key,$A$778,rl_eff,"&gt;="&amp;$B819,rl_eff,"&lt;="&amp;$C819)</f>
        <v/>
      </c>
      <c r="L819" s="201">
        <f>SUMIFS(rl_daysafter,rl_key,$A$778,rl_effmonth,$B819,rl_first,1)</f>
        <v/>
      </c>
      <c r="M819" s="209">
        <f>IF($K819=0,0,MIN(1,$L819/$D819))</f>
        <v/>
      </c>
      <c r="N819" s="208">
        <f>IF($K819=0,$J819,(1-$M819)*$I819+$M819*$J819)</f>
        <v/>
      </c>
      <c r="O819" s="209">
        <f>IF($F819&lt;$B$779,$E$779+$I$779*($F819-$A$779),IF($F819&lt;$C$779,$F$779+$J$779*($F819-$B$779),$G$779+$K$779*($F819-$C$779)))</f>
        <v/>
      </c>
      <c r="P819" s="208">
        <f>MIN(1,MAX(0,(nr_MEndPm1-$G819+0.5)/$C$778))-MIN(1,MAX(0,(nr_MStartPm1-1-$G819+0.5)/$C$778))</f>
        <v/>
      </c>
      <c r="Q819" s="208">
        <f>MIN(1,MAX(0,(nr_MEndP-$G819+0.5)/$C$778))-MIN(1,MAX(0,(nr_MStartP-1-$G819+0.5)/$C$778))</f>
        <v/>
      </c>
      <c r="R819" s="208">
        <f>MIN(1,MAX(0,(nr_MEndP1-$G819+0.5)/$C$778))-MIN(1,MAX(0,(nr_MStartP1-1-$G819+0.5)/$C$778))</f>
        <v/>
      </c>
      <c r="S819" s="208">
        <f>IF($L$778,$N819*IF($O$778=1,$O819/$F$778,1),"")</f>
        <v/>
      </c>
      <c r="T819" s="208">
        <f>IF(NOT($L$778),"",IF($G819&lt;nr_MStartP,$S819,$T807*(1+IF($G819&lt;nr_MStartP1,$M$778,$N$778))))</f>
        <v/>
      </c>
      <c r="U819" s="208">
        <f>IF($L$778,$T819,$N819)</f>
        <v/>
      </c>
    </row>
    <row r="820">
      <c r="A820" s="145" t="n">
        <v>40</v>
      </c>
      <c r="B820" s="204">
        <f>EDATE($B819,1)</f>
        <v/>
      </c>
      <c r="C820" s="205">
        <f>EOMONTH($B820,0)</f>
        <v/>
      </c>
      <c r="D820" s="201">
        <f>$C820-$B820+1</f>
        <v/>
      </c>
      <c r="E820" s="201">
        <f>MONTH($B820)</f>
        <v/>
      </c>
      <c r="F820" s="235">
        <f>($B820+$C820+1)/2</f>
        <v/>
      </c>
      <c r="G820" s="201">
        <f>YEAR($B820)*12+MONTH($B820)-1</f>
        <v/>
      </c>
      <c r="H820" s="207">
        <f>IF(OR(nr_SeasonOn="OFF",$D$778=0,$E$778=0),1,12*INDEX(se_block,$D$778,$E820)/$E$778)</f>
        <v/>
      </c>
      <c r="I820" s="208">
        <f>EXP(SUMPRODUCT((rl_eff&lt;$B820)*(rl_key=$A$778)*rl_ln1p))</f>
        <v/>
      </c>
      <c r="J820" s="208">
        <f>EXP(SUMPRODUCT((rl_eff&lt;=$C820)*(rl_key=$A$778)*rl_ln1p))</f>
        <v/>
      </c>
      <c r="K820" s="201">
        <f>COUNTIFS(rl_key,$A$778,rl_eff,"&gt;="&amp;$B820,rl_eff,"&lt;="&amp;$C820)</f>
        <v/>
      </c>
      <c r="L820" s="201">
        <f>SUMIFS(rl_daysafter,rl_key,$A$778,rl_effmonth,$B820,rl_first,1)</f>
        <v/>
      </c>
      <c r="M820" s="209">
        <f>IF($K820=0,0,MIN(1,$L820/$D820))</f>
        <v/>
      </c>
      <c r="N820" s="208">
        <f>IF($K820=0,$J820,(1-$M820)*$I820+$M820*$J820)</f>
        <v/>
      </c>
      <c r="O820" s="209">
        <f>IF($F820&lt;$B$779,$E$779+$I$779*($F820-$A$779),IF($F820&lt;$C$779,$F$779+$J$779*($F820-$B$779),$G$779+$K$779*($F820-$C$779)))</f>
        <v/>
      </c>
      <c r="P820" s="208">
        <f>MIN(1,MAX(0,(nr_MEndPm1-$G820+0.5)/$C$778))-MIN(1,MAX(0,(nr_MStartPm1-1-$G820+0.5)/$C$778))</f>
        <v/>
      </c>
      <c r="Q820" s="208">
        <f>MIN(1,MAX(0,(nr_MEndP-$G820+0.5)/$C$778))-MIN(1,MAX(0,(nr_MStartP-1-$G820+0.5)/$C$778))</f>
        <v/>
      </c>
      <c r="R820" s="208">
        <f>MIN(1,MAX(0,(nr_MEndP1-$G820+0.5)/$C$778))-MIN(1,MAX(0,(nr_MStartP1-1-$G820+0.5)/$C$778))</f>
        <v/>
      </c>
      <c r="S820" s="208">
        <f>IF($L$778,$N820*IF($O$778=1,$O820/$F$778,1),"")</f>
        <v/>
      </c>
      <c r="T820" s="208">
        <f>IF(NOT($L$778),"",IF($G820&lt;nr_MStartP,$S820,$T808*(1+IF($G820&lt;nr_MStartP1,$M$778,$N$778))))</f>
        <v/>
      </c>
      <c r="U820" s="208">
        <f>IF($L$778,$T820,$N820)</f>
        <v/>
      </c>
    </row>
    <row r="821">
      <c r="A821" s="145" t="n">
        <v>41</v>
      </c>
      <c r="B821" s="204">
        <f>EDATE($B820,1)</f>
        <v/>
      </c>
      <c r="C821" s="205">
        <f>EOMONTH($B821,0)</f>
        <v/>
      </c>
      <c r="D821" s="201">
        <f>$C821-$B821+1</f>
        <v/>
      </c>
      <c r="E821" s="201">
        <f>MONTH($B821)</f>
        <v/>
      </c>
      <c r="F821" s="235">
        <f>($B821+$C821+1)/2</f>
        <v/>
      </c>
      <c r="G821" s="201">
        <f>YEAR($B821)*12+MONTH($B821)-1</f>
        <v/>
      </c>
      <c r="H821" s="207">
        <f>IF(OR(nr_SeasonOn="OFF",$D$778=0,$E$778=0),1,12*INDEX(se_block,$D$778,$E821)/$E$778)</f>
        <v/>
      </c>
      <c r="I821" s="208">
        <f>EXP(SUMPRODUCT((rl_eff&lt;$B821)*(rl_key=$A$778)*rl_ln1p))</f>
        <v/>
      </c>
      <c r="J821" s="208">
        <f>EXP(SUMPRODUCT((rl_eff&lt;=$C821)*(rl_key=$A$778)*rl_ln1p))</f>
        <v/>
      </c>
      <c r="K821" s="201">
        <f>COUNTIFS(rl_key,$A$778,rl_eff,"&gt;="&amp;$B821,rl_eff,"&lt;="&amp;$C821)</f>
        <v/>
      </c>
      <c r="L821" s="201">
        <f>SUMIFS(rl_daysafter,rl_key,$A$778,rl_effmonth,$B821,rl_first,1)</f>
        <v/>
      </c>
      <c r="M821" s="209">
        <f>IF($K821=0,0,MIN(1,$L821/$D821))</f>
        <v/>
      </c>
      <c r="N821" s="208">
        <f>IF($K821=0,$J821,(1-$M821)*$I821+$M821*$J821)</f>
        <v/>
      </c>
      <c r="O821" s="209">
        <f>IF($F821&lt;$B$779,$E$779+$I$779*($F821-$A$779),IF($F821&lt;$C$779,$F$779+$J$779*($F821-$B$779),$G$779+$K$779*($F821-$C$779)))</f>
        <v/>
      </c>
      <c r="P821" s="208">
        <f>MIN(1,MAX(0,(nr_MEndPm1-$G821+0.5)/$C$778))-MIN(1,MAX(0,(nr_MStartPm1-1-$G821+0.5)/$C$778))</f>
        <v/>
      </c>
      <c r="Q821" s="208">
        <f>MIN(1,MAX(0,(nr_MEndP-$G821+0.5)/$C$778))-MIN(1,MAX(0,(nr_MStartP-1-$G821+0.5)/$C$778))</f>
        <v/>
      </c>
      <c r="R821" s="208">
        <f>MIN(1,MAX(0,(nr_MEndP1-$G821+0.5)/$C$778))-MIN(1,MAX(0,(nr_MStartP1-1-$G821+0.5)/$C$778))</f>
        <v/>
      </c>
      <c r="S821" s="208">
        <f>IF($L$778,$N821*IF($O$778=1,$O821/$F$778,1),"")</f>
        <v/>
      </c>
      <c r="T821" s="208">
        <f>IF(NOT($L$778),"",IF($G821&lt;nr_MStartP,$S821,$T809*(1+IF($G821&lt;nr_MStartP1,$M$778,$N$778))))</f>
        <v/>
      </c>
      <c r="U821" s="208">
        <f>IF($L$778,$T821,$N821)</f>
        <v/>
      </c>
    </row>
    <row r="822">
      <c r="A822" s="145" t="n">
        <v>42</v>
      </c>
      <c r="B822" s="204">
        <f>EDATE($B821,1)</f>
        <v/>
      </c>
      <c r="C822" s="205">
        <f>EOMONTH($B822,0)</f>
        <v/>
      </c>
      <c r="D822" s="201">
        <f>$C822-$B822+1</f>
        <v/>
      </c>
      <c r="E822" s="201">
        <f>MONTH($B822)</f>
        <v/>
      </c>
      <c r="F822" s="235">
        <f>($B822+$C822+1)/2</f>
        <v/>
      </c>
      <c r="G822" s="201">
        <f>YEAR($B822)*12+MONTH($B822)-1</f>
        <v/>
      </c>
      <c r="H822" s="207">
        <f>IF(OR(nr_SeasonOn="OFF",$D$778=0,$E$778=0),1,12*INDEX(se_block,$D$778,$E822)/$E$778)</f>
        <v/>
      </c>
      <c r="I822" s="208">
        <f>EXP(SUMPRODUCT((rl_eff&lt;$B822)*(rl_key=$A$778)*rl_ln1p))</f>
        <v/>
      </c>
      <c r="J822" s="208">
        <f>EXP(SUMPRODUCT((rl_eff&lt;=$C822)*(rl_key=$A$778)*rl_ln1p))</f>
        <v/>
      </c>
      <c r="K822" s="201">
        <f>COUNTIFS(rl_key,$A$778,rl_eff,"&gt;="&amp;$B822,rl_eff,"&lt;="&amp;$C822)</f>
        <v/>
      </c>
      <c r="L822" s="201">
        <f>SUMIFS(rl_daysafter,rl_key,$A$778,rl_effmonth,$B822,rl_first,1)</f>
        <v/>
      </c>
      <c r="M822" s="209">
        <f>IF($K822=0,0,MIN(1,$L822/$D822))</f>
        <v/>
      </c>
      <c r="N822" s="208">
        <f>IF($K822=0,$J822,(1-$M822)*$I822+$M822*$J822)</f>
        <v/>
      </c>
      <c r="O822" s="209">
        <f>IF($F822&lt;$B$779,$E$779+$I$779*($F822-$A$779),IF($F822&lt;$C$779,$F$779+$J$779*($F822-$B$779),$G$779+$K$779*($F822-$C$779)))</f>
        <v/>
      </c>
      <c r="P822" s="208">
        <f>MIN(1,MAX(0,(nr_MEndPm1-$G822+0.5)/$C$778))-MIN(1,MAX(0,(nr_MStartPm1-1-$G822+0.5)/$C$778))</f>
        <v/>
      </c>
      <c r="Q822" s="208">
        <f>MIN(1,MAX(0,(nr_MEndP-$G822+0.5)/$C$778))-MIN(1,MAX(0,(nr_MStartP-1-$G822+0.5)/$C$778))</f>
        <v/>
      </c>
      <c r="R822" s="208">
        <f>MIN(1,MAX(0,(nr_MEndP1-$G822+0.5)/$C$778))-MIN(1,MAX(0,(nr_MStartP1-1-$G822+0.5)/$C$778))</f>
        <v/>
      </c>
      <c r="S822" s="208">
        <f>IF($L$778,$N822*IF($O$778=1,$O822/$F$778,1),"")</f>
        <v/>
      </c>
      <c r="T822" s="208">
        <f>IF(NOT($L$778),"",IF($G822&lt;nr_MStartP,$S822,$T810*(1+IF($G822&lt;nr_MStartP1,$M$778,$N$778))))</f>
        <v/>
      </c>
      <c r="U822" s="208">
        <f>IF($L$778,$T822,$N822)</f>
        <v/>
      </c>
    </row>
    <row r="823">
      <c r="A823" s="145" t="n">
        <v>43</v>
      </c>
      <c r="B823" s="204">
        <f>EDATE($B822,1)</f>
        <v/>
      </c>
      <c r="C823" s="205">
        <f>EOMONTH($B823,0)</f>
        <v/>
      </c>
      <c r="D823" s="201">
        <f>$C823-$B823+1</f>
        <v/>
      </c>
      <c r="E823" s="201">
        <f>MONTH($B823)</f>
        <v/>
      </c>
      <c r="F823" s="235">
        <f>($B823+$C823+1)/2</f>
        <v/>
      </c>
      <c r="G823" s="201">
        <f>YEAR($B823)*12+MONTH($B823)-1</f>
        <v/>
      </c>
      <c r="H823" s="207">
        <f>IF(OR(nr_SeasonOn="OFF",$D$778=0,$E$778=0),1,12*INDEX(se_block,$D$778,$E823)/$E$778)</f>
        <v/>
      </c>
      <c r="I823" s="208">
        <f>EXP(SUMPRODUCT((rl_eff&lt;$B823)*(rl_key=$A$778)*rl_ln1p))</f>
        <v/>
      </c>
      <c r="J823" s="208">
        <f>EXP(SUMPRODUCT((rl_eff&lt;=$C823)*(rl_key=$A$778)*rl_ln1p))</f>
        <v/>
      </c>
      <c r="K823" s="201">
        <f>COUNTIFS(rl_key,$A$778,rl_eff,"&gt;="&amp;$B823,rl_eff,"&lt;="&amp;$C823)</f>
        <v/>
      </c>
      <c r="L823" s="201">
        <f>SUMIFS(rl_daysafter,rl_key,$A$778,rl_effmonth,$B823,rl_first,1)</f>
        <v/>
      </c>
      <c r="M823" s="209">
        <f>IF($K823=0,0,MIN(1,$L823/$D823))</f>
        <v/>
      </c>
      <c r="N823" s="208">
        <f>IF($K823=0,$J823,(1-$M823)*$I823+$M823*$J823)</f>
        <v/>
      </c>
      <c r="O823" s="209">
        <f>IF($F823&lt;$B$779,$E$779+$I$779*($F823-$A$779),IF($F823&lt;$C$779,$F$779+$J$779*($F823-$B$779),$G$779+$K$779*($F823-$C$779)))</f>
        <v/>
      </c>
      <c r="P823" s="208">
        <f>MIN(1,MAX(0,(nr_MEndPm1-$G823+0.5)/$C$778))-MIN(1,MAX(0,(nr_MStartPm1-1-$G823+0.5)/$C$778))</f>
        <v/>
      </c>
      <c r="Q823" s="208">
        <f>MIN(1,MAX(0,(nr_MEndP-$G823+0.5)/$C$778))-MIN(1,MAX(0,(nr_MStartP-1-$G823+0.5)/$C$778))</f>
        <v/>
      </c>
      <c r="R823" s="208">
        <f>MIN(1,MAX(0,(nr_MEndP1-$G823+0.5)/$C$778))-MIN(1,MAX(0,(nr_MStartP1-1-$G823+0.5)/$C$778))</f>
        <v/>
      </c>
      <c r="S823" s="208">
        <f>IF($L$778,$N823*IF($O$778=1,$O823/$F$778,1),"")</f>
        <v/>
      </c>
      <c r="T823" s="208">
        <f>IF(NOT($L$778),"",IF($G823&lt;nr_MStartP,$S823,$T811*(1+IF($G823&lt;nr_MStartP1,$M$778,$N$778))))</f>
        <v/>
      </c>
      <c r="U823" s="208">
        <f>IF($L$778,$T823,$N823)</f>
        <v/>
      </c>
    </row>
    <row r="824">
      <c r="A824" s="145" t="n">
        <v>44</v>
      </c>
      <c r="B824" s="204">
        <f>EDATE($B823,1)</f>
        <v/>
      </c>
      <c r="C824" s="205">
        <f>EOMONTH($B824,0)</f>
        <v/>
      </c>
      <c r="D824" s="201">
        <f>$C824-$B824+1</f>
        <v/>
      </c>
      <c r="E824" s="201">
        <f>MONTH($B824)</f>
        <v/>
      </c>
      <c r="F824" s="235">
        <f>($B824+$C824+1)/2</f>
        <v/>
      </c>
      <c r="G824" s="201">
        <f>YEAR($B824)*12+MONTH($B824)-1</f>
        <v/>
      </c>
      <c r="H824" s="207">
        <f>IF(OR(nr_SeasonOn="OFF",$D$778=0,$E$778=0),1,12*INDEX(se_block,$D$778,$E824)/$E$778)</f>
        <v/>
      </c>
      <c r="I824" s="208">
        <f>EXP(SUMPRODUCT((rl_eff&lt;$B824)*(rl_key=$A$778)*rl_ln1p))</f>
        <v/>
      </c>
      <c r="J824" s="208">
        <f>EXP(SUMPRODUCT((rl_eff&lt;=$C824)*(rl_key=$A$778)*rl_ln1p))</f>
        <v/>
      </c>
      <c r="K824" s="201">
        <f>COUNTIFS(rl_key,$A$778,rl_eff,"&gt;="&amp;$B824,rl_eff,"&lt;="&amp;$C824)</f>
        <v/>
      </c>
      <c r="L824" s="201">
        <f>SUMIFS(rl_daysafter,rl_key,$A$778,rl_effmonth,$B824,rl_first,1)</f>
        <v/>
      </c>
      <c r="M824" s="209">
        <f>IF($K824=0,0,MIN(1,$L824/$D824))</f>
        <v/>
      </c>
      <c r="N824" s="208">
        <f>IF($K824=0,$J824,(1-$M824)*$I824+$M824*$J824)</f>
        <v/>
      </c>
      <c r="O824" s="209">
        <f>IF($F824&lt;$B$779,$E$779+$I$779*($F824-$A$779),IF($F824&lt;$C$779,$F$779+$J$779*($F824-$B$779),$G$779+$K$779*($F824-$C$779)))</f>
        <v/>
      </c>
      <c r="P824" s="208">
        <f>MIN(1,MAX(0,(nr_MEndPm1-$G824+0.5)/$C$778))-MIN(1,MAX(0,(nr_MStartPm1-1-$G824+0.5)/$C$778))</f>
        <v/>
      </c>
      <c r="Q824" s="208">
        <f>MIN(1,MAX(0,(nr_MEndP-$G824+0.5)/$C$778))-MIN(1,MAX(0,(nr_MStartP-1-$G824+0.5)/$C$778))</f>
        <v/>
      </c>
      <c r="R824" s="208">
        <f>MIN(1,MAX(0,(nr_MEndP1-$G824+0.5)/$C$778))-MIN(1,MAX(0,(nr_MStartP1-1-$G824+0.5)/$C$778))</f>
        <v/>
      </c>
      <c r="S824" s="208">
        <f>IF($L$778,$N824*IF($O$778=1,$O824/$F$778,1),"")</f>
        <v/>
      </c>
      <c r="T824" s="208">
        <f>IF(NOT($L$778),"",IF($G824&lt;nr_MStartP,$S824,$T812*(1+IF($G824&lt;nr_MStartP1,$M$778,$N$778))))</f>
        <v/>
      </c>
      <c r="U824" s="208">
        <f>IF($L$778,$T824,$N824)</f>
        <v/>
      </c>
    </row>
    <row r="825">
      <c r="A825" s="145" t="n">
        <v>45</v>
      </c>
      <c r="B825" s="204">
        <f>EDATE($B824,1)</f>
        <v/>
      </c>
      <c r="C825" s="205">
        <f>EOMONTH($B825,0)</f>
        <v/>
      </c>
      <c r="D825" s="201">
        <f>$C825-$B825+1</f>
        <v/>
      </c>
      <c r="E825" s="201">
        <f>MONTH($B825)</f>
        <v/>
      </c>
      <c r="F825" s="235">
        <f>($B825+$C825+1)/2</f>
        <v/>
      </c>
      <c r="G825" s="201">
        <f>YEAR($B825)*12+MONTH($B825)-1</f>
        <v/>
      </c>
      <c r="H825" s="207">
        <f>IF(OR(nr_SeasonOn="OFF",$D$778=0,$E$778=0),1,12*INDEX(se_block,$D$778,$E825)/$E$778)</f>
        <v/>
      </c>
      <c r="I825" s="208">
        <f>EXP(SUMPRODUCT((rl_eff&lt;$B825)*(rl_key=$A$778)*rl_ln1p))</f>
        <v/>
      </c>
      <c r="J825" s="208">
        <f>EXP(SUMPRODUCT((rl_eff&lt;=$C825)*(rl_key=$A$778)*rl_ln1p))</f>
        <v/>
      </c>
      <c r="K825" s="201">
        <f>COUNTIFS(rl_key,$A$778,rl_eff,"&gt;="&amp;$B825,rl_eff,"&lt;="&amp;$C825)</f>
        <v/>
      </c>
      <c r="L825" s="201">
        <f>SUMIFS(rl_daysafter,rl_key,$A$778,rl_effmonth,$B825,rl_first,1)</f>
        <v/>
      </c>
      <c r="M825" s="209">
        <f>IF($K825=0,0,MIN(1,$L825/$D825))</f>
        <v/>
      </c>
      <c r="N825" s="208">
        <f>IF($K825=0,$J825,(1-$M825)*$I825+$M825*$J825)</f>
        <v/>
      </c>
      <c r="O825" s="209">
        <f>IF($F825&lt;$B$779,$E$779+$I$779*($F825-$A$779),IF($F825&lt;$C$779,$F$779+$J$779*($F825-$B$779),$G$779+$K$779*($F825-$C$779)))</f>
        <v/>
      </c>
      <c r="P825" s="208">
        <f>MIN(1,MAX(0,(nr_MEndPm1-$G825+0.5)/$C$778))-MIN(1,MAX(0,(nr_MStartPm1-1-$G825+0.5)/$C$778))</f>
        <v/>
      </c>
      <c r="Q825" s="208">
        <f>MIN(1,MAX(0,(nr_MEndP-$G825+0.5)/$C$778))-MIN(1,MAX(0,(nr_MStartP-1-$G825+0.5)/$C$778))</f>
        <v/>
      </c>
      <c r="R825" s="208">
        <f>MIN(1,MAX(0,(nr_MEndP1-$G825+0.5)/$C$778))-MIN(1,MAX(0,(nr_MStartP1-1-$G825+0.5)/$C$778))</f>
        <v/>
      </c>
      <c r="S825" s="208">
        <f>IF($L$778,$N825*IF($O$778=1,$O825/$F$778,1),"")</f>
        <v/>
      </c>
      <c r="T825" s="208">
        <f>IF(NOT($L$778),"",IF($G825&lt;nr_MStartP,$S825,$T813*(1+IF($G825&lt;nr_MStartP1,$M$778,$N$778))))</f>
        <v/>
      </c>
      <c r="U825" s="208">
        <f>IF($L$778,$T825,$N825)</f>
        <v/>
      </c>
    </row>
    <row r="826">
      <c r="A826" s="145" t="n">
        <v>46</v>
      </c>
      <c r="B826" s="204">
        <f>EDATE($B825,1)</f>
        <v/>
      </c>
      <c r="C826" s="205">
        <f>EOMONTH($B826,0)</f>
        <v/>
      </c>
      <c r="D826" s="201">
        <f>$C826-$B826+1</f>
        <v/>
      </c>
      <c r="E826" s="201">
        <f>MONTH($B826)</f>
        <v/>
      </c>
      <c r="F826" s="235">
        <f>($B826+$C826+1)/2</f>
        <v/>
      </c>
      <c r="G826" s="201">
        <f>YEAR($B826)*12+MONTH($B826)-1</f>
        <v/>
      </c>
      <c r="H826" s="207">
        <f>IF(OR(nr_SeasonOn="OFF",$D$778=0,$E$778=0),1,12*INDEX(se_block,$D$778,$E826)/$E$778)</f>
        <v/>
      </c>
      <c r="I826" s="208">
        <f>EXP(SUMPRODUCT((rl_eff&lt;$B826)*(rl_key=$A$778)*rl_ln1p))</f>
        <v/>
      </c>
      <c r="J826" s="208">
        <f>EXP(SUMPRODUCT((rl_eff&lt;=$C826)*(rl_key=$A$778)*rl_ln1p))</f>
        <v/>
      </c>
      <c r="K826" s="201">
        <f>COUNTIFS(rl_key,$A$778,rl_eff,"&gt;="&amp;$B826,rl_eff,"&lt;="&amp;$C826)</f>
        <v/>
      </c>
      <c r="L826" s="201">
        <f>SUMIFS(rl_daysafter,rl_key,$A$778,rl_effmonth,$B826,rl_first,1)</f>
        <v/>
      </c>
      <c r="M826" s="209">
        <f>IF($K826=0,0,MIN(1,$L826/$D826))</f>
        <v/>
      </c>
      <c r="N826" s="208">
        <f>IF($K826=0,$J826,(1-$M826)*$I826+$M826*$J826)</f>
        <v/>
      </c>
      <c r="O826" s="209">
        <f>IF($F826&lt;$B$779,$E$779+$I$779*($F826-$A$779),IF($F826&lt;$C$779,$F$779+$J$779*($F826-$B$779),$G$779+$K$779*($F826-$C$779)))</f>
        <v/>
      </c>
      <c r="P826" s="208">
        <f>MIN(1,MAX(0,(nr_MEndPm1-$G826+0.5)/$C$778))-MIN(1,MAX(0,(nr_MStartPm1-1-$G826+0.5)/$C$778))</f>
        <v/>
      </c>
      <c r="Q826" s="208">
        <f>MIN(1,MAX(0,(nr_MEndP-$G826+0.5)/$C$778))-MIN(1,MAX(0,(nr_MStartP-1-$G826+0.5)/$C$778))</f>
        <v/>
      </c>
      <c r="R826" s="208">
        <f>MIN(1,MAX(0,(nr_MEndP1-$G826+0.5)/$C$778))-MIN(1,MAX(0,(nr_MStartP1-1-$G826+0.5)/$C$778))</f>
        <v/>
      </c>
      <c r="S826" s="208">
        <f>IF($L$778,$N826*IF($O$778=1,$O826/$F$778,1),"")</f>
        <v/>
      </c>
      <c r="T826" s="208">
        <f>IF(NOT($L$778),"",IF($G826&lt;nr_MStartP,$S826,$T814*(1+IF($G826&lt;nr_MStartP1,$M$778,$N$778))))</f>
        <v/>
      </c>
      <c r="U826" s="208">
        <f>IF($L$778,$T826,$N826)</f>
        <v/>
      </c>
    </row>
    <row r="827">
      <c r="A827" s="145" t="n">
        <v>47</v>
      </c>
      <c r="B827" s="204">
        <f>EDATE($B826,1)</f>
        <v/>
      </c>
      <c r="C827" s="205">
        <f>EOMONTH($B827,0)</f>
        <v/>
      </c>
      <c r="D827" s="201">
        <f>$C827-$B827+1</f>
        <v/>
      </c>
      <c r="E827" s="201">
        <f>MONTH($B827)</f>
        <v/>
      </c>
      <c r="F827" s="235">
        <f>($B827+$C827+1)/2</f>
        <v/>
      </c>
      <c r="G827" s="201">
        <f>YEAR($B827)*12+MONTH($B827)-1</f>
        <v/>
      </c>
      <c r="H827" s="207">
        <f>IF(OR(nr_SeasonOn="OFF",$D$778=0,$E$778=0),1,12*INDEX(se_block,$D$778,$E827)/$E$778)</f>
        <v/>
      </c>
      <c r="I827" s="208">
        <f>EXP(SUMPRODUCT((rl_eff&lt;$B827)*(rl_key=$A$778)*rl_ln1p))</f>
        <v/>
      </c>
      <c r="J827" s="208">
        <f>EXP(SUMPRODUCT((rl_eff&lt;=$C827)*(rl_key=$A$778)*rl_ln1p))</f>
        <v/>
      </c>
      <c r="K827" s="201">
        <f>COUNTIFS(rl_key,$A$778,rl_eff,"&gt;="&amp;$B827,rl_eff,"&lt;="&amp;$C827)</f>
        <v/>
      </c>
      <c r="L827" s="201">
        <f>SUMIFS(rl_daysafter,rl_key,$A$778,rl_effmonth,$B827,rl_first,1)</f>
        <v/>
      </c>
      <c r="M827" s="209">
        <f>IF($K827=0,0,MIN(1,$L827/$D827))</f>
        <v/>
      </c>
      <c r="N827" s="208">
        <f>IF($K827=0,$J827,(1-$M827)*$I827+$M827*$J827)</f>
        <v/>
      </c>
      <c r="O827" s="209">
        <f>IF($F827&lt;$B$779,$E$779+$I$779*($F827-$A$779),IF($F827&lt;$C$779,$F$779+$J$779*($F827-$B$779),$G$779+$K$779*($F827-$C$779)))</f>
        <v/>
      </c>
      <c r="P827" s="208">
        <f>MIN(1,MAX(0,(nr_MEndPm1-$G827+0.5)/$C$778))-MIN(1,MAX(0,(nr_MStartPm1-1-$G827+0.5)/$C$778))</f>
        <v/>
      </c>
      <c r="Q827" s="208">
        <f>MIN(1,MAX(0,(nr_MEndP-$G827+0.5)/$C$778))-MIN(1,MAX(0,(nr_MStartP-1-$G827+0.5)/$C$778))</f>
        <v/>
      </c>
      <c r="R827" s="208">
        <f>MIN(1,MAX(0,(nr_MEndP1-$G827+0.5)/$C$778))-MIN(1,MAX(0,(nr_MStartP1-1-$G827+0.5)/$C$778))</f>
        <v/>
      </c>
      <c r="S827" s="208">
        <f>IF($L$778,$N827*IF($O$778=1,$O827/$F$778,1),"")</f>
        <v/>
      </c>
      <c r="T827" s="208">
        <f>IF(NOT($L$778),"",IF($G827&lt;nr_MStartP,$S827,$T815*(1+IF($G827&lt;nr_MStartP1,$M$778,$N$778))))</f>
        <v/>
      </c>
      <c r="U827" s="208">
        <f>IF($L$778,$T827,$N827)</f>
        <v/>
      </c>
    </row>
    <row r="828">
      <c r="A828" s="145" t="n">
        <v>48</v>
      </c>
      <c r="B828" s="204">
        <f>EDATE($B827,1)</f>
        <v/>
      </c>
      <c r="C828" s="205">
        <f>EOMONTH($B828,0)</f>
        <v/>
      </c>
      <c r="D828" s="201">
        <f>$C828-$B828+1</f>
        <v/>
      </c>
      <c r="E828" s="201">
        <f>MONTH($B828)</f>
        <v/>
      </c>
      <c r="F828" s="235">
        <f>($B828+$C828+1)/2</f>
        <v/>
      </c>
      <c r="G828" s="201">
        <f>YEAR($B828)*12+MONTH($B828)-1</f>
        <v/>
      </c>
      <c r="H828" s="207">
        <f>IF(OR(nr_SeasonOn="OFF",$D$778=0,$E$778=0),1,12*INDEX(se_block,$D$778,$E828)/$E$778)</f>
        <v/>
      </c>
      <c r="I828" s="208">
        <f>EXP(SUMPRODUCT((rl_eff&lt;$B828)*(rl_key=$A$778)*rl_ln1p))</f>
        <v/>
      </c>
      <c r="J828" s="208">
        <f>EXP(SUMPRODUCT((rl_eff&lt;=$C828)*(rl_key=$A$778)*rl_ln1p))</f>
        <v/>
      </c>
      <c r="K828" s="201">
        <f>COUNTIFS(rl_key,$A$778,rl_eff,"&gt;="&amp;$B828,rl_eff,"&lt;="&amp;$C828)</f>
        <v/>
      </c>
      <c r="L828" s="201">
        <f>SUMIFS(rl_daysafter,rl_key,$A$778,rl_effmonth,$B828,rl_first,1)</f>
        <v/>
      </c>
      <c r="M828" s="209">
        <f>IF($K828=0,0,MIN(1,$L828/$D828))</f>
        <v/>
      </c>
      <c r="N828" s="208">
        <f>IF($K828=0,$J828,(1-$M828)*$I828+$M828*$J828)</f>
        <v/>
      </c>
      <c r="O828" s="209">
        <f>IF($F828&lt;$B$779,$E$779+$I$779*($F828-$A$779),IF($F828&lt;$C$779,$F$779+$J$779*($F828-$B$779),$G$779+$K$779*($F828-$C$779)))</f>
        <v/>
      </c>
      <c r="P828" s="208">
        <f>MIN(1,MAX(0,(nr_MEndPm1-$G828+0.5)/$C$778))-MIN(1,MAX(0,(nr_MStartPm1-1-$G828+0.5)/$C$778))</f>
        <v/>
      </c>
      <c r="Q828" s="208">
        <f>MIN(1,MAX(0,(nr_MEndP-$G828+0.5)/$C$778))-MIN(1,MAX(0,(nr_MStartP-1-$G828+0.5)/$C$778))</f>
        <v/>
      </c>
      <c r="R828" s="208">
        <f>MIN(1,MAX(0,(nr_MEndP1-$G828+0.5)/$C$778))-MIN(1,MAX(0,(nr_MStartP1-1-$G828+0.5)/$C$778))</f>
        <v/>
      </c>
      <c r="S828" s="208">
        <f>IF($L$778,$N828*IF($O$778=1,$O828/$F$778,1),"")</f>
        <v/>
      </c>
      <c r="T828" s="208">
        <f>IF(NOT($L$778),"",IF($G828&lt;nr_MStartP,$S828,$T816*(1+IF($G828&lt;nr_MStartP1,$M$778,$N$778))))</f>
        <v/>
      </c>
      <c r="U828" s="208">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184">
        <f>SUMPRODUCT($H$781:$H$828,$Q$781:$Q$828,$O$781:$O$828)/SUMPRODUCT($H$781:$H$828,$Q$781:$Q$828)</f>
        <v/>
      </c>
      <c r="G829" s="184">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184">
        <f>IF(N(INDEX(lr_mind,15))=0,1,INDEX(lr_mind,15))</f>
        <v/>
      </c>
      <c r="G832" s="184">
        <f>IF(N(INDEX(lr_m0,15))=0,1,INDEX(lr_m0,15))</f>
        <v/>
      </c>
      <c r="H832" s="73">
        <f>IF(N(INDEX(lr_m0asof,15))=0,DATE(nr_PlanYear-1,10,1),INDEX(lr_m0asof,15))</f>
        <v/>
      </c>
      <c r="I832" s="184">
        <f>IF(N(INDEX(lr_m1,15))=0,1,INDEX(lr_m1,15))</f>
        <v/>
      </c>
      <c r="J832" s="184">
        <f>INDEX(lr_mprior,15)</f>
        <v/>
      </c>
      <c r="K832" s="184">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145" t="n">
        <v>1</v>
      </c>
      <c r="B835" s="204">
        <f>DATE(nr_PlanYear-2,1,1)</f>
        <v/>
      </c>
      <c r="C835" s="205">
        <f>EOMONTH($B835,0)</f>
        <v/>
      </c>
      <c r="D835" s="201">
        <f>$C835-$B835+1</f>
        <v/>
      </c>
      <c r="E835" s="201">
        <f>MONTH($B835)</f>
        <v/>
      </c>
      <c r="F835" s="235">
        <f>($B835+$C835+1)/2</f>
        <v/>
      </c>
      <c r="G835" s="201">
        <f>YEAR($B835)*12+MONTH($B835)-1</f>
        <v/>
      </c>
      <c r="H835" s="207">
        <f>IF(OR(nr_SeasonOn="OFF",$D$832=0,$E$832=0),1,12*INDEX(se_block,$D$832,$E835)/$E$832)</f>
        <v/>
      </c>
      <c r="I835" s="208">
        <f>EXP(SUMPRODUCT((rl_eff&lt;$B835)*(rl_key=$A$832)*rl_ln1p))</f>
        <v/>
      </c>
      <c r="J835" s="208">
        <f>EXP(SUMPRODUCT((rl_eff&lt;=$C835)*(rl_key=$A$832)*rl_ln1p))</f>
        <v/>
      </c>
      <c r="K835" s="201">
        <f>COUNTIFS(rl_key,$A$832,rl_eff,"&gt;="&amp;$B835,rl_eff,"&lt;="&amp;$C835)</f>
        <v/>
      </c>
      <c r="L835" s="201">
        <f>SUMIFS(rl_daysafter,rl_key,$A$832,rl_effmonth,$B835,rl_first,1)</f>
        <v/>
      </c>
      <c r="M835" s="209">
        <f>IF($K835=0,0,MIN(1,$L835/$D835))</f>
        <v/>
      </c>
      <c r="N835" s="208">
        <f>IF($K835=0,$J835,(1-$M835)*$I835+$M835*$J835)</f>
        <v/>
      </c>
      <c r="O835" s="209">
        <f>IF($F835&lt;$B$833,$E$833+$I$833*($F835-$A$833),IF($F835&lt;$C$833,$F$833+$J$833*($F835-$B$833),$G$833+$K$833*($F835-$C$833)))</f>
        <v/>
      </c>
      <c r="P835" s="208">
        <f>MIN(1,MAX(0,(nr_MEndPm1-$G835+0.5)/$C$832))-MIN(1,MAX(0,(nr_MStartPm1-1-$G835+0.5)/$C$832))</f>
        <v/>
      </c>
      <c r="Q835" s="208">
        <f>MIN(1,MAX(0,(nr_MEndP-$G835+0.5)/$C$832))-MIN(1,MAX(0,(nr_MStartP-1-$G835+0.5)/$C$832))</f>
        <v/>
      </c>
      <c r="R835" s="208">
        <f>MIN(1,MAX(0,(nr_MEndP1-$G835+0.5)/$C$832))-MIN(1,MAX(0,(nr_MStartP1-1-$G835+0.5)/$C$832))</f>
        <v/>
      </c>
      <c r="S835" s="208">
        <f>IF($L$832,$N835*IF($O$832=1,$O835/$F$832,1),"")</f>
        <v/>
      </c>
      <c r="T835" s="208">
        <f>IF(NOT($L$832),"",IF($G835&lt;nr_MStartP,$S835,$T823*(1+IF($G835&lt;nr_MStartP1,$M$832,$N$832))))</f>
        <v/>
      </c>
      <c r="U835" s="208">
        <f>IF($L$832,$T835,$N835)</f>
        <v/>
      </c>
    </row>
    <row r="836">
      <c r="A836" s="145" t="n">
        <v>2</v>
      </c>
      <c r="B836" s="204">
        <f>EDATE($B835,1)</f>
        <v/>
      </c>
      <c r="C836" s="205">
        <f>EOMONTH($B836,0)</f>
        <v/>
      </c>
      <c r="D836" s="201">
        <f>$C836-$B836+1</f>
        <v/>
      </c>
      <c r="E836" s="201">
        <f>MONTH($B836)</f>
        <v/>
      </c>
      <c r="F836" s="235">
        <f>($B836+$C836+1)/2</f>
        <v/>
      </c>
      <c r="G836" s="201">
        <f>YEAR($B836)*12+MONTH($B836)-1</f>
        <v/>
      </c>
      <c r="H836" s="207">
        <f>IF(OR(nr_SeasonOn="OFF",$D$832=0,$E$832=0),1,12*INDEX(se_block,$D$832,$E836)/$E$832)</f>
        <v/>
      </c>
      <c r="I836" s="208">
        <f>EXP(SUMPRODUCT((rl_eff&lt;$B836)*(rl_key=$A$832)*rl_ln1p))</f>
        <v/>
      </c>
      <c r="J836" s="208">
        <f>EXP(SUMPRODUCT((rl_eff&lt;=$C836)*(rl_key=$A$832)*rl_ln1p))</f>
        <v/>
      </c>
      <c r="K836" s="201">
        <f>COUNTIFS(rl_key,$A$832,rl_eff,"&gt;="&amp;$B836,rl_eff,"&lt;="&amp;$C836)</f>
        <v/>
      </c>
      <c r="L836" s="201">
        <f>SUMIFS(rl_daysafter,rl_key,$A$832,rl_effmonth,$B836,rl_first,1)</f>
        <v/>
      </c>
      <c r="M836" s="209">
        <f>IF($K836=0,0,MIN(1,$L836/$D836))</f>
        <v/>
      </c>
      <c r="N836" s="208">
        <f>IF($K836=0,$J836,(1-$M836)*$I836+$M836*$J836)</f>
        <v/>
      </c>
      <c r="O836" s="209">
        <f>IF($F836&lt;$B$833,$E$833+$I$833*($F836-$A$833),IF($F836&lt;$C$833,$F$833+$J$833*($F836-$B$833),$G$833+$K$833*($F836-$C$833)))</f>
        <v/>
      </c>
      <c r="P836" s="208">
        <f>MIN(1,MAX(0,(nr_MEndPm1-$G836+0.5)/$C$832))-MIN(1,MAX(0,(nr_MStartPm1-1-$G836+0.5)/$C$832))</f>
        <v/>
      </c>
      <c r="Q836" s="208">
        <f>MIN(1,MAX(0,(nr_MEndP-$G836+0.5)/$C$832))-MIN(1,MAX(0,(nr_MStartP-1-$G836+0.5)/$C$832))</f>
        <v/>
      </c>
      <c r="R836" s="208">
        <f>MIN(1,MAX(0,(nr_MEndP1-$G836+0.5)/$C$832))-MIN(1,MAX(0,(nr_MStartP1-1-$G836+0.5)/$C$832))</f>
        <v/>
      </c>
      <c r="S836" s="208">
        <f>IF($L$832,$N836*IF($O$832=1,$O836/$F$832,1),"")</f>
        <v/>
      </c>
      <c r="T836" s="208">
        <f>IF(NOT($L$832),"",IF($G836&lt;nr_MStartP,$S836,$T824*(1+IF($G836&lt;nr_MStartP1,$M$832,$N$832))))</f>
        <v/>
      </c>
      <c r="U836" s="208">
        <f>IF($L$832,$T836,$N836)</f>
        <v/>
      </c>
    </row>
    <row r="837">
      <c r="A837" s="145" t="n">
        <v>3</v>
      </c>
      <c r="B837" s="204">
        <f>EDATE($B836,1)</f>
        <v/>
      </c>
      <c r="C837" s="205">
        <f>EOMONTH($B837,0)</f>
        <v/>
      </c>
      <c r="D837" s="201">
        <f>$C837-$B837+1</f>
        <v/>
      </c>
      <c r="E837" s="201">
        <f>MONTH($B837)</f>
        <v/>
      </c>
      <c r="F837" s="235">
        <f>($B837+$C837+1)/2</f>
        <v/>
      </c>
      <c r="G837" s="201">
        <f>YEAR($B837)*12+MONTH($B837)-1</f>
        <v/>
      </c>
      <c r="H837" s="207">
        <f>IF(OR(nr_SeasonOn="OFF",$D$832=0,$E$832=0),1,12*INDEX(se_block,$D$832,$E837)/$E$832)</f>
        <v/>
      </c>
      <c r="I837" s="208">
        <f>EXP(SUMPRODUCT((rl_eff&lt;$B837)*(rl_key=$A$832)*rl_ln1p))</f>
        <v/>
      </c>
      <c r="J837" s="208">
        <f>EXP(SUMPRODUCT((rl_eff&lt;=$C837)*(rl_key=$A$832)*rl_ln1p))</f>
        <v/>
      </c>
      <c r="K837" s="201">
        <f>COUNTIFS(rl_key,$A$832,rl_eff,"&gt;="&amp;$B837,rl_eff,"&lt;="&amp;$C837)</f>
        <v/>
      </c>
      <c r="L837" s="201">
        <f>SUMIFS(rl_daysafter,rl_key,$A$832,rl_effmonth,$B837,rl_first,1)</f>
        <v/>
      </c>
      <c r="M837" s="209">
        <f>IF($K837=0,0,MIN(1,$L837/$D837))</f>
        <v/>
      </c>
      <c r="N837" s="208">
        <f>IF($K837=0,$J837,(1-$M837)*$I837+$M837*$J837)</f>
        <v/>
      </c>
      <c r="O837" s="209">
        <f>IF($F837&lt;$B$833,$E$833+$I$833*($F837-$A$833),IF($F837&lt;$C$833,$F$833+$J$833*($F837-$B$833),$G$833+$K$833*($F837-$C$833)))</f>
        <v/>
      </c>
      <c r="P837" s="208">
        <f>MIN(1,MAX(0,(nr_MEndPm1-$G837+0.5)/$C$832))-MIN(1,MAX(0,(nr_MStartPm1-1-$G837+0.5)/$C$832))</f>
        <v/>
      </c>
      <c r="Q837" s="208">
        <f>MIN(1,MAX(0,(nr_MEndP-$G837+0.5)/$C$832))-MIN(1,MAX(0,(nr_MStartP-1-$G837+0.5)/$C$832))</f>
        <v/>
      </c>
      <c r="R837" s="208">
        <f>MIN(1,MAX(0,(nr_MEndP1-$G837+0.5)/$C$832))-MIN(1,MAX(0,(nr_MStartP1-1-$G837+0.5)/$C$832))</f>
        <v/>
      </c>
      <c r="S837" s="208">
        <f>IF($L$832,$N837*IF($O$832=1,$O837/$F$832,1),"")</f>
        <v/>
      </c>
      <c r="T837" s="208">
        <f>IF(NOT($L$832),"",IF($G837&lt;nr_MStartP,$S837,$T825*(1+IF($G837&lt;nr_MStartP1,$M$832,$N$832))))</f>
        <v/>
      </c>
      <c r="U837" s="208">
        <f>IF($L$832,$T837,$N837)</f>
        <v/>
      </c>
    </row>
    <row r="838">
      <c r="A838" s="145" t="n">
        <v>4</v>
      </c>
      <c r="B838" s="204">
        <f>EDATE($B837,1)</f>
        <v/>
      </c>
      <c r="C838" s="205">
        <f>EOMONTH($B838,0)</f>
        <v/>
      </c>
      <c r="D838" s="201">
        <f>$C838-$B838+1</f>
        <v/>
      </c>
      <c r="E838" s="201">
        <f>MONTH($B838)</f>
        <v/>
      </c>
      <c r="F838" s="235">
        <f>($B838+$C838+1)/2</f>
        <v/>
      </c>
      <c r="G838" s="201">
        <f>YEAR($B838)*12+MONTH($B838)-1</f>
        <v/>
      </c>
      <c r="H838" s="207">
        <f>IF(OR(nr_SeasonOn="OFF",$D$832=0,$E$832=0),1,12*INDEX(se_block,$D$832,$E838)/$E$832)</f>
        <v/>
      </c>
      <c r="I838" s="208">
        <f>EXP(SUMPRODUCT((rl_eff&lt;$B838)*(rl_key=$A$832)*rl_ln1p))</f>
        <v/>
      </c>
      <c r="J838" s="208">
        <f>EXP(SUMPRODUCT((rl_eff&lt;=$C838)*(rl_key=$A$832)*rl_ln1p))</f>
        <v/>
      </c>
      <c r="K838" s="201">
        <f>COUNTIFS(rl_key,$A$832,rl_eff,"&gt;="&amp;$B838,rl_eff,"&lt;="&amp;$C838)</f>
        <v/>
      </c>
      <c r="L838" s="201">
        <f>SUMIFS(rl_daysafter,rl_key,$A$832,rl_effmonth,$B838,rl_first,1)</f>
        <v/>
      </c>
      <c r="M838" s="209">
        <f>IF($K838=0,0,MIN(1,$L838/$D838))</f>
        <v/>
      </c>
      <c r="N838" s="208">
        <f>IF($K838=0,$J838,(1-$M838)*$I838+$M838*$J838)</f>
        <v/>
      </c>
      <c r="O838" s="209">
        <f>IF($F838&lt;$B$833,$E$833+$I$833*($F838-$A$833),IF($F838&lt;$C$833,$F$833+$J$833*($F838-$B$833),$G$833+$K$833*($F838-$C$833)))</f>
        <v/>
      </c>
      <c r="P838" s="208">
        <f>MIN(1,MAX(0,(nr_MEndPm1-$G838+0.5)/$C$832))-MIN(1,MAX(0,(nr_MStartPm1-1-$G838+0.5)/$C$832))</f>
        <v/>
      </c>
      <c r="Q838" s="208">
        <f>MIN(1,MAX(0,(nr_MEndP-$G838+0.5)/$C$832))-MIN(1,MAX(0,(nr_MStartP-1-$G838+0.5)/$C$832))</f>
        <v/>
      </c>
      <c r="R838" s="208">
        <f>MIN(1,MAX(0,(nr_MEndP1-$G838+0.5)/$C$832))-MIN(1,MAX(0,(nr_MStartP1-1-$G838+0.5)/$C$832))</f>
        <v/>
      </c>
      <c r="S838" s="208">
        <f>IF($L$832,$N838*IF($O$832=1,$O838/$F$832,1),"")</f>
        <v/>
      </c>
      <c r="T838" s="208">
        <f>IF(NOT($L$832),"",IF($G838&lt;nr_MStartP,$S838,$T826*(1+IF($G838&lt;nr_MStartP1,$M$832,$N$832))))</f>
        <v/>
      </c>
      <c r="U838" s="208">
        <f>IF($L$832,$T838,$N838)</f>
        <v/>
      </c>
    </row>
    <row r="839">
      <c r="A839" s="145" t="n">
        <v>5</v>
      </c>
      <c r="B839" s="204">
        <f>EDATE($B838,1)</f>
        <v/>
      </c>
      <c r="C839" s="205">
        <f>EOMONTH($B839,0)</f>
        <v/>
      </c>
      <c r="D839" s="201">
        <f>$C839-$B839+1</f>
        <v/>
      </c>
      <c r="E839" s="201">
        <f>MONTH($B839)</f>
        <v/>
      </c>
      <c r="F839" s="235">
        <f>($B839+$C839+1)/2</f>
        <v/>
      </c>
      <c r="G839" s="201">
        <f>YEAR($B839)*12+MONTH($B839)-1</f>
        <v/>
      </c>
      <c r="H839" s="207">
        <f>IF(OR(nr_SeasonOn="OFF",$D$832=0,$E$832=0),1,12*INDEX(se_block,$D$832,$E839)/$E$832)</f>
        <v/>
      </c>
      <c r="I839" s="208">
        <f>EXP(SUMPRODUCT((rl_eff&lt;$B839)*(rl_key=$A$832)*rl_ln1p))</f>
        <v/>
      </c>
      <c r="J839" s="208">
        <f>EXP(SUMPRODUCT((rl_eff&lt;=$C839)*(rl_key=$A$832)*rl_ln1p))</f>
        <v/>
      </c>
      <c r="K839" s="201">
        <f>COUNTIFS(rl_key,$A$832,rl_eff,"&gt;="&amp;$B839,rl_eff,"&lt;="&amp;$C839)</f>
        <v/>
      </c>
      <c r="L839" s="201">
        <f>SUMIFS(rl_daysafter,rl_key,$A$832,rl_effmonth,$B839,rl_first,1)</f>
        <v/>
      </c>
      <c r="M839" s="209">
        <f>IF($K839=0,0,MIN(1,$L839/$D839))</f>
        <v/>
      </c>
      <c r="N839" s="208">
        <f>IF($K839=0,$J839,(1-$M839)*$I839+$M839*$J839)</f>
        <v/>
      </c>
      <c r="O839" s="209">
        <f>IF($F839&lt;$B$833,$E$833+$I$833*($F839-$A$833),IF($F839&lt;$C$833,$F$833+$J$833*($F839-$B$833),$G$833+$K$833*($F839-$C$833)))</f>
        <v/>
      </c>
      <c r="P839" s="208">
        <f>MIN(1,MAX(0,(nr_MEndPm1-$G839+0.5)/$C$832))-MIN(1,MAX(0,(nr_MStartPm1-1-$G839+0.5)/$C$832))</f>
        <v/>
      </c>
      <c r="Q839" s="208">
        <f>MIN(1,MAX(0,(nr_MEndP-$G839+0.5)/$C$832))-MIN(1,MAX(0,(nr_MStartP-1-$G839+0.5)/$C$832))</f>
        <v/>
      </c>
      <c r="R839" s="208">
        <f>MIN(1,MAX(0,(nr_MEndP1-$G839+0.5)/$C$832))-MIN(1,MAX(0,(nr_MStartP1-1-$G839+0.5)/$C$832))</f>
        <v/>
      </c>
      <c r="S839" s="208">
        <f>IF($L$832,$N839*IF($O$832=1,$O839/$F$832,1),"")</f>
        <v/>
      </c>
      <c r="T839" s="208">
        <f>IF(NOT($L$832),"",IF($G839&lt;nr_MStartP,$S839,$T827*(1+IF($G839&lt;nr_MStartP1,$M$832,$N$832))))</f>
        <v/>
      </c>
      <c r="U839" s="208">
        <f>IF($L$832,$T839,$N839)</f>
        <v/>
      </c>
    </row>
    <row r="840">
      <c r="A840" s="145" t="n">
        <v>6</v>
      </c>
      <c r="B840" s="204">
        <f>EDATE($B839,1)</f>
        <v/>
      </c>
      <c r="C840" s="205">
        <f>EOMONTH($B840,0)</f>
        <v/>
      </c>
      <c r="D840" s="201">
        <f>$C840-$B840+1</f>
        <v/>
      </c>
      <c r="E840" s="201">
        <f>MONTH($B840)</f>
        <v/>
      </c>
      <c r="F840" s="235">
        <f>($B840+$C840+1)/2</f>
        <v/>
      </c>
      <c r="G840" s="201">
        <f>YEAR($B840)*12+MONTH($B840)-1</f>
        <v/>
      </c>
      <c r="H840" s="207">
        <f>IF(OR(nr_SeasonOn="OFF",$D$832=0,$E$832=0),1,12*INDEX(se_block,$D$832,$E840)/$E$832)</f>
        <v/>
      </c>
      <c r="I840" s="208">
        <f>EXP(SUMPRODUCT((rl_eff&lt;$B840)*(rl_key=$A$832)*rl_ln1p))</f>
        <v/>
      </c>
      <c r="J840" s="208">
        <f>EXP(SUMPRODUCT((rl_eff&lt;=$C840)*(rl_key=$A$832)*rl_ln1p))</f>
        <v/>
      </c>
      <c r="K840" s="201">
        <f>COUNTIFS(rl_key,$A$832,rl_eff,"&gt;="&amp;$B840,rl_eff,"&lt;="&amp;$C840)</f>
        <v/>
      </c>
      <c r="L840" s="201">
        <f>SUMIFS(rl_daysafter,rl_key,$A$832,rl_effmonth,$B840,rl_first,1)</f>
        <v/>
      </c>
      <c r="M840" s="209">
        <f>IF($K840=0,0,MIN(1,$L840/$D840))</f>
        <v/>
      </c>
      <c r="N840" s="208">
        <f>IF($K840=0,$J840,(1-$M840)*$I840+$M840*$J840)</f>
        <v/>
      </c>
      <c r="O840" s="209">
        <f>IF($F840&lt;$B$833,$E$833+$I$833*($F840-$A$833),IF($F840&lt;$C$833,$F$833+$J$833*($F840-$B$833),$G$833+$K$833*($F840-$C$833)))</f>
        <v/>
      </c>
      <c r="P840" s="208">
        <f>MIN(1,MAX(0,(nr_MEndPm1-$G840+0.5)/$C$832))-MIN(1,MAX(0,(nr_MStartPm1-1-$G840+0.5)/$C$832))</f>
        <v/>
      </c>
      <c r="Q840" s="208">
        <f>MIN(1,MAX(0,(nr_MEndP-$G840+0.5)/$C$832))-MIN(1,MAX(0,(nr_MStartP-1-$G840+0.5)/$C$832))</f>
        <v/>
      </c>
      <c r="R840" s="208">
        <f>MIN(1,MAX(0,(nr_MEndP1-$G840+0.5)/$C$832))-MIN(1,MAX(0,(nr_MStartP1-1-$G840+0.5)/$C$832))</f>
        <v/>
      </c>
      <c r="S840" s="208">
        <f>IF($L$832,$N840*IF($O$832=1,$O840/$F$832,1),"")</f>
        <v/>
      </c>
      <c r="T840" s="208">
        <f>IF(NOT($L$832),"",IF($G840&lt;nr_MStartP,$S840,$T828*(1+IF($G840&lt;nr_MStartP1,$M$832,$N$832))))</f>
        <v/>
      </c>
      <c r="U840" s="208">
        <f>IF($L$832,$T840,$N840)</f>
        <v/>
      </c>
    </row>
    <row r="841">
      <c r="A841" s="145" t="n">
        <v>7</v>
      </c>
      <c r="B841" s="204">
        <f>EDATE($B840,1)</f>
        <v/>
      </c>
      <c r="C841" s="205">
        <f>EOMONTH($B841,0)</f>
        <v/>
      </c>
      <c r="D841" s="201">
        <f>$C841-$B841+1</f>
        <v/>
      </c>
      <c r="E841" s="201">
        <f>MONTH($B841)</f>
        <v/>
      </c>
      <c r="F841" s="235">
        <f>($B841+$C841+1)/2</f>
        <v/>
      </c>
      <c r="G841" s="201">
        <f>YEAR($B841)*12+MONTH($B841)-1</f>
        <v/>
      </c>
      <c r="H841" s="207">
        <f>IF(OR(nr_SeasonOn="OFF",$D$832=0,$E$832=0),1,12*INDEX(se_block,$D$832,$E841)/$E$832)</f>
        <v/>
      </c>
      <c r="I841" s="208">
        <f>EXP(SUMPRODUCT((rl_eff&lt;$B841)*(rl_key=$A$832)*rl_ln1p))</f>
        <v/>
      </c>
      <c r="J841" s="208">
        <f>EXP(SUMPRODUCT((rl_eff&lt;=$C841)*(rl_key=$A$832)*rl_ln1p))</f>
        <v/>
      </c>
      <c r="K841" s="201">
        <f>COUNTIFS(rl_key,$A$832,rl_eff,"&gt;="&amp;$B841,rl_eff,"&lt;="&amp;$C841)</f>
        <v/>
      </c>
      <c r="L841" s="201">
        <f>SUMIFS(rl_daysafter,rl_key,$A$832,rl_effmonth,$B841,rl_first,1)</f>
        <v/>
      </c>
      <c r="M841" s="209">
        <f>IF($K841=0,0,MIN(1,$L841/$D841))</f>
        <v/>
      </c>
      <c r="N841" s="208">
        <f>IF($K841=0,$J841,(1-$M841)*$I841+$M841*$J841)</f>
        <v/>
      </c>
      <c r="O841" s="209">
        <f>IF($F841&lt;$B$833,$E$833+$I$833*($F841-$A$833),IF($F841&lt;$C$833,$F$833+$J$833*($F841-$B$833),$G$833+$K$833*($F841-$C$833)))</f>
        <v/>
      </c>
      <c r="P841" s="208">
        <f>MIN(1,MAX(0,(nr_MEndPm1-$G841+0.5)/$C$832))-MIN(1,MAX(0,(nr_MStartPm1-1-$G841+0.5)/$C$832))</f>
        <v/>
      </c>
      <c r="Q841" s="208">
        <f>MIN(1,MAX(0,(nr_MEndP-$G841+0.5)/$C$832))-MIN(1,MAX(0,(nr_MStartP-1-$G841+0.5)/$C$832))</f>
        <v/>
      </c>
      <c r="R841" s="208">
        <f>MIN(1,MAX(0,(nr_MEndP1-$G841+0.5)/$C$832))-MIN(1,MAX(0,(nr_MStartP1-1-$G841+0.5)/$C$832))</f>
        <v/>
      </c>
      <c r="S841" s="208">
        <f>IF($L$832,$N841*IF($O$832=1,$O841/$F$832,1),"")</f>
        <v/>
      </c>
      <c r="T841" s="208">
        <f>IF(NOT($L$832),"",IF($G841&lt;nr_MStartP,$S841,$T829*(1+IF($G841&lt;nr_MStartP1,$M$832,$N$832))))</f>
        <v/>
      </c>
      <c r="U841" s="208">
        <f>IF($L$832,$T841,$N841)</f>
        <v/>
      </c>
    </row>
    <row r="842">
      <c r="A842" s="145" t="n">
        <v>8</v>
      </c>
      <c r="B842" s="204">
        <f>EDATE($B841,1)</f>
        <v/>
      </c>
      <c r="C842" s="205">
        <f>EOMONTH($B842,0)</f>
        <v/>
      </c>
      <c r="D842" s="201">
        <f>$C842-$B842+1</f>
        <v/>
      </c>
      <c r="E842" s="201">
        <f>MONTH($B842)</f>
        <v/>
      </c>
      <c r="F842" s="235">
        <f>($B842+$C842+1)/2</f>
        <v/>
      </c>
      <c r="G842" s="201">
        <f>YEAR($B842)*12+MONTH($B842)-1</f>
        <v/>
      </c>
      <c r="H842" s="207">
        <f>IF(OR(nr_SeasonOn="OFF",$D$832=0,$E$832=0),1,12*INDEX(se_block,$D$832,$E842)/$E$832)</f>
        <v/>
      </c>
      <c r="I842" s="208">
        <f>EXP(SUMPRODUCT((rl_eff&lt;$B842)*(rl_key=$A$832)*rl_ln1p))</f>
        <v/>
      </c>
      <c r="J842" s="208">
        <f>EXP(SUMPRODUCT((rl_eff&lt;=$C842)*(rl_key=$A$832)*rl_ln1p))</f>
        <v/>
      </c>
      <c r="K842" s="201">
        <f>COUNTIFS(rl_key,$A$832,rl_eff,"&gt;="&amp;$B842,rl_eff,"&lt;="&amp;$C842)</f>
        <v/>
      </c>
      <c r="L842" s="201">
        <f>SUMIFS(rl_daysafter,rl_key,$A$832,rl_effmonth,$B842,rl_first,1)</f>
        <v/>
      </c>
      <c r="M842" s="209">
        <f>IF($K842=0,0,MIN(1,$L842/$D842))</f>
        <v/>
      </c>
      <c r="N842" s="208">
        <f>IF($K842=0,$J842,(1-$M842)*$I842+$M842*$J842)</f>
        <v/>
      </c>
      <c r="O842" s="209">
        <f>IF($F842&lt;$B$833,$E$833+$I$833*($F842-$A$833),IF($F842&lt;$C$833,$F$833+$J$833*($F842-$B$833),$G$833+$K$833*($F842-$C$833)))</f>
        <v/>
      </c>
      <c r="P842" s="208">
        <f>MIN(1,MAX(0,(nr_MEndPm1-$G842+0.5)/$C$832))-MIN(1,MAX(0,(nr_MStartPm1-1-$G842+0.5)/$C$832))</f>
        <v/>
      </c>
      <c r="Q842" s="208">
        <f>MIN(1,MAX(0,(nr_MEndP-$G842+0.5)/$C$832))-MIN(1,MAX(0,(nr_MStartP-1-$G842+0.5)/$C$832))</f>
        <v/>
      </c>
      <c r="R842" s="208">
        <f>MIN(1,MAX(0,(nr_MEndP1-$G842+0.5)/$C$832))-MIN(1,MAX(0,(nr_MStartP1-1-$G842+0.5)/$C$832))</f>
        <v/>
      </c>
      <c r="S842" s="208">
        <f>IF($L$832,$N842*IF($O$832=1,$O842/$F$832,1),"")</f>
        <v/>
      </c>
      <c r="T842" s="208">
        <f>IF(NOT($L$832),"",IF($G842&lt;nr_MStartP,$S842,$T830*(1+IF($G842&lt;nr_MStartP1,$M$832,$N$832))))</f>
        <v/>
      </c>
      <c r="U842" s="208">
        <f>IF($L$832,$T842,$N842)</f>
        <v/>
      </c>
    </row>
    <row r="843">
      <c r="A843" s="145" t="n">
        <v>9</v>
      </c>
      <c r="B843" s="204">
        <f>EDATE($B842,1)</f>
        <v/>
      </c>
      <c r="C843" s="205">
        <f>EOMONTH($B843,0)</f>
        <v/>
      </c>
      <c r="D843" s="201">
        <f>$C843-$B843+1</f>
        <v/>
      </c>
      <c r="E843" s="201">
        <f>MONTH($B843)</f>
        <v/>
      </c>
      <c r="F843" s="235">
        <f>($B843+$C843+1)/2</f>
        <v/>
      </c>
      <c r="G843" s="201">
        <f>YEAR($B843)*12+MONTH($B843)-1</f>
        <v/>
      </c>
      <c r="H843" s="207">
        <f>IF(OR(nr_SeasonOn="OFF",$D$832=0,$E$832=0),1,12*INDEX(se_block,$D$832,$E843)/$E$832)</f>
        <v/>
      </c>
      <c r="I843" s="208">
        <f>EXP(SUMPRODUCT((rl_eff&lt;$B843)*(rl_key=$A$832)*rl_ln1p))</f>
        <v/>
      </c>
      <c r="J843" s="208">
        <f>EXP(SUMPRODUCT((rl_eff&lt;=$C843)*(rl_key=$A$832)*rl_ln1p))</f>
        <v/>
      </c>
      <c r="K843" s="201">
        <f>COUNTIFS(rl_key,$A$832,rl_eff,"&gt;="&amp;$B843,rl_eff,"&lt;="&amp;$C843)</f>
        <v/>
      </c>
      <c r="L843" s="201">
        <f>SUMIFS(rl_daysafter,rl_key,$A$832,rl_effmonth,$B843,rl_first,1)</f>
        <v/>
      </c>
      <c r="M843" s="209">
        <f>IF($K843=0,0,MIN(1,$L843/$D843))</f>
        <v/>
      </c>
      <c r="N843" s="208">
        <f>IF($K843=0,$J843,(1-$M843)*$I843+$M843*$J843)</f>
        <v/>
      </c>
      <c r="O843" s="209">
        <f>IF($F843&lt;$B$833,$E$833+$I$833*($F843-$A$833),IF($F843&lt;$C$833,$F$833+$J$833*($F843-$B$833),$G$833+$K$833*($F843-$C$833)))</f>
        <v/>
      </c>
      <c r="P843" s="208">
        <f>MIN(1,MAX(0,(nr_MEndPm1-$G843+0.5)/$C$832))-MIN(1,MAX(0,(nr_MStartPm1-1-$G843+0.5)/$C$832))</f>
        <v/>
      </c>
      <c r="Q843" s="208">
        <f>MIN(1,MAX(0,(nr_MEndP-$G843+0.5)/$C$832))-MIN(1,MAX(0,(nr_MStartP-1-$G843+0.5)/$C$832))</f>
        <v/>
      </c>
      <c r="R843" s="208">
        <f>MIN(1,MAX(0,(nr_MEndP1-$G843+0.5)/$C$832))-MIN(1,MAX(0,(nr_MStartP1-1-$G843+0.5)/$C$832))</f>
        <v/>
      </c>
      <c r="S843" s="208">
        <f>IF($L$832,$N843*IF($O$832=1,$O843/$F$832,1),"")</f>
        <v/>
      </c>
      <c r="T843" s="208">
        <f>IF(NOT($L$832),"",IF($G843&lt;nr_MStartP,$S843,$T831*(1+IF($G843&lt;nr_MStartP1,$M$832,$N$832))))</f>
        <v/>
      </c>
      <c r="U843" s="208">
        <f>IF($L$832,$T843,$N843)</f>
        <v/>
      </c>
    </row>
    <row r="844">
      <c r="A844" s="145" t="n">
        <v>10</v>
      </c>
      <c r="B844" s="204">
        <f>EDATE($B843,1)</f>
        <v/>
      </c>
      <c r="C844" s="205">
        <f>EOMONTH($B844,0)</f>
        <v/>
      </c>
      <c r="D844" s="201">
        <f>$C844-$B844+1</f>
        <v/>
      </c>
      <c r="E844" s="201">
        <f>MONTH($B844)</f>
        <v/>
      </c>
      <c r="F844" s="235">
        <f>($B844+$C844+1)/2</f>
        <v/>
      </c>
      <c r="G844" s="201">
        <f>YEAR($B844)*12+MONTH($B844)-1</f>
        <v/>
      </c>
      <c r="H844" s="207">
        <f>IF(OR(nr_SeasonOn="OFF",$D$832=0,$E$832=0),1,12*INDEX(se_block,$D$832,$E844)/$E$832)</f>
        <v/>
      </c>
      <c r="I844" s="208">
        <f>EXP(SUMPRODUCT((rl_eff&lt;$B844)*(rl_key=$A$832)*rl_ln1p))</f>
        <v/>
      </c>
      <c r="J844" s="208">
        <f>EXP(SUMPRODUCT((rl_eff&lt;=$C844)*(rl_key=$A$832)*rl_ln1p))</f>
        <v/>
      </c>
      <c r="K844" s="201">
        <f>COUNTIFS(rl_key,$A$832,rl_eff,"&gt;="&amp;$B844,rl_eff,"&lt;="&amp;$C844)</f>
        <v/>
      </c>
      <c r="L844" s="201">
        <f>SUMIFS(rl_daysafter,rl_key,$A$832,rl_effmonth,$B844,rl_first,1)</f>
        <v/>
      </c>
      <c r="M844" s="209">
        <f>IF($K844=0,0,MIN(1,$L844/$D844))</f>
        <v/>
      </c>
      <c r="N844" s="208">
        <f>IF($K844=0,$J844,(1-$M844)*$I844+$M844*$J844)</f>
        <v/>
      </c>
      <c r="O844" s="209">
        <f>IF($F844&lt;$B$833,$E$833+$I$833*($F844-$A$833),IF($F844&lt;$C$833,$F$833+$J$833*($F844-$B$833),$G$833+$K$833*($F844-$C$833)))</f>
        <v/>
      </c>
      <c r="P844" s="208">
        <f>MIN(1,MAX(0,(nr_MEndPm1-$G844+0.5)/$C$832))-MIN(1,MAX(0,(nr_MStartPm1-1-$G844+0.5)/$C$832))</f>
        <v/>
      </c>
      <c r="Q844" s="208">
        <f>MIN(1,MAX(0,(nr_MEndP-$G844+0.5)/$C$832))-MIN(1,MAX(0,(nr_MStartP-1-$G844+0.5)/$C$832))</f>
        <v/>
      </c>
      <c r="R844" s="208">
        <f>MIN(1,MAX(0,(nr_MEndP1-$G844+0.5)/$C$832))-MIN(1,MAX(0,(nr_MStartP1-1-$G844+0.5)/$C$832))</f>
        <v/>
      </c>
      <c r="S844" s="208">
        <f>IF($L$832,$N844*IF($O$832=1,$O844/$F$832,1),"")</f>
        <v/>
      </c>
      <c r="T844" s="208">
        <f>IF(NOT($L$832),"",IF($G844&lt;nr_MStartP,$S844,$T832*(1+IF($G844&lt;nr_MStartP1,$M$832,$N$832))))</f>
        <v/>
      </c>
      <c r="U844" s="208">
        <f>IF($L$832,$T844,$N844)</f>
        <v/>
      </c>
    </row>
    <row r="845">
      <c r="A845" s="145" t="n">
        <v>11</v>
      </c>
      <c r="B845" s="204">
        <f>EDATE($B844,1)</f>
        <v/>
      </c>
      <c r="C845" s="205">
        <f>EOMONTH($B845,0)</f>
        <v/>
      </c>
      <c r="D845" s="201">
        <f>$C845-$B845+1</f>
        <v/>
      </c>
      <c r="E845" s="201">
        <f>MONTH($B845)</f>
        <v/>
      </c>
      <c r="F845" s="235">
        <f>($B845+$C845+1)/2</f>
        <v/>
      </c>
      <c r="G845" s="201">
        <f>YEAR($B845)*12+MONTH($B845)-1</f>
        <v/>
      </c>
      <c r="H845" s="207">
        <f>IF(OR(nr_SeasonOn="OFF",$D$832=0,$E$832=0),1,12*INDEX(se_block,$D$832,$E845)/$E$832)</f>
        <v/>
      </c>
      <c r="I845" s="208">
        <f>EXP(SUMPRODUCT((rl_eff&lt;$B845)*(rl_key=$A$832)*rl_ln1p))</f>
        <v/>
      </c>
      <c r="J845" s="208">
        <f>EXP(SUMPRODUCT((rl_eff&lt;=$C845)*(rl_key=$A$832)*rl_ln1p))</f>
        <v/>
      </c>
      <c r="K845" s="201">
        <f>COUNTIFS(rl_key,$A$832,rl_eff,"&gt;="&amp;$B845,rl_eff,"&lt;="&amp;$C845)</f>
        <v/>
      </c>
      <c r="L845" s="201">
        <f>SUMIFS(rl_daysafter,rl_key,$A$832,rl_effmonth,$B845,rl_first,1)</f>
        <v/>
      </c>
      <c r="M845" s="209">
        <f>IF($K845=0,0,MIN(1,$L845/$D845))</f>
        <v/>
      </c>
      <c r="N845" s="208">
        <f>IF($K845=0,$J845,(1-$M845)*$I845+$M845*$J845)</f>
        <v/>
      </c>
      <c r="O845" s="209">
        <f>IF($F845&lt;$B$833,$E$833+$I$833*($F845-$A$833),IF($F845&lt;$C$833,$F$833+$J$833*($F845-$B$833),$G$833+$K$833*($F845-$C$833)))</f>
        <v/>
      </c>
      <c r="P845" s="208">
        <f>MIN(1,MAX(0,(nr_MEndPm1-$G845+0.5)/$C$832))-MIN(1,MAX(0,(nr_MStartPm1-1-$G845+0.5)/$C$832))</f>
        <v/>
      </c>
      <c r="Q845" s="208">
        <f>MIN(1,MAX(0,(nr_MEndP-$G845+0.5)/$C$832))-MIN(1,MAX(0,(nr_MStartP-1-$G845+0.5)/$C$832))</f>
        <v/>
      </c>
      <c r="R845" s="208">
        <f>MIN(1,MAX(0,(nr_MEndP1-$G845+0.5)/$C$832))-MIN(1,MAX(0,(nr_MStartP1-1-$G845+0.5)/$C$832))</f>
        <v/>
      </c>
      <c r="S845" s="208">
        <f>IF($L$832,$N845*IF($O$832=1,$O845/$F$832,1),"")</f>
        <v/>
      </c>
      <c r="T845" s="208">
        <f>IF(NOT($L$832),"",IF($G845&lt;nr_MStartP,$S845,$T833*(1+IF($G845&lt;nr_MStartP1,$M$832,$N$832))))</f>
        <v/>
      </c>
      <c r="U845" s="208">
        <f>IF($L$832,$T845,$N845)</f>
        <v/>
      </c>
    </row>
    <row r="846">
      <c r="A846" s="145" t="n">
        <v>12</v>
      </c>
      <c r="B846" s="204">
        <f>EDATE($B845,1)</f>
        <v/>
      </c>
      <c r="C846" s="205">
        <f>EOMONTH($B846,0)</f>
        <v/>
      </c>
      <c r="D846" s="201">
        <f>$C846-$B846+1</f>
        <v/>
      </c>
      <c r="E846" s="201">
        <f>MONTH($B846)</f>
        <v/>
      </c>
      <c r="F846" s="235">
        <f>($B846+$C846+1)/2</f>
        <v/>
      </c>
      <c r="G846" s="201">
        <f>YEAR($B846)*12+MONTH($B846)-1</f>
        <v/>
      </c>
      <c r="H846" s="207">
        <f>IF(OR(nr_SeasonOn="OFF",$D$832=0,$E$832=0),1,12*INDEX(se_block,$D$832,$E846)/$E$832)</f>
        <v/>
      </c>
      <c r="I846" s="208">
        <f>EXP(SUMPRODUCT((rl_eff&lt;$B846)*(rl_key=$A$832)*rl_ln1p))</f>
        <v/>
      </c>
      <c r="J846" s="208">
        <f>EXP(SUMPRODUCT((rl_eff&lt;=$C846)*(rl_key=$A$832)*rl_ln1p))</f>
        <v/>
      </c>
      <c r="K846" s="201">
        <f>COUNTIFS(rl_key,$A$832,rl_eff,"&gt;="&amp;$B846,rl_eff,"&lt;="&amp;$C846)</f>
        <v/>
      </c>
      <c r="L846" s="201">
        <f>SUMIFS(rl_daysafter,rl_key,$A$832,rl_effmonth,$B846,rl_first,1)</f>
        <v/>
      </c>
      <c r="M846" s="209">
        <f>IF($K846=0,0,MIN(1,$L846/$D846))</f>
        <v/>
      </c>
      <c r="N846" s="208">
        <f>IF($K846=0,$J846,(1-$M846)*$I846+$M846*$J846)</f>
        <v/>
      </c>
      <c r="O846" s="209">
        <f>IF($F846&lt;$B$833,$E$833+$I$833*($F846-$A$833),IF($F846&lt;$C$833,$F$833+$J$833*($F846-$B$833),$G$833+$K$833*($F846-$C$833)))</f>
        <v/>
      </c>
      <c r="P846" s="208">
        <f>MIN(1,MAX(0,(nr_MEndPm1-$G846+0.5)/$C$832))-MIN(1,MAX(0,(nr_MStartPm1-1-$G846+0.5)/$C$832))</f>
        <v/>
      </c>
      <c r="Q846" s="208">
        <f>MIN(1,MAX(0,(nr_MEndP-$G846+0.5)/$C$832))-MIN(1,MAX(0,(nr_MStartP-1-$G846+0.5)/$C$832))</f>
        <v/>
      </c>
      <c r="R846" s="208">
        <f>MIN(1,MAX(0,(nr_MEndP1-$G846+0.5)/$C$832))-MIN(1,MAX(0,(nr_MStartP1-1-$G846+0.5)/$C$832))</f>
        <v/>
      </c>
      <c r="S846" s="208">
        <f>IF($L$832,$N846*IF($O$832=1,$O846/$F$832,1),"")</f>
        <v/>
      </c>
      <c r="T846" s="208">
        <f>IF(NOT($L$832),"",IF($G846&lt;nr_MStartP,$S846,$T834*(1+IF($G846&lt;nr_MStartP1,$M$832,$N$832))))</f>
        <v/>
      </c>
      <c r="U846" s="208">
        <f>IF($L$832,$T846,$N846)</f>
        <v/>
      </c>
    </row>
    <row r="847">
      <c r="A847" s="145" t="n">
        <v>13</v>
      </c>
      <c r="B847" s="204">
        <f>EDATE($B846,1)</f>
        <v/>
      </c>
      <c r="C847" s="205">
        <f>EOMONTH($B847,0)</f>
        <v/>
      </c>
      <c r="D847" s="201">
        <f>$C847-$B847+1</f>
        <v/>
      </c>
      <c r="E847" s="201">
        <f>MONTH($B847)</f>
        <v/>
      </c>
      <c r="F847" s="235">
        <f>($B847+$C847+1)/2</f>
        <v/>
      </c>
      <c r="G847" s="201">
        <f>YEAR($B847)*12+MONTH($B847)-1</f>
        <v/>
      </c>
      <c r="H847" s="207">
        <f>IF(OR(nr_SeasonOn="OFF",$D$832=0,$E$832=0),1,12*INDEX(se_block,$D$832,$E847)/$E$832)</f>
        <v/>
      </c>
      <c r="I847" s="208">
        <f>EXP(SUMPRODUCT((rl_eff&lt;$B847)*(rl_key=$A$832)*rl_ln1p))</f>
        <v/>
      </c>
      <c r="J847" s="208">
        <f>EXP(SUMPRODUCT((rl_eff&lt;=$C847)*(rl_key=$A$832)*rl_ln1p))</f>
        <v/>
      </c>
      <c r="K847" s="201">
        <f>COUNTIFS(rl_key,$A$832,rl_eff,"&gt;="&amp;$B847,rl_eff,"&lt;="&amp;$C847)</f>
        <v/>
      </c>
      <c r="L847" s="201">
        <f>SUMIFS(rl_daysafter,rl_key,$A$832,rl_effmonth,$B847,rl_first,1)</f>
        <v/>
      </c>
      <c r="M847" s="209">
        <f>IF($K847=0,0,MIN(1,$L847/$D847))</f>
        <v/>
      </c>
      <c r="N847" s="208">
        <f>IF($K847=0,$J847,(1-$M847)*$I847+$M847*$J847)</f>
        <v/>
      </c>
      <c r="O847" s="209">
        <f>IF($F847&lt;$B$833,$E$833+$I$833*($F847-$A$833),IF($F847&lt;$C$833,$F$833+$J$833*($F847-$B$833),$G$833+$K$833*($F847-$C$833)))</f>
        <v/>
      </c>
      <c r="P847" s="208">
        <f>MIN(1,MAX(0,(nr_MEndPm1-$G847+0.5)/$C$832))-MIN(1,MAX(0,(nr_MStartPm1-1-$G847+0.5)/$C$832))</f>
        <v/>
      </c>
      <c r="Q847" s="208">
        <f>MIN(1,MAX(0,(nr_MEndP-$G847+0.5)/$C$832))-MIN(1,MAX(0,(nr_MStartP-1-$G847+0.5)/$C$832))</f>
        <v/>
      </c>
      <c r="R847" s="208">
        <f>MIN(1,MAX(0,(nr_MEndP1-$G847+0.5)/$C$832))-MIN(1,MAX(0,(nr_MStartP1-1-$G847+0.5)/$C$832))</f>
        <v/>
      </c>
      <c r="S847" s="208">
        <f>IF($L$832,$N847*IF($O$832=1,$O847/$F$832,1),"")</f>
        <v/>
      </c>
      <c r="T847" s="208">
        <f>IF(NOT($L$832),"",IF($G847&lt;nr_MStartP,$S847,$T835*(1+IF($G847&lt;nr_MStartP1,$M$832,$N$832))))</f>
        <v/>
      </c>
      <c r="U847" s="208">
        <f>IF($L$832,$T847,$N847)</f>
        <v/>
      </c>
    </row>
    <row r="848">
      <c r="A848" s="145" t="n">
        <v>14</v>
      </c>
      <c r="B848" s="204">
        <f>EDATE($B847,1)</f>
        <v/>
      </c>
      <c r="C848" s="205">
        <f>EOMONTH($B848,0)</f>
        <v/>
      </c>
      <c r="D848" s="201">
        <f>$C848-$B848+1</f>
        <v/>
      </c>
      <c r="E848" s="201">
        <f>MONTH($B848)</f>
        <v/>
      </c>
      <c r="F848" s="235">
        <f>($B848+$C848+1)/2</f>
        <v/>
      </c>
      <c r="G848" s="201">
        <f>YEAR($B848)*12+MONTH($B848)-1</f>
        <v/>
      </c>
      <c r="H848" s="207">
        <f>IF(OR(nr_SeasonOn="OFF",$D$832=0,$E$832=0),1,12*INDEX(se_block,$D$832,$E848)/$E$832)</f>
        <v/>
      </c>
      <c r="I848" s="208">
        <f>EXP(SUMPRODUCT((rl_eff&lt;$B848)*(rl_key=$A$832)*rl_ln1p))</f>
        <v/>
      </c>
      <c r="J848" s="208">
        <f>EXP(SUMPRODUCT((rl_eff&lt;=$C848)*(rl_key=$A$832)*rl_ln1p))</f>
        <v/>
      </c>
      <c r="K848" s="201">
        <f>COUNTIFS(rl_key,$A$832,rl_eff,"&gt;="&amp;$B848,rl_eff,"&lt;="&amp;$C848)</f>
        <v/>
      </c>
      <c r="L848" s="201">
        <f>SUMIFS(rl_daysafter,rl_key,$A$832,rl_effmonth,$B848,rl_first,1)</f>
        <v/>
      </c>
      <c r="M848" s="209">
        <f>IF($K848=0,0,MIN(1,$L848/$D848))</f>
        <v/>
      </c>
      <c r="N848" s="208">
        <f>IF($K848=0,$J848,(1-$M848)*$I848+$M848*$J848)</f>
        <v/>
      </c>
      <c r="O848" s="209">
        <f>IF($F848&lt;$B$833,$E$833+$I$833*($F848-$A$833),IF($F848&lt;$C$833,$F$833+$J$833*($F848-$B$833),$G$833+$K$833*($F848-$C$833)))</f>
        <v/>
      </c>
      <c r="P848" s="208">
        <f>MIN(1,MAX(0,(nr_MEndPm1-$G848+0.5)/$C$832))-MIN(1,MAX(0,(nr_MStartPm1-1-$G848+0.5)/$C$832))</f>
        <v/>
      </c>
      <c r="Q848" s="208">
        <f>MIN(1,MAX(0,(nr_MEndP-$G848+0.5)/$C$832))-MIN(1,MAX(0,(nr_MStartP-1-$G848+0.5)/$C$832))</f>
        <v/>
      </c>
      <c r="R848" s="208">
        <f>MIN(1,MAX(0,(nr_MEndP1-$G848+0.5)/$C$832))-MIN(1,MAX(0,(nr_MStartP1-1-$G848+0.5)/$C$832))</f>
        <v/>
      </c>
      <c r="S848" s="208">
        <f>IF($L$832,$N848*IF($O$832=1,$O848/$F$832,1),"")</f>
        <v/>
      </c>
      <c r="T848" s="208">
        <f>IF(NOT($L$832),"",IF($G848&lt;nr_MStartP,$S848,$T836*(1+IF($G848&lt;nr_MStartP1,$M$832,$N$832))))</f>
        <v/>
      </c>
      <c r="U848" s="208">
        <f>IF($L$832,$T848,$N848)</f>
        <v/>
      </c>
    </row>
    <row r="849">
      <c r="A849" s="145" t="n">
        <v>15</v>
      </c>
      <c r="B849" s="204">
        <f>EDATE($B848,1)</f>
        <v/>
      </c>
      <c r="C849" s="205">
        <f>EOMONTH($B849,0)</f>
        <v/>
      </c>
      <c r="D849" s="201">
        <f>$C849-$B849+1</f>
        <v/>
      </c>
      <c r="E849" s="201">
        <f>MONTH($B849)</f>
        <v/>
      </c>
      <c r="F849" s="235">
        <f>($B849+$C849+1)/2</f>
        <v/>
      </c>
      <c r="G849" s="201">
        <f>YEAR($B849)*12+MONTH($B849)-1</f>
        <v/>
      </c>
      <c r="H849" s="207">
        <f>IF(OR(nr_SeasonOn="OFF",$D$832=0,$E$832=0),1,12*INDEX(se_block,$D$832,$E849)/$E$832)</f>
        <v/>
      </c>
      <c r="I849" s="208">
        <f>EXP(SUMPRODUCT((rl_eff&lt;$B849)*(rl_key=$A$832)*rl_ln1p))</f>
        <v/>
      </c>
      <c r="J849" s="208">
        <f>EXP(SUMPRODUCT((rl_eff&lt;=$C849)*(rl_key=$A$832)*rl_ln1p))</f>
        <v/>
      </c>
      <c r="K849" s="201">
        <f>COUNTIFS(rl_key,$A$832,rl_eff,"&gt;="&amp;$B849,rl_eff,"&lt;="&amp;$C849)</f>
        <v/>
      </c>
      <c r="L849" s="201">
        <f>SUMIFS(rl_daysafter,rl_key,$A$832,rl_effmonth,$B849,rl_first,1)</f>
        <v/>
      </c>
      <c r="M849" s="209">
        <f>IF($K849=0,0,MIN(1,$L849/$D849))</f>
        <v/>
      </c>
      <c r="N849" s="208">
        <f>IF($K849=0,$J849,(1-$M849)*$I849+$M849*$J849)</f>
        <v/>
      </c>
      <c r="O849" s="209">
        <f>IF($F849&lt;$B$833,$E$833+$I$833*($F849-$A$833),IF($F849&lt;$C$833,$F$833+$J$833*($F849-$B$833),$G$833+$K$833*($F849-$C$833)))</f>
        <v/>
      </c>
      <c r="P849" s="208">
        <f>MIN(1,MAX(0,(nr_MEndPm1-$G849+0.5)/$C$832))-MIN(1,MAX(0,(nr_MStartPm1-1-$G849+0.5)/$C$832))</f>
        <v/>
      </c>
      <c r="Q849" s="208">
        <f>MIN(1,MAX(0,(nr_MEndP-$G849+0.5)/$C$832))-MIN(1,MAX(0,(nr_MStartP-1-$G849+0.5)/$C$832))</f>
        <v/>
      </c>
      <c r="R849" s="208">
        <f>MIN(1,MAX(0,(nr_MEndP1-$G849+0.5)/$C$832))-MIN(1,MAX(0,(nr_MStartP1-1-$G849+0.5)/$C$832))</f>
        <v/>
      </c>
      <c r="S849" s="208">
        <f>IF($L$832,$N849*IF($O$832=1,$O849/$F$832,1),"")</f>
        <v/>
      </c>
      <c r="T849" s="208">
        <f>IF(NOT($L$832),"",IF($G849&lt;nr_MStartP,$S849,$T837*(1+IF($G849&lt;nr_MStartP1,$M$832,$N$832))))</f>
        <v/>
      </c>
      <c r="U849" s="208">
        <f>IF($L$832,$T849,$N849)</f>
        <v/>
      </c>
    </row>
    <row r="850">
      <c r="A850" s="145" t="n">
        <v>16</v>
      </c>
      <c r="B850" s="204">
        <f>EDATE($B849,1)</f>
        <v/>
      </c>
      <c r="C850" s="205">
        <f>EOMONTH($B850,0)</f>
        <v/>
      </c>
      <c r="D850" s="201">
        <f>$C850-$B850+1</f>
        <v/>
      </c>
      <c r="E850" s="201">
        <f>MONTH($B850)</f>
        <v/>
      </c>
      <c r="F850" s="235">
        <f>($B850+$C850+1)/2</f>
        <v/>
      </c>
      <c r="G850" s="201">
        <f>YEAR($B850)*12+MONTH($B850)-1</f>
        <v/>
      </c>
      <c r="H850" s="207">
        <f>IF(OR(nr_SeasonOn="OFF",$D$832=0,$E$832=0),1,12*INDEX(se_block,$D$832,$E850)/$E$832)</f>
        <v/>
      </c>
      <c r="I850" s="208">
        <f>EXP(SUMPRODUCT((rl_eff&lt;$B850)*(rl_key=$A$832)*rl_ln1p))</f>
        <v/>
      </c>
      <c r="J850" s="208">
        <f>EXP(SUMPRODUCT((rl_eff&lt;=$C850)*(rl_key=$A$832)*rl_ln1p))</f>
        <v/>
      </c>
      <c r="K850" s="201">
        <f>COUNTIFS(rl_key,$A$832,rl_eff,"&gt;="&amp;$B850,rl_eff,"&lt;="&amp;$C850)</f>
        <v/>
      </c>
      <c r="L850" s="201">
        <f>SUMIFS(rl_daysafter,rl_key,$A$832,rl_effmonth,$B850,rl_first,1)</f>
        <v/>
      </c>
      <c r="M850" s="209">
        <f>IF($K850=0,0,MIN(1,$L850/$D850))</f>
        <v/>
      </c>
      <c r="N850" s="208">
        <f>IF($K850=0,$J850,(1-$M850)*$I850+$M850*$J850)</f>
        <v/>
      </c>
      <c r="O850" s="209">
        <f>IF($F850&lt;$B$833,$E$833+$I$833*($F850-$A$833),IF($F850&lt;$C$833,$F$833+$J$833*($F850-$B$833),$G$833+$K$833*($F850-$C$833)))</f>
        <v/>
      </c>
      <c r="P850" s="208">
        <f>MIN(1,MAX(0,(nr_MEndPm1-$G850+0.5)/$C$832))-MIN(1,MAX(0,(nr_MStartPm1-1-$G850+0.5)/$C$832))</f>
        <v/>
      </c>
      <c r="Q850" s="208">
        <f>MIN(1,MAX(0,(nr_MEndP-$G850+0.5)/$C$832))-MIN(1,MAX(0,(nr_MStartP-1-$G850+0.5)/$C$832))</f>
        <v/>
      </c>
      <c r="R850" s="208">
        <f>MIN(1,MAX(0,(nr_MEndP1-$G850+0.5)/$C$832))-MIN(1,MAX(0,(nr_MStartP1-1-$G850+0.5)/$C$832))</f>
        <v/>
      </c>
      <c r="S850" s="208">
        <f>IF($L$832,$N850*IF($O$832=1,$O850/$F$832,1),"")</f>
        <v/>
      </c>
      <c r="T850" s="208">
        <f>IF(NOT($L$832),"",IF($G850&lt;nr_MStartP,$S850,$T838*(1+IF($G850&lt;nr_MStartP1,$M$832,$N$832))))</f>
        <v/>
      </c>
      <c r="U850" s="208">
        <f>IF($L$832,$T850,$N850)</f>
        <v/>
      </c>
    </row>
    <row r="851">
      <c r="A851" s="145" t="n">
        <v>17</v>
      </c>
      <c r="B851" s="204">
        <f>EDATE($B850,1)</f>
        <v/>
      </c>
      <c r="C851" s="205">
        <f>EOMONTH($B851,0)</f>
        <v/>
      </c>
      <c r="D851" s="201">
        <f>$C851-$B851+1</f>
        <v/>
      </c>
      <c r="E851" s="201">
        <f>MONTH($B851)</f>
        <v/>
      </c>
      <c r="F851" s="235">
        <f>($B851+$C851+1)/2</f>
        <v/>
      </c>
      <c r="G851" s="201">
        <f>YEAR($B851)*12+MONTH($B851)-1</f>
        <v/>
      </c>
      <c r="H851" s="207">
        <f>IF(OR(nr_SeasonOn="OFF",$D$832=0,$E$832=0),1,12*INDEX(se_block,$D$832,$E851)/$E$832)</f>
        <v/>
      </c>
      <c r="I851" s="208">
        <f>EXP(SUMPRODUCT((rl_eff&lt;$B851)*(rl_key=$A$832)*rl_ln1p))</f>
        <v/>
      </c>
      <c r="J851" s="208">
        <f>EXP(SUMPRODUCT((rl_eff&lt;=$C851)*(rl_key=$A$832)*rl_ln1p))</f>
        <v/>
      </c>
      <c r="K851" s="201">
        <f>COUNTIFS(rl_key,$A$832,rl_eff,"&gt;="&amp;$B851,rl_eff,"&lt;="&amp;$C851)</f>
        <v/>
      </c>
      <c r="L851" s="201">
        <f>SUMIFS(rl_daysafter,rl_key,$A$832,rl_effmonth,$B851,rl_first,1)</f>
        <v/>
      </c>
      <c r="M851" s="209">
        <f>IF($K851=0,0,MIN(1,$L851/$D851))</f>
        <v/>
      </c>
      <c r="N851" s="208">
        <f>IF($K851=0,$J851,(1-$M851)*$I851+$M851*$J851)</f>
        <v/>
      </c>
      <c r="O851" s="209">
        <f>IF($F851&lt;$B$833,$E$833+$I$833*($F851-$A$833),IF($F851&lt;$C$833,$F$833+$J$833*($F851-$B$833),$G$833+$K$833*($F851-$C$833)))</f>
        <v/>
      </c>
      <c r="P851" s="208">
        <f>MIN(1,MAX(0,(nr_MEndPm1-$G851+0.5)/$C$832))-MIN(1,MAX(0,(nr_MStartPm1-1-$G851+0.5)/$C$832))</f>
        <v/>
      </c>
      <c r="Q851" s="208">
        <f>MIN(1,MAX(0,(nr_MEndP-$G851+0.5)/$C$832))-MIN(1,MAX(0,(nr_MStartP-1-$G851+0.5)/$C$832))</f>
        <v/>
      </c>
      <c r="R851" s="208">
        <f>MIN(1,MAX(0,(nr_MEndP1-$G851+0.5)/$C$832))-MIN(1,MAX(0,(nr_MStartP1-1-$G851+0.5)/$C$832))</f>
        <v/>
      </c>
      <c r="S851" s="208">
        <f>IF($L$832,$N851*IF($O$832=1,$O851/$F$832,1),"")</f>
        <v/>
      </c>
      <c r="T851" s="208">
        <f>IF(NOT($L$832),"",IF($G851&lt;nr_MStartP,$S851,$T839*(1+IF($G851&lt;nr_MStartP1,$M$832,$N$832))))</f>
        <v/>
      </c>
      <c r="U851" s="208">
        <f>IF($L$832,$T851,$N851)</f>
        <v/>
      </c>
    </row>
    <row r="852">
      <c r="A852" s="145" t="n">
        <v>18</v>
      </c>
      <c r="B852" s="204">
        <f>EDATE($B851,1)</f>
        <v/>
      </c>
      <c r="C852" s="205">
        <f>EOMONTH($B852,0)</f>
        <v/>
      </c>
      <c r="D852" s="201">
        <f>$C852-$B852+1</f>
        <v/>
      </c>
      <c r="E852" s="201">
        <f>MONTH($B852)</f>
        <v/>
      </c>
      <c r="F852" s="235">
        <f>($B852+$C852+1)/2</f>
        <v/>
      </c>
      <c r="G852" s="201">
        <f>YEAR($B852)*12+MONTH($B852)-1</f>
        <v/>
      </c>
      <c r="H852" s="207">
        <f>IF(OR(nr_SeasonOn="OFF",$D$832=0,$E$832=0),1,12*INDEX(se_block,$D$832,$E852)/$E$832)</f>
        <v/>
      </c>
      <c r="I852" s="208">
        <f>EXP(SUMPRODUCT((rl_eff&lt;$B852)*(rl_key=$A$832)*rl_ln1p))</f>
        <v/>
      </c>
      <c r="J852" s="208">
        <f>EXP(SUMPRODUCT((rl_eff&lt;=$C852)*(rl_key=$A$832)*rl_ln1p))</f>
        <v/>
      </c>
      <c r="K852" s="201">
        <f>COUNTIFS(rl_key,$A$832,rl_eff,"&gt;="&amp;$B852,rl_eff,"&lt;="&amp;$C852)</f>
        <v/>
      </c>
      <c r="L852" s="201">
        <f>SUMIFS(rl_daysafter,rl_key,$A$832,rl_effmonth,$B852,rl_first,1)</f>
        <v/>
      </c>
      <c r="M852" s="209">
        <f>IF($K852=0,0,MIN(1,$L852/$D852))</f>
        <v/>
      </c>
      <c r="N852" s="208">
        <f>IF($K852=0,$J852,(1-$M852)*$I852+$M852*$J852)</f>
        <v/>
      </c>
      <c r="O852" s="209">
        <f>IF($F852&lt;$B$833,$E$833+$I$833*($F852-$A$833),IF($F852&lt;$C$833,$F$833+$J$833*($F852-$B$833),$G$833+$K$833*($F852-$C$833)))</f>
        <v/>
      </c>
      <c r="P852" s="208">
        <f>MIN(1,MAX(0,(nr_MEndPm1-$G852+0.5)/$C$832))-MIN(1,MAX(0,(nr_MStartPm1-1-$G852+0.5)/$C$832))</f>
        <v/>
      </c>
      <c r="Q852" s="208">
        <f>MIN(1,MAX(0,(nr_MEndP-$G852+0.5)/$C$832))-MIN(1,MAX(0,(nr_MStartP-1-$G852+0.5)/$C$832))</f>
        <v/>
      </c>
      <c r="R852" s="208">
        <f>MIN(1,MAX(0,(nr_MEndP1-$G852+0.5)/$C$832))-MIN(1,MAX(0,(nr_MStartP1-1-$G852+0.5)/$C$832))</f>
        <v/>
      </c>
      <c r="S852" s="208">
        <f>IF($L$832,$N852*IF($O$832=1,$O852/$F$832,1),"")</f>
        <v/>
      </c>
      <c r="T852" s="208">
        <f>IF(NOT($L$832),"",IF($G852&lt;nr_MStartP,$S852,$T840*(1+IF($G852&lt;nr_MStartP1,$M$832,$N$832))))</f>
        <v/>
      </c>
      <c r="U852" s="208">
        <f>IF($L$832,$T852,$N852)</f>
        <v/>
      </c>
    </row>
    <row r="853">
      <c r="A853" s="145" t="n">
        <v>19</v>
      </c>
      <c r="B853" s="204">
        <f>EDATE($B852,1)</f>
        <v/>
      </c>
      <c r="C853" s="205">
        <f>EOMONTH($B853,0)</f>
        <v/>
      </c>
      <c r="D853" s="201">
        <f>$C853-$B853+1</f>
        <v/>
      </c>
      <c r="E853" s="201">
        <f>MONTH($B853)</f>
        <v/>
      </c>
      <c r="F853" s="235">
        <f>($B853+$C853+1)/2</f>
        <v/>
      </c>
      <c r="G853" s="201">
        <f>YEAR($B853)*12+MONTH($B853)-1</f>
        <v/>
      </c>
      <c r="H853" s="207">
        <f>IF(OR(nr_SeasonOn="OFF",$D$832=0,$E$832=0),1,12*INDEX(se_block,$D$832,$E853)/$E$832)</f>
        <v/>
      </c>
      <c r="I853" s="208">
        <f>EXP(SUMPRODUCT((rl_eff&lt;$B853)*(rl_key=$A$832)*rl_ln1p))</f>
        <v/>
      </c>
      <c r="J853" s="208">
        <f>EXP(SUMPRODUCT((rl_eff&lt;=$C853)*(rl_key=$A$832)*rl_ln1p))</f>
        <v/>
      </c>
      <c r="K853" s="201">
        <f>COUNTIFS(rl_key,$A$832,rl_eff,"&gt;="&amp;$B853,rl_eff,"&lt;="&amp;$C853)</f>
        <v/>
      </c>
      <c r="L853" s="201">
        <f>SUMIFS(rl_daysafter,rl_key,$A$832,rl_effmonth,$B853,rl_first,1)</f>
        <v/>
      </c>
      <c r="M853" s="209">
        <f>IF($K853=0,0,MIN(1,$L853/$D853))</f>
        <v/>
      </c>
      <c r="N853" s="208">
        <f>IF($K853=0,$J853,(1-$M853)*$I853+$M853*$J853)</f>
        <v/>
      </c>
      <c r="O853" s="209">
        <f>IF($F853&lt;$B$833,$E$833+$I$833*($F853-$A$833),IF($F853&lt;$C$833,$F$833+$J$833*($F853-$B$833),$G$833+$K$833*($F853-$C$833)))</f>
        <v/>
      </c>
      <c r="P853" s="208">
        <f>MIN(1,MAX(0,(nr_MEndPm1-$G853+0.5)/$C$832))-MIN(1,MAX(0,(nr_MStartPm1-1-$G853+0.5)/$C$832))</f>
        <v/>
      </c>
      <c r="Q853" s="208">
        <f>MIN(1,MAX(0,(nr_MEndP-$G853+0.5)/$C$832))-MIN(1,MAX(0,(nr_MStartP-1-$G853+0.5)/$C$832))</f>
        <v/>
      </c>
      <c r="R853" s="208">
        <f>MIN(1,MAX(0,(nr_MEndP1-$G853+0.5)/$C$832))-MIN(1,MAX(0,(nr_MStartP1-1-$G853+0.5)/$C$832))</f>
        <v/>
      </c>
      <c r="S853" s="208">
        <f>IF($L$832,$N853*IF($O$832=1,$O853/$F$832,1),"")</f>
        <v/>
      </c>
      <c r="T853" s="208">
        <f>IF(NOT($L$832),"",IF($G853&lt;nr_MStartP,$S853,$T841*(1+IF($G853&lt;nr_MStartP1,$M$832,$N$832))))</f>
        <v/>
      </c>
      <c r="U853" s="208">
        <f>IF($L$832,$T853,$N853)</f>
        <v/>
      </c>
    </row>
    <row r="854">
      <c r="A854" s="145" t="n">
        <v>20</v>
      </c>
      <c r="B854" s="204">
        <f>EDATE($B853,1)</f>
        <v/>
      </c>
      <c r="C854" s="205">
        <f>EOMONTH($B854,0)</f>
        <v/>
      </c>
      <c r="D854" s="201">
        <f>$C854-$B854+1</f>
        <v/>
      </c>
      <c r="E854" s="201">
        <f>MONTH($B854)</f>
        <v/>
      </c>
      <c r="F854" s="235">
        <f>($B854+$C854+1)/2</f>
        <v/>
      </c>
      <c r="G854" s="201">
        <f>YEAR($B854)*12+MONTH($B854)-1</f>
        <v/>
      </c>
      <c r="H854" s="207">
        <f>IF(OR(nr_SeasonOn="OFF",$D$832=0,$E$832=0),1,12*INDEX(se_block,$D$832,$E854)/$E$832)</f>
        <v/>
      </c>
      <c r="I854" s="208">
        <f>EXP(SUMPRODUCT((rl_eff&lt;$B854)*(rl_key=$A$832)*rl_ln1p))</f>
        <v/>
      </c>
      <c r="J854" s="208">
        <f>EXP(SUMPRODUCT((rl_eff&lt;=$C854)*(rl_key=$A$832)*rl_ln1p))</f>
        <v/>
      </c>
      <c r="K854" s="201">
        <f>COUNTIFS(rl_key,$A$832,rl_eff,"&gt;="&amp;$B854,rl_eff,"&lt;="&amp;$C854)</f>
        <v/>
      </c>
      <c r="L854" s="201">
        <f>SUMIFS(rl_daysafter,rl_key,$A$832,rl_effmonth,$B854,rl_first,1)</f>
        <v/>
      </c>
      <c r="M854" s="209">
        <f>IF($K854=0,0,MIN(1,$L854/$D854))</f>
        <v/>
      </c>
      <c r="N854" s="208">
        <f>IF($K854=0,$J854,(1-$M854)*$I854+$M854*$J854)</f>
        <v/>
      </c>
      <c r="O854" s="209">
        <f>IF($F854&lt;$B$833,$E$833+$I$833*($F854-$A$833),IF($F854&lt;$C$833,$F$833+$J$833*($F854-$B$833),$G$833+$K$833*($F854-$C$833)))</f>
        <v/>
      </c>
      <c r="P854" s="208">
        <f>MIN(1,MAX(0,(nr_MEndPm1-$G854+0.5)/$C$832))-MIN(1,MAX(0,(nr_MStartPm1-1-$G854+0.5)/$C$832))</f>
        <v/>
      </c>
      <c r="Q854" s="208">
        <f>MIN(1,MAX(0,(nr_MEndP-$G854+0.5)/$C$832))-MIN(1,MAX(0,(nr_MStartP-1-$G854+0.5)/$C$832))</f>
        <v/>
      </c>
      <c r="R854" s="208">
        <f>MIN(1,MAX(0,(nr_MEndP1-$G854+0.5)/$C$832))-MIN(1,MAX(0,(nr_MStartP1-1-$G854+0.5)/$C$832))</f>
        <v/>
      </c>
      <c r="S854" s="208">
        <f>IF($L$832,$N854*IF($O$832=1,$O854/$F$832,1),"")</f>
        <v/>
      </c>
      <c r="T854" s="208">
        <f>IF(NOT($L$832),"",IF($G854&lt;nr_MStartP,$S854,$T842*(1+IF($G854&lt;nr_MStartP1,$M$832,$N$832))))</f>
        <v/>
      </c>
      <c r="U854" s="208">
        <f>IF($L$832,$T854,$N854)</f>
        <v/>
      </c>
    </row>
    <row r="855">
      <c r="A855" s="145" t="n">
        <v>21</v>
      </c>
      <c r="B855" s="204">
        <f>EDATE($B854,1)</f>
        <v/>
      </c>
      <c r="C855" s="205">
        <f>EOMONTH($B855,0)</f>
        <v/>
      </c>
      <c r="D855" s="201">
        <f>$C855-$B855+1</f>
        <v/>
      </c>
      <c r="E855" s="201">
        <f>MONTH($B855)</f>
        <v/>
      </c>
      <c r="F855" s="235">
        <f>($B855+$C855+1)/2</f>
        <v/>
      </c>
      <c r="G855" s="201">
        <f>YEAR($B855)*12+MONTH($B855)-1</f>
        <v/>
      </c>
      <c r="H855" s="207">
        <f>IF(OR(nr_SeasonOn="OFF",$D$832=0,$E$832=0),1,12*INDEX(se_block,$D$832,$E855)/$E$832)</f>
        <v/>
      </c>
      <c r="I855" s="208">
        <f>EXP(SUMPRODUCT((rl_eff&lt;$B855)*(rl_key=$A$832)*rl_ln1p))</f>
        <v/>
      </c>
      <c r="J855" s="208">
        <f>EXP(SUMPRODUCT((rl_eff&lt;=$C855)*(rl_key=$A$832)*rl_ln1p))</f>
        <v/>
      </c>
      <c r="K855" s="201">
        <f>COUNTIFS(rl_key,$A$832,rl_eff,"&gt;="&amp;$B855,rl_eff,"&lt;="&amp;$C855)</f>
        <v/>
      </c>
      <c r="L855" s="201">
        <f>SUMIFS(rl_daysafter,rl_key,$A$832,rl_effmonth,$B855,rl_first,1)</f>
        <v/>
      </c>
      <c r="M855" s="209">
        <f>IF($K855=0,0,MIN(1,$L855/$D855))</f>
        <v/>
      </c>
      <c r="N855" s="208">
        <f>IF($K855=0,$J855,(1-$M855)*$I855+$M855*$J855)</f>
        <v/>
      </c>
      <c r="O855" s="209">
        <f>IF($F855&lt;$B$833,$E$833+$I$833*($F855-$A$833),IF($F855&lt;$C$833,$F$833+$J$833*($F855-$B$833),$G$833+$K$833*($F855-$C$833)))</f>
        <v/>
      </c>
      <c r="P855" s="208">
        <f>MIN(1,MAX(0,(nr_MEndPm1-$G855+0.5)/$C$832))-MIN(1,MAX(0,(nr_MStartPm1-1-$G855+0.5)/$C$832))</f>
        <v/>
      </c>
      <c r="Q855" s="208">
        <f>MIN(1,MAX(0,(nr_MEndP-$G855+0.5)/$C$832))-MIN(1,MAX(0,(nr_MStartP-1-$G855+0.5)/$C$832))</f>
        <v/>
      </c>
      <c r="R855" s="208">
        <f>MIN(1,MAX(0,(nr_MEndP1-$G855+0.5)/$C$832))-MIN(1,MAX(0,(nr_MStartP1-1-$G855+0.5)/$C$832))</f>
        <v/>
      </c>
      <c r="S855" s="208">
        <f>IF($L$832,$N855*IF($O$832=1,$O855/$F$832,1),"")</f>
        <v/>
      </c>
      <c r="T855" s="208">
        <f>IF(NOT($L$832),"",IF($G855&lt;nr_MStartP,$S855,$T843*(1+IF($G855&lt;nr_MStartP1,$M$832,$N$832))))</f>
        <v/>
      </c>
      <c r="U855" s="208">
        <f>IF($L$832,$T855,$N855)</f>
        <v/>
      </c>
    </row>
    <row r="856">
      <c r="A856" s="145" t="n">
        <v>22</v>
      </c>
      <c r="B856" s="204">
        <f>EDATE($B855,1)</f>
        <v/>
      </c>
      <c r="C856" s="205">
        <f>EOMONTH($B856,0)</f>
        <v/>
      </c>
      <c r="D856" s="201">
        <f>$C856-$B856+1</f>
        <v/>
      </c>
      <c r="E856" s="201">
        <f>MONTH($B856)</f>
        <v/>
      </c>
      <c r="F856" s="235">
        <f>($B856+$C856+1)/2</f>
        <v/>
      </c>
      <c r="G856" s="201">
        <f>YEAR($B856)*12+MONTH($B856)-1</f>
        <v/>
      </c>
      <c r="H856" s="207">
        <f>IF(OR(nr_SeasonOn="OFF",$D$832=0,$E$832=0),1,12*INDEX(se_block,$D$832,$E856)/$E$832)</f>
        <v/>
      </c>
      <c r="I856" s="208">
        <f>EXP(SUMPRODUCT((rl_eff&lt;$B856)*(rl_key=$A$832)*rl_ln1p))</f>
        <v/>
      </c>
      <c r="J856" s="208">
        <f>EXP(SUMPRODUCT((rl_eff&lt;=$C856)*(rl_key=$A$832)*rl_ln1p))</f>
        <v/>
      </c>
      <c r="K856" s="201">
        <f>COUNTIFS(rl_key,$A$832,rl_eff,"&gt;="&amp;$B856,rl_eff,"&lt;="&amp;$C856)</f>
        <v/>
      </c>
      <c r="L856" s="201">
        <f>SUMIFS(rl_daysafter,rl_key,$A$832,rl_effmonth,$B856,rl_first,1)</f>
        <v/>
      </c>
      <c r="M856" s="209">
        <f>IF($K856=0,0,MIN(1,$L856/$D856))</f>
        <v/>
      </c>
      <c r="N856" s="208">
        <f>IF($K856=0,$J856,(1-$M856)*$I856+$M856*$J856)</f>
        <v/>
      </c>
      <c r="O856" s="209">
        <f>IF($F856&lt;$B$833,$E$833+$I$833*($F856-$A$833),IF($F856&lt;$C$833,$F$833+$J$833*($F856-$B$833),$G$833+$K$833*($F856-$C$833)))</f>
        <v/>
      </c>
      <c r="P856" s="208">
        <f>MIN(1,MAX(0,(nr_MEndPm1-$G856+0.5)/$C$832))-MIN(1,MAX(0,(nr_MStartPm1-1-$G856+0.5)/$C$832))</f>
        <v/>
      </c>
      <c r="Q856" s="208">
        <f>MIN(1,MAX(0,(nr_MEndP-$G856+0.5)/$C$832))-MIN(1,MAX(0,(nr_MStartP-1-$G856+0.5)/$C$832))</f>
        <v/>
      </c>
      <c r="R856" s="208">
        <f>MIN(1,MAX(0,(nr_MEndP1-$G856+0.5)/$C$832))-MIN(1,MAX(0,(nr_MStartP1-1-$G856+0.5)/$C$832))</f>
        <v/>
      </c>
      <c r="S856" s="208">
        <f>IF($L$832,$N856*IF($O$832=1,$O856/$F$832,1),"")</f>
        <v/>
      </c>
      <c r="T856" s="208">
        <f>IF(NOT($L$832),"",IF($G856&lt;nr_MStartP,$S856,$T844*(1+IF($G856&lt;nr_MStartP1,$M$832,$N$832))))</f>
        <v/>
      </c>
      <c r="U856" s="208">
        <f>IF($L$832,$T856,$N856)</f>
        <v/>
      </c>
    </row>
    <row r="857">
      <c r="A857" s="145" t="n">
        <v>23</v>
      </c>
      <c r="B857" s="204">
        <f>EDATE($B856,1)</f>
        <v/>
      </c>
      <c r="C857" s="205">
        <f>EOMONTH($B857,0)</f>
        <v/>
      </c>
      <c r="D857" s="201">
        <f>$C857-$B857+1</f>
        <v/>
      </c>
      <c r="E857" s="201">
        <f>MONTH($B857)</f>
        <v/>
      </c>
      <c r="F857" s="235">
        <f>($B857+$C857+1)/2</f>
        <v/>
      </c>
      <c r="G857" s="201">
        <f>YEAR($B857)*12+MONTH($B857)-1</f>
        <v/>
      </c>
      <c r="H857" s="207">
        <f>IF(OR(nr_SeasonOn="OFF",$D$832=0,$E$832=0),1,12*INDEX(se_block,$D$832,$E857)/$E$832)</f>
        <v/>
      </c>
      <c r="I857" s="208">
        <f>EXP(SUMPRODUCT((rl_eff&lt;$B857)*(rl_key=$A$832)*rl_ln1p))</f>
        <v/>
      </c>
      <c r="J857" s="208">
        <f>EXP(SUMPRODUCT((rl_eff&lt;=$C857)*(rl_key=$A$832)*rl_ln1p))</f>
        <v/>
      </c>
      <c r="K857" s="201">
        <f>COUNTIFS(rl_key,$A$832,rl_eff,"&gt;="&amp;$B857,rl_eff,"&lt;="&amp;$C857)</f>
        <v/>
      </c>
      <c r="L857" s="201">
        <f>SUMIFS(rl_daysafter,rl_key,$A$832,rl_effmonth,$B857,rl_first,1)</f>
        <v/>
      </c>
      <c r="M857" s="209">
        <f>IF($K857=0,0,MIN(1,$L857/$D857))</f>
        <v/>
      </c>
      <c r="N857" s="208">
        <f>IF($K857=0,$J857,(1-$M857)*$I857+$M857*$J857)</f>
        <v/>
      </c>
      <c r="O857" s="209">
        <f>IF($F857&lt;$B$833,$E$833+$I$833*($F857-$A$833),IF($F857&lt;$C$833,$F$833+$J$833*($F857-$B$833),$G$833+$K$833*($F857-$C$833)))</f>
        <v/>
      </c>
      <c r="P857" s="208">
        <f>MIN(1,MAX(0,(nr_MEndPm1-$G857+0.5)/$C$832))-MIN(1,MAX(0,(nr_MStartPm1-1-$G857+0.5)/$C$832))</f>
        <v/>
      </c>
      <c r="Q857" s="208">
        <f>MIN(1,MAX(0,(nr_MEndP-$G857+0.5)/$C$832))-MIN(1,MAX(0,(nr_MStartP-1-$G857+0.5)/$C$832))</f>
        <v/>
      </c>
      <c r="R857" s="208">
        <f>MIN(1,MAX(0,(nr_MEndP1-$G857+0.5)/$C$832))-MIN(1,MAX(0,(nr_MStartP1-1-$G857+0.5)/$C$832))</f>
        <v/>
      </c>
      <c r="S857" s="208">
        <f>IF($L$832,$N857*IF($O$832=1,$O857/$F$832,1),"")</f>
        <v/>
      </c>
      <c r="T857" s="208">
        <f>IF(NOT($L$832),"",IF($G857&lt;nr_MStartP,$S857,$T845*(1+IF($G857&lt;nr_MStartP1,$M$832,$N$832))))</f>
        <v/>
      </c>
      <c r="U857" s="208">
        <f>IF($L$832,$T857,$N857)</f>
        <v/>
      </c>
    </row>
    <row r="858">
      <c r="A858" s="145" t="n">
        <v>24</v>
      </c>
      <c r="B858" s="204">
        <f>EDATE($B857,1)</f>
        <v/>
      </c>
      <c r="C858" s="205">
        <f>EOMONTH($B858,0)</f>
        <v/>
      </c>
      <c r="D858" s="201">
        <f>$C858-$B858+1</f>
        <v/>
      </c>
      <c r="E858" s="201">
        <f>MONTH($B858)</f>
        <v/>
      </c>
      <c r="F858" s="235">
        <f>($B858+$C858+1)/2</f>
        <v/>
      </c>
      <c r="G858" s="201">
        <f>YEAR($B858)*12+MONTH($B858)-1</f>
        <v/>
      </c>
      <c r="H858" s="207">
        <f>IF(OR(nr_SeasonOn="OFF",$D$832=0,$E$832=0),1,12*INDEX(se_block,$D$832,$E858)/$E$832)</f>
        <v/>
      </c>
      <c r="I858" s="208">
        <f>EXP(SUMPRODUCT((rl_eff&lt;$B858)*(rl_key=$A$832)*rl_ln1p))</f>
        <v/>
      </c>
      <c r="J858" s="208">
        <f>EXP(SUMPRODUCT((rl_eff&lt;=$C858)*(rl_key=$A$832)*rl_ln1p))</f>
        <v/>
      </c>
      <c r="K858" s="201">
        <f>COUNTIFS(rl_key,$A$832,rl_eff,"&gt;="&amp;$B858,rl_eff,"&lt;="&amp;$C858)</f>
        <v/>
      </c>
      <c r="L858" s="201">
        <f>SUMIFS(rl_daysafter,rl_key,$A$832,rl_effmonth,$B858,rl_first,1)</f>
        <v/>
      </c>
      <c r="M858" s="209">
        <f>IF($K858=0,0,MIN(1,$L858/$D858))</f>
        <v/>
      </c>
      <c r="N858" s="208">
        <f>IF($K858=0,$J858,(1-$M858)*$I858+$M858*$J858)</f>
        <v/>
      </c>
      <c r="O858" s="209">
        <f>IF($F858&lt;$B$833,$E$833+$I$833*($F858-$A$833),IF($F858&lt;$C$833,$F$833+$J$833*($F858-$B$833),$G$833+$K$833*($F858-$C$833)))</f>
        <v/>
      </c>
      <c r="P858" s="208">
        <f>MIN(1,MAX(0,(nr_MEndPm1-$G858+0.5)/$C$832))-MIN(1,MAX(0,(nr_MStartPm1-1-$G858+0.5)/$C$832))</f>
        <v/>
      </c>
      <c r="Q858" s="208">
        <f>MIN(1,MAX(0,(nr_MEndP-$G858+0.5)/$C$832))-MIN(1,MAX(0,(nr_MStartP-1-$G858+0.5)/$C$832))</f>
        <v/>
      </c>
      <c r="R858" s="208">
        <f>MIN(1,MAX(0,(nr_MEndP1-$G858+0.5)/$C$832))-MIN(1,MAX(0,(nr_MStartP1-1-$G858+0.5)/$C$832))</f>
        <v/>
      </c>
      <c r="S858" s="208">
        <f>IF($L$832,$N858*IF($O$832=1,$O858/$F$832,1),"")</f>
        <v/>
      </c>
      <c r="T858" s="208">
        <f>IF(NOT($L$832),"",IF($G858&lt;nr_MStartP,$S858,$T846*(1+IF($G858&lt;nr_MStartP1,$M$832,$N$832))))</f>
        <v/>
      </c>
      <c r="U858" s="208">
        <f>IF($L$832,$T858,$N858)</f>
        <v/>
      </c>
    </row>
    <row r="859">
      <c r="A859" s="145" t="n">
        <v>25</v>
      </c>
      <c r="B859" s="204">
        <f>EDATE($B858,1)</f>
        <v/>
      </c>
      <c r="C859" s="205">
        <f>EOMONTH($B859,0)</f>
        <v/>
      </c>
      <c r="D859" s="201">
        <f>$C859-$B859+1</f>
        <v/>
      </c>
      <c r="E859" s="201">
        <f>MONTH($B859)</f>
        <v/>
      </c>
      <c r="F859" s="235">
        <f>($B859+$C859+1)/2</f>
        <v/>
      </c>
      <c r="G859" s="201">
        <f>YEAR($B859)*12+MONTH($B859)-1</f>
        <v/>
      </c>
      <c r="H859" s="207">
        <f>IF(OR(nr_SeasonOn="OFF",$D$832=0,$E$832=0),1,12*INDEX(se_block,$D$832,$E859)/$E$832)</f>
        <v/>
      </c>
      <c r="I859" s="208">
        <f>EXP(SUMPRODUCT((rl_eff&lt;$B859)*(rl_key=$A$832)*rl_ln1p))</f>
        <v/>
      </c>
      <c r="J859" s="208">
        <f>EXP(SUMPRODUCT((rl_eff&lt;=$C859)*(rl_key=$A$832)*rl_ln1p))</f>
        <v/>
      </c>
      <c r="K859" s="201">
        <f>COUNTIFS(rl_key,$A$832,rl_eff,"&gt;="&amp;$B859,rl_eff,"&lt;="&amp;$C859)</f>
        <v/>
      </c>
      <c r="L859" s="201">
        <f>SUMIFS(rl_daysafter,rl_key,$A$832,rl_effmonth,$B859,rl_first,1)</f>
        <v/>
      </c>
      <c r="M859" s="209">
        <f>IF($K859=0,0,MIN(1,$L859/$D859))</f>
        <v/>
      </c>
      <c r="N859" s="208">
        <f>IF($K859=0,$J859,(1-$M859)*$I859+$M859*$J859)</f>
        <v/>
      </c>
      <c r="O859" s="209">
        <f>IF($F859&lt;$B$833,$E$833+$I$833*($F859-$A$833),IF($F859&lt;$C$833,$F$833+$J$833*($F859-$B$833),$G$833+$K$833*($F859-$C$833)))</f>
        <v/>
      </c>
      <c r="P859" s="208">
        <f>MIN(1,MAX(0,(nr_MEndPm1-$G859+0.5)/$C$832))-MIN(1,MAX(0,(nr_MStartPm1-1-$G859+0.5)/$C$832))</f>
        <v/>
      </c>
      <c r="Q859" s="208">
        <f>MIN(1,MAX(0,(nr_MEndP-$G859+0.5)/$C$832))-MIN(1,MAX(0,(nr_MStartP-1-$G859+0.5)/$C$832))</f>
        <v/>
      </c>
      <c r="R859" s="208">
        <f>MIN(1,MAX(0,(nr_MEndP1-$G859+0.5)/$C$832))-MIN(1,MAX(0,(nr_MStartP1-1-$G859+0.5)/$C$832))</f>
        <v/>
      </c>
      <c r="S859" s="208">
        <f>IF($L$832,$N859*IF($O$832=1,$O859/$F$832,1),"")</f>
        <v/>
      </c>
      <c r="T859" s="208">
        <f>IF(NOT($L$832),"",IF($G859&lt;nr_MStartP,$S859,$T847*(1+IF($G859&lt;nr_MStartP1,$M$832,$N$832))))</f>
        <v/>
      </c>
      <c r="U859" s="208">
        <f>IF($L$832,$T859,$N859)</f>
        <v/>
      </c>
    </row>
    <row r="860">
      <c r="A860" s="145" t="n">
        <v>26</v>
      </c>
      <c r="B860" s="204">
        <f>EDATE($B859,1)</f>
        <v/>
      </c>
      <c r="C860" s="205">
        <f>EOMONTH($B860,0)</f>
        <v/>
      </c>
      <c r="D860" s="201">
        <f>$C860-$B860+1</f>
        <v/>
      </c>
      <c r="E860" s="201">
        <f>MONTH($B860)</f>
        <v/>
      </c>
      <c r="F860" s="235">
        <f>($B860+$C860+1)/2</f>
        <v/>
      </c>
      <c r="G860" s="201">
        <f>YEAR($B860)*12+MONTH($B860)-1</f>
        <v/>
      </c>
      <c r="H860" s="207">
        <f>IF(OR(nr_SeasonOn="OFF",$D$832=0,$E$832=0),1,12*INDEX(se_block,$D$832,$E860)/$E$832)</f>
        <v/>
      </c>
      <c r="I860" s="208">
        <f>EXP(SUMPRODUCT((rl_eff&lt;$B860)*(rl_key=$A$832)*rl_ln1p))</f>
        <v/>
      </c>
      <c r="J860" s="208">
        <f>EXP(SUMPRODUCT((rl_eff&lt;=$C860)*(rl_key=$A$832)*rl_ln1p))</f>
        <v/>
      </c>
      <c r="K860" s="201">
        <f>COUNTIFS(rl_key,$A$832,rl_eff,"&gt;="&amp;$B860,rl_eff,"&lt;="&amp;$C860)</f>
        <v/>
      </c>
      <c r="L860" s="201">
        <f>SUMIFS(rl_daysafter,rl_key,$A$832,rl_effmonth,$B860,rl_first,1)</f>
        <v/>
      </c>
      <c r="M860" s="209">
        <f>IF($K860=0,0,MIN(1,$L860/$D860))</f>
        <v/>
      </c>
      <c r="N860" s="208">
        <f>IF($K860=0,$J860,(1-$M860)*$I860+$M860*$J860)</f>
        <v/>
      </c>
      <c r="O860" s="209">
        <f>IF($F860&lt;$B$833,$E$833+$I$833*($F860-$A$833),IF($F860&lt;$C$833,$F$833+$J$833*($F860-$B$833),$G$833+$K$833*($F860-$C$833)))</f>
        <v/>
      </c>
      <c r="P860" s="208">
        <f>MIN(1,MAX(0,(nr_MEndPm1-$G860+0.5)/$C$832))-MIN(1,MAX(0,(nr_MStartPm1-1-$G860+0.5)/$C$832))</f>
        <v/>
      </c>
      <c r="Q860" s="208">
        <f>MIN(1,MAX(0,(nr_MEndP-$G860+0.5)/$C$832))-MIN(1,MAX(0,(nr_MStartP-1-$G860+0.5)/$C$832))</f>
        <v/>
      </c>
      <c r="R860" s="208">
        <f>MIN(1,MAX(0,(nr_MEndP1-$G860+0.5)/$C$832))-MIN(1,MAX(0,(nr_MStartP1-1-$G860+0.5)/$C$832))</f>
        <v/>
      </c>
      <c r="S860" s="208">
        <f>IF($L$832,$N860*IF($O$832=1,$O860/$F$832,1),"")</f>
        <v/>
      </c>
      <c r="T860" s="208">
        <f>IF(NOT($L$832),"",IF($G860&lt;nr_MStartP,$S860,$T848*(1+IF($G860&lt;nr_MStartP1,$M$832,$N$832))))</f>
        <v/>
      </c>
      <c r="U860" s="208">
        <f>IF($L$832,$T860,$N860)</f>
        <v/>
      </c>
    </row>
    <row r="861">
      <c r="A861" s="145" t="n">
        <v>27</v>
      </c>
      <c r="B861" s="204">
        <f>EDATE($B860,1)</f>
        <v/>
      </c>
      <c r="C861" s="205">
        <f>EOMONTH($B861,0)</f>
        <v/>
      </c>
      <c r="D861" s="201">
        <f>$C861-$B861+1</f>
        <v/>
      </c>
      <c r="E861" s="201">
        <f>MONTH($B861)</f>
        <v/>
      </c>
      <c r="F861" s="235">
        <f>($B861+$C861+1)/2</f>
        <v/>
      </c>
      <c r="G861" s="201">
        <f>YEAR($B861)*12+MONTH($B861)-1</f>
        <v/>
      </c>
      <c r="H861" s="207">
        <f>IF(OR(nr_SeasonOn="OFF",$D$832=0,$E$832=0),1,12*INDEX(se_block,$D$832,$E861)/$E$832)</f>
        <v/>
      </c>
      <c r="I861" s="208">
        <f>EXP(SUMPRODUCT((rl_eff&lt;$B861)*(rl_key=$A$832)*rl_ln1p))</f>
        <v/>
      </c>
      <c r="J861" s="208">
        <f>EXP(SUMPRODUCT((rl_eff&lt;=$C861)*(rl_key=$A$832)*rl_ln1p))</f>
        <v/>
      </c>
      <c r="K861" s="201">
        <f>COUNTIFS(rl_key,$A$832,rl_eff,"&gt;="&amp;$B861,rl_eff,"&lt;="&amp;$C861)</f>
        <v/>
      </c>
      <c r="L861" s="201">
        <f>SUMIFS(rl_daysafter,rl_key,$A$832,rl_effmonth,$B861,rl_first,1)</f>
        <v/>
      </c>
      <c r="M861" s="209">
        <f>IF($K861=0,0,MIN(1,$L861/$D861))</f>
        <v/>
      </c>
      <c r="N861" s="208">
        <f>IF($K861=0,$J861,(1-$M861)*$I861+$M861*$J861)</f>
        <v/>
      </c>
      <c r="O861" s="209">
        <f>IF($F861&lt;$B$833,$E$833+$I$833*($F861-$A$833),IF($F861&lt;$C$833,$F$833+$J$833*($F861-$B$833),$G$833+$K$833*($F861-$C$833)))</f>
        <v/>
      </c>
      <c r="P861" s="208">
        <f>MIN(1,MAX(0,(nr_MEndPm1-$G861+0.5)/$C$832))-MIN(1,MAX(0,(nr_MStartPm1-1-$G861+0.5)/$C$832))</f>
        <v/>
      </c>
      <c r="Q861" s="208">
        <f>MIN(1,MAX(0,(nr_MEndP-$G861+0.5)/$C$832))-MIN(1,MAX(0,(nr_MStartP-1-$G861+0.5)/$C$832))</f>
        <v/>
      </c>
      <c r="R861" s="208">
        <f>MIN(1,MAX(0,(nr_MEndP1-$G861+0.5)/$C$832))-MIN(1,MAX(0,(nr_MStartP1-1-$G861+0.5)/$C$832))</f>
        <v/>
      </c>
      <c r="S861" s="208">
        <f>IF($L$832,$N861*IF($O$832=1,$O861/$F$832,1),"")</f>
        <v/>
      </c>
      <c r="T861" s="208">
        <f>IF(NOT($L$832),"",IF($G861&lt;nr_MStartP,$S861,$T849*(1+IF($G861&lt;nr_MStartP1,$M$832,$N$832))))</f>
        <v/>
      </c>
      <c r="U861" s="208">
        <f>IF($L$832,$T861,$N861)</f>
        <v/>
      </c>
    </row>
    <row r="862">
      <c r="A862" s="145" t="n">
        <v>28</v>
      </c>
      <c r="B862" s="204">
        <f>EDATE($B861,1)</f>
        <v/>
      </c>
      <c r="C862" s="205">
        <f>EOMONTH($B862,0)</f>
        <v/>
      </c>
      <c r="D862" s="201">
        <f>$C862-$B862+1</f>
        <v/>
      </c>
      <c r="E862" s="201">
        <f>MONTH($B862)</f>
        <v/>
      </c>
      <c r="F862" s="235">
        <f>($B862+$C862+1)/2</f>
        <v/>
      </c>
      <c r="G862" s="201">
        <f>YEAR($B862)*12+MONTH($B862)-1</f>
        <v/>
      </c>
      <c r="H862" s="207">
        <f>IF(OR(nr_SeasonOn="OFF",$D$832=0,$E$832=0),1,12*INDEX(se_block,$D$832,$E862)/$E$832)</f>
        <v/>
      </c>
      <c r="I862" s="208">
        <f>EXP(SUMPRODUCT((rl_eff&lt;$B862)*(rl_key=$A$832)*rl_ln1p))</f>
        <v/>
      </c>
      <c r="J862" s="208">
        <f>EXP(SUMPRODUCT((rl_eff&lt;=$C862)*(rl_key=$A$832)*rl_ln1p))</f>
        <v/>
      </c>
      <c r="K862" s="201">
        <f>COUNTIFS(rl_key,$A$832,rl_eff,"&gt;="&amp;$B862,rl_eff,"&lt;="&amp;$C862)</f>
        <v/>
      </c>
      <c r="L862" s="201">
        <f>SUMIFS(rl_daysafter,rl_key,$A$832,rl_effmonth,$B862,rl_first,1)</f>
        <v/>
      </c>
      <c r="M862" s="209">
        <f>IF($K862=0,0,MIN(1,$L862/$D862))</f>
        <v/>
      </c>
      <c r="N862" s="208">
        <f>IF($K862=0,$J862,(1-$M862)*$I862+$M862*$J862)</f>
        <v/>
      </c>
      <c r="O862" s="209">
        <f>IF($F862&lt;$B$833,$E$833+$I$833*($F862-$A$833),IF($F862&lt;$C$833,$F$833+$J$833*($F862-$B$833),$G$833+$K$833*($F862-$C$833)))</f>
        <v/>
      </c>
      <c r="P862" s="208">
        <f>MIN(1,MAX(0,(nr_MEndPm1-$G862+0.5)/$C$832))-MIN(1,MAX(0,(nr_MStartPm1-1-$G862+0.5)/$C$832))</f>
        <v/>
      </c>
      <c r="Q862" s="208">
        <f>MIN(1,MAX(0,(nr_MEndP-$G862+0.5)/$C$832))-MIN(1,MAX(0,(nr_MStartP-1-$G862+0.5)/$C$832))</f>
        <v/>
      </c>
      <c r="R862" s="208">
        <f>MIN(1,MAX(0,(nr_MEndP1-$G862+0.5)/$C$832))-MIN(1,MAX(0,(nr_MStartP1-1-$G862+0.5)/$C$832))</f>
        <v/>
      </c>
      <c r="S862" s="208">
        <f>IF($L$832,$N862*IF($O$832=1,$O862/$F$832,1),"")</f>
        <v/>
      </c>
      <c r="T862" s="208">
        <f>IF(NOT($L$832),"",IF($G862&lt;nr_MStartP,$S862,$T850*(1+IF($G862&lt;nr_MStartP1,$M$832,$N$832))))</f>
        <v/>
      </c>
      <c r="U862" s="208">
        <f>IF($L$832,$T862,$N862)</f>
        <v/>
      </c>
    </row>
    <row r="863">
      <c r="A863" s="145" t="n">
        <v>29</v>
      </c>
      <c r="B863" s="204">
        <f>EDATE($B862,1)</f>
        <v/>
      </c>
      <c r="C863" s="205">
        <f>EOMONTH($B863,0)</f>
        <v/>
      </c>
      <c r="D863" s="201">
        <f>$C863-$B863+1</f>
        <v/>
      </c>
      <c r="E863" s="201">
        <f>MONTH($B863)</f>
        <v/>
      </c>
      <c r="F863" s="235">
        <f>($B863+$C863+1)/2</f>
        <v/>
      </c>
      <c r="G863" s="201">
        <f>YEAR($B863)*12+MONTH($B863)-1</f>
        <v/>
      </c>
      <c r="H863" s="207">
        <f>IF(OR(nr_SeasonOn="OFF",$D$832=0,$E$832=0),1,12*INDEX(se_block,$D$832,$E863)/$E$832)</f>
        <v/>
      </c>
      <c r="I863" s="208">
        <f>EXP(SUMPRODUCT((rl_eff&lt;$B863)*(rl_key=$A$832)*rl_ln1p))</f>
        <v/>
      </c>
      <c r="J863" s="208">
        <f>EXP(SUMPRODUCT((rl_eff&lt;=$C863)*(rl_key=$A$832)*rl_ln1p))</f>
        <v/>
      </c>
      <c r="K863" s="201">
        <f>COUNTIFS(rl_key,$A$832,rl_eff,"&gt;="&amp;$B863,rl_eff,"&lt;="&amp;$C863)</f>
        <v/>
      </c>
      <c r="L863" s="201">
        <f>SUMIFS(rl_daysafter,rl_key,$A$832,rl_effmonth,$B863,rl_first,1)</f>
        <v/>
      </c>
      <c r="M863" s="209">
        <f>IF($K863=0,0,MIN(1,$L863/$D863))</f>
        <v/>
      </c>
      <c r="N863" s="208">
        <f>IF($K863=0,$J863,(1-$M863)*$I863+$M863*$J863)</f>
        <v/>
      </c>
      <c r="O863" s="209">
        <f>IF($F863&lt;$B$833,$E$833+$I$833*($F863-$A$833),IF($F863&lt;$C$833,$F$833+$J$833*($F863-$B$833),$G$833+$K$833*($F863-$C$833)))</f>
        <v/>
      </c>
      <c r="P863" s="208">
        <f>MIN(1,MAX(0,(nr_MEndPm1-$G863+0.5)/$C$832))-MIN(1,MAX(0,(nr_MStartPm1-1-$G863+0.5)/$C$832))</f>
        <v/>
      </c>
      <c r="Q863" s="208">
        <f>MIN(1,MAX(0,(nr_MEndP-$G863+0.5)/$C$832))-MIN(1,MAX(0,(nr_MStartP-1-$G863+0.5)/$C$832))</f>
        <v/>
      </c>
      <c r="R863" s="208">
        <f>MIN(1,MAX(0,(nr_MEndP1-$G863+0.5)/$C$832))-MIN(1,MAX(0,(nr_MStartP1-1-$G863+0.5)/$C$832))</f>
        <v/>
      </c>
      <c r="S863" s="208">
        <f>IF($L$832,$N863*IF($O$832=1,$O863/$F$832,1),"")</f>
        <v/>
      </c>
      <c r="T863" s="208">
        <f>IF(NOT($L$832),"",IF($G863&lt;nr_MStartP,$S863,$T851*(1+IF($G863&lt;nr_MStartP1,$M$832,$N$832))))</f>
        <v/>
      </c>
      <c r="U863" s="208">
        <f>IF($L$832,$T863,$N863)</f>
        <v/>
      </c>
    </row>
    <row r="864">
      <c r="A864" s="145" t="n">
        <v>30</v>
      </c>
      <c r="B864" s="204">
        <f>EDATE($B863,1)</f>
        <v/>
      </c>
      <c r="C864" s="205">
        <f>EOMONTH($B864,0)</f>
        <v/>
      </c>
      <c r="D864" s="201">
        <f>$C864-$B864+1</f>
        <v/>
      </c>
      <c r="E864" s="201">
        <f>MONTH($B864)</f>
        <v/>
      </c>
      <c r="F864" s="235">
        <f>($B864+$C864+1)/2</f>
        <v/>
      </c>
      <c r="G864" s="201">
        <f>YEAR($B864)*12+MONTH($B864)-1</f>
        <v/>
      </c>
      <c r="H864" s="207">
        <f>IF(OR(nr_SeasonOn="OFF",$D$832=0,$E$832=0),1,12*INDEX(se_block,$D$832,$E864)/$E$832)</f>
        <v/>
      </c>
      <c r="I864" s="208">
        <f>EXP(SUMPRODUCT((rl_eff&lt;$B864)*(rl_key=$A$832)*rl_ln1p))</f>
        <v/>
      </c>
      <c r="J864" s="208">
        <f>EXP(SUMPRODUCT((rl_eff&lt;=$C864)*(rl_key=$A$832)*rl_ln1p))</f>
        <v/>
      </c>
      <c r="K864" s="201">
        <f>COUNTIFS(rl_key,$A$832,rl_eff,"&gt;="&amp;$B864,rl_eff,"&lt;="&amp;$C864)</f>
        <v/>
      </c>
      <c r="L864" s="201">
        <f>SUMIFS(rl_daysafter,rl_key,$A$832,rl_effmonth,$B864,rl_first,1)</f>
        <v/>
      </c>
      <c r="M864" s="209">
        <f>IF($K864=0,0,MIN(1,$L864/$D864))</f>
        <v/>
      </c>
      <c r="N864" s="208">
        <f>IF($K864=0,$J864,(1-$M864)*$I864+$M864*$J864)</f>
        <v/>
      </c>
      <c r="O864" s="209">
        <f>IF($F864&lt;$B$833,$E$833+$I$833*($F864-$A$833),IF($F864&lt;$C$833,$F$833+$J$833*($F864-$B$833),$G$833+$K$833*($F864-$C$833)))</f>
        <v/>
      </c>
      <c r="P864" s="208">
        <f>MIN(1,MAX(0,(nr_MEndPm1-$G864+0.5)/$C$832))-MIN(1,MAX(0,(nr_MStartPm1-1-$G864+0.5)/$C$832))</f>
        <v/>
      </c>
      <c r="Q864" s="208">
        <f>MIN(1,MAX(0,(nr_MEndP-$G864+0.5)/$C$832))-MIN(1,MAX(0,(nr_MStartP-1-$G864+0.5)/$C$832))</f>
        <v/>
      </c>
      <c r="R864" s="208">
        <f>MIN(1,MAX(0,(nr_MEndP1-$G864+0.5)/$C$832))-MIN(1,MAX(0,(nr_MStartP1-1-$G864+0.5)/$C$832))</f>
        <v/>
      </c>
      <c r="S864" s="208">
        <f>IF($L$832,$N864*IF($O$832=1,$O864/$F$832,1),"")</f>
        <v/>
      </c>
      <c r="T864" s="208">
        <f>IF(NOT($L$832),"",IF($G864&lt;nr_MStartP,$S864,$T852*(1+IF($G864&lt;nr_MStartP1,$M$832,$N$832))))</f>
        <v/>
      </c>
      <c r="U864" s="208">
        <f>IF($L$832,$T864,$N864)</f>
        <v/>
      </c>
    </row>
    <row r="865">
      <c r="A865" s="145" t="n">
        <v>31</v>
      </c>
      <c r="B865" s="204">
        <f>EDATE($B864,1)</f>
        <v/>
      </c>
      <c r="C865" s="205">
        <f>EOMONTH($B865,0)</f>
        <v/>
      </c>
      <c r="D865" s="201">
        <f>$C865-$B865+1</f>
        <v/>
      </c>
      <c r="E865" s="201">
        <f>MONTH($B865)</f>
        <v/>
      </c>
      <c r="F865" s="235">
        <f>($B865+$C865+1)/2</f>
        <v/>
      </c>
      <c r="G865" s="201">
        <f>YEAR($B865)*12+MONTH($B865)-1</f>
        <v/>
      </c>
      <c r="H865" s="207">
        <f>IF(OR(nr_SeasonOn="OFF",$D$832=0,$E$832=0),1,12*INDEX(se_block,$D$832,$E865)/$E$832)</f>
        <v/>
      </c>
      <c r="I865" s="208">
        <f>EXP(SUMPRODUCT((rl_eff&lt;$B865)*(rl_key=$A$832)*rl_ln1p))</f>
        <v/>
      </c>
      <c r="J865" s="208">
        <f>EXP(SUMPRODUCT((rl_eff&lt;=$C865)*(rl_key=$A$832)*rl_ln1p))</f>
        <v/>
      </c>
      <c r="K865" s="201">
        <f>COUNTIFS(rl_key,$A$832,rl_eff,"&gt;="&amp;$B865,rl_eff,"&lt;="&amp;$C865)</f>
        <v/>
      </c>
      <c r="L865" s="201">
        <f>SUMIFS(rl_daysafter,rl_key,$A$832,rl_effmonth,$B865,rl_first,1)</f>
        <v/>
      </c>
      <c r="M865" s="209">
        <f>IF($K865=0,0,MIN(1,$L865/$D865))</f>
        <v/>
      </c>
      <c r="N865" s="208">
        <f>IF($K865=0,$J865,(1-$M865)*$I865+$M865*$J865)</f>
        <v/>
      </c>
      <c r="O865" s="209">
        <f>IF($F865&lt;$B$833,$E$833+$I$833*($F865-$A$833),IF($F865&lt;$C$833,$F$833+$J$833*($F865-$B$833),$G$833+$K$833*($F865-$C$833)))</f>
        <v/>
      </c>
      <c r="P865" s="208">
        <f>MIN(1,MAX(0,(nr_MEndPm1-$G865+0.5)/$C$832))-MIN(1,MAX(0,(nr_MStartPm1-1-$G865+0.5)/$C$832))</f>
        <v/>
      </c>
      <c r="Q865" s="208">
        <f>MIN(1,MAX(0,(nr_MEndP-$G865+0.5)/$C$832))-MIN(1,MAX(0,(nr_MStartP-1-$G865+0.5)/$C$832))</f>
        <v/>
      </c>
      <c r="R865" s="208">
        <f>MIN(1,MAX(0,(nr_MEndP1-$G865+0.5)/$C$832))-MIN(1,MAX(0,(nr_MStartP1-1-$G865+0.5)/$C$832))</f>
        <v/>
      </c>
      <c r="S865" s="208">
        <f>IF($L$832,$N865*IF($O$832=1,$O865/$F$832,1),"")</f>
        <v/>
      </c>
      <c r="T865" s="208">
        <f>IF(NOT($L$832),"",IF($G865&lt;nr_MStartP,$S865,$T853*(1+IF($G865&lt;nr_MStartP1,$M$832,$N$832))))</f>
        <v/>
      </c>
      <c r="U865" s="208">
        <f>IF($L$832,$T865,$N865)</f>
        <v/>
      </c>
    </row>
    <row r="866">
      <c r="A866" s="145" t="n">
        <v>32</v>
      </c>
      <c r="B866" s="204">
        <f>EDATE($B865,1)</f>
        <v/>
      </c>
      <c r="C866" s="205">
        <f>EOMONTH($B866,0)</f>
        <v/>
      </c>
      <c r="D866" s="201">
        <f>$C866-$B866+1</f>
        <v/>
      </c>
      <c r="E866" s="201">
        <f>MONTH($B866)</f>
        <v/>
      </c>
      <c r="F866" s="235">
        <f>($B866+$C866+1)/2</f>
        <v/>
      </c>
      <c r="G866" s="201">
        <f>YEAR($B866)*12+MONTH($B866)-1</f>
        <v/>
      </c>
      <c r="H866" s="207">
        <f>IF(OR(nr_SeasonOn="OFF",$D$832=0,$E$832=0),1,12*INDEX(se_block,$D$832,$E866)/$E$832)</f>
        <v/>
      </c>
      <c r="I866" s="208">
        <f>EXP(SUMPRODUCT((rl_eff&lt;$B866)*(rl_key=$A$832)*rl_ln1p))</f>
        <v/>
      </c>
      <c r="J866" s="208">
        <f>EXP(SUMPRODUCT((rl_eff&lt;=$C866)*(rl_key=$A$832)*rl_ln1p))</f>
        <v/>
      </c>
      <c r="K866" s="201">
        <f>COUNTIFS(rl_key,$A$832,rl_eff,"&gt;="&amp;$B866,rl_eff,"&lt;="&amp;$C866)</f>
        <v/>
      </c>
      <c r="L866" s="201">
        <f>SUMIFS(rl_daysafter,rl_key,$A$832,rl_effmonth,$B866,rl_first,1)</f>
        <v/>
      </c>
      <c r="M866" s="209">
        <f>IF($K866=0,0,MIN(1,$L866/$D866))</f>
        <v/>
      </c>
      <c r="N866" s="208">
        <f>IF($K866=0,$J866,(1-$M866)*$I866+$M866*$J866)</f>
        <v/>
      </c>
      <c r="O866" s="209">
        <f>IF($F866&lt;$B$833,$E$833+$I$833*($F866-$A$833),IF($F866&lt;$C$833,$F$833+$J$833*($F866-$B$833),$G$833+$K$833*($F866-$C$833)))</f>
        <v/>
      </c>
      <c r="P866" s="208">
        <f>MIN(1,MAX(0,(nr_MEndPm1-$G866+0.5)/$C$832))-MIN(1,MAX(0,(nr_MStartPm1-1-$G866+0.5)/$C$832))</f>
        <v/>
      </c>
      <c r="Q866" s="208">
        <f>MIN(1,MAX(0,(nr_MEndP-$G866+0.5)/$C$832))-MIN(1,MAX(0,(nr_MStartP-1-$G866+0.5)/$C$832))</f>
        <v/>
      </c>
      <c r="R866" s="208">
        <f>MIN(1,MAX(0,(nr_MEndP1-$G866+0.5)/$C$832))-MIN(1,MAX(0,(nr_MStartP1-1-$G866+0.5)/$C$832))</f>
        <v/>
      </c>
      <c r="S866" s="208">
        <f>IF($L$832,$N866*IF($O$832=1,$O866/$F$832,1),"")</f>
        <v/>
      </c>
      <c r="T866" s="208">
        <f>IF(NOT($L$832),"",IF($G866&lt;nr_MStartP,$S866,$T854*(1+IF($G866&lt;nr_MStartP1,$M$832,$N$832))))</f>
        <v/>
      </c>
      <c r="U866" s="208">
        <f>IF($L$832,$T866,$N866)</f>
        <v/>
      </c>
    </row>
    <row r="867">
      <c r="A867" s="145" t="n">
        <v>33</v>
      </c>
      <c r="B867" s="204">
        <f>EDATE($B866,1)</f>
        <v/>
      </c>
      <c r="C867" s="205">
        <f>EOMONTH($B867,0)</f>
        <v/>
      </c>
      <c r="D867" s="201">
        <f>$C867-$B867+1</f>
        <v/>
      </c>
      <c r="E867" s="201">
        <f>MONTH($B867)</f>
        <v/>
      </c>
      <c r="F867" s="235">
        <f>($B867+$C867+1)/2</f>
        <v/>
      </c>
      <c r="G867" s="201">
        <f>YEAR($B867)*12+MONTH($B867)-1</f>
        <v/>
      </c>
      <c r="H867" s="207">
        <f>IF(OR(nr_SeasonOn="OFF",$D$832=0,$E$832=0),1,12*INDEX(se_block,$D$832,$E867)/$E$832)</f>
        <v/>
      </c>
      <c r="I867" s="208">
        <f>EXP(SUMPRODUCT((rl_eff&lt;$B867)*(rl_key=$A$832)*rl_ln1p))</f>
        <v/>
      </c>
      <c r="J867" s="208">
        <f>EXP(SUMPRODUCT((rl_eff&lt;=$C867)*(rl_key=$A$832)*rl_ln1p))</f>
        <v/>
      </c>
      <c r="K867" s="201">
        <f>COUNTIFS(rl_key,$A$832,rl_eff,"&gt;="&amp;$B867,rl_eff,"&lt;="&amp;$C867)</f>
        <v/>
      </c>
      <c r="L867" s="201">
        <f>SUMIFS(rl_daysafter,rl_key,$A$832,rl_effmonth,$B867,rl_first,1)</f>
        <v/>
      </c>
      <c r="M867" s="209">
        <f>IF($K867=0,0,MIN(1,$L867/$D867))</f>
        <v/>
      </c>
      <c r="N867" s="208">
        <f>IF($K867=0,$J867,(1-$M867)*$I867+$M867*$J867)</f>
        <v/>
      </c>
      <c r="O867" s="209">
        <f>IF($F867&lt;$B$833,$E$833+$I$833*($F867-$A$833),IF($F867&lt;$C$833,$F$833+$J$833*($F867-$B$833),$G$833+$K$833*($F867-$C$833)))</f>
        <v/>
      </c>
      <c r="P867" s="208">
        <f>MIN(1,MAX(0,(nr_MEndPm1-$G867+0.5)/$C$832))-MIN(1,MAX(0,(nr_MStartPm1-1-$G867+0.5)/$C$832))</f>
        <v/>
      </c>
      <c r="Q867" s="208">
        <f>MIN(1,MAX(0,(nr_MEndP-$G867+0.5)/$C$832))-MIN(1,MAX(0,(nr_MStartP-1-$G867+0.5)/$C$832))</f>
        <v/>
      </c>
      <c r="R867" s="208">
        <f>MIN(1,MAX(0,(nr_MEndP1-$G867+0.5)/$C$832))-MIN(1,MAX(0,(nr_MStartP1-1-$G867+0.5)/$C$832))</f>
        <v/>
      </c>
      <c r="S867" s="208">
        <f>IF($L$832,$N867*IF($O$832=1,$O867/$F$832,1),"")</f>
        <v/>
      </c>
      <c r="T867" s="208">
        <f>IF(NOT($L$832),"",IF($G867&lt;nr_MStartP,$S867,$T855*(1+IF($G867&lt;nr_MStartP1,$M$832,$N$832))))</f>
        <v/>
      </c>
      <c r="U867" s="208">
        <f>IF($L$832,$T867,$N867)</f>
        <v/>
      </c>
    </row>
    <row r="868">
      <c r="A868" s="145" t="n">
        <v>34</v>
      </c>
      <c r="B868" s="204">
        <f>EDATE($B867,1)</f>
        <v/>
      </c>
      <c r="C868" s="205">
        <f>EOMONTH($B868,0)</f>
        <v/>
      </c>
      <c r="D868" s="201">
        <f>$C868-$B868+1</f>
        <v/>
      </c>
      <c r="E868" s="201">
        <f>MONTH($B868)</f>
        <v/>
      </c>
      <c r="F868" s="235">
        <f>($B868+$C868+1)/2</f>
        <v/>
      </c>
      <c r="G868" s="201">
        <f>YEAR($B868)*12+MONTH($B868)-1</f>
        <v/>
      </c>
      <c r="H868" s="207">
        <f>IF(OR(nr_SeasonOn="OFF",$D$832=0,$E$832=0),1,12*INDEX(se_block,$D$832,$E868)/$E$832)</f>
        <v/>
      </c>
      <c r="I868" s="208">
        <f>EXP(SUMPRODUCT((rl_eff&lt;$B868)*(rl_key=$A$832)*rl_ln1p))</f>
        <v/>
      </c>
      <c r="J868" s="208">
        <f>EXP(SUMPRODUCT((rl_eff&lt;=$C868)*(rl_key=$A$832)*rl_ln1p))</f>
        <v/>
      </c>
      <c r="K868" s="201">
        <f>COUNTIFS(rl_key,$A$832,rl_eff,"&gt;="&amp;$B868,rl_eff,"&lt;="&amp;$C868)</f>
        <v/>
      </c>
      <c r="L868" s="201">
        <f>SUMIFS(rl_daysafter,rl_key,$A$832,rl_effmonth,$B868,rl_first,1)</f>
        <v/>
      </c>
      <c r="M868" s="209">
        <f>IF($K868=0,0,MIN(1,$L868/$D868))</f>
        <v/>
      </c>
      <c r="N868" s="208">
        <f>IF($K868=0,$J868,(1-$M868)*$I868+$M868*$J868)</f>
        <v/>
      </c>
      <c r="O868" s="209">
        <f>IF($F868&lt;$B$833,$E$833+$I$833*($F868-$A$833),IF($F868&lt;$C$833,$F$833+$J$833*($F868-$B$833),$G$833+$K$833*($F868-$C$833)))</f>
        <v/>
      </c>
      <c r="P868" s="208">
        <f>MIN(1,MAX(0,(nr_MEndPm1-$G868+0.5)/$C$832))-MIN(1,MAX(0,(nr_MStartPm1-1-$G868+0.5)/$C$832))</f>
        <v/>
      </c>
      <c r="Q868" s="208">
        <f>MIN(1,MAX(0,(nr_MEndP-$G868+0.5)/$C$832))-MIN(1,MAX(0,(nr_MStartP-1-$G868+0.5)/$C$832))</f>
        <v/>
      </c>
      <c r="R868" s="208">
        <f>MIN(1,MAX(0,(nr_MEndP1-$G868+0.5)/$C$832))-MIN(1,MAX(0,(nr_MStartP1-1-$G868+0.5)/$C$832))</f>
        <v/>
      </c>
      <c r="S868" s="208">
        <f>IF($L$832,$N868*IF($O$832=1,$O868/$F$832,1),"")</f>
        <v/>
      </c>
      <c r="T868" s="208">
        <f>IF(NOT($L$832),"",IF($G868&lt;nr_MStartP,$S868,$T856*(1+IF($G868&lt;nr_MStartP1,$M$832,$N$832))))</f>
        <v/>
      </c>
      <c r="U868" s="208">
        <f>IF($L$832,$T868,$N868)</f>
        <v/>
      </c>
    </row>
    <row r="869">
      <c r="A869" s="145" t="n">
        <v>35</v>
      </c>
      <c r="B869" s="204">
        <f>EDATE($B868,1)</f>
        <v/>
      </c>
      <c r="C869" s="205">
        <f>EOMONTH($B869,0)</f>
        <v/>
      </c>
      <c r="D869" s="201">
        <f>$C869-$B869+1</f>
        <v/>
      </c>
      <c r="E869" s="201">
        <f>MONTH($B869)</f>
        <v/>
      </c>
      <c r="F869" s="235">
        <f>($B869+$C869+1)/2</f>
        <v/>
      </c>
      <c r="G869" s="201">
        <f>YEAR($B869)*12+MONTH($B869)-1</f>
        <v/>
      </c>
      <c r="H869" s="207">
        <f>IF(OR(nr_SeasonOn="OFF",$D$832=0,$E$832=0),1,12*INDEX(se_block,$D$832,$E869)/$E$832)</f>
        <v/>
      </c>
      <c r="I869" s="208">
        <f>EXP(SUMPRODUCT((rl_eff&lt;$B869)*(rl_key=$A$832)*rl_ln1p))</f>
        <v/>
      </c>
      <c r="J869" s="208">
        <f>EXP(SUMPRODUCT((rl_eff&lt;=$C869)*(rl_key=$A$832)*rl_ln1p))</f>
        <v/>
      </c>
      <c r="K869" s="201">
        <f>COUNTIFS(rl_key,$A$832,rl_eff,"&gt;="&amp;$B869,rl_eff,"&lt;="&amp;$C869)</f>
        <v/>
      </c>
      <c r="L869" s="201">
        <f>SUMIFS(rl_daysafter,rl_key,$A$832,rl_effmonth,$B869,rl_first,1)</f>
        <v/>
      </c>
      <c r="M869" s="209">
        <f>IF($K869=0,0,MIN(1,$L869/$D869))</f>
        <v/>
      </c>
      <c r="N869" s="208">
        <f>IF($K869=0,$J869,(1-$M869)*$I869+$M869*$J869)</f>
        <v/>
      </c>
      <c r="O869" s="209">
        <f>IF($F869&lt;$B$833,$E$833+$I$833*($F869-$A$833),IF($F869&lt;$C$833,$F$833+$J$833*($F869-$B$833),$G$833+$K$833*($F869-$C$833)))</f>
        <v/>
      </c>
      <c r="P869" s="208">
        <f>MIN(1,MAX(0,(nr_MEndPm1-$G869+0.5)/$C$832))-MIN(1,MAX(0,(nr_MStartPm1-1-$G869+0.5)/$C$832))</f>
        <v/>
      </c>
      <c r="Q869" s="208">
        <f>MIN(1,MAX(0,(nr_MEndP-$G869+0.5)/$C$832))-MIN(1,MAX(0,(nr_MStartP-1-$G869+0.5)/$C$832))</f>
        <v/>
      </c>
      <c r="R869" s="208">
        <f>MIN(1,MAX(0,(nr_MEndP1-$G869+0.5)/$C$832))-MIN(1,MAX(0,(nr_MStartP1-1-$G869+0.5)/$C$832))</f>
        <v/>
      </c>
      <c r="S869" s="208">
        <f>IF($L$832,$N869*IF($O$832=1,$O869/$F$832,1),"")</f>
        <v/>
      </c>
      <c r="T869" s="208">
        <f>IF(NOT($L$832),"",IF($G869&lt;nr_MStartP,$S869,$T857*(1+IF($G869&lt;nr_MStartP1,$M$832,$N$832))))</f>
        <v/>
      </c>
      <c r="U869" s="208">
        <f>IF($L$832,$T869,$N869)</f>
        <v/>
      </c>
    </row>
    <row r="870">
      <c r="A870" s="145" t="n">
        <v>36</v>
      </c>
      <c r="B870" s="204">
        <f>EDATE($B869,1)</f>
        <v/>
      </c>
      <c r="C870" s="205">
        <f>EOMONTH($B870,0)</f>
        <v/>
      </c>
      <c r="D870" s="201">
        <f>$C870-$B870+1</f>
        <v/>
      </c>
      <c r="E870" s="201">
        <f>MONTH($B870)</f>
        <v/>
      </c>
      <c r="F870" s="235">
        <f>($B870+$C870+1)/2</f>
        <v/>
      </c>
      <c r="G870" s="201">
        <f>YEAR($B870)*12+MONTH($B870)-1</f>
        <v/>
      </c>
      <c r="H870" s="207">
        <f>IF(OR(nr_SeasonOn="OFF",$D$832=0,$E$832=0),1,12*INDEX(se_block,$D$832,$E870)/$E$832)</f>
        <v/>
      </c>
      <c r="I870" s="208">
        <f>EXP(SUMPRODUCT((rl_eff&lt;$B870)*(rl_key=$A$832)*rl_ln1p))</f>
        <v/>
      </c>
      <c r="J870" s="208">
        <f>EXP(SUMPRODUCT((rl_eff&lt;=$C870)*(rl_key=$A$832)*rl_ln1p))</f>
        <v/>
      </c>
      <c r="K870" s="201">
        <f>COUNTIFS(rl_key,$A$832,rl_eff,"&gt;="&amp;$B870,rl_eff,"&lt;="&amp;$C870)</f>
        <v/>
      </c>
      <c r="L870" s="201">
        <f>SUMIFS(rl_daysafter,rl_key,$A$832,rl_effmonth,$B870,rl_first,1)</f>
        <v/>
      </c>
      <c r="M870" s="209">
        <f>IF($K870=0,0,MIN(1,$L870/$D870))</f>
        <v/>
      </c>
      <c r="N870" s="208">
        <f>IF($K870=0,$J870,(1-$M870)*$I870+$M870*$J870)</f>
        <v/>
      </c>
      <c r="O870" s="209">
        <f>IF($F870&lt;$B$833,$E$833+$I$833*($F870-$A$833),IF($F870&lt;$C$833,$F$833+$J$833*($F870-$B$833),$G$833+$K$833*($F870-$C$833)))</f>
        <v/>
      </c>
      <c r="P870" s="208">
        <f>MIN(1,MAX(0,(nr_MEndPm1-$G870+0.5)/$C$832))-MIN(1,MAX(0,(nr_MStartPm1-1-$G870+0.5)/$C$832))</f>
        <v/>
      </c>
      <c r="Q870" s="208">
        <f>MIN(1,MAX(0,(nr_MEndP-$G870+0.5)/$C$832))-MIN(1,MAX(0,(nr_MStartP-1-$G870+0.5)/$C$832))</f>
        <v/>
      </c>
      <c r="R870" s="208">
        <f>MIN(1,MAX(0,(nr_MEndP1-$G870+0.5)/$C$832))-MIN(1,MAX(0,(nr_MStartP1-1-$G870+0.5)/$C$832))</f>
        <v/>
      </c>
      <c r="S870" s="208">
        <f>IF($L$832,$N870*IF($O$832=1,$O870/$F$832,1),"")</f>
        <v/>
      </c>
      <c r="T870" s="208">
        <f>IF(NOT($L$832),"",IF($G870&lt;nr_MStartP,$S870,$T858*(1+IF($G870&lt;nr_MStartP1,$M$832,$N$832))))</f>
        <v/>
      </c>
      <c r="U870" s="208">
        <f>IF($L$832,$T870,$N870)</f>
        <v/>
      </c>
    </row>
    <row r="871">
      <c r="A871" s="145" t="n">
        <v>37</v>
      </c>
      <c r="B871" s="204">
        <f>EDATE($B870,1)</f>
        <v/>
      </c>
      <c r="C871" s="205">
        <f>EOMONTH($B871,0)</f>
        <v/>
      </c>
      <c r="D871" s="201">
        <f>$C871-$B871+1</f>
        <v/>
      </c>
      <c r="E871" s="201">
        <f>MONTH($B871)</f>
        <v/>
      </c>
      <c r="F871" s="235">
        <f>($B871+$C871+1)/2</f>
        <v/>
      </c>
      <c r="G871" s="201">
        <f>YEAR($B871)*12+MONTH($B871)-1</f>
        <v/>
      </c>
      <c r="H871" s="207">
        <f>IF(OR(nr_SeasonOn="OFF",$D$832=0,$E$832=0),1,12*INDEX(se_block,$D$832,$E871)/$E$832)</f>
        <v/>
      </c>
      <c r="I871" s="208">
        <f>EXP(SUMPRODUCT((rl_eff&lt;$B871)*(rl_key=$A$832)*rl_ln1p))</f>
        <v/>
      </c>
      <c r="J871" s="208">
        <f>EXP(SUMPRODUCT((rl_eff&lt;=$C871)*(rl_key=$A$832)*rl_ln1p))</f>
        <v/>
      </c>
      <c r="K871" s="201">
        <f>COUNTIFS(rl_key,$A$832,rl_eff,"&gt;="&amp;$B871,rl_eff,"&lt;="&amp;$C871)</f>
        <v/>
      </c>
      <c r="L871" s="201">
        <f>SUMIFS(rl_daysafter,rl_key,$A$832,rl_effmonth,$B871,rl_first,1)</f>
        <v/>
      </c>
      <c r="M871" s="209">
        <f>IF($K871=0,0,MIN(1,$L871/$D871))</f>
        <v/>
      </c>
      <c r="N871" s="208">
        <f>IF($K871=0,$J871,(1-$M871)*$I871+$M871*$J871)</f>
        <v/>
      </c>
      <c r="O871" s="209">
        <f>IF($F871&lt;$B$833,$E$833+$I$833*($F871-$A$833),IF($F871&lt;$C$833,$F$833+$J$833*($F871-$B$833),$G$833+$K$833*($F871-$C$833)))</f>
        <v/>
      </c>
      <c r="P871" s="208">
        <f>MIN(1,MAX(0,(nr_MEndPm1-$G871+0.5)/$C$832))-MIN(1,MAX(0,(nr_MStartPm1-1-$G871+0.5)/$C$832))</f>
        <v/>
      </c>
      <c r="Q871" s="208">
        <f>MIN(1,MAX(0,(nr_MEndP-$G871+0.5)/$C$832))-MIN(1,MAX(0,(nr_MStartP-1-$G871+0.5)/$C$832))</f>
        <v/>
      </c>
      <c r="R871" s="208">
        <f>MIN(1,MAX(0,(nr_MEndP1-$G871+0.5)/$C$832))-MIN(1,MAX(0,(nr_MStartP1-1-$G871+0.5)/$C$832))</f>
        <v/>
      </c>
      <c r="S871" s="208">
        <f>IF($L$832,$N871*IF($O$832=1,$O871/$F$832,1),"")</f>
        <v/>
      </c>
      <c r="T871" s="208">
        <f>IF(NOT($L$832),"",IF($G871&lt;nr_MStartP,$S871,$T859*(1+IF($G871&lt;nr_MStartP1,$M$832,$N$832))))</f>
        <v/>
      </c>
      <c r="U871" s="208">
        <f>IF($L$832,$T871,$N871)</f>
        <v/>
      </c>
    </row>
    <row r="872">
      <c r="A872" s="145" t="n">
        <v>38</v>
      </c>
      <c r="B872" s="204">
        <f>EDATE($B871,1)</f>
        <v/>
      </c>
      <c r="C872" s="205">
        <f>EOMONTH($B872,0)</f>
        <v/>
      </c>
      <c r="D872" s="201">
        <f>$C872-$B872+1</f>
        <v/>
      </c>
      <c r="E872" s="201">
        <f>MONTH($B872)</f>
        <v/>
      </c>
      <c r="F872" s="235">
        <f>($B872+$C872+1)/2</f>
        <v/>
      </c>
      <c r="G872" s="201">
        <f>YEAR($B872)*12+MONTH($B872)-1</f>
        <v/>
      </c>
      <c r="H872" s="207">
        <f>IF(OR(nr_SeasonOn="OFF",$D$832=0,$E$832=0),1,12*INDEX(se_block,$D$832,$E872)/$E$832)</f>
        <v/>
      </c>
      <c r="I872" s="208">
        <f>EXP(SUMPRODUCT((rl_eff&lt;$B872)*(rl_key=$A$832)*rl_ln1p))</f>
        <v/>
      </c>
      <c r="J872" s="208">
        <f>EXP(SUMPRODUCT((rl_eff&lt;=$C872)*(rl_key=$A$832)*rl_ln1p))</f>
        <v/>
      </c>
      <c r="K872" s="201">
        <f>COUNTIFS(rl_key,$A$832,rl_eff,"&gt;="&amp;$B872,rl_eff,"&lt;="&amp;$C872)</f>
        <v/>
      </c>
      <c r="L872" s="201">
        <f>SUMIFS(rl_daysafter,rl_key,$A$832,rl_effmonth,$B872,rl_first,1)</f>
        <v/>
      </c>
      <c r="M872" s="209">
        <f>IF($K872=0,0,MIN(1,$L872/$D872))</f>
        <v/>
      </c>
      <c r="N872" s="208">
        <f>IF($K872=0,$J872,(1-$M872)*$I872+$M872*$J872)</f>
        <v/>
      </c>
      <c r="O872" s="209">
        <f>IF($F872&lt;$B$833,$E$833+$I$833*($F872-$A$833),IF($F872&lt;$C$833,$F$833+$J$833*($F872-$B$833),$G$833+$K$833*($F872-$C$833)))</f>
        <v/>
      </c>
      <c r="P872" s="208">
        <f>MIN(1,MAX(0,(nr_MEndPm1-$G872+0.5)/$C$832))-MIN(1,MAX(0,(nr_MStartPm1-1-$G872+0.5)/$C$832))</f>
        <v/>
      </c>
      <c r="Q872" s="208">
        <f>MIN(1,MAX(0,(nr_MEndP-$G872+0.5)/$C$832))-MIN(1,MAX(0,(nr_MStartP-1-$G872+0.5)/$C$832))</f>
        <v/>
      </c>
      <c r="R872" s="208">
        <f>MIN(1,MAX(0,(nr_MEndP1-$G872+0.5)/$C$832))-MIN(1,MAX(0,(nr_MStartP1-1-$G872+0.5)/$C$832))</f>
        <v/>
      </c>
      <c r="S872" s="208">
        <f>IF($L$832,$N872*IF($O$832=1,$O872/$F$832,1),"")</f>
        <v/>
      </c>
      <c r="T872" s="208">
        <f>IF(NOT($L$832),"",IF($G872&lt;nr_MStartP,$S872,$T860*(1+IF($G872&lt;nr_MStartP1,$M$832,$N$832))))</f>
        <v/>
      </c>
      <c r="U872" s="208">
        <f>IF($L$832,$T872,$N872)</f>
        <v/>
      </c>
    </row>
    <row r="873">
      <c r="A873" s="145" t="n">
        <v>39</v>
      </c>
      <c r="B873" s="204">
        <f>EDATE($B872,1)</f>
        <v/>
      </c>
      <c r="C873" s="205">
        <f>EOMONTH($B873,0)</f>
        <v/>
      </c>
      <c r="D873" s="201">
        <f>$C873-$B873+1</f>
        <v/>
      </c>
      <c r="E873" s="201">
        <f>MONTH($B873)</f>
        <v/>
      </c>
      <c r="F873" s="235">
        <f>($B873+$C873+1)/2</f>
        <v/>
      </c>
      <c r="G873" s="201">
        <f>YEAR($B873)*12+MONTH($B873)-1</f>
        <v/>
      </c>
      <c r="H873" s="207">
        <f>IF(OR(nr_SeasonOn="OFF",$D$832=0,$E$832=0),1,12*INDEX(se_block,$D$832,$E873)/$E$832)</f>
        <v/>
      </c>
      <c r="I873" s="208">
        <f>EXP(SUMPRODUCT((rl_eff&lt;$B873)*(rl_key=$A$832)*rl_ln1p))</f>
        <v/>
      </c>
      <c r="J873" s="208">
        <f>EXP(SUMPRODUCT((rl_eff&lt;=$C873)*(rl_key=$A$832)*rl_ln1p))</f>
        <v/>
      </c>
      <c r="K873" s="201">
        <f>COUNTIFS(rl_key,$A$832,rl_eff,"&gt;="&amp;$B873,rl_eff,"&lt;="&amp;$C873)</f>
        <v/>
      </c>
      <c r="L873" s="201">
        <f>SUMIFS(rl_daysafter,rl_key,$A$832,rl_effmonth,$B873,rl_first,1)</f>
        <v/>
      </c>
      <c r="M873" s="209">
        <f>IF($K873=0,0,MIN(1,$L873/$D873))</f>
        <v/>
      </c>
      <c r="N873" s="208">
        <f>IF($K873=0,$J873,(1-$M873)*$I873+$M873*$J873)</f>
        <v/>
      </c>
      <c r="O873" s="209">
        <f>IF($F873&lt;$B$833,$E$833+$I$833*($F873-$A$833),IF($F873&lt;$C$833,$F$833+$J$833*($F873-$B$833),$G$833+$K$833*($F873-$C$833)))</f>
        <v/>
      </c>
      <c r="P873" s="208">
        <f>MIN(1,MAX(0,(nr_MEndPm1-$G873+0.5)/$C$832))-MIN(1,MAX(0,(nr_MStartPm1-1-$G873+0.5)/$C$832))</f>
        <v/>
      </c>
      <c r="Q873" s="208">
        <f>MIN(1,MAX(0,(nr_MEndP-$G873+0.5)/$C$832))-MIN(1,MAX(0,(nr_MStartP-1-$G873+0.5)/$C$832))</f>
        <v/>
      </c>
      <c r="R873" s="208">
        <f>MIN(1,MAX(0,(nr_MEndP1-$G873+0.5)/$C$832))-MIN(1,MAX(0,(nr_MStartP1-1-$G873+0.5)/$C$832))</f>
        <v/>
      </c>
      <c r="S873" s="208">
        <f>IF($L$832,$N873*IF($O$832=1,$O873/$F$832,1),"")</f>
        <v/>
      </c>
      <c r="T873" s="208">
        <f>IF(NOT($L$832),"",IF($G873&lt;nr_MStartP,$S873,$T861*(1+IF($G873&lt;nr_MStartP1,$M$832,$N$832))))</f>
        <v/>
      </c>
      <c r="U873" s="208">
        <f>IF($L$832,$T873,$N873)</f>
        <v/>
      </c>
    </row>
    <row r="874">
      <c r="A874" s="145" t="n">
        <v>40</v>
      </c>
      <c r="B874" s="204">
        <f>EDATE($B873,1)</f>
        <v/>
      </c>
      <c r="C874" s="205">
        <f>EOMONTH($B874,0)</f>
        <v/>
      </c>
      <c r="D874" s="201">
        <f>$C874-$B874+1</f>
        <v/>
      </c>
      <c r="E874" s="201">
        <f>MONTH($B874)</f>
        <v/>
      </c>
      <c r="F874" s="235">
        <f>($B874+$C874+1)/2</f>
        <v/>
      </c>
      <c r="G874" s="201">
        <f>YEAR($B874)*12+MONTH($B874)-1</f>
        <v/>
      </c>
      <c r="H874" s="207">
        <f>IF(OR(nr_SeasonOn="OFF",$D$832=0,$E$832=0),1,12*INDEX(se_block,$D$832,$E874)/$E$832)</f>
        <v/>
      </c>
      <c r="I874" s="208">
        <f>EXP(SUMPRODUCT((rl_eff&lt;$B874)*(rl_key=$A$832)*rl_ln1p))</f>
        <v/>
      </c>
      <c r="J874" s="208">
        <f>EXP(SUMPRODUCT((rl_eff&lt;=$C874)*(rl_key=$A$832)*rl_ln1p))</f>
        <v/>
      </c>
      <c r="K874" s="201">
        <f>COUNTIFS(rl_key,$A$832,rl_eff,"&gt;="&amp;$B874,rl_eff,"&lt;="&amp;$C874)</f>
        <v/>
      </c>
      <c r="L874" s="201">
        <f>SUMIFS(rl_daysafter,rl_key,$A$832,rl_effmonth,$B874,rl_first,1)</f>
        <v/>
      </c>
      <c r="M874" s="209">
        <f>IF($K874=0,0,MIN(1,$L874/$D874))</f>
        <v/>
      </c>
      <c r="N874" s="208">
        <f>IF($K874=0,$J874,(1-$M874)*$I874+$M874*$J874)</f>
        <v/>
      </c>
      <c r="O874" s="209">
        <f>IF($F874&lt;$B$833,$E$833+$I$833*($F874-$A$833),IF($F874&lt;$C$833,$F$833+$J$833*($F874-$B$833),$G$833+$K$833*($F874-$C$833)))</f>
        <v/>
      </c>
      <c r="P874" s="208">
        <f>MIN(1,MAX(0,(nr_MEndPm1-$G874+0.5)/$C$832))-MIN(1,MAX(0,(nr_MStartPm1-1-$G874+0.5)/$C$832))</f>
        <v/>
      </c>
      <c r="Q874" s="208">
        <f>MIN(1,MAX(0,(nr_MEndP-$G874+0.5)/$C$832))-MIN(1,MAX(0,(nr_MStartP-1-$G874+0.5)/$C$832))</f>
        <v/>
      </c>
      <c r="R874" s="208">
        <f>MIN(1,MAX(0,(nr_MEndP1-$G874+0.5)/$C$832))-MIN(1,MAX(0,(nr_MStartP1-1-$G874+0.5)/$C$832))</f>
        <v/>
      </c>
      <c r="S874" s="208">
        <f>IF($L$832,$N874*IF($O$832=1,$O874/$F$832,1),"")</f>
        <v/>
      </c>
      <c r="T874" s="208">
        <f>IF(NOT($L$832),"",IF($G874&lt;nr_MStartP,$S874,$T862*(1+IF($G874&lt;nr_MStartP1,$M$832,$N$832))))</f>
        <v/>
      </c>
      <c r="U874" s="208">
        <f>IF($L$832,$T874,$N874)</f>
        <v/>
      </c>
    </row>
    <row r="875">
      <c r="A875" s="145" t="n">
        <v>41</v>
      </c>
      <c r="B875" s="204">
        <f>EDATE($B874,1)</f>
        <v/>
      </c>
      <c r="C875" s="205">
        <f>EOMONTH($B875,0)</f>
        <v/>
      </c>
      <c r="D875" s="201">
        <f>$C875-$B875+1</f>
        <v/>
      </c>
      <c r="E875" s="201">
        <f>MONTH($B875)</f>
        <v/>
      </c>
      <c r="F875" s="235">
        <f>($B875+$C875+1)/2</f>
        <v/>
      </c>
      <c r="G875" s="201">
        <f>YEAR($B875)*12+MONTH($B875)-1</f>
        <v/>
      </c>
      <c r="H875" s="207">
        <f>IF(OR(nr_SeasonOn="OFF",$D$832=0,$E$832=0),1,12*INDEX(se_block,$D$832,$E875)/$E$832)</f>
        <v/>
      </c>
      <c r="I875" s="208">
        <f>EXP(SUMPRODUCT((rl_eff&lt;$B875)*(rl_key=$A$832)*rl_ln1p))</f>
        <v/>
      </c>
      <c r="J875" s="208">
        <f>EXP(SUMPRODUCT((rl_eff&lt;=$C875)*(rl_key=$A$832)*rl_ln1p))</f>
        <v/>
      </c>
      <c r="K875" s="201">
        <f>COUNTIFS(rl_key,$A$832,rl_eff,"&gt;="&amp;$B875,rl_eff,"&lt;="&amp;$C875)</f>
        <v/>
      </c>
      <c r="L875" s="201">
        <f>SUMIFS(rl_daysafter,rl_key,$A$832,rl_effmonth,$B875,rl_first,1)</f>
        <v/>
      </c>
      <c r="M875" s="209">
        <f>IF($K875=0,0,MIN(1,$L875/$D875))</f>
        <v/>
      </c>
      <c r="N875" s="208">
        <f>IF($K875=0,$J875,(1-$M875)*$I875+$M875*$J875)</f>
        <v/>
      </c>
      <c r="O875" s="209">
        <f>IF($F875&lt;$B$833,$E$833+$I$833*($F875-$A$833),IF($F875&lt;$C$833,$F$833+$J$833*($F875-$B$833),$G$833+$K$833*($F875-$C$833)))</f>
        <v/>
      </c>
      <c r="P875" s="208">
        <f>MIN(1,MAX(0,(nr_MEndPm1-$G875+0.5)/$C$832))-MIN(1,MAX(0,(nr_MStartPm1-1-$G875+0.5)/$C$832))</f>
        <v/>
      </c>
      <c r="Q875" s="208">
        <f>MIN(1,MAX(0,(nr_MEndP-$G875+0.5)/$C$832))-MIN(1,MAX(0,(nr_MStartP-1-$G875+0.5)/$C$832))</f>
        <v/>
      </c>
      <c r="R875" s="208">
        <f>MIN(1,MAX(0,(nr_MEndP1-$G875+0.5)/$C$832))-MIN(1,MAX(0,(nr_MStartP1-1-$G875+0.5)/$C$832))</f>
        <v/>
      </c>
      <c r="S875" s="208">
        <f>IF($L$832,$N875*IF($O$832=1,$O875/$F$832,1),"")</f>
        <v/>
      </c>
      <c r="T875" s="208">
        <f>IF(NOT($L$832),"",IF($G875&lt;nr_MStartP,$S875,$T863*(1+IF($G875&lt;nr_MStartP1,$M$832,$N$832))))</f>
        <v/>
      </c>
      <c r="U875" s="208">
        <f>IF($L$832,$T875,$N875)</f>
        <v/>
      </c>
    </row>
    <row r="876">
      <c r="A876" s="145" t="n">
        <v>42</v>
      </c>
      <c r="B876" s="204">
        <f>EDATE($B875,1)</f>
        <v/>
      </c>
      <c r="C876" s="205">
        <f>EOMONTH($B876,0)</f>
        <v/>
      </c>
      <c r="D876" s="201">
        <f>$C876-$B876+1</f>
        <v/>
      </c>
      <c r="E876" s="201">
        <f>MONTH($B876)</f>
        <v/>
      </c>
      <c r="F876" s="235">
        <f>($B876+$C876+1)/2</f>
        <v/>
      </c>
      <c r="G876" s="201">
        <f>YEAR($B876)*12+MONTH($B876)-1</f>
        <v/>
      </c>
      <c r="H876" s="207">
        <f>IF(OR(nr_SeasonOn="OFF",$D$832=0,$E$832=0),1,12*INDEX(se_block,$D$832,$E876)/$E$832)</f>
        <v/>
      </c>
      <c r="I876" s="208">
        <f>EXP(SUMPRODUCT((rl_eff&lt;$B876)*(rl_key=$A$832)*rl_ln1p))</f>
        <v/>
      </c>
      <c r="J876" s="208">
        <f>EXP(SUMPRODUCT((rl_eff&lt;=$C876)*(rl_key=$A$832)*rl_ln1p))</f>
        <v/>
      </c>
      <c r="K876" s="201">
        <f>COUNTIFS(rl_key,$A$832,rl_eff,"&gt;="&amp;$B876,rl_eff,"&lt;="&amp;$C876)</f>
        <v/>
      </c>
      <c r="L876" s="201">
        <f>SUMIFS(rl_daysafter,rl_key,$A$832,rl_effmonth,$B876,rl_first,1)</f>
        <v/>
      </c>
      <c r="M876" s="209">
        <f>IF($K876=0,0,MIN(1,$L876/$D876))</f>
        <v/>
      </c>
      <c r="N876" s="208">
        <f>IF($K876=0,$J876,(1-$M876)*$I876+$M876*$J876)</f>
        <v/>
      </c>
      <c r="O876" s="209">
        <f>IF($F876&lt;$B$833,$E$833+$I$833*($F876-$A$833),IF($F876&lt;$C$833,$F$833+$J$833*($F876-$B$833),$G$833+$K$833*($F876-$C$833)))</f>
        <v/>
      </c>
      <c r="P876" s="208">
        <f>MIN(1,MAX(0,(nr_MEndPm1-$G876+0.5)/$C$832))-MIN(1,MAX(0,(nr_MStartPm1-1-$G876+0.5)/$C$832))</f>
        <v/>
      </c>
      <c r="Q876" s="208">
        <f>MIN(1,MAX(0,(nr_MEndP-$G876+0.5)/$C$832))-MIN(1,MAX(0,(nr_MStartP-1-$G876+0.5)/$C$832))</f>
        <v/>
      </c>
      <c r="R876" s="208">
        <f>MIN(1,MAX(0,(nr_MEndP1-$G876+0.5)/$C$832))-MIN(1,MAX(0,(nr_MStartP1-1-$G876+0.5)/$C$832))</f>
        <v/>
      </c>
      <c r="S876" s="208">
        <f>IF($L$832,$N876*IF($O$832=1,$O876/$F$832,1),"")</f>
        <v/>
      </c>
      <c r="T876" s="208">
        <f>IF(NOT($L$832),"",IF($G876&lt;nr_MStartP,$S876,$T864*(1+IF($G876&lt;nr_MStartP1,$M$832,$N$832))))</f>
        <v/>
      </c>
      <c r="U876" s="208">
        <f>IF($L$832,$T876,$N876)</f>
        <v/>
      </c>
    </row>
    <row r="877">
      <c r="A877" s="145" t="n">
        <v>43</v>
      </c>
      <c r="B877" s="204">
        <f>EDATE($B876,1)</f>
        <v/>
      </c>
      <c r="C877" s="205">
        <f>EOMONTH($B877,0)</f>
        <v/>
      </c>
      <c r="D877" s="201">
        <f>$C877-$B877+1</f>
        <v/>
      </c>
      <c r="E877" s="201">
        <f>MONTH($B877)</f>
        <v/>
      </c>
      <c r="F877" s="235">
        <f>($B877+$C877+1)/2</f>
        <v/>
      </c>
      <c r="G877" s="201">
        <f>YEAR($B877)*12+MONTH($B877)-1</f>
        <v/>
      </c>
      <c r="H877" s="207">
        <f>IF(OR(nr_SeasonOn="OFF",$D$832=0,$E$832=0),1,12*INDEX(se_block,$D$832,$E877)/$E$832)</f>
        <v/>
      </c>
      <c r="I877" s="208">
        <f>EXP(SUMPRODUCT((rl_eff&lt;$B877)*(rl_key=$A$832)*rl_ln1p))</f>
        <v/>
      </c>
      <c r="J877" s="208">
        <f>EXP(SUMPRODUCT((rl_eff&lt;=$C877)*(rl_key=$A$832)*rl_ln1p))</f>
        <v/>
      </c>
      <c r="K877" s="201">
        <f>COUNTIFS(rl_key,$A$832,rl_eff,"&gt;="&amp;$B877,rl_eff,"&lt;="&amp;$C877)</f>
        <v/>
      </c>
      <c r="L877" s="201">
        <f>SUMIFS(rl_daysafter,rl_key,$A$832,rl_effmonth,$B877,rl_first,1)</f>
        <v/>
      </c>
      <c r="M877" s="209">
        <f>IF($K877=0,0,MIN(1,$L877/$D877))</f>
        <v/>
      </c>
      <c r="N877" s="208">
        <f>IF($K877=0,$J877,(1-$M877)*$I877+$M877*$J877)</f>
        <v/>
      </c>
      <c r="O877" s="209">
        <f>IF($F877&lt;$B$833,$E$833+$I$833*($F877-$A$833),IF($F877&lt;$C$833,$F$833+$J$833*($F877-$B$833),$G$833+$K$833*($F877-$C$833)))</f>
        <v/>
      </c>
      <c r="P877" s="208">
        <f>MIN(1,MAX(0,(nr_MEndPm1-$G877+0.5)/$C$832))-MIN(1,MAX(0,(nr_MStartPm1-1-$G877+0.5)/$C$832))</f>
        <v/>
      </c>
      <c r="Q877" s="208">
        <f>MIN(1,MAX(0,(nr_MEndP-$G877+0.5)/$C$832))-MIN(1,MAX(0,(nr_MStartP-1-$G877+0.5)/$C$832))</f>
        <v/>
      </c>
      <c r="R877" s="208">
        <f>MIN(1,MAX(0,(nr_MEndP1-$G877+0.5)/$C$832))-MIN(1,MAX(0,(nr_MStartP1-1-$G877+0.5)/$C$832))</f>
        <v/>
      </c>
      <c r="S877" s="208">
        <f>IF($L$832,$N877*IF($O$832=1,$O877/$F$832,1),"")</f>
        <v/>
      </c>
      <c r="T877" s="208">
        <f>IF(NOT($L$832),"",IF($G877&lt;nr_MStartP,$S877,$T865*(1+IF($G877&lt;nr_MStartP1,$M$832,$N$832))))</f>
        <v/>
      </c>
      <c r="U877" s="208">
        <f>IF($L$832,$T877,$N877)</f>
        <v/>
      </c>
    </row>
    <row r="878">
      <c r="A878" s="145" t="n">
        <v>44</v>
      </c>
      <c r="B878" s="204">
        <f>EDATE($B877,1)</f>
        <v/>
      </c>
      <c r="C878" s="205">
        <f>EOMONTH($B878,0)</f>
        <v/>
      </c>
      <c r="D878" s="201">
        <f>$C878-$B878+1</f>
        <v/>
      </c>
      <c r="E878" s="201">
        <f>MONTH($B878)</f>
        <v/>
      </c>
      <c r="F878" s="235">
        <f>($B878+$C878+1)/2</f>
        <v/>
      </c>
      <c r="G878" s="201">
        <f>YEAR($B878)*12+MONTH($B878)-1</f>
        <v/>
      </c>
      <c r="H878" s="207">
        <f>IF(OR(nr_SeasonOn="OFF",$D$832=0,$E$832=0),1,12*INDEX(se_block,$D$832,$E878)/$E$832)</f>
        <v/>
      </c>
      <c r="I878" s="208">
        <f>EXP(SUMPRODUCT((rl_eff&lt;$B878)*(rl_key=$A$832)*rl_ln1p))</f>
        <v/>
      </c>
      <c r="J878" s="208">
        <f>EXP(SUMPRODUCT((rl_eff&lt;=$C878)*(rl_key=$A$832)*rl_ln1p))</f>
        <v/>
      </c>
      <c r="K878" s="201">
        <f>COUNTIFS(rl_key,$A$832,rl_eff,"&gt;="&amp;$B878,rl_eff,"&lt;="&amp;$C878)</f>
        <v/>
      </c>
      <c r="L878" s="201">
        <f>SUMIFS(rl_daysafter,rl_key,$A$832,rl_effmonth,$B878,rl_first,1)</f>
        <v/>
      </c>
      <c r="M878" s="209">
        <f>IF($K878=0,0,MIN(1,$L878/$D878))</f>
        <v/>
      </c>
      <c r="N878" s="208">
        <f>IF($K878=0,$J878,(1-$M878)*$I878+$M878*$J878)</f>
        <v/>
      </c>
      <c r="O878" s="209">
        <f>IF($F878&lt;$B$833,$E$833+$I$833*($F878-$A$833),IF($F878&lt;$C$833,$F$833+$J$833*($F878-$B$833),$G$833+$K$833*($F878-$C$833)))</f>
        <v/>
      </c>
      <c r="P878" s="208">
        <f>MIN(1,MAX(0,(nr_MEndPm1-$G878+0.5)/$C$832))-MIN(1,MAX(0,(nr_MStartPm1-1-$G878+0.5)/$C$832))</f>
        <v/>
      </c>
      <c r="Q878" s="208">
        <f>MIN(1,MAX(0,(nr_MEndP-$G878+0.5)/$C$832))-MIN(1,MAX(0,(nr_MStartP-1-$G878+0.5)/$C$832))</f>
        <v/>
      </c>
      <c r="R878" s="208">
        <f>MIN(1,MAX(0,(nr_MEndP1-$G878+0.5)/$C$832))-MIN(1,MAX(0,(nr_MStartP1-1-$G878+0.5)/$C$832))</f>
        <v/>
      </c>
      <c r="S878" s="208">
        <f>IF($L$832,$N878*IF($O$832=1,$O878/$F$832,1),"")</f>
        <v/>
      </c>
      <c r="T878" s="208">
        <f>IF(NOT($L$832),"",IF($G878&lt;nr_MStartP,$S878,$T866*(1+IF($G878&lt;nr_MStartP1,$M$832,$N$832))))</f>
        <v/>
      </c>
      <c r="U878" s="208">
        <f>IF($L$832,$T878,$N878)</f>
        <v/>
      </c>
    </row>
    <row r="879">
      <c r="A879" s="145" t="n">
        <v>45</v>
      </c>
      <c r="B879" s="204">
        <f>EDATE($B878,1)</f>
        <v/>
      </c>
      <c r="C879" s="205">
        <f>EOMONTH($B879,0)</f>
        <v/>
      </c>
      <c r="D879" s="201">
        <f>$C879-$B879+1</f>
        <v/>
      </c>
      <c r="E879" s="201">
        <f>MONTH($B879)</f>
        <v/>
      </c>
      <c r="F879" s="235">
        <f>($B879+$C879+1)/2</f>
        <v/>
      </c>
      <c r="G879" s="201">
        <f>YEAR($B879)*12+MONTH($B879)-1</f>
        <v/>
      </c>
      <c r="H879" s="207">
        <f>IF(OR(nr_SeasonOn="OFF",$D$832=0,$E$832=0),1,12*INDEX(se_block,$D$832,$E879)/$E$832)</f>
        <v/>
      </c>
      <c r="I879" s="208">
        <f>EXP(SUMPRODUCT((rl_eff&lt;$B879)*(rl_key=$A$832)*rl_ln1p))</f>
        <v/>
      </c>
      <c r="J879" s="208">
        <f>EXP(SUMPRODUCT((rl_eff&lt;=$C879)*(rl_key=$A$832)*rl_ln1p))</f>
        <v/>
      </c>
      <c r="K879" s="201">
        <f>COUNTIFS(rl_key,$A$832,rl_eff,"&gt;="&amp;$B879,rl_eff,"&lt;="&amp;$C879)</f>
        <v/>
      </c>
      <c r="L879" s="201">
        <f>SUMIFS(rl_daysafter,rl_key,$A$832,rl_effmonth,$B879,rl_first,1)</f>
        <v/>
      </c>
      <c r="M879" s="209">
        <f>IF($K879=0,0,MIN(1,$L879/$D879))</f>
        <v/>
      </c>
      <c r="N879" s="208">
        <f>IF($K879=0,$J879,(1-$M879)*$I879+$M879*$J879)</f>
        <v/>
      </c>
      <c r="O879" s="209">
        <f>IF($F879&lt;$B$833,$E$833+$I$833*($F879-$A$833),IF($F879&lt;$C$833,$F$833+$J$833*($F879-$B$833),$G$833+$K$833*($F879-$C$833)))</f>
        <v/>
      </c>
      <c r="P879" s="208">
        <f>MIN(1,MAX(0,(nr_MEndPm1-$G879+0.5)/$C$832))-MIN(1,MAX(0,(nr_MStartPm1-1-$G879+0.5)/$C$832))</f>
        <v/>
      </c>
      <c r="Q879" s="208">
        <f>MIN(1,MAX(0,(nr_MEndP-$G879+0.5)/$C$832))-MIN(1,MAX(0,(nr_MStartP-1-$G879+0.5)/$C$832))</f>
        <v/>
      </c>
      <c r="R879" s="208">
        <f>MIN(1,MAX(0,(nr_MEndP1-$G879+0.5)/$C$832))-MIN(1,MAX(0,(nr_MStartP1-1-$G879+0.5)/$C$832))</f>
        <v/>
      </c>
      <c r="S879" s="208">
        <f>IF($L$832,$N879*IF($O$832=1,$O879/$F$832,1),"")</f>
        <v/>
      </c>
      <c r="T879" s="208">
        <f>IF(NOT($L$832),"",IF($G879&lt;nr_MStartP,$S879,$T867*(1+IF($G879&lt;nr_MStartP1,$M$832,$N$832))))</f>
        <v/>
      </c>
      <c r="U879" s="208">
        <f>IF($L$832,$T879,$N879)</f>
        <v/>
      </c>
    </row>
    <row r="880">
      <c r="A880" s="145" t="n">
        <v>46</v>
      </c>
      <c r="B880" s="204">
        <f>EDATE($B879,1)</f>
        <v/>
      </c>
      <c r="C880" s="205">
        <f>EOMONTH($B880,0)</f>
        <v/>
      </c>
      <c r="D880" s="201">
        <f>$C880-$B880+1</f>
        <v/>
      </c>
      <c r="E880" s="201">
        <f>MONTH($B880)</f>
        <v/>
      </c>
      <c r="F880" s="235">
        <f>($B880+$C880+1)/2</f>
        <v/>
      </c>
      <c r="G880" s="201">
        <f>YEAR($B880)*12+MONTH($B880)-1</f>
        <v/>
      </c>
      <c r="H880" s="207">
        <f>IF(OR(nr_SeasonOn="OFF",$D$832=0,$E$832=0),1,12*INDEX(se_block,$D$832,$E880)/$E$832)</f>
        <v/>
      </c>
      <c r="I880" s="208">
        <f>EXP(SUMPRODUCT((rl_eff&lt;$B880)*(rl_key=$A$832)*rl_ln1p))</f>
        <v/>
      </c>
      <c r="J880" s="208">
        <f>EXP(SUMPRODUCT((rl_eff&lt;=$C880)*(rl_key=$A$832)*rl_ln1p))</f>
        <v/>
      </c>
      <c r="K880" s="201">
        <f>COUNTIFS(rl_key,$A$832,rl_eff,"&gt;="&amp;$B880,rl_eff,"&lt;="&amp;$C880)</f>
        <v/>
      </c>
      <c r="L880" s="201">
        <f>SUMIFS(rl_daysafter,rl_key,$A$832,rl_effmonth,$B880,rl_first,1)</f>
        <v/>
      </c>
      <c r="M880" s="209">
        <f>IF($K880=0,0,MIN(1,$L880/$D880))</f>
        <v/>
      </c>
      <c r="N880" s="208">
        <f>IF($K880=0,$J880,(1-$M880)*$I880+$M880*$J880)</f>
        <v/>
      </c>
      <c r="O880" s="209">
        <f>IF($F880&lt;$B$833,$E$833+$I$833*($F880-$A$833),IF($F880&lt;$C$833,$F$833+$J$833*($F880-$B$833),$G$833+$K$833*($F880-$C$833)))</f>
        <v/>
      </c>
      <c r="P880" s="208">
        <f>MIN(1,MAX(0,(nr_MEndPm1-$G880+0.5)/$C$832))-MIN(1,MAX(0,(nr_MStartPm1-1-$G880+0.5)/$C$832))</f>
        <v/>
      </c>
      <c r="Q880" s="208">
        <f>MIN(1,MAX(0,(nr_MEndP-$G880+0.5)/$C$832))-MIN(1,MAX(0,(nr_MStartP-1-$G880+0.5)/$C$832))</f>
        <v/>
      </c>
      <c r="R880" s="208">
        <f>MIN(1,MAX(0,(nr_MEndP1-$G880+0.5)/$C$832))-MIN(1,MAX(0,(nr_MStartP1-1-$G880+0.5)/$C$832))</f>
        <v/>
      </c>
      <c r="S880" s="208">
        <f>IF($L$832,$N880*IF($O$832=1,$O880/$F$832,1),"")</f>
        <v/>
      </c>
      <c r="T880" s="208">
        <f>IF(NOT($L$832),"",IF($G880&lt;nr_MStartP,$S880,$T868*(1+IF($G880&lt;nr_MStartP1,$M$832,$N$832))))</f>
        <v/>
      </c>
      <c r="U880" s="208">
        <f>IF($L$832,$T880,$N880)</f>
        <v/>
      </c>
    </row>
    <row r="881">
      <c r="A881" s="145" t="n">
        <v>47</v>
      </c>
      <c r="B881" s="204">
        <f>EDATE($B880,1)</f>
        <v/>
      </c>
      <c r="C881" s="205">
        <f>EOMONTH($B881,0)</f>
        <v/>
      </c>
      <c r="D881" s="201">
        <f>$C881-$B881+1</f>
        <v/>
      </c>
      <c r="E881" s="201">
        <f>MONTH($B881)</f>
        <v/>
      </c>
      <c r="F881" s="235">
        <f>($B881+$C881+1)/2</f>
        <v/>
      </c>
      <c r="G881" s="201">
        <f>YEAR($B881)*12+MONTH($B881)-1</f>
        <v/>
      </c>
      <c r="H881" s="207">
        <f>IF(OR(nr_SeasonOn="OFF",$D$832=0,$E$832=0),1,12*INDEX(se_block,$D$832,$E881)/$E$832)</f>
        <v/>
      </c>
      <c r="I881" s="208">
        <f>EXP(SUMPRODUCT((rl_eff&lt;$B881)*(rl_key=$A$832)*rl_ln1p))</f>
        <v/>
      </c>
      <c r="J881" s="208">
        <f>EXP(SUMPRODUCT((rl_eff&lt;=$C881)*(rl_key=$A$832)*rl_ln1p))</f>
        <v/>
      </c>
      <c r="K881" s="201">
        <f>COUNTIFS(rl_key,$A$832,rl_eff,"&gt;="&amp;$B881,rl_eff,"&lt;="&amp;$C881)</f>
        <v/>
      </c>
      <c r="L881" s="201">
        <f>SUMIFS(rl_daysafter,rl_key,$A$832,rl_effmonth,$B881,rl_first,1)</f>
        <v/>
      </c>
      <c r="M881" s="209">
        <f>IF($K881=0,0,MIN(1,$L881/$D881))</f>
        <v/>
      </c>
      <c r="N881" s="208">
        <f>IF($K881=0,$J881,(1-$M881)*$I881+$M881*$J881)</f>
        <v/>
      </c>
      <c r="O881" s="209">
        <f>IF($F881&lt;$B$833,$E$833+$I$833*($F881-$A$833),IF($F881&lt;$C$833,$F$833+$J$833*($F881-$B$833),$G$833+$K$833*($F881-$C$833)))</f>
        <v/>
      </c>
      <c r="P881" s="208">
        <f>MIN(1,MAX(0,(nr_MEndPm1-$G881+0.5)/$C$832))-MIN(1,MAX(0,(nr_MStartPm1-1-$G881+0.5)/$C$832))</f>
        <v/>
      </c>
      <c r="Q881" s="208">
        <f>MIN(1,MAX(0,(nr_MEndP-$G881+0.5)/$C$832))-MIN(1,MAX(0,(nr_MStartP-1-$G881+0.5)/$C$832))</f>
        <v/>
      </c>
      <c r="R881" s="208">
        <f>MIN(1,MAX(0,(nr_MEndP1-$G881+0.5)/$C$832))-MIN(1,MAX(0,(nr_MStartP1-1-$G881+0.5)/$C$832))</f>
        <v/>
      </c>
      <c r="S881" s="208">
        <f>IF($L$832,$N881*IF($O$832=1,$O881/$F$832,1),"")</f>
        <v/>
      </c>
      <c r="T881" s="208">
        <f>IF(NOT($L$832),"",IF($G881&lt;nr_MStartP,$S881,$T869*(1+IF($G881&lt;nr_MStartP1,$M$832,$N$832))))</f>
        <v/>
      </c>
      <c r="U881" s="208">
        <f>IF($L$832,$T881,$N881)</f>
        <v/>
      </c>
    </row>
    <row r="882">
      <c r="A882" s="145" t="n">
        <v>48</v>
      </c>
      <c r="B882" s="204">
        <f>EDATE($B881,1)</f>
        <v/>
      </c>
      <c r="C882" s="205">
        <f>EOMONTH($B882,0)</f>
        <v/>
      </c>
      <c r="D882" s="201">
        <f>$C882-$B882+1</f>
        <v/>
      </c>
      <c r="E882" s="201">
        <f>MONTH($B882)</f>
        <v/>
      </c>
      <c r="F882" s="235">
        <f>($B882+$C882+1)/2</f>
        <v/>
      </c>
      <c r="G882" s="201">
        <f>YEAR($B882)*12+MONTH($B882)-1</f>
        <v/>
      </c>
      <c r="H882" s="207">
        <f>IF(OR(nr_SeasonOn="OFF",$D$832=0,$E$832=0),1,12*INDEX(se_block,$D$832,$E882)/$E$832)</f>
        <v/>
      </c>
      <c r="I882" s="208">
        <f>EXP(SUMPRODUCT((rl_eff&lt;$B882)*(rl_key=$A$832)*rl_ln1p))</f>
        <v/>
      </c>
      <c r="J882" s="208">
        <f>EXP(SUMPRODUCT((rl_eff&lt;=$C882)*(rl_key=$A$832)*rl_ln1p))</f>
        <v/>
      </c>
      <c r="K882" s="201">
        <f>COUNTIFS(rl_key,$A$832,rl_eff,"&gt;="&amp;$B882,rl_eff,"&lt;="&amp;$C882)</f>
        <v/>
      </c>
      <c r="L882" s="201">
        <f>SUMIFS(rl_daysafter,rl_key,$A$832,rl_effmonth,$B882,rl_first,1)</f>
        <v/>
      </c>
      <c r="M882" s="209">
        <f>IF($K882=0,0,MIN(1,$L882/$D882))</f>
        <v/>
      </c>
      <c r="N882" s="208">
        <f>IF($K882=0,$J882,(1-$M882)*$I882+$M882*$J882)</f>
        <v/>
      </c>
      <c r="O882" s="209">
        <f>IF($F882&lt;$B$833,$E$833+$I$833*($F882-$A$833),IF($F882&lt;$C$833,$F$833+$J$833*($F882-$B$833),$G$833+$K$833*($F882-$C$833)))</f>
        <v/>
      </c>
      <c r="P882" s="208">
        <f>MIN(1,MAX(0,(nr_MEndPm1-$G882+0.5)/$C$832))-MIN(1,MAX(0,(nr_MStartPm1-1-$G882+0.5)/$C$832))</f>
        <v/>
      </c>
      <c r="Q882" s="208">
        <f>MIN(1,MAX(0,(nr_MEndP-$G882+0.5)/$C$832))-MIN(1,MAX(0,(nr_MStartP-1-$G882+0.5)/$C$832))</f>
        <v/>
      </c>
      <c r="R882" s="208">
        <f>MIN(1,MAX(0,(nr_MEndP1-$G882+0.5)/$C$832))-MIN(1,MAX(0,(nr_MStartP1-1-$G882+0.5)/$C$832))</f>
        <v/>
      </c>
      <c r="S882" s="208">
        <f>IF($L$832,$N882*IF($O$832=1,$O882/$F$832,1),"")</f>
        <v/>
      </c>
      <c r="T882" s="208">
        <f>IF(NOT($L$832),"",IF($G882&lt;nr_MStartP,$S882,$T870*(1+IF($G882&lt;nr_MStartP1,$M$832,$N$832))))</f>
        <v/>
      </c>
      <c r="U882" s="208">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184">
        <f>SUMPRODUCT($H$835:$H$882,$Q$835:$Q$882,$O$835:$O$882)/SUMPRODUCT($H$835:$H$882,$Q$835:$Q$882)</f>
        <v/>
      </c>
      <c r="G883" s="184">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184">
        <f>IF(N(INDEX(lr_mind,16))=0,1,INDEX(lr_mind,16))</f>
        <v/>
      </c>
      <c r="G886" s="184">
        <f>IF(N(INDEX(lr_m0,16))=0,1,INDEX(lr_m0,16))</f>
        <v/>
      </c>
      <c r="H886" s="73">
        <f>IF(N(INDEX(lr_m0asof,16))=0,DATE(nr_PlanYear-1,10,1),INDEX(lr_m0asof,16))</f>
        <v/>
      </c>
      <c r="I886" s="184">
        <f>IF(N(INDEX(lr_m1,16))=0,1,INDEX(lr_m1,16))</f>
        <v/>
      </c>
      <c r="J886" s="184">
        <f>INDEX(lr_mprior,16)</f>
        <v/>
      </c>
      <c r="K886" s="184">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145" t="n">
        <v>1</v>
      </c>
      <c r="B889" s="204">
        <f>DATE(nr_PlanYear-2,1,1)</f>
        <v/>
      </c>
      <c r="C889" s="205">
        <f>EOMONTH($B889,0)</f>
        <v/>
      </c>
      <c r="D889" s="201">
        <f>$C889-$B889+1</f>
        <v/>
      </c>
      <c r="E889" s="201">
        <f>MONTH($B889)</f>
        <v/>
      </c>
      <c r="F889" s="235">
        <f>($B889+$C889+1)/2</f>
        <v/>
      </c>
      <c r="G889" s="201">
        <f>YEAR($B889)*12+MONTH($B889)-1</f>
        <v/>
      </c>
      <c r="H889" s="207">
        <f>IF(OR(nr_SeasonOn="OFF",$D$886=0,$E$886=0),1,12*INDEX(se_block,$D$886,$E889)/$E$886)</f>
        <v/>
      </c>
      <c r="I889" s="208">
        <f>EXP(SUMPRODUCT((rl_eff&lt;$B889)*(rl_key=$A$886)*rl_ln1p))</f>
        <v/>
      </c>
      <c r="J889" s="208">
        <f>EXP(SUMPRODUCT((rl_eff&lt;=$C889)*(rl_key=$A$886)*rl_ln1p))</f>
        <v/>
      </c>
      <c r="K889" s="201">
        <f>COUNTIFS(rl_key,$A$886,rl_eff,"&gt;="&amp;$B889,rl_eff,"&lt;="&amp;$C889)</f>
        <v/>
      </c>
      <c r="L889" s="201">
        <f>SUMIFS(rl_daysafter,rl_key,$A$886,rl_effmonth,$B889,rl_first,1)</f>
        <v/>
      </c>
      <c r="M889" s="209">
        <f>IF($K889=0,0,MIN(1,$L889/$D889))</f>
        <v/>
      </c>
      <c r="N889" s="208">
        <f>IF($K889=0,$J889,(1-$M889)*$I889+$M889*$J889)</f>
        <v/>
      </c>
      <c r="O889" s="209">
        <f>IF($F889&lt;$B$887,$E$887+$I$887*($F889-$A$887),IF($F889&lt;$C$887,$F$887+$J$887*($F889-$B$887),$G$887+$K$887*($F889-$C$887)))</f>
        <v/>
      </c>
      <c r="P889" s="208">
        <f>MIN(1,MAX(0,(nr_MEndPm1-$G889+0.5)/$C$886))-MIN(1,MAX(0,(nr_MStartPm1-1-$G889+0.5)/$C$886))</f>
        <v/>
      </c>
      <c r="Q889" s="208">
        <f>MIN(1,MAX(0,(nr_MEndP-$G889+0.5)/$C$886))-MIN(1,MAX(0,(nr_MStartP-1-$G889+0.5)/$C$886))</f>
        <v/>
      </c>
      <c r="R889" s="208">
        <f>MIN(1,MAX(0,(nr_MEndP1-$G889+0.5)/$C$886))-MIN(1,MAX(0,(nr_MStartP1-1-$G889+0.5)/$C$886))</f>
        <v/>
      </c>
      <c r="S889" s="208">
        <f>IF($L$886,$N889*IF($O$886=1,$O889/$F$886,1),"")</f>
        <v/>
      </c>
      <c r="T889" s="208">
        <f>IF(NOT($L$886),"",IF($G889&lt;nr_MStartP,$S889,$T877*(1+IF($G889&lt;nr_MStartP1,$M$886,$N$886))))</f>
        <v/>
      </c>
      <c r="U889" s="208">
        <f>IF($L$886,$T889,$N889)</f>
        <v/>
      </c>
    </row>
    <row r="890">
      <c r="A890" s="145" t="n">
        <v>2</v>
      </c>
      <c r="B890" s="204">
        <f>EDATE($B889,1)</f>
        <v/>
      </c>
      <c r="C890" s="205">
        <f>EOMONTH($B890,0)</f>
        <v/>
      </c>
      <c r="D890" s="201">
        <f>$C890-$B890+1</f>
        <v/>
      </c>
      <c r="E890" s="201">
        <f>MONTH($B890)</f>
        <v/>
      </c>
      <c r="F890" s="235">
        <f>($B890+$C890+1)/2</f>
        <v/>
      </c>
      <c r="G890" s="201">
        <f>YEAR($B890)*12+MONTH($B890)-1</f>
        <v/>
      </c>
      <c r="H890" s="207">
        <f>IF(OR(nr_SeasonOn="OFF",$D$886=0,$E$886=0),1,12*INDEX(se_block,$D$886,$E890)/$E$886)</f>
        <v/>
      </c>
      <c r="I890" s="208">
        <f>EXP(SUMPRODUCT((rl_eff&lt;$B890)*(rl_key=$A$886)*rl_ln1p))</f>
        <v/>
      </c>
      <c r="J890" s="208">
        <f>EXP(SUMPRODUCT((rl_eff&lt;=$C890)*(rl_key=$A$886)*rl_ln1p))</f>
        <v/>
      </c>
      <c r="K890" s="201">
        <f>COUNTIFS(rl_key,$A$886,rl_eff,"&gt;="&amp;$B890,rl_eff,"&lt;="&amp;$C890)</f>
        <v/>
      </c>
      <c r="L890" s="201">
        <f>SUMIFS(rl_daysafter,rl_key,$A$886,rl_effmonth,$B890,rl_first,1)</f>
        <v/>
      </c>
      <c r="M890" s="209">
        <f>IF($K890=0,0,MIN(1,$L890/$D890))</f>
        <v/>
      </c>
      <c r="N890" s="208">
        <f>IF($K890=0,$J890,(1-$M890)*$I890+$M890*$J890)</f>
        <v/>
      </c>
      <c r="O890" s="209">
        <f>IF($F890&lt;$B$887,$E$887+$I$887*($F890-$A$887),IF($F890&lt;$C$887,$F$887+$J$887*($F890-$B$887),$G$887+$K$887*($F890-$C$887)))</f>
        <v/>
      </c>
      <c r="P890" s="208">
        <f>MIN(1,MAX(0,(nr_MEndPm1-$G890+0.5)/$C$886))-MIN(1,MAX(0,(nr_MStartPm1-1-$G890+0.5)/$C$886))</f>
        <v/>
      </c>
      <c r="Q890" s="208">
        <f>MIN(1,MAX(0,(nr_MEndP-$G890+0.5)/$C$886))-MIN(1,MAX(0,(nr_MStartP-1-$G890+0.5)/$C$886))</f>
        <v/>
      </c>
      <c r="R890" s="208">
        <f>MIN(1,MAX(0,(nr_MEndP1-$G890+0.5)/$C$886))-MIN(1,MAX(0,(nr_MStartP1-1-$G890+0.5)/$C$886))</f>
        <v/>
      </c>
      <c r="S890" s="208">
        <f>IF($L$886,$N890*IF($O$886=1,$O890/$F$886,1),"")</f>
        <v/>
      </c>
      <c r="T890" s="208">
        <f>IF(NOT($L$886),"",IF($G890&lt;nr_MStartP,$S890,$T878*(1+IF($G890&lt;nr_MStartP1,$M$886,$N$886))))</f>
        <v/>
      </c>
      <c r="U890" s="208">
        <f>IF($L$886,$T890,$N890)</f>
        <v/>
      </c>
    </row>
    <row r="891">
      <c r="A891" s="145" t="n">
        <v>3</v>
      </c>
      <c r="B891" s="204">
        <f>EDATE($B890,1)</f>
        <v/>
      </c>
      <c r="C891" s="205">
        <f>EOMONTH($B891,0)</f>
        <v/>
      </c>
      <c r="D891" s="201">
        <f>$C891-$B891+1</f>
        <v/>
      </c>
      <c r="E891" s="201">
        <f>MONTH($B891)</f>
        <v/>
      </c>
      <c r="F891" s="235">
        <f>($B891+$C891+1)/2</f>
        <v/>
      </c>
      <c r="G891" s="201">
        <f>YEAR($B891)*12+MONTH($B891)-1</f>
        <v/>
      </c>
      <c r="H891" s="207">
        <f>IF(OR(nr_SeasonOn="OFF",$D$886=0,$E$886=0),1,12*INDEX(se_block,$D$886,$E891)/$E$886)</f>
        <v/>
      </c>
      <c r="I891" s="208">
        <f>EXP(SUMPRODUCT((rl_eff&lt;$B891)*(rl_key=$A$886)*rl_ln1p))</f>
        <v/>
      </c>
      <c r="J891" s="208">
        <f>EXP(SUMPRODUCT((rl_eff&lt;=$C891)*(rl_key=$A$886)*rl_ln1p))</f>
        <v/>
      </c>
      <c r="K891" s="201">
        <f>COUNTIFS(rl_key,$A$886,rl_eff,"&gt;="&amp;$B891,rl_eff,"&lt;="&amp;$C891)</f>
        <v/>
      </c>
      <c r="L891" s="201">
        <f>SUMIFS(rl_daysafter,rl_key,$A$886,rl_effmonth,$B891,rl_first,1)</f>
        <v/>
      </c>
      <c r="M891" s="209">
        <f>IF($K891=0,0,MIN(1,$L891/$D891))</f>
        <v/>
      </c>
      <c r="N891" s="208">
        <f>IF($K891=0,$J891,(1-$M891)*$I891+$M891*$J891)</f>
        <v/>
      </c>
      <c r="O891" s="209">
        <f>IF($F891&lt;$B$887,$E$887+$I$887*($F891-$A$887),IF($F891&lt;$C$887,$F$887+$J$887*($F891-$B$887),$G$887+$K$887*($F891-$C$887)))</f>
        <v/>
      </c>
      <c r="P891" s="208">
        <f>MIN(1,MAX(0,(nr_MEndPm1-$G891+0.5)/$C$886))-MIN(1,MAX(0,(nr_MStartPm1-1-$G891+0.5)/$C$886))</f>
        <v/>
      </c>
      <c r="Q891" s="208">
        <f>MIN(1,MAX(0,(nr_MEndP-$G891+0.5)/$C$886))-MIN(1,MAX(0,(nr_MStartP-1-$G891+0.5)/$C$886))</f>
        <v/>
      </c>
      <c r="R891" s="208">
        <f>MIN(1,MAX(0,(nr_MEndP1-$G891+0.5)/$C$886))-MIN(1,MAX(0,(nr_MStartP1-1-$G891+0.5)/$C$886))</f>
        <v/>
      </c>
      <c r="S891" s="208">
        <f>IF($L$886,$N891*IF($O$886=1,$O891/$F$886,1),"")</f>
        <v/>
      </c>
      <c r="T891" s="208">
        <f>IF(NOT($L$886),"",IF($G891&lt;nr_MStartP,$S891,$T879*(1+IF($G891&lt;nr_MStartP1,$M$886,$N$886))))</f>
        <v/>
      </c>
      <c r="U891" s="208">
        <f>IF($L$886,$T891,$N891)</f>
        <v/>
      </c>
    </row>
    <row r="892">
      <c r="A892" s="145" t="n">
        <v>4</v>
      </c>
      <c r="B892" s="204">
        <f>EDATE($B891,1)</f>
        <v/>
      </c>
      <c r="C892" s="205">
        <f>EOMONTH($B892,0)</f>
        <v/>
      </c>
      <c r="D892" s="201">
        <f>$C892-$B892+1</f>
        <v/>
      </c>
      <c r="E892" s="201">
        <f>MONTH($B892)</f>
        <v/>
      </c>
      <c r="F892" s="235">
        <f>($B892+$C892+1)/2</f>
        <v/>
      </c>
      <c r="G892" s="201">
        <f>YEAR($B892)*12+MONTH($B892)-1</f>
        <v/>
      </c>
      <c r="H892" s="207">
        <f>IF(OR(nr_SeasonOn="OFF",$D$886=0,$E$886=0),1,12*INDEX(se_block,$D$886,$E892)/$E$886)</f>
        <v/>
      </c>
      <c r="I892" s="208">
        <f>EXP(SUMPRODUCT((rl_eff&lt;$B892)*(rl_key=$A$886)*rl_ln1p))</f>
        <v/>
      </c>
      <c r="J892" s="208">
        <f>EXP(SUMPRODUCT((rl_eff&lt;=$C892)*(rl_key=$A$886)*rl_ln1p))</f>
        <v/>
      </c>
      <c r="K892" s="201">
        <f>COUNTIFS(rl_key,$A$886,rl_eff,"&gt;="&amp;$B892,rl_eff,"&lt;="&amp;$C892)</f>
        <v/>
      </c>
      <c r="L892" s="201">
        <f>SUMIFS(rl_daysafter,rl_key,$A$886,rl_effmonth,$B892,rl_first,1)</f>
        <v/>
      </c>
      <c r="M892" s="209">
        <f>IF($K892=0,0,MIN(1,$L892/$D892))</f>
        <v/>
      </c>
      <c r="N892" s="208">
        <f>IF($K892=0,$J892,(1-$M892)*$I892+$M892*$J892)</f>
        <v/>
      </c>
      <c r="O892" s="209">
        <f>IF($F892&lt;$B$887,$E$887+$I$887*($F892-$A$887),IF($F892&lt;$C$887,$F$887+$J$887*($F892-$B$887),$G$887+$K$887*($F892-$C$887)))</f>
        <v/>
      </c>
      <c r="P892" s="208">
        <f>MIN(1,MAX(0,(nr_MEndPm1-$G892+0.5)/$C$886))-MIN(1,MAX(0,(nr_MStartPm1-1-$G892+0.5)/$C$886))</f>
        <v/>
      </c>
      <c r="Q892" s="208">
        <f>MIN(1,MAX(0,(nr_MEndP-$G892+0.5)/$C$886))-MIN(1,MAX(0,(nr_MStartP-1-$G892+0.5)/$C$886))</f>
        <v/>
      </c>
      <c r="R892" s="208">
        <f>MIN(1,MAX(0,(nr_MEndP1-$G892+0.5)/$C$886))-MIN(1,MAX(0,(nr_MStartP1-1-$G892+0.5)/$C$886))</f>
        <v/>
      </c>
      <c r="S892" s="208">
        <f>IF($L$886,$N892*IF($O$886=1,$O892/$F$886,1),"")</f>
        <v/>
      </c>
      <c r="T892" s="208">
        <f>IF(NOT($L$886),"",IF($G892&lt;nr_MStartP,$S892,$T880*(1+IF($G892&lt;nr_MStartP1,$M$886,$N$886))))</f>
        <v/>
      </c>
      <c r="U892" s="208">
        <f>IF($L$886,$T892,$N892)</f>
        <v/>
      </c>
    </row>
    <row r="893">
      <c r="A893" s="145" t="n">
        <v>5</v>
      </c>
      <c r="B893" s="204">
        <f>EDATE($B892,1)</f>
        <v/>
      </c>
      <c r="C893" s="205">
        <f>EOMONTH($B893,0)</f>
        <v/>
      </c>
      <c r="D893" s="201">
        <f>$C893-$B893+1</f>
        <v/>
      </c>
      <c r="E893" s="201">
        <f>MONTH($B893)</f>
        <v/>
      </c>
      <c r="F893" s="235">
        <f>($B893+$C893+1)/2</f>
        <v/>
      </c>
      <c r="G893" s="201">
        <f>YEAR($B893)*12+MONTH($B893)-1</f>
        <v/>
      </c>
      <c r="H893" s="207">
        <f>IF(OR(nr_SeasonOn="OFF",$D$886=0,$E$886=0),1,12*INDEX(se_block,$D$886,$E893)/$E$886)</f>
        <v/>
      </c>
      <c r="I893" s="208">
        <f>EXP(SUMPRODUCT((rl_eff&lt;$B893)*(rl_key=$A$886)*rl_ln1p))</f>
        <v/>
      </c>
      <c r="J893" s="208">
        <f>EXP(SUMPRODUCT((rl_eff&lt;=$C893)*(rl_key=$A$886)*rl_ln1p))</f>
        <v/>
      </c>
      <c r="K893" s="201">
        <f>COUNTIFS(rl_key,$A$886,rl_eff,"&gt;="&amp;$B893,rl_eff,"&lt;="&amp;$C893)</f>
        <v/>
      </c>
      <c r="L893" s="201">
        <f>SUMIFS(rl_daysafter,rl_key,$A$886,rl_effmonth,$B893,rl_first,1)</f>
        <v/>
      </c>
      <c r="M893" s="209">
        <f>IF($K893=0,0,MIN(1,$L893/$D893))</f>
        <v/>
      </c>
      <c r="N893" s="208">
        <f>IF($K893=0,$J893,(1-$M893)*$I893+$M893*$J893)</f>
        <v/>
      </c>
      <c r="O893" s="209">
        <f>IF($F893&lt;$B$887,$E$887+$I$887*($F893-$A$887),IF($F893&lt;$C$887,$F$887+$J$887*($F893-$B$887),$G$887+$K$887*($F893-$C$887)))</f>
        <v/>
      </c>
      <c r="P893" s="208">
        <f>MIN(1,MAX(0,(nr_MEndPm1-$G893+0.5)/$C$886))-MIN(1,MAX(0,(nr_MStartPm1-1-$G893+0.5)/$C$886))</f>
        <v/>
      </c>
      <c r="Q893" s="208">
        <f>MIN(1,MAX(0,(nr_MEndP-$G893+0.5)/$C$886))-MIN(1,MAX(0,(nr_MStartP-1-$G893+0.5)/$C$886))</f>
        <v/>
      </c>
      <c r="R893" s="208">
        <f>MIN(1,MAX(0,(nr_MEndP1-$G893+0.5)/$C$886))-MIN(1,MAX(0,(nr_MStartP1-1-$G893+0.5)/$C$886))</f>
        <v/>
      </c>
      <c r="S893" s="208">
        <f>IF($L$886,$N893*IF($O$886=1,$O893/$F$886,1),"")</f>
        <v/>
      </c>
      <c r="T893" s="208">
        <f>IF(NOT($L$886),"",IF($G893&lt;nr_MStartP,$S893,$T881*(1+IF($G893&lt;nr_MStartP1,$M$886,$N$886))))</f>
        <v/>
      </c>
      <c r="U893" s="208">
        <f>IF($L$886,$T893,$N893)</f>
        <v/>
      </c>
    </row>
    <row r="894">
      <c r="A894" s="145" t="n">
        <v>6</v>
      </c>
      <c r="B894" s="204">
        <f>EDATE($B893,1)</f>
        <v/>
      </c>
      <c r="C894" s="205">
        <f>EOMONTH($B894,0)</f>
        <v/>
      </c>
      <c r="D894" s="201">
        <f>$C894-$B894+1</f>
        <v/>
      </c>
      <c r="E894" s="201">
        <f>MONTH($B894)</f>
        <v/>
      </c>
      <c r="F894" s="235">
        <f>($B894+$C894+1)/2</f>
        <v/>
      </c>
      <c r="G894" s="201">
        <f>YEAR($B894)*12+MONTH($B894)-1</f>
        <v/>
      </c>
      <c r="H894" s="207">
        <f>IF(OR(nr_SeasonOn="OFF",$D$886=0,$E$886=0),1,12*INDEX(se_block,$D$886,$E894)/$E$886)</f>
        <v/>
      </c>
      <c r="I894" s="208">
        <f>EXP(SUMPRODUCT((rl_eff&lt;$B894)*(rl_key=$A$886)*rl_ln1p))</f>
        <v/>
      </c>
      <c r="J894" s="208">
        <f>EXP(SUMPRODUCT((rl_eff&lt;=$C894)*(rl_key=$A$886)*rl_ln1p))</f>
        <v/>
      </c>
      <c r="K894" s="201">
        <f>COUNTIFS(rl_key,$A$886,rl_eff,"&gt;="&amp;$B894,rl_eff,"&lt;="&amp;$C894)</f>
        <v/>
      </c>
      <c r="L894" s="201">
        <f>SUMIFS(rl_daysafter,rl_key,$A$886,rl_effmonth,$B894,rl_first,1)</f>
        <v/>
      </c>
      <c r="M894" s="209">
        <f>IF($K894=0,0,MIN(1,$L894/$D894))</f>
        <v/>
      </c>
      <c r="N894" s="208">
        <f>IF($K894=0,$J894,(1-$M894)*$I894+$M894*$J894)</f>
        <v/>
      </c>
      <c r="O894" s="209">
        <f>IF($F894&lt;$B$887,$E$887+$I$887*($F894-$A$887),IF($F894&lt;$C$887,$F$887+$J$887*($F894-$B$887),$G$887+$K$887*($F894-$C$887)))</f>
        <v/>
      </c>
      <c r="P894" s="208">
        <f>MIN(1,MAX(0,(nr_MEndPm1-$G894+0.5)/$C$886))-MIN(1,MAX(0,(nr_MStartPm1-1-$G894+0.5)/$C$886))</f>
        <v/>
      </c>
      <c r="Q894" s="208">
        <f>MIN(1,MAX(0,(nr_MEndP-$G894+0.5)/$C$886))-MIN(1,MAX(0,(nr_MStartP-1-$G894+0.5)/$C$886))</f>
        <v/>
      </c>
      <c r="R894" s="208">
        <f>MIN(1,MAX(0,(nr_MEndP1-$G894+0.5)/$C$886))-MIN(1,MAX(0,(nr_MStartP1-1-$G894+0.5)/$C$886))</f>
        <v/>
      </c>
      <c r="S894" s="208">
        <f>IF($L$886,$N894*IF($O$886=1,$O894/$F$886,1),"")</f>
        <v/>
      </c>
      <c r="T894" s="208">
        <f>IF(NOT($L$886),"",IF($G894&lt;nr_MStartP,$S894,$T882*(1+IF($G894&lt;nr_MStartP1,$M$886,$N$886))))</f>
        <v/>
      </c>
      <c r="U894" s="208">
        <f>IF($L$886,$T894,$N894)</f>
        <v/>
      </c>
    </row>
    <row r="895">
      <c r="A895" s="145" t="n">
        <v>7</v>
      </c>
      <c r="B895" s="204">
        <f>EDATE($B894,1)</f>
        <v/>
      </c>
      <c r="C895" s="205">
        <f>EOMONTH($B895,0)</f>
        <v/>
      </c>
      <c r="D895" s="201">
        <f>$C895-$B895+1</f>
        <v/>
      </c>
      <c r="E895" s="201">
        <f>MONTH($B895)</f>
        <v/>
      </c>
      <c r="F895" s="235">
        <f>($B895+$C895+1)/2</f>
        <v/>
      </c>
      <c r="G895" s="201">
        <f>YEAR($B895)*12+MONTH($B895)-1</f>
        <v/>
      </c>
      <c r="H895" s="207">
        <f>IF(OR(nr_SeasonOn="OFF",$D$886=0,$E$886=0),1,12*INDEX(se_block,$D$886,$E895)/$E$886)</f>
        <v/>
      </c>
      <c r="I895" s="208">
        <f>EXP(SUMPRODUCT((rl_eff&lt;$B895)*(rl_key=$A$886)*rl_ln1p))</f>
        <v/>
      </c>
      <c r="J895" s="208">
        <f>EXP(SUMPRODUCT((rl_eff&lt;=$C895)*(rl_key=$A$886)*rl_ln1p))</f>
        <v/>
      </c>
      <c r="K895" s="201">
        <f>COUNTIFS(rl_key,$A$886,rl_eff,"&gt;="&amp;$B895,rl_eff,"&lt;="&amp;$C895)</f>
        <v/>
      </c>
      <c r="L895" s="201">
        <f>SUMIFS(rl_daysafter,rl_key,$A$886,rl_effmonth,$B895,rl_first,1)</f>
        <v/>
      </c>
      <c r="M895" s="209">
        <f>IF($K895=0,0,MIN(1,$L895/$D895))</f>
        <v/>
      </c>
      <c r="N895" s="208">
        <f>IF($K895=0,$J895,(1-$M895)*$I895+$M895*$J895)</f>
        <v/>
      </c>
      <c r="O895" s="209">
        <f>IF($F895&lt;$B$887,$E$887+$I$887*($F895-$A$887),IF($F895&lt;$C$887,$F$887+$J$887*($F895-$B$887),$G$887+$K$887*($F895-$C$887)))</f>
        <v/>
      </c>
      <c r="P895" s="208">
        <f>MIN(1,MAX(0,(nr_MEndPm1-$G895+0.5)/$C$886))-MIN(1,MAX(0,(nr_MStartPm1-1-$G895+0.5)/$C$886))</f>
        <v/>
      </c>
      <c r="Q895" s="208">
        <f>MIN(1,MAX(0,(nr_MEndP-$G895+0.5)/$C$886))-MIN(1,MAX(0,(nr_MStartP-1-$G895+0.5)/$C$886))</f>
        <v/>
      </c>
      <c r="R895" s="208">
        <f>MIN(1,MAX(0,(nr_MEndP1-$G895+0.5)/$C$886))-MIN(1,MAX(0,(nr_MStartP1-1-$G895+0.5)/$C$886))</f>
        <v/>
      </c>
      <c r="S895" s="208">
        <f>IF($L$886,$N895*IF($O$886=1,$O895/$F$886,1),"")</f>
        <v/>
      </c>
      <c r="T895" s="208">
        <f>IF(NOT($L$886),"",IF($G895&lt;nr_MStartP,$S895,$T883*(1+IF($G895&lt;nr_MStartP1,$M$886,$N$886))))</f>
        <v/>
      </c>
      <c r="U895" s="208">
        <f>IF($L$886,$T895,$N895)</f>
        <v/>
      </c>
    </row>
    <row r="896">
      <c r="A896" s="145" t="n">
        <v>8</v>
      </c>
      <c r="B896" s="204">
        <f>EDATE($B895,1)</f>
        <v/>
      </c>
      <c r="C896" s="205">
        <f>EOMONTH($B896,0)</f>
        <v/>
      </c>
      <c r="D896" s="201">
        <f>$C896-$B896+1</f>
        <v/>
      </c>
      <c r="E896" s="201">
        <f>MONTH($B896)</f>
        <v/>
      </c>
      <c r="F896" s="235">
        <f>($B896+$C896+1)/2</f>
        <v/>
      </c>
      <c r="G896" s="201">
        <f>YEAR($B896)*12+MONTH($B896)-1</f>
        <v/>
      </c>
      <c r="H896" s="207">
        <f>IF(OR(nr_SeasonOn="OFF",$D$886=0,$E$886=0),1,12*INDEX(se_block,$D$886,$E896)/$E$886)</f>
        <v/>
      </c>
      <c r="I896" s="208">
        <f>EXP(SUMPRODUCT((rl_eff&lt;$B896)*(rl_key=$A$886)*rl_ln1p))</f>
        <v/>
      </c>
      <c r="J896" s="208">
        <f>EXP(SUMPRODUCT((rl_eff&lt;=$C896)*(rl_key=$A$886)*rl_ln1p))</f>
        <v/>
      </c>
      <c r="K896" s="201">
        <f>COUNTIFS(rl_key,$A$886,rl_eff,"&gt;="&amp;$B896,rl_eff,"&lt;="&amp;$C896)</f>
        <v/>
      </c>
      <c r="L896" s="201">
        <f>SUMIFS(rl_daysafter,rl_key,$A$886,rl_effmonth,$B896,rl_first,1)</f>
        <v/>
      </c>
      <c r="M896" s="209">
        <f>IF($K896=0,0,MIN(1,$L896/$D896))</f>
        <v/>
      </c>
      <c r="N896" s="208">
        <f>IF($K896=0,$J896,(1-$M896)*$I896+$M896*$J896)</f>
        <v/>
      </c>
      <c r="O896" s="209">
        <f>IF($F896&lt;$B$887,$E$887+$I$887*($F896-$A$887),IF($F896&lt;$C$887,$F$887+$J$887*($F896-$B$887),$G$887+$K$887*($F896-$C$887)))</f>
        <v/>
      </c>
      <c r="P896" s="208">
        <f>MIN(1,MAX(0,(nr_MEndPm1-$G896+0.5)/$C$886))-MIN(1,MAX(0,(nr_MStartPm1-1-$G896+0.5)/$C$886))</f>
        <v/>
      </c>
      <c r="Q896" s="208">
        <f>MIN(1,MAX(0,(nr_MEndP-$G896+0.5)/$C$886))-MIN(1,MAX(0,(nr_MStartP-1-$G896+0.5)/$C$886))</f>
        <v/>
      </c>
      <c r="R896" s="208">
        <f>MIN(1,MAX(0,(nr_MEndP1-$G896+0.5)/$C$886))-MIN(1,MAX(0,(nr_MStartP1-1-$G896+0.5)/$C$886))</f>
        <v/>
      </c>
      <c r="S896" s="208">
        <f>IF($L$886,$N896*IF($O$886=1,$O896/$F$886,1),"")</f>
        <v/>
      </c>
      <c r="T896" s="208">
        <f>IF(NOT($L$886),"",IF($G896&lt;nr_MStartP,$S896,$T884*(1+IF($G896&lt;nr_MStartP1,$M$886,$N$886))))</f>
        <v/>
      </c>
      <c r="U896" s="208">
        <f>IF($L$886,$T896,$N896)</f>
        <v/>
      </c>
    </row>
    <row r="897">
      <c r="A897" s="145" t="n">
        <v>9</v>
      </c>
      <c r="B897" s="204">
        <f>EDATE($B896,1)</f>
        <v/>
      </c>
      <c r="C897" s="205">
        <f>EOMONTH($B897,0)</f>
        <v/>
      </c>
      <c r="D897" s="201">
        <f>$C897-$B897+1</f>
        <v/>
      </c>
      <c r="E897" s="201">
        <f>MONTH($B897)</f>
        <v/>
      </c>
      <c r="F897" s="235">
        <f>($B897+$C897+1)/2</f>
        <v/>
      </c>
      <c r="G897" s="201">
        <f>YEAR($B897)*12+MONTH($B897)-1</f>
        <v/>
      </c>
      <c r="H897" s="207">
        <f>IF(OR(nr_SeasonOn="OFF",$D$886=0,$E$886=0),1,12*INDEX(se_block,$D$886,$E897)/$E$886)</f>
        <v/>
      </c>
      <c r="I897" s="208">
        <f>EXP(SUMPRODUCT((rl_eff&lt;$B897)*(rl_key=$A$886)*rl_ln1p))</f>
        <v/>
      </c>
      <c r="J897" s="208">
        <f>EXP(SUMPRODUCT((rl_eff&lt;=$C897)*(rl_key=$A$886)*rl_ln1p))</f>
        <v/>
      </c>
      <c r="K897" s="201">
        <f>COUNTIFS(rl_key,$A$886,rl_eff,"&gt;="&amp;$B897,rl_eff,"&lt;="&amp;$C897)</f>
        <v/>
      </c>
      <c r="L897" s="201">
        <f>SUMIFS(rl_daysafter,rl_key,$A$886,rl_effmonth,$B897,rl_first,1)</f>
        <v/>
      </c>
      <c r="M897" s="209">
        <f>IF($K897=0,0,MIN(1,$L897/$D897))</f>
        <v/>
      </c>
      <c r="N897" s="208">
        <f>IF($K897=0,$J897,(1-$M897)*$I897+$M897*$J897)</f>
        <v/>
      </c>
      <c r="O897" s="209">
        <f>IF($F897&lt;$B$887,$E$887+$I$887*($F897-$A$887),IF($F897&lt;$C$887,$F$887+$J$887*($F897-$B$887),$G$887+$K$887*($F897-$C$887)))</f>
        <v/>
      </c>
      <c r="P897" s="208">
        <f>MIN(1,MAX(0,(nr_MEndPm1-$G897+0.5)/$C$886))-MIN(1,MAX(0,(nr_MStartPm1-1-$G897+0.5)/$C$886))</f>
        <v/>
      </c>
      <c r="Q897" s="208">
        <f>MIN(1,MAX(0,(nr_MEndP-$G897+0.5)/$C$886))-MIN(1,MAX(0,(nr_MStartP-1-$G897+0.5)/$C$886))</f>
        <v/>
      </c>
      <c r="R897" s="208">
        <f>MIN(1,MAX(0,(nr_MEndP1-$G897+0.5)/$C$886))-MIN(1,MAX(0,(nr_MStartP1-1-$G897+0.5)/$C$886))</f>
        <v/>
      </c>
      <c r="S897" s="208">
        <f>IF($L$886,$N897*IF($O$886=1,$O897/$F$886,1),"")</f>
        <v/>
      </c>
      <c r="T897" s="208">
        <f>IF(NOT($L$886),"",IF($G897&lt;nr_MStartP,$S897,$T885*(1+IF($G897&lt;nr_MStartP1,$M$886,$N$886))))</f>
        <v/>
      </c>
      <c r="U897" s="208">
        <f>IF($L$886,$T897,$N897)</f>
        <v/>
      </c>
    </row>
    <row r="898">
      <c r="A898" s="145" t="n">
        <v>10</v>
      </c>
      <c r="B898" s="204">
        <f>EDATE($B897,1)</f>
        <v/>
      </c>
      <c r="C898" s="205">
        <f>EOMONTH($B898,0)</f>
        <v/>
      </c>
      <c r="D898" s="201">
        <f>$C898-$B898+1</f>
        <v/>
      </c>
      <c r="E898" s="201">
        <f>MONTH($B898)</f>
        <v/>
      </c>
      <c r="F898" s="235">
        <f>($B898+$C898+1)/2</f>
        <v/>
      </c>
      <c r="G898" s="201">
        <f>YEAR($B898)*12+MONTH($B898)-1</f>
        <v/>
      </c>
      <c r="H898" s="207">
        <f>IF(OR(nr_SeasonOn="OFF",$D$886=0,$E$886=0),1,12*INDEX(se_block,$D$886,$E898)/$E$886)</f>
        <v/>
      </c>
      <c r="I898" s="208">
        <f>EXP(SUMPRODUCT((rl_eff&lt;$B898)*(rl_key=$A$886)*rl_ln1p))</f>
        <v/>
      </c>
      <c r="J898" s="208">
        <f>EXP(SUMPRODUCT((rl_eff&lt;=$C898)*(rl_key=$A$886)*rl_ln1p))</f>
        <v/>
      </c>
      <c r="K898" s="201">
        <f>COUNTIFS(rl_key,$A$886,rl_eff,"&gt;="&amp;$B898,rl_eff,"&lt;="&amp;$C898)</f>
        <v/>
      </c>
      <c r="L898" s="201">
        <f>SUMIFS(rl_daysafter,rl_key,$A$886,rl_effmonth,$B898,rl_first,1)</f>
        <v/>
      </c>
      <c r="M898" s="209">
        <f>IF($K898=0,0,MIN(1,$L898/$D898))</f>
        <v/>
      </c>
      <c r="N898" s="208">
        <f>IF($K898=0,$J898,(1-$M898)*$I898+$M898*$J898)</f>
        <v/>
      </c>
      <c r="O898" s="209">
        <f>IF($F898&lt;$B$887,$E$887+$I$887*($F898-$A$887),IF($F898&lt;$C$887,$F$887+$J$887*($F898-$B$887),$G$887+$K$887*($F898-$C$887)))</f>
        <v/>
      </c>
      <c r="P898" s="208">
        <f>MIN(1,MAX(0,(nr_MEndPm1-$G898+0.5)/$C$886))-MIN(1,MAX(0,(nr_MStartPm1-1-$G898+0.5)/$C$886))</f>
        <v/>
      </c>
      <c r="Q898" s="208">
        <f>MIN(1,MAX(0,(nr_MEndP-$G898+0.5)/$C$886))-MIN(1,MAX(0,(nr_MStartP-1-$G898+0.5)/$C$886))</f>
        <v/>
      </c>
      <c r="R898" s="208">
        <f>MIN(1,MAX(0,(nr_MEndP1-$G898+0.5)/$C$886))-MIN(1,MAX(0,(nr_MStartP1-1-$G898+0.5)/$C$886))</f>
        <v/>
      </c>
      <c r="S898" s="208">
        <f>IF($L$886,$N898*IF($O$886=1,$O898/$F$886,1),"")</f>
        <v/>
      </c>
      <c r="T898" s="208">
        <f>IF(NOT($L$886),"",IF($G898&lt;nr_MStartP,$S898,$T886*(1+IF($G898&lt;nr_MStartP1,$M$886,$N$886))))</f>
        <v/>
      </c>
      <c r="U898" s="208">
        <f>IF($L$886,$T898,$N898)</f>
        <v/>
      </c>
    </row>
    <row r="899">
      <c r="A899" s="145" t="n">
        <v>11</v>
      </c>
      <c r="B899" s="204">
        <f>EDATE($B898,1)</f>
        <v/>
      </c>
      <c r="C899" s="205">
        <f>EOMONTH($B899,0)</f>
        <v/>
      </c>
      <c r="D899" s="201">
        <f>$C899-$B899+1</f>
        <v/>
      </c>
      <c r="E899" s="201">
        <f>MONTH($B899)</f>
        <v/>
      </c>
      <c r="F899" s="235">
        <f>($B899+$C899+1)/2</f>
        <v/>
      </c>
      <c r="G899" s="201">
        <f>YEAR($B899)*12+MONTH($B899)-1</f>
        <v/>
      </c>
      <c r="H899" s="207">
        <f>IF(OR(nr_SeasonOn="OFF",$D$886=0,$E$886=0),1,12*INDEX(se_block,$D$886,$E899)/$E$886)</f>
        <v/>
      </c>
      <c r="I899" s="208">
        <f>EXP(SUMPRODUCT((rl_eff&lt;$B899)*(rl_key=$A$886)*rl_ln1p))</f>
        <v/>
      </c>
      <c r="J899" s="208">
        <f>EXP(SUMPRODUCT((rl_eff&lt;=$C899)*(rl_key=$A$886)*rl_ln1p))</f>
        <v/>
      </c>
      <c r="K899" s="201">
        <f>COUNTIFS(rl_key,$A$886,rl_eff,"&gt;="&amp;$B899,rl_eff,"&lt;="&amp;$C899)</f>
        <v/>
      </c>
      <c r="L899" s="201">
        <f>SUMIFS(rl_daysafter,rl_key,$A$886,rl_effmonth,$B899,rl_first,1)</f>
        <v/>
      </c>
      <c r="M899" s="209">
        <f>IF($K899=0,0,MIN(1,$L899/$D899))</f>
        <v/>
      </c>
      <c r="N899" s="208">
        <f>IF($K899=0,$J899,(1-$M899)*$I899+$M899*$J899)</f>
        <v/>
      </c>
      <c r="O899" s="209">
        <f>IF($F899&lt;$B$887,$E$887+$I$887*($F899-$A$887),IF($F899&lt;$C$887,$F$887+$J$887*($F899-$B$887),$G$887+$K$887*($F899-$C$887)))</f>
        <v/>
      </c>
      <c r="P899" s="208">
        <f>MIN(1,MAX(0,(nr_MEndPm1-$G899+0.5)/$C$886))-MIN(1,MAX(0,(nr_MStartPm1-1-$G899+0.5)/$C$886))</f>
        <v/>
      </c>
      <c r="Q899" s="208">
        <f>MIN(1,MAX(0,(nr_MEndP-$G899+0.5)/$C$886))-MIN(1,MAX(0,(nr_MStartP-1-$G899+0.5)/$C$886))</f>
        <v/>
      </c>
      <c r="R899" s="208">
        <f>MIN(1,MAX(0,(nr_MEndP1-$G899+0.5)/$C$886))-MIN(1,MAX(0,(nr_MStartP1-1-$G899+0.5)/$C$886))</f>
        <v/>
      </c>
      <c r="S899" s="208">
        <f>IF($L$886,$N899*IF($O$886=1,$O899/$F$886,1),"")</f>
        <v/>
      </c>
      <c r="T899" s="208">
        <f>IF(NOT($L$886),"",IF($G899&lt;nr_MStartP,$S899,$T887*(1+IF($G899&lt;nr_MStartP1,$M$886,$N$886))))</f>
        <v/>
      </c>
      <c r="U899" s="208">
        <f>IF($L$886,$T899,$N899)</f>
        <v/>
      </c>
    </row>
    <row r="900">
      <c r="A900" s="145" t="n">
        <v>12</v>
      </c>
      <c r="B900" s="204">
        <f>EDATE($B899,1)</f>
        <v/>
      </c>
      <c r="C900" s="205">
        <f>EOMONTH($B900,0)</f>
        <v/>
      </c>
      <c r="D900" s="201">
        <f>$C900-$B900+1</f>
        <v/>
      </c>
      <c r="E900" s="201">
        <f>MONTH($B900)</f>
        <v/>
      </c>
      <c r="F900" s="235">
        <f>($B900+$C900+1)/2</f>
        <v/>
      </c>
      <c r="G900" s="201">
        <f>YEAR($B900)*12+MONTH($B900)-1</f>
        <v/>
      </c>
      <c r="H900" s="207">
        <f>IF(OR(nr_SeasonOn="OFF",$D$886=0,$E$886=0),1,12*INDEX(se_block,$D$886,$E900)/$E$886)</f>
        <v/>
      </c>
      <c r="I900" s="208">
        <f>EXP(SUMPRODUCT((rl_eff&lt;$B900)*(rl_key=$A$886)*rl_ln1p))</f>
        <v/>
      </c>
      <c r="J900" s="208">
        <f>EXP(SUMPRODUCT((rl_eff&lt;=$C900)*(rl_key=$A$886)*rl_ln1p))</f>
        <v/>
      </c>
      <c r="K900" s="201">
        <f>COUNTIFS(rl_key,$A$886,rl_eff,"&gt;="&amp;$B900,rl_eff,"&lt;="&amp;$C900)</f>
        <v/>
      </c>
      <c r="L900" s="201">
        <f>SUMIFS(rl_daysafter,rl_key,$A$886,rl_effmonth,$B900,rl_first,1)</f>
        <v/>
      </c>
      <c r="M900" s="209">
        <f>IF($K900=0,0,MIN(1,$L900/$D900))</f>
        <v/>
      </c>
      <c r="N900" s="208">
        <f>IF($K900=0,$J900,(1-$M900)*$I900+$M900*$J900)</f>
        <v/>
      </c>
      <c r="O900" s="209">
        <f>IF($F900&lt;$B$887,$E$887+$I$887*($F900-$A$887),IF($F900&lt;$C$887,$F$887+$J$887*($F900-$B$887),$G$887+$K$887*($F900-$C$887)))</f>
        <v/>
      </c>
      <c r="P900" s="208">
        <f>MIN(1,MAX(0,(nr_MEndPm1-$G900+0.5)/$C$886))-MIN(1,MAX(0,(nr_MStartPm1-1-$G900+0.5)/$C$886))</f>
        <v/>
      </c>
      <c r="Q900" s="208">
        <f>MIN(1,MAX(0,(nr_MEndP-$G900+0.5)/$C$886))-MIN(1,MAX(0,(nr_MStartP-1-$G900+0.5)/$C$886))</f>
        <v/>
      </c>
      <c r="R900" s="208">
        <f>MIN(1,MAX(0,(nr_MEndP1-$G900+0.5)/$C$886))-MIN(1,MAX(0,(nr_MStartP1-1-$G900+0.5)/$C$886))</f>
        <v/>
      </c>
      <c r="S900" s="208">
        <f>IF($L$886,$N900*IF($O$886=1,$O900/$F$886,1),"")</f>
        <v/>
      </c>
      <c r="T900" s="208">
        <f>IF(NOT($L$886),"",IF($G900&lt;nr_MStartP,$S900,$T888*(1+IF($G900&lt;nr_MStartP1,$M$886,$N$886))))</f>
        <v/>
      </c>
      <c r="U900" s="208">
        <f>IF($L$886,$T900,$N900)</f>
        <v/>
      </c>
    </row>
    <row r="901">
      <c r="A901" s="145" t="n">
        <v>13</v>
      </c>
      <c r="B901" s="204">
        <f>EDATE($B900,1)</f>
        <v/>
      </c>
      <c r="C901" s="205">
        <f>EOMONTH($B901,0)</f>
        <v/>
      </c>
      <c r="D901" s="201">
        <f>$C901-$B901+1</f>
        <v/>
      </c>
      <c r="E901" s="201">
        <f>MONTH($B901)</f>
        <v/>
      </c>
      <c r="F901" s="235">
        <f>($B901+$C901+1)/2</f>
        <v/>
      </c>
      <c r="G901" s="201">
        <f>YEAR($B901)*12+MONTH($B901)-1</f>
        <v/>
      </c>
      <c r="H901" s="207">
        <f>IF(OR(nr_SeasonOn="OFF",$D$886=0,$E$886=0),1,12*INDEX(se_block,$D$886,$E901)/$E$886)</f>
        <v/>
      </c>
      <c r="I901" s="208">
        <f>EXP(SUMPRODUCT((rl_eff&lt;$B901)*(rl_key=$A$886)*rl_ln1p))</f>
        <v/>
      </c>
      <c r="J901" s="208">
        <f>EXP(SUMPRODUCT((rl_eff&lt;=$C901)*(rl_key=$A$886)*rl_ln1p))</f>
        <v/>
      </c>
      <c r="K901" s="201">
        <f>COUNTIFS(rl_key,$A$886,rl_eff,"&gt;="&amp;$B901,rl_eff,"&lt;="&amp;$C901)</f>
        <v/>
      </c>
      <c r="L901" s="201">
        <f>SUMIFS(rl_daysafter,rl_key,$A$886,rl_effmonth,$B901,rl_first,1)</f>
        <v/>
      </c>
      <c r="M901" s="209">
        <f>IF($K901=0,0,MIN(1,$L901/$D901))</f>
        <v/>
      </c>
      <c r="N901" s="208">
        <f>IF($K901=0,$J901,(1-$M901)*$I901+$M901*$J901)</f>
        <v/>
      </c>
      <c r="O901" s="209">
        <f>IF($F901&lt;$B$887,$E$887+$I$887*($F901-$A$887),IF($F901&lt;$C$887,$F$887+$J$887*($F901-$B$887),$G$887+$K$887*($F901-$C$887)))</f>
        <v/>
      </c>
      <c r="P901" s="208">
        <f>MIN(1,MAX(0,(nr_MEndPm1-$G901+0.5)/$C$886))-MIN(1,MAX(0,(nr_MStartPm1-1-$G901+0.5)/$C$886))</f>
        <v/>
      </c>
      <c r="Q901" s="208">
        <f>MIN(1,MAX(0,(nr_MEndP-$G901+0.5)/$C$886))-MIN(1,MAX(0,(nr_MStartP-1-$G901+0.5)/$C$886))</f>
        <v/>
      </c>
      <c r="R901" s="208">
        <f>MIN(1,MAX(0,(nr_MEndP1-$G901+0.5)/$C$886))-MIN(1,MAX(0,(nr_MStartP1-1-$G901+0.5)/$C$886))</f>
        <v/>
      </c>
      <c r="S901" s="208">
        <f>IF($L$886,$N901*IF($O$886=1,$O901/$F$886,1),"")</f>
        <v/>
      </c>
      <c r="T901" s="208">
        <f>IF(NOT($L$886),"",IF($G901&lt;nr_MStartP,$S901,$T889*(1+IF($G901&lt;nr_MStartP1,$M$886,$N$886))))</f>
        <v/>
      </c>
      <c r="U901" s="208">
        <f>IF($L$886,$T901,$N901)</f>
        <v/>
      </c>
    </row>
    <row r="902">
      <c r="A902" s="145" t="n">
        <v>14</v>
      </c>
      <c r="B902" s="204">
        <f>EDATE($B901,1)</f>
        <v/>
      </c>
      <c r="C902" s="205">
        <f>EOMONTH($B902,0)</f>
        <v/>
      </c>
      <c r="D902" s="201">
        <f>$C902-$B902+1</f>
        <v/>
      </c>
      <c r="E902" s="201">
        <f>MONTH($B902)</f>
        <v/>
      </c>
      <c r="F902" s="235">
        <f>($B902+$C902+1)/2</f>
        <v/>
      </c>
      <c r="G902" s="201">
        <f>YEAR($B902)*12+MONTH($B902)-1</f>
        <v/>
      </c>
      <c r="H902" s="207">
        <f>IF(OR(nr_SeasonOn="OFF",$D$886=0,$E$886=0),1,12*INDEX(se_block,$D$886,$E902)/$E$886)</f>
        <v/>
      </c>
      <c r="I902" s="208">
        <f>EXP(SUMPRODUCT((rl_eff&lt;$B902)*(rl_key=$A$886)*rl_ln1p))</f>
        <v/>
      </c>
      <c r="J902" s="208">
        <f>EXP(SUMPRODUCT((rl_eff&lt;=$C902)*(rl_key=$A$886)*rl_ln1p))</f>
        <v/>
      </c>
      <c r="K902" s="201">
        <f>COUNTIFS(rl_key,$A$886,rl_eff,"&gt;="&amp;$B902,rl_eff,"&lt;="&amp;$C902)</f>
        <v/>
      </c>
      <c r="L902" s="201">
        <f>SUMIFS(rl_daysafter,rl_key,$A$886,rl_effmonth,$B902,rl_first,1)</f>
        <v/>
      </c>
      <c r="M902" s="209">
        <f>IF($K902=0,0,MIN(1,$L902/$D902))</f>
        <v/>
      </c>
      <c r="N902" s="208">
        <f>IF($K902=0,$J902,(1-$M902)*$I902+$M902*$J902)</f>
        <v/>
      </c>
      <c r="O902" s="209">
        <f>IF($F902&lt;$B$887,$E$887+$I$887*($F902-$A$887),IF($F902&lt;$C$887,$F$887+$J$887*($F902-$B$887),$G$887+$K$887*($F902-$C$887)))</f>
        <v/>
      </c>
      <c r="P902" s="208">
        <f>MIN(1,MAX(0,(nr_MEndPm1-$G902+0.5)/$C$886))-MIN(1,MAX(0,(nr_MStartPm1-1-$G902+0.5)/$C$886))</f>
        <v/>
      </c>
      <c r="Q902" s="208">
        <f>MIN(1,MAX(0,(nr_MEndP-$G902+0.5)/$C$886))-MIN(1,MAX(0,(nr_MStartP-1-$G902+0.5)/$C$886))</f>
        <v/>
      </c>
      <c r="R902" s="208">
        <f>MIN(1,MAX(0,(nr_MEndP1-$G902+0.5)/$C$886))-MIN(1,MAX(0,(nr_MStartP1-1-$G902+0.5)/$C$886))</f>
        <v/>
      </c>
      <c r="S902" s="208">
        <f>IF($L$886,$N902*IF($O$886=1,$O902/$F$886,1),"")</f>
        <v/>
      </c>
      <c r="T902" s="208">
        <f>IF(NOT($L$886),"",IF($G902&lt;nr_MStartP,$S902,$T890*(1+IF($G902&lt;nr_MStartP1,$M$886,$N$886))))</f>
        <v/>
      </c>
      <c r="U902" s="208">
        <f>IF($L$886,$T902,$N902)</f>
        <v/>
      </c>
    </row>
    <row r="903">
      <c r="A903" s="145" t="n">
        <v>15</v>
      </c>
      <c r="B903" s="204">
        <f>EDATE($B902,1)</f>
        <v/>
      </c>
      <c r="C903" s="205">
        <f>EOMONTH($B903,0)</f>
        <v/>
      </c>
      <c r="D903" s="201">
        <f>$C903-$B903+1</f>
        <v/>
      </c>
      <c r="E903" s="201">
        <f>MONTH($B903)</f>
        <v/>
      </c>
      <c r="F903" s="235">
        <f>($B903+$C903+1)/2</f>
        <v/>
      </c>
      <c r="G903" s="201">
        <f>YEAR($B903)*12+MONTH($B903)-1</f>
        <v/>
      </c>
      <c r="H903" s="207">
        <f>IF(OR(nr_SeasonOn="OFF",$D$886=0,$E$886=0),1,12*INDEX(se_block,$D$886,$E903)/$E$886)</f>
        <v/>
      </c>
      <c r="I903" s="208">
        <f>EXP(SUMPRODUCT((rl_eff&lt;$B903)*(rl_key=$A$886)*rl_ln1p))</f>
        <v/>
      </c>
      <c r="J903" s="208">
        <f>EXP(SUMPRODUCT((rl_eff&lt;=$C903)*(rl_key=$A$886)*rl_ln1p))</f>
        <v/>
      </c>
      <c r="K903" s="201">
        <f>COUNTIFS(rl_key,$A$886,rl_eff,"&gt;="&amp;$B903,rl_eff,"&lt;="&amp;$C903)</f>
        <v/>
      </c>
      <c r="L903" s="201">
        <f>SUMIFS(rl_daysafter,rl_key,$A$886,rl_effmonth,$B903,rl_first,1)</f>
        <v/>
      </c>
      <c r="M903" s="209">
        <f>IF($K903=0,0,MIN(1,$L903/$D903))</f>
        <v/>
      </c>
      <c r="N903" s="208">
        <f>IF($K903=0,$J903,(1-$M903)*$I903+$M903*$J903)</f>
        <v/>
      </c>
      <c r="O903" s="209">
        <f>IF($F903&lt;$B$887,$E$887+$I$887*($F903-$A$887),IF($F903&lt;$C$887,$F$887+$J$887*($F903-$B$887),$G$887+$K$887*($F903-$C$887)))</f>
        <v/>
      </c>
      <c r="P903" s="208">
        <f>MIN(1,MAX(0,(nr_MEndPm1-$G903+0.5)/$C$886))-MIN(1,MAX(0,(nr_MStartPm1-1-$G903+0.5)/$C$886))</f>
        <v/>
      </c>
      <c r="Q903" s="208">
        <f>MIN(1,MAX(0,(nr_MEndP-$G903+0.5)/$C$886))-MIN(1,MAX(0,(nr_MStartP-1-$G903+0.5)/$C$886))</f>
        <v/>
      </c>
      <c r="R903" s="208">
        <f>MIN(1,MAX(0,(nr_MEndP1-$G903+0.5)/$C$886))-MIN(1,MAX(0,(nr_MStartP1-1-$G903+0.5)/$C$886))</f>
        <v/>
      </c>
      <c r="S903" s="208">
        <f>IF($L$886,$N903*IF($O$886=1,$O903/$F$886,1),"")</f>
        <v/>
      </c>
      <c r="T903" s="208">
        <f>IF(NOT($L$886),"",IF($G903&lt;nr_MStartP,$S903,$T891*(1+IF($G903&lt;nr_MStartP1,$M$886,$N$886))))</f>
        <v/>
      </c>
      <c r="U903" s="208">
        <f>IF($L$886,$T903,$N903)</f>
        <v/>
      </c>
    </row>
    <row r="904">
      <c r="A904" s="145" t="n">
        <v>16</v>
      </c>
      <c r="B904" s="204">
        <f>EDATE($B903,1)</f>
        <v/>
      </c>
      <c r="C904" s="205">
        <f>EOMONTH($B904,0)</f>
        <v/>
      </c>
      <c r="D904" s="201">
        <f>$C904-$B904+1</f>
        <v/>
      </c>
      <c r="E904" s="201">
        <f>MONTH($B904)</f>
        <v/>
      </c>
      <c r="F904" s="235">
        <f>($B904+$C904+1)/2</f>
        <v/>
      </c>
      <c r="G904" s="201">
        <f>YEAR($B904)*12+MONTH($B904)-1</f>
        <v/>
      </c>
      <c r="H904" s="207">
        <f>IF(OR(nr_SeasonOn="OFF",$D$886=0,$E$886=0),1,12*INDEX(se_block,$D$886,$E904)/$E$886)</f>
        <v/>
      </c>
      <c r="I904" s="208">
        <f>EXP(SUMPRODUCT((rl_eff&lt;$B904)*(rl_key=$A$886)*rl_ln1p))</f>
        <v/>
      </c>
      <c r="J904" s="208">
        <f>EXP(SUMPRODUCT((rl_eff&lt;=$C904)*(rl_key=$A$886)*rl_ln1p))</f>
        <v/>
      </c>
      <c r="K904" s="201">
        <f>COUNTIFS(rl_key,$A$886,rl_eff,"&gt;="&amp;$B904,rl_eff,"&lt;="&amp;$C904)</f>
        <v/>
      </c>
      <c r="L904" s="201">
        <f>SUMIFS(rl_daysafter,rl_key,$A$886,rl_effmonth,$B904,rl_first,1)</f>
        <v/>
      </c>
      <c r="M904" s="209">
        <f>IF($K904=0,0,MIN(1,$L904/$D904))</f>
        <v/>
      </c>
      <c r="N904" s="208">
        <f>IF($K904=0,$J904,(1-$M904)*$I904+$M904*$J904)</f>
        <v/>
      </c>
      <c r="O904" s="209">
        <f>IF($F904&lt;$B$887,$E$887+$I$887*($F904-$A$887),IF($F904&lt;$C$887,$F$887+$J$887*($F904-$B$887),$G$887+$K$887*($F904-$C$887)))</f>
        <v/>
      </c>
      <c r="P904" s="208">
        <f>MIN(1,MAX(0,(nr_MEndPm1-$G904+0.5)/$C$886))-MIN(1,MAX(0,(nr_MStartPm1-1-$G904+0.5)/$C$886))</f>
        <v/>
      </c>
      <c r="Q904" s="208">
        <f>MIN(1,MAX(0,(nr_MEndP-$G904+0.5)/$C$886))-MIN(1,MAX(0,(nr_MStartP-1-$G904+0.5)/$C$886))</f>
        <v/>
      </c>
      <c r="R904" s="208">
        <f>MIN(1,MAX(0,(nr_MEndP1-$G904+0.5)/$C$886))-MIN(1,MAX(0,(nr_MStartP1-1-$G904+0.5)/$C$886))</f>
        <v/>
      </c>
      <c r="S904" s="208">
        <f>IF($L$886,$N904*IF($O$886=1,$O904/$F$886,1),"")</f>
        <v/>
      </c>
      <c r="T904" s="208">
        <f>IF(NOT($L$886),"",IF($G904&lt;nr_MStartP,$S904,$T892*(1+IF($G904&lt;nr_MStartP1,$M$886,$N$886))))</f>
        <v/>
      </c>
      <c r="U904" s="208">
        <f>IF($L$886,$T904,$N904)</f>
        <v/>
      </c>
    </row>
    <row r="905">
      <c r="A905" s="145" t="n">
        <v>17</v>
      </c>
      <c r="B905" s="204">
        <f>EDATE($B904,1)</f>
        <v/>
      </c>
      <c r="C905" s="205">
        <f>EOMONTH($B905,0)</f>
        <v/>
      </c>
      <c r="D905" s="201">
        <f>$C905-$B905+1</f>
        <v/>
      </c>
      <c r="E905" s="201">
        <f>MONTH($B905)</f>
        <v/>
      </c>
      <c r="F905" s="235">
        <f>($B905+$C905+1)/2</f>
        <v/>
      </c>
      <c r="G905" s="201">
        <f>YEAR($B905)*12+MONTH($B905)-1</f>
        <v/>
      </c>
      <c r="H905" s="207">
        <f>IF(OR(nr_SeasonOn="OFF",$D$886=0,$E$886=0),1,12*INDEX(se_block,$D$886,$E905)/$E$886)</f>
        <v/>
      </c>
      <c r="I905" s="208">
        <f>EXP(SUMPRODUCT((rl_eff&lt;$B905)*(rl_key=$A$886)*rl_ln1p))</f>
        <v/>
      </c>
      <c r="J905" s="208">
        <f>EXP(SUMPRODUCT((rl_eff&lt;=$C905)*(rl_key=$A$886)*rl_ln1p))</f>
        <v/>
      </c>
      <c r="K905" s="201">
        <f>COUNTIFS(rl_key,$A$886,rl_eff,"&gt;="&amp;$B905,rl_eff,"&lt;="&amp;$C905)</f>
        <v/>
      </c>
      <c r="L905" s="201">
        <f>SUMIFS(rl_daysafter,rl_key,$A$886,rl_effmonth,$B905,rl_first,1)</f>
        <v/>
      </c>
      <c r="M905" s="209">
        <f>IF($K905=0,0,MIN(1,$L905/$D905))</f>
        <v/>
      </c>
      <c r="N905" s="208">
        <f>IF($K905=0,$J905,(1-$M905)*$I905+$M905*$J905)</f>
        <v/>
      </c>
      <c r="O905" s="209">
        <f>IF($F905&lt;$B$887,$E$887+$I$887*($F905-$A$887),IF($F905&lt;$C$887,$F$887+$J$887*($F905-$B$887),$G$887+$K$887*($F905-$C$887)))</f>
        <v/>
      </c>
      <c r="P905" s="208">
        <f>MIN(1,MAX(0,(nr_MEndPm1-$G905+0.5)/$C$886))-MIN(1,MAX(0,(nr_MStartPm1-1-$G905+0.5)/$C$886))</f>
        <v/>
      </c>
      <c r="Q905" s="208">
        <f>MIN(1,MAX(0,(nr_MEndP-$G905+0.5)/$C$886))-MIN(1,MAX(0,(nr_MStartP-1-$G905+0.5)/$C$886))</f>
        <v/>
      </c>
      <c r="R905" s="208">
        <f>MIN(1,MAX(0,(nr_MEndP1-$G905+0.5)/$C$886))-MIN(1,MAX(0,(nr_MStartP1-1-$G905+0.5)/$C$886))</f>
        <v/>
      </c>
      <c r="S905" s="208">
        <f>IF($L$886,$N905*IF($O$886=1,$O905/$F$886,1),"")</f>
        <v/>
      </c>
      <c r="T905" s="208">
        <f>IF(NOT($L$886),"",IF($G905&lt;nr_MStartP,$S905,$T893*(1+IF($G905&lt;nr_MStartP1,$M$886,$N$886))))</f>
        <v/>
      </c>
      <c r="U905" s="208">
        <f>IF($L$886,$T905,$N905)</f>
        <v/>
      </c>
    </row>
    <row r="906">
      <c r="A906" s="145" t="n">
        <v>18</v>
      </c>
      <c r="B906" s="204">
        <f>EDATE($B905,1)</f>
        <v/>
      </c>
      <c r="C906" s="205">
        <f>EOMONTH($B906,0)</f>
        <v/>
      </c>
      <c r="D906" s="201">
        <f>$C906-$B906+1</f>
        <v/>
      </c>
      <c r="E906" s="201">
        <f>MONTH($B906)</f>
        <v/>
      </c>
      <c r="F906" s="235">
        <f>($B906+$C906+1)/2</f>
        <v/>
      </c>
      <c r="G906" s="201">
        <f>YEAR($B906)*12+MONTH($B906)-1</f>
        <v/>
      </c>
      <c r="H906" s="207">
        <f>IF(OR(nr_SeasonOn="OFF",$D$886=0,$E$886=0),1,12*INDEX(se_block,$D$886,$E906)/$E$886)</f>
        <v/>
      </c>
      <c r="I906" s="208">
        <f>EXP(SUMPRODUCT((rl_eff&lt;$B906)*(rl_key=$A$886)*rl_ln1p))</f>
        <v/>
      </c>
      <c r="J906" s="208">
        <f>EXP(SUMPRODUCT((rl_eff&lt;=$C906)*(rl_key=$A$886)*rl_ln1p))</f>
        <v/>
      </c>
      <c r="K906" s="201">
        <f>COUNTIFS(rl_key,$A$886,rl_eff,"&gt;="&amp;$B906,rl_eff,"&lt;="&amp;$C906)</f>
        <v/>
      </c>
      <c r="L906" s="201">
        <f>SUMIFS(rl_daysafter,rl_key,$A$886,rl_effmonth,$B906,rl_first,1)</f>
        <v/>
      </c>
      <c r="M906" s="209">
        <f>IF($K906=0,0,MIN(1,$L906/$D906))</f>
        <v/>
      </c>
      <c r="N906" s="208">
        <f>IF($K906=0,$J906,(1-$M906)*$I906+$M906*$J906)</f>
        <v/>
      </c>
      <c r="O906" s="209">
        <f>IF($F906&lt;$B$887,$E$887+$I$887*($F906-$A$887),IF($F906&lt;$C$887,$F$887+$J$887*($F906-$B$887),$G$887+$K$887*($F906-$C$887)))</f>
        <v/>
      </c>
      <c r="P906" s="208">
        <f>MIN(1,MAX(0,(nr_MEndPm1-$G906+0.5)/$C$886))-MIN(1,MAX(0,(nr_MStartPm1-1-$G906+0.5)/$C$886))</f>
        <v/>
      </c>
      <c r="Q906" s="208">
        <f>MIN(1,MAX(0,(nr_MEndP-$G906+0.5)/$C$886))-MIN(1,MAX(0,(nr_MStartP-1-$G906+0.5)/$C$886))</f>
        <v/>
      </c>
      <c r="R906" s="208">
        <f>MIN(1,MAX(0,(nr_MEndP1-$G906+0.5)/$C$886))-MIN(1,MAX(0,(nr_MStartP1-1-$G906+0.5)/$C$886))</f>
        <v/>
      </c>
      <c r="S906" s="208">
        <f>IF($L$886,$N906*IF($O$886=1,$O906/$F$886,1),"")</f>
        <v/>
      </c>
      <c r="T906" s="208">
        <f>IF(NOT($L$886),"",IF($G906&lt;nr_MStartP,$S906,$T894*(1+IF($G906&lt;nr_MStartP1,$M$886,$N$886))))</f>
        <v/>
      </c>
      <c r="U906" s="208">
        <f>IF($L$886,$T906,$N906)</f>
        <v/>
      </c>
    </row>
    <row r="907">
      <c r="A907" s="145" t="n">
        <v>19</v>
      </c>
      <c r="B907" s="204">
        <f>EDATE($B906,1)</f>
        <v/>
      </c>
      <c r="C907" s="205">
        <f>EOMONTH($B907,0)</f>
        <v/>
      </c>
      <c r="D907" s="201">
        <f>$C907-$B907+1</f>
        <v/>
      </c>
      <c r="E907" s="201">
        <f>MONTH($B907)</f>
        <v/>
      </c>
      <c r="F907" s="235">
        <f>($B907+$C907+1)/2</f>
        <v/>
      </c>
      <c r="G907" s="201">
        <f>YEAR($B907)*12+MONTH($B907)-1</f>
        <v/>
      </c>
      <c r="H907" s="207">
        <f>IF(OR(nr_SeasonOn="OFF",$D$886=0,$E$886=0),1,12*INDEX(se_block,$D$886,$E907)/$E$886)</f>
        <v/>
      </c>
      <c r="I907" s="208">
        <f>EXP(SUMPRODUCT((rl_eff&lt;$B907)*(rl_key=$A$886)*rl_ln1p))</f>
        <v/>
      </c>
      <c r="J907" s="208">
        <f>EXP(SUMPRODUCT((rl_eff&lt;=$C907)*(rl_key=$A$886)*rl_ln1p))</f>
        <v/>
      </c>
      <c r="K907" s="201">
        <f>COUNTIFS(rl_key,$A$886,rl_eff,"&gt;="&amp;$B907,rl_eff,"&lt;="&amp;$C907)</f>
        <v/>
      </c>
      <c r="L907" s="201">
        <f>SUMIFS(rl_daysafter,rl_key,$A$886,rl_effmonth,$B907,rl_first,1)</f>
        <v/>
      </c>
      <c r="M907" s="209">
        <f>IF($K907=0,0,MIN(1,$L907/$D907))</f>
        <v/>
      </c>
      <c r="N907" s="208">
        <f>IF($K907=0,$J907,(1-$M907)*$I907+$M907*$J907)</f>
        <v/>
      </c>
      <c r="O907" s="209">
        <f>IF($F907&lt;$B$887,$E$887+$I$887*($F907-$A$887),IF($F907&lt;$C$887,$F$887+$J$887*($F907-$B$887),$G$887+$K$887*($F907-$C$887)))</f>
        <v/>
      </c>
      <c r="P907" s="208">
        <f>MIN(1,MAX(0,(nr_MEndPm1-$G907+0.5)/$C$886))-MIN(1,MAX(0,(nr_MStartPm1-1-$G907+0.5)/$C$886))</f>
        <v/>
      </c>
      <c r="Q907" s="208">
        <f>MIN(1,MAX(0,(nr_MEndP-$G907+0.5)/$C$886))-MIN(1,MAX(0,(nr_MStartP-1-$G907+0.5)/$C$886))</f>
        <v/>
      </c>
      <c r="R907" s="208">
        <f>MIN(1,MAX(0,(nr_MEndP1-$G907+0.5)/$C$886))-MIN(1,MAX(0,(nr_MStartP1-1-$G907+0.5)/$C$886))</f>
        <v/>
      </c>
      <c r="S907" s="208">
        <f>IF($L$886,$N907*IF($O$886=1,$O907/$F$886,1),"")</f>
        <v/>
      </c>
      <c r="T907" s="208">
        <f>IF(NOT($L$886),"",IF($G907&lt;nr_MStartP,$S907,$T895*(1+IF($G907&lt;nr_MStartP1,$M$886,$N$886))))</f>
        <v/>
      </c>
      <c r="U907" s="208">
        <f>IF($L$886,$T907,$N907)</f>
        <v/>
      </c>
    </row>
    <row r="908">
      <c r="A908" s="145" t="n">
        <v>20</v>
      </c>
      <c r="B908" s="204">
        <f>EDATE($B907,1)</f>
        <v/>
      </c>
      <c r="C908" s="205">
        <f>EOMONTH($B908,0)</f>
        <v/>
      </c>
      <c r="D908" s="201">
        <f>$C908-$B908+1</f>
        <v/>
      </c>
      <c r="E908" s="201">
        <f>MONTH($B908)</f>
        <v/>
      </c>
      <c r="F908" s="235">
        <f>($B908+$C908+1)/2</f>
        <v/>
      </c>
      <c r="G908" s="201">
        <f>YEAR($B908)*12+MONTH($B908)-1</f>
        <v/>
      </c>
      <c r="H908" s="207">
        <f>IF(OR(nr_SeasonOn="OFF",$D$886=0,$E$886=0),1,12*INDEX(se_block,$D$886,$E908)/$E$886)</f>
        <v/>
      </c>
      <c r="I908" s="208">
        <f>EXP(SUMPRODUCT((rl_eff&lt;$B908)*(rl_key=$A$886)*rl_ln1p))</f>
        <v/>
      </c>
      <c r="J908" s="208">
        <f>EXP(SUMPRODUCT((rl_eff&lt;=$C908)*(rl_key=$A$886)*rl_ln1p))</f>
        <v/>
      </c>
      <c r="K908" s="201">
        <f>COUNTIFS(rl_key,$A$886,rl_eff,"&gt;="&amp;$B908,rl_eff,"&lt;="&amp;$C908)</f>
        <v/>
      </c>
      <c r="L908" s="201">
        <f>SUMIFS(rl_daysafter,rl_key,$A$886,rl_effmonth,$B908,rl_first,1)</f>
        <v/>
      </c>
      <c r="M908" s="209">
        <f>IF($K908=0,0,MIN(1,$L908/$D908))</f>
        <v/>
      </c>
      <c r="N908" s="208">
        <f>IF($K908=0,$J908,(1-$M908)*$I908+$M908*$J908)</f>
        <v/>
      </c>
      <c r="O908" s="209">
        <f>IF($F908&lt;$B$887,$E$887+$I$887*($F908-$A$887),IF($F908&lt;$C$887,$F$887+$J$887*($F908-$B$887),$G$887+$K$887*($F908-$C$887)))</f>
        <v/>
      </c>
      <c r="P908" s="208">
        <f>MIN(1,MAX(0,(nr_MEndPm1-$G908+0.5)/$C$886))-MIN(1,MAX(0,(nr_MStartPm1-1-$G908+0.5)/$C$886))</f>
        <v/>
      </c>
      <c r="Q908" s="208">
        <f>MIN(1,MAX(0,(nr_MEndP-$G908+0.5)/$C$886))-MIN(1,MAX(0,(nr_MStartP-1-$G908+0.5)/$C$886))</f>
        <v/>
      </c>
      <c r="R908" s="208">
        <f>MIN(1,MAX(0,(nr_MEndP1-$G908+0.5)/$C$886))-MIN(1,MAX(0,(nr_MStartP1-1-$G908+0.5)/$C$886))</f>
        <v/>
      </c>
      <c r="S908" s="208">
        <f>IF($L$886,$N908*IF($O$886=1,$O908/$F$886,1),"")</f>
        <v/>
      </c>
      <c r="T908" s="208">
        <f>IF(NOT($L$886),"",IF($G908&lt;nr_MStartP,$S908,$T896*(1+IF($G908&lt;nr_MStartP1,$M$886,$N$886))))</f>
        <v/>
      </c>
      <c r="U908" s="208">
        <f>IF($L$886,$T908,$N908)</f>
        <v/>
      </c>
    </row>
    <row r="909">
      <c r="A909" s="145" t="n">
        <v>21</v>
      </c>
      <c r="B909" s="204">
        <f>EDATE($B908,1)</f>
        <v/>
      </c>
      <c r="C909" s="205">
        <f>EOMONTH($B909,0)</f>
        <v/>
      </c>
      <c r="D909" s="201">
        <f>$C909-$B909+1</f>
        <v/>
      </c>
      <c r="E909" s="201">
        <f>MONTH($B909)</f>
        <v/>
      </c>
      <c r="F909" s="235">
        <f>($B909+$C909+1)/2</f>
        <v/>
      </c>
      <c r="G909" s="201">
        <f>YEAR($B909)*12+MONTH($B909)-1</f>
        <v/>
      </c>
      <c r="H909" s="207">
        <f>IF(OR(nr_SeasonOn="OFF",$D$886=0,$E$886=0),1,12*INDEX(se_block,$D$886,$E909)/$E$886)</f>
        <v/>
      </c>
      <c r="I909" s="208">
        <f>EXP(SUMPRODUCT((rl_eff&lt;$B909)*(rl_key=$A$886)*rl_ln1p))</f>
        <v/>
      </c>
      <c r="J909" s="208">
        <f>EXP(SUMPRODUCT((rl_eff&lt;=$C909)*(rl_key=$A$886)*rl_ln1p))</f>
        <v/>
      </c>
      <c r="K909" s="201">
        <f>COUNTIFS(rl_key,$A$886,rl_eff,"&gt;="&amp;$B909,rl_eff,"&lt;="&amp;$C909)</f>
        <v/>
      </c>
      <c r="L909" s="201">
        <f>SUMIFS(rl_daysafter,rl_key,$A$886,rl_effmonth,$B909,rl_first,1)</f>
        <v/>
      </c>
      <c r="M909" s="209">
        <f>IF($K909=0,0,MIN(1,$L909/$D909))</f>
        <v/>
      </c>
      <c r="N909" s="208">
        <f>IF($K909=0,$J909,(1-$M909)*$I909+$M909*$J909)</f>
        <v/>
      </c>
      <c r="O909" s="209">
        <f>IF($F909&lt;$B$887,$E$887+$I$887*($F909-$A$887),IF($F909&lt;$C$887,$F$887+$J$887*($F909-$B$887),$G$887+$K$887*($F909-$C$887)))</f>
        <v/>
      </c>
      <c r="P909" s="208">
        <f>MIN(1,MAX(0,(nr_MEndPm1-$G909+0.5)/$C$886))-MIN(1,MAX(0,(nr_MStartPm1-1-$G909+0.5)/$C$886))</f>
        <v/>
      </c>
      <c r="Q909" s="208">
        <f>MIN(1,MAX(0,(nr_MEndP-$G909+0.5)/$C$886))-MIN(1,MAX(0,(nr_MStartP-1-$G909+0.5)/$C$886))</f>
        <v/>
      </c>
      <c r="R909" s="208">
        <f>MIN(1,MAX(0,(nr_MEndP1-$G909+0.5)/$C$886))-MIN(1,MAX(0,(nr_MStartP1-1-$G909+0.5)/$C$886))</f>
        <v/>
      </c>
      <c r="S909" s="208">
        <f>IF($L$886,$N909*IF($O$886=1,$O909/$F$886,1),"")</f>
        <v/>
      </c>
      <c r="T909" s="208">
        <f>IF(NOT($L$886),"",IF($G909&lt;nr_MStartP,$S909,$T897*(1+IF($G909&lt;nr_MStartP1,$M$886,$N$886))))</f>
        <v/>
      </c>
      <c r="U909" s="208">
        <f>IF($L$886,$T909,$N909)</f>
        <v/>
      </c>
    </row>
    <row r="910">
      <c r="A910" s="145" t="n">
        <v>22</v>
      </c>
      <c r="B910" s="204">
        <f>EDATE($B909,1)</f>
        <v/>
      </c>
      <c r="C910" s="205">
        <f>EOMONTH($B910,0)</f>
        <v/>
      </c>
      <c r="D910" s="201">
        <f>$C910-$B910+1</f>
        <v/>
      </c>
      <c r="E910" s="201">
        <f>MONTH($B910)</f>
        <v/>
      </c>
      <c r="F910" s="235">
        <f>($B910+$C910+1)/2</f>
        <v/>
      </c>
      <c r="G910" s="201">
        <f>YEAR($B910)*12+MONTH($B910)-1</f>
        <v/>
      </c>
      <c r="H910" s="207">
        <f>IF(OR(nr_SeasonOn="OFF",$D$886=0,$E$886=0),1,12*INDEX(se_block,$D$886,$E910)/$E$886)</f>
        <v/>
      </c>
      <c r="I910" s="208">
        <f>EXP(SUMPRODUCT((rl_eff&lt;$B910)*(rl_key=$A$886)*rl_ln1p))</f>
        <v/>
      </c>
      <c r="J910" s="208">
        <f>EXP(SUMPRODUCT((rl_eff&lt;=$C910)*(rl_key=$A$886)*rl_ln1p))</f>
        <v/>
      </c>
      <c r="K910" s="201">
        <f>COUNTIFS(rl_key,$A$886,rl_eff,"&gt;="&amp;$B910,rl_eff,"&lt;="&amp;$C910)</f>
        <v/>
      </c>
      <c r="L910" s="201">
        <f>SUMIFS(rl_daysafter,rl_key,$A$886,rl_effmonth,$B910,rl_first,1)</f>
        <v/>
      </c>
      <c r="M910" s="209">
        <f>IF($K910=0,0,MIN(1,$L910/$D910))</f>
        <v/>
      </c>
      <c r="N910" s="208">
        <f>IF($K910=0,$J910,(1-$M910)*$I910+$M910*$J910)</f>
        <v/>
      </c>
      <c r="O910" s="209">
        <f>IF($F910&lt;$B$887,$E$887+$I$887*($F910-$A$887),IF($F910&lt;$C$887,$F$887+$J$887*($F910-$B$887),$G$887+$K$887*($F910-$C$887)))</f>
        <v/>
      </c>
      <c r="P910" s="208">
        <f>MIN(1,MAX(0,(nr_MEndPm1-$G910+0.5)/$C$886))-MIN(1,MAX(0,(nr_MStartPm1-1-$G910+0.5)/$C$886))</f>
        <v/>
      </c>
      <c r="Q910" s="208">
        <f>MIN(1,MAX(0,(nr_MEndP-$G910+0.5)/$C$886))-MIN(1,MAX(0,(nr_MStartP-1-$G910+0.5)/$C$886))</f>
        <v/>
      </c>
      <c r="R910" s="208">
        <f>MIN(1,MAX(0,(nr_MEndP1-$G910+0.5)/$C$886))-MIN(1,MAX(0,(nr_MStartP1-1-$G910+0.5)/$C$886))</f>
        <v/>
      </c>
      <c r="S910" s="208">
        <f>IF($L$886,$N910*IF($O$886=1,$O910/$F$886,1),"")</f>
        <v/>
      </c>
      <c r="T910" s="208">
        <f>IF(NOT($L$886),"",IF($G910&lt;nr_MStartP,$S910,$T898*(1+IF($G910&lt;nr_MStartP1,$M$886,$N$886))))</f>
        <v/>
      </c>
      <c r="U910" s="208">
        <f>IF($L$886,$T910,$N910)</f>
        <v/>
      </c>
    </row>
    <row r="911">
      <c r="A911" s="145" t="n">
        <v>23</v>
      </c>
      <c r="B911" s="204">
        <f>EDATE($B910,1)</f>
        <v/>
      </c>
      <c r="C911" s="205">
        <f>EOMONTH($B911,0)</f>
        <v/>
      </c>
      <c r="D911" s="201">
        <f>$C911-$B911+1</f>
        <v/>
      </c>
      <c r="E911" s="201">
        <f>MONTH($B911)</f>
        <v/>
      </c>
      <c r="F911" s="235">
        <f>($B911+$C911+1)/2</f>
        <v/>
      </c>
      <c r="G911" s="201">
        <f>YEAR($B911)*12+MONTH($B911)-1</f>
        <v/>
      </c>
      <c r="H911" s="207">
        <f>IF(OR(nr_SeasonOn="OFF",$D$886=0,$E$886=0),1,12*INDEX(se_block,$D$886,$E911)/$E$886)</f>
        <v/>
      </c>
      <c r="I911" s="208">
        <f>EXP(SUMPRODUCT((rl_eff&lt;$B911)*(rl_key=$A$886)*rl_ln1p))</f>
        <v/>
      </c>
      <c r="J911" s="208">
        <f>EXP(SUMPRODUCT((rl_eff&lt;=$C911)*(rl_key=$A$886)*rl_ln1p))</f>
        <v/>
      </c>
      <c r="K911" s="201">
        <f>COUNTIFS(rl_key,$A$886,rl_eff,"&gt;="&amp;$B911,rl_eff,"&lt;="&amp;$C911)</f>
        <v/>
      </c>
      <c r="L911" s="201">
        <f>SUMIFS(rl_daysafter,rl_key,$A$886,rl_effmonth,$B911,rl_first,1)</f>
        <v/>
      </c>
      <c r="M911" s="209">
        <f>IF($K911=0,0,MIN(1,$L911/$D911))</f>
        <v/>
      </c>
      <c r="N911" s="208">
        <f>IF($K911=0,$J911,(1-$M911)*$I911+$M911*$J911)</f>
        <v/>
      </c>
      <c r="O911" s="209">
        <f>IF($F911&lt;$B$887,$E$887+$I$887*($F911-$A$887),IF($F911&lt;$C$887,$F$887+$J$887*($F911-$B$887),$G$887+$K$887*($F911-$C$887)))</f>
        <v/>
      </c>
      <c r="P911" s="208">
        <f>MIN(1,MAX(0,(nr_MEndPm1-$G911+0.5)/$C$886))-MIN(1,MAX(0,(nr_MStartPm1-1-$G911+0.5)/$C$886))</f>
        <v/>
      </c>
      <c r="Q911" s="208">
        <f>MIN(1,MAX(0,(nr_MEndP-$G911+0.5)/$C$886))-MIN(1,MAX(0,(nr_MStartP-1-$G911+0.5)/$C$886))</f>
        <v/>
      </c>
      <c r="R911" s="208">
        <f>MIN(1,MAX(0,(nr_MEndP1-$G911+0.5)/$C$886))-MIN(1,MAX(0,(nr_MStartP1-1-$G911+0.5)/$C$886))</f>
        <v/>
      </c>
      <c r="S911" s="208">
        <f>IF($L$886,$N911*IF($O$886=1,$O911/$F$886,1),"")</f>
        <v/>
      </c>
      <c r="T911" s="208">
        <f>IF(NOT($L$886),"",IF($G911&lt;nr_MStartP,$S911,$T899*(1+IF($G911&lt;nr_MStartP1,$M$886,$N$886))))</f>
        <v/>
      </c>
      <c r="U911" s="208">
        <f>IF($L$886,$T911,$N911)</f>
        <v/>
      </c>
    </row>
    <row r="912">
      <c r="A912" s="145" t="n">
        <v>24</v>
      </c>
      <c r="B912" s="204">
        <f>EDATE($B911,1)</f>
        <v/>
      </c>
      <c r="C912" s="205">
        <f>EOMONTH($B912,0)</f>
        <v/>
      </c>
      <c r="D912" s="201">
        <f>$C912-$B912+1</f>
        <v/>
      </c>
      <c r="E912" s="201">
        <f>MONTH($B912)</f>
        <v/>
      </c>
      <c r="F912" s="235">
        <f>($B912+$C912+1)/2</f>
        <v/>
      </c>
      <c r="G912" s="201">
        <f>YEAR($B912)*12+MONTH($B912)-1</f>
        <v/>
      </c>
      <c r="H912" s="207">
        <f>IF(OR(nr_SeasonOn="OFF",$D$886=0,$E$886=0),1,12*INDEX(se_block,$D$886,$E912)/$E$886)</f>
        <v/>
      </c>
      <c r="I912" s="208">
        <f>EXP(SUMPRODUCT((rl_eff&lt;$B912)*(rl_key=$A$886)*rl_ln1p))</f>
        <v/>
      </c>
      <c r="J912" s="208">
        <f>EXP(SUMPRODUCT((rl_eff&lt;=$C912)*(rl_key=$A$886)*rl_ln1p))</f>
        <v/>
      </c>
      <c r="K912" s="201">
        <f>COUNTIFS(rl_key,$A$886,rl_eff,"&gt;="&amp;$B912,rl_eff,"&lt;="&amp;$C912)</f>
        <v/>
      </c>
      <c r="L912" s="201">
        <f>SUMIFS(rl_daysafter,rl_key,$A$886,rl_effmonth,$B912,rl_first,1)</f>
        <v/>
      </c>
      <c r="M912" s="209">
        <f>IF($K912=0,0,MIN(1,$L912/$D912))</f>
        <v/>
      </c>
      <c r="N912" s="208">
        <f>IF($K912=0,$J912,(1-$M912)*$I912+$M912*$J912)</f>
        <v/>
      </c>
      <c r="O912" s="209">
        <f>IF($F912&lt;$B$887,$E$887+$I$887*($F912-$A$887),IF($F912&lt;$C$887,$F$887+$J$887*($F912-$B$887),$G$887+$K$887*($F912-$C$887)))</f>
        <v/>
      </c>
      <c r="P912" s="208">
        <f>MIN(1,MAX(0,(nr_MEndPm1-$G912+0.5)/$C$886))-MIN(1,MAX(0,(nr_MStartPm1-1-$G912+0.5)/$C$886))</f>
        <v/>
      </c>
      <c r="Q912" s="208">
        <f>MIN(1,MAX(0,(nr_MEndP-$G912+0.5)/$C$886))-MIN(1,MAX(0,(nr_MStartP-1-$G912+0.5)/$C$886))</f>
        <v/>
      </c>
      <c r="R912" s="208">
        <f>MIN(1,MAX(0,(nr_MEndP1-$G912+0.5)/$C$886))-MIN(1,MAX(0,(nr_MStartP1-1-$G912+0.5)/$C$886))</f>
        <v/>
      </c>
      <c r="S912" s="208">
        <f>IF($L$886,$N912*IF($O$886=1,$O912/$F$886,1),"")</f>
        <v/>
      </c>
      <c r="T912" s="208">
        <f>IF(NOT($L$886),"",IF($G912&lt;nr_MStartP,$S912,$T900*(1+IF($G912&lt;nr_MStartP1,$M$886,$N$886))))</f>
        <v/>
      </c>
      <c r="U912" s="208">
        <f>IF($L$886,$T912,$N912)</f>
        <v/>
      </c>
    </row>
    <row r="913">
      <c r="A913" s="145" t="n">
        <v>25</v>
      </c>
      <c r="B913" s="204">
        <f>EDATE($B912,1)</f>
        <v/>
      </c>
      <c r="C913" s="205">
        <f>EOMONTH($B913,0)</f>
        <v/>
      </c>
      <c r="D913" s="201">
        <f>$C913-$B913+1</f>
        <v/>
      </c>
      <c r="E913" s="201">
        <f>MONTH($B913)</f>
        <v/>
      </c>
      <c r="F913" s="235">
        <f>($B913+$C913+1)/2</f>
        <v/>
      </c>
      <c r="G913" s="201">
        <f>YEAR($B913)*12+MONTH($B913)-1</f>
        <v/>
      </c>
      <c r="H913" s="207">
        <f>IF(OR(nr_SeasonOn="OFF",$D$886=0,$E$886=0),1,12*INDEX(se_block,$D$886,$E913)/$E$886)</f>
        <v/>
      </c>
      <c r="I913" s="208">
        <f>EXP(SUMPRODUCT((rl_eff&lt;$B913)*(rl_key=$A$886)*rl_ln1p))</f>
        <v/>
      </c>
      <c r="J913" s="208">
        <f>EXP(SUMPRODUCT((rl_eff&lt;=$C913)*(rl_key=$A$886)*rl_ln1p))</f>
        <v/>
      </c>
      <c r="K913" s="201">
        <f>COUNTIFS(rl_key,$A$886,rl_eff,"&gt;="&amp;$B913,rl_eff,"&lt;="&amp;$C913)</f>
        <v/>
      </c>
      <c r="L913" s="201">
        <f>SUMIFS(rl_daysafter,rl_key,$A$886,rl_effmonth,$B913,rl_first,1)</f>
        <v/>
      </c>
      <c r="M913" s="209">
        <f>IF($K913=0,0,MIN(1,$L913/$D913))</f>
        <v/>
      </c>
      <c r="N913" s="208">
        <f>IF($K913=0,$J913,(1-$M913)*$I913+$M913*$J913)</f>
        <v/>
      </c>
      <c r="O913" s="209">
        <f>IF($F913&lt;$B$887,$E$887+$I$887*($F913-$A$887),IF($F913&lt;$C$887,$F$887+$J$887*($F913-$B$887),$G$887+$K$887*($F913-$C$887)))</f>
        <v/>
      </c>
      <c r="P913" s="208">
        <f>MIN(1,MAX(0,(nr_MEndPm1-$G913+0.5)/$C$886))-MIN(1,MAX(0,(nr_MStartPm1-1-$G913+0.5)/$C$886))</f>
        <v/>
      </c>
      <c r="Q913" s="208">
        <f>MIN(1,MAX(0,(nr_MEndP-$G913+0.5)/$C$886))-MIN(1,MAX(0,(nr_MStartP-1-$G913+0.5)/$C$886))</f>
        <v/>
      </c>
      <c r="R913" s="208">
        <f>MIN(1,MAX(0,(nr_MEndP1-$G913+0.5)/$C$886))-MIN(1,MAX(0,(nr_MStartP1-1-$G913+0.5)/$C$886))</f>
        <v/>
      </c>
      <c r="S913" s="208">
        <f>IF($L$886,$N913*IF($O$886=1,$O913/$F$886,1),"")</f>
        <v/>
      </c>
      <c r="T913" s="208">
        <f>IF(NOT($L$886),"",IF($G913&lt;nr_MStartP,$S913,$T901*(1+IF($G913&lt;nr_MStartP1,$M$886,$N$886))))</f>
        <v/>
      </c>
      <c r="U913" s="208">
        <f>IF($L$886,$T913,$N913)</f>
        <v/>
      </c>
    </row>
    <row r="914">
      <c r="A914" s="145" t="n">
        <v>26</v>
      </c>
      <c r="B914" s="204">
        <f>EDATE($B913,1)</f>
        <v/>
      </c>
      <c r="C914" s="205">
        <f>EOMONTH($B914,0)</f>
        <v/>
      </c>
      <c r="D914" s="201">
        <f>$C914-$B914+1</f>
        <v/>
      </c>
      <c r="E914" s="201">
        <f>MONTH($B914)</f>
        <v/>
      </c>
      <c r="F914" s="235">
        <f>($B914+$C914+1)/2</f>
        <v/>
      </c>
      <c r="G914" s="201">
        <f>YEAR($B914)*12+MONTH($B914)-1</f>
        <v/>
      </c>
      <c r="H914" s="207">
        <f>IF(OR(nr_SeasonOn="OFF",$D$886=0,$E$886=0),1,12*INDEX(se_block,$D$886,$E914)/$E$886)</f>
        <v/>
      </c>
      <c r="I914" s="208">
        <f>EXP(SUMPRODUCT((rl_eff&lt;$B914)*(rl_key=$A$886)*rl_ln1p))</f>
        <v/>
      </c>
      <c r="J914" s="208">
        <f>EXP(SUMPRODUCT((rl_eff&lt;=$C914)*(rl_key=$A$886)*rl_ln1p))</f>
        <v/>
      </c>
      <c r="K914" s="201">
        <f>COUNTIFS(rl_key,$A$886,rl_eff,"&gt;="&amp;$B914,rl_eff,"&lt;="&amp;$C914)</f>
        <v/>
      </c>
      <c r="L914" s="201">
        <f>SUMIFS(rl_daysafter,rl_key,$A$886,rl_effmonth,$B914,rl_first,1)</f>
        <v/>
      </c>
      <c r="M914" s="209">
        <f>IF($K914=0,0,MIN(1,$L914/$D914))</f>
        <v/>
      </c>
      <c r="N914" s="208">
        <f>IF($K914=0,$J914,(1-$M914)*$I914+$M914*$J914)</f>
        <v/>
      </c>
      <c r="O914" s="209">
        <f>IF($F914&lt;$B$887,$E$887+$I$887*($F914-$A$887),IF($F914&lt;$C$887,$F$887+$J$887*($F914-$B$887),$G$887+$K$887*($F914-$C$887)))</f>
        <v/>
      </c>
      <c r="P914" s="208">
        <f>MIN(1,MAX(0,(nr_MEndPm1-$G914+0.5)/$C$886))-MIN(1,MAX(0,(nr_MStartPm1-1-$G914+0.5)/$C$886))</f>
        <v/>
      </c>
      <c r="Q914" s="208">
        <f>MIN(1,MAX(0,(nr_MEndP-$G914+0.5)/$C$886))-MIN(1,MAX(0,(nr_MStartP-1-$G914+0.5)/$C$886))</f>
        <v/>
      </c>
      <c r="R914" s="208">
        <f>MIN(1,MAX(0,(nr_MEndP1-$G914+0.5)/$C$886))-MIN(1,MAX(0,(nr_MStartP1-1-$G914+0.5)/$C$886))</f>
        <v/>
      </c>
      <c r="S914" s="208">
        <f>IF($L$886,$N914*IF($O$886=1,$O914/$F$886,1),"")</f>
        <v/>
      </c>
      <c r="T914" s="208">
        <f>IF(NOT($L$886),"",IF($G914&lt;nr_MStartP,$S914,$T902*(1+IF($G914&lt;nr_MStartP1,$M$886,$N$886))))</f>
        <v/>
      </c>
      <c r="U914" s="208">
        <f>IF($L$886,$T914,$N914)</f>
        <v/>
      </c>
    </row>
    <row r="915">
      <c r="A915" s="145" t="n">
        <v>27</v>
      </c>
      <c r="B915" s="204">
        <f>EDATE($B914,1)</f>
        <v/>
      </c>
      <c r="C915" s="205">
        <f>EOMONTH($B915,0)</f>
        <v/>
      </c>
      <c r="D915" s="201">
        <f>$C915-$B915+1</f>
        <v/>
      </c>
      <c r="E915" s="201">
        <f>MONTH($B915)</f>
        <v/>
      </c>
      <c r="F915" s="235">
        <f>($B915+$C915+1)/2</f>
        <v/>
      </c>
      <c r="G915" s="201">
        <f>YEAR($B915)*12+MONTH($B915)-1</f>
        <v/>
      </c>
      <c r="H915" s="207">
        <f>IF(OR(nr_SeasonOn="OFF",$D$886=0,$E$886=0),1,12*INDEX(se_block,$D$886,$E915)/$E$886)</f>
        <v/>
      </c>
      <c r="I915" s="208">
        <f>EXP(SUMPRODUCT((rl_eff&lt;$B915)*(rl_key=$A$886)*rl_ln1p))</f>
        <v/>
      </c>
      <c r="J915" s="208">
        <f>EXP(SUMPRODUCT((rl_eff&lt;=$C915)*(rl_key=$A$886)*rl_ln1p))</f>
        <v/>
      </c>
      <c r="K915" s="201">
        <f>COUNTIFS(rl_key,$A$886,rl_eff,"&gt;="&amp;$B915,rl_eff,"&lt;="&amp;$C915)</f>
        <v/>
      </c>
      <c r="L915" s="201">
        <f>SUMIFS(rl_daysafter,rl_key,$A$886,rl_effmonth,$B915,rl_first,1)</f>
        <v/>
      </c>
      <c r="M915" s="209">
        <f>IF($K915=0,0,MIN(1,$L915/$D915))</f>
        <v/>
      </c>
      <c r="N915" s="208">
        <f>IF($K915=0,$J915,(1-$M915)*$I915+$M915*$J915)</f>
        <v/>
      </c>
      <c r="O915" s="209">
        <f>IF($F915&lt;$B$887,$E$887+$I$887*($F915-$A$887),IF($F915&lt;$C$887,$F$887+$J$887*($F915-$B$887),$G$887+$K$887*($F915-$C$887)))</f>
        <v/>
      </c>
      <c r="P915" s="208">
        <f>MIN(1,MAX(0,(nr_MEndPm1-$G915+0.5)/$C$886))-MIN(1,MAX(0,(nr_MStartPm1-1-$G915+0.5)/$C$886))</f>
        <v/>
      </c>
      <c r="Q915" s="208">
        <f>MIN(1,MAX(0,(nr_MEndP-$G915+0.5)/$C$886))-MIN(1,MAX(0,(nr_MStartP-1-$G915+0.5)/$C$886))</f>
        <v/>
      </c>
      <c r="R915" s="208">
        <f>MIN(1,MAX(0,(nr_MEndP1-$G915+0.5)/$C$886))-MIN(1,MAX(0,(nr_MStartP1-1-$G915+0.5)/$C$886))</f>
        <v/>
      </c>
      <c r="S915" s="208">
        <f>IF($L$886,$N915*IF($O$886=1,$O915/$F$886,1),"")</f>
        <v/>
      </c>
      <c r="T915" s="208">
        <f>IF(NOT($L$886),"",IF($G915&lt;nr_MStartP,$S915,$T903*(1+IF($G915&lt;nr_MStartP1,$M$886,$N$886))))</f>
        <v/>
      </c>
      <c r="U915" s="208">
        <f>IF($L$886,$T915,$N915)</f>
        <v/>
      </c>
    </row>
    <row r="916">
      <c r="A916" s="145" t="n">
        <v>28</v>
      </c>
      <c r="B916" s="204">
        <f>EDATE($B915,1)</f>
        <v/>
      </c>
      <c r="C916" s="205">
        <f>EOMONTH($B916,0)</f>
        <v/>
      </c>
      <c r="D916" s="201">
        <f>$C916-$B916+1</f>
        <v/>
      </c>
      <c r="E916" s="201">
        <f>MONTH($B916)</f>
        <v/>
      </c>
      <c r="F916" s="235">
        <f>($B916+$C916+1)/2</f>
        <v/>
      </c>
      <c r="G916" s="201">
        <f>YEAR($B916)*12+MONTH($B916)-1</f>
        <v/>
      </c>
      <c r="H916" s="207">
        <f>IF(OR(nr_SeasonOn="OFF",$D$886=0,$E$886=0),1,12*INDEX(se_block,$D$886,$E916)/$E$886)</f>
        <v/>
      </c>
      <c r="I916" s="208">
        <f>EXP(SUMPRODUCT((rl_eff&lt;$B916)*(rl_key=$A$886)*rl_ln1p))</f>
        <v/>
      </c>
      <c r="J916" s="208">
        <f>EXP(SUMPRODUCT((rl_eff&lt;=$C916)*(rl_key=$A$886)*rl_ln1p))</f>
        <v/>
      </c>
      <c r="K916" s="201">
        <f>COUNTIFS(rl_key,$A$886,rl_eff,"&gt;="&amp;$B916,rl_eff,"&lt;="&amp;$C916)</f>
        <v/>
      </c>
      <c r="L916" s="201">
        <f>SUMIFS(rl_daysafter,rl_key,$A$886,rl_effmonth,$B916,rl_first,1)</f>
        <v/>
      </c>
      <c r="M916" s="209">
        <f>IF($K916=0,0,MIN(1,$L916/$D916))</f>
        <v/>
      </c>
      <c r="N916" s="208">
        <f>IF($K916=0,$J916,(1-$M916)*$I916+$M916*$J916)</f>
        <v/>
      </c>
      <c r="O916" s="209">
        <f>IF($F916&lt;$B$887,$E$887+$I$887*($F916-$A$887),IF($F916&lt;$C$887,$F$887+$J$887*($F916-$B$887),$G$887+$K$887*($F916-$C$887)))</f>
        <v/>
      </c>
      <c r="P916" s="208">
        <f>MIN(1,MAX(0,(nr_MEndPm1-$G916+0.5)/$C$886))-MIN(1,MAX(0,(nr_MStartPm1-1-$G916+0.5)/$C$886))</f>
        <v/>
      </c>
      <c r="Q916" s="208">
        <f>MIN(1,MAX(0,(nr_MEndP-$G916+0.5)/$C$886))-MIN(1,MAX(0,(nr_MStartP-1-$G916+0.5)/$C$886))</f>
        <v/>
      </c>
      <c r="R916" s="208">
        <f>MIN(1,MAX(0,(nr_MEndP1-$G916+0.5)/$C$886))-MIN(1,MAX(0,(nr_MStartP1-1-$G916+0.5)/$C$886))</f>
        <v/>
      </c>
      <c r="S916" s="208">
        <f>IF($L$886,$N916*IF($O$886=1,$O916/$F$886,1),"")</f>
        <v/>
      </c>
      <c r="T916" s="208">
        <f>IF(NOT($L$886),"",IF($G916&lt;nr_MStartP,$S916,$T904*(1+IF($G916&lt;nr_MStartP1,$M$886,$N$886))))</f>
        <v/>
      </c>
      <c r="U916" s="208">
        <f>IF($L$886,$T916,$N916)</f>
        <v/>
      </c>
    </row>
    <row r="917">
      <c r="A917" s="145" t="n">
        <v>29</v>
      </c>
      <c r="B917" s="204">
        <f>EDATE($B916,1)</f>
        <v/>
      </c>
      <c r="C917" s="205">
        <f>EOMONTH($B917,0)</f>
        <v/>
      </c>
      <c r="D917" s="201">
        <f>$C917-$B917+1</f>
        <v/>
      </c>
      <c r="E917" s="201">
        <f>MONTH($B917)</f>
        <v/>
      </c>
      <c r="F917" s="235">
        <f>($B917+$C917+1)/2</f>
        <v/>
      </c>
      <c r="G917" s="201">
        <f>YEAR($B917)*12+MONTH($B917)-1</f>
        <v/>
      </c>
      <c r="H917" s="207">
        <f>IF(OR(nr_SeasonOn="OFF",$D$886=0,$E$886=0),1,12*INDEX(se_block,$D$886,$E917)/$E$886)</f>
        <v/>
      </c>
      <c r="I917" s="208">
        <f>EXP(SUMPRODUCT((rl_eff&lt;$B917)*(rl_key=$A$886)*rl_ln1p))</f>
        <v/>
      </c>
      <c r="J917" s="208">
        <f>EXP(SUMPRODUCT((rl_eff&lt;=$C917)*(rl_key=$A$886)*rl_ln1p))</f>
        <v/>
      </c>
      <c r="K917" s="201">
        <f>COUNTIFS(rl_key,$A$886,rl_eff,"&gt;="&amp;$B917,rl_eff,"&lt;="&amp;$C917)</f>
        <v/>
      </c>
      <c r="L917" s="201">
        <f>SUMIFS(rl_daysafter,rl_key,$A$886,rl_effmonth,$B917,rl_first,1)</f>
        <v/>
      </c>
      <c r="M917" s="209">
        <f>IF($K917=0,0,MIN(1,$L917/$D917))</f>
        <v/>
      </c>
      <c r="N917" s="208">
        <f>IF($K917=0,$J917,(1-$M917)*$I917+$M917*$J917)</f>
        <v/>
      </c>
      <c r="O917" s="209">
        <f>IF($F917&lt;$B$887,$E$887+$I$887*($F917-$A$887),IF($F917&lt;$C$887,$F$887+$J$887*($F917-$B$887),$G$887+$K$887*($F917-$C$887)))</f>
        <v/>
      </c>
      <c r="P917" s="208">
        <f>MIN(1,MAX(0,(nr_MEndPm1-$G917+0.5)/$C$886))-MIN(1,MAX(0,(nr_MStartPm1-1-$G917+0.5)/$C$886))</f>
        <v/>
      </c>
      <c r="Q917" s="208">
        <f>MIN(1,MAX(0,(nr_MEndP-$G917+0.5)/$C$886))-MIN(1,MAX(0,(nr_MStartP-1-$G917+0.5)/$C$886))</f>
        <v/>
      </c>
      <c r="R917" s="208">
        <f>MIN(1,MAX(0,(nr_MEndP1-$G917+0.5)/$C$886))-MIN(1,MAX(0,(nr_MStartP1-1-$G917+0.5)/$C$886))</f>
        <v/>
      </c>
      <c r="S917" s="208">
        <f>IF($L$886,$N917*IF($O$886=1,$O917/$F$886,1),"")</f>
        <v/>
      </c>
      <c r="T917" s="208">
        <f>IF(NOT($L$886),"",IF($G917&lt;nr_MStartP,$S917,$T905*(1+IF($G917&lt;nr_MStartP1,$M$886,$N$886))))</f>
        <v/>
      </c>
      <c r="U917" s="208">
        <f>IF($L$886,$T917,$N917)</f>
        <v/>
      </c>
    </row>
    <row r="918">
      <c r="A918" s="145" t="n">
        <v>30</v>
      </c>
      <c r="B918" s="204">
        <f>EDATE($B917,1)</f>
        <v/>
      </c>
      <c r="C918" s="205">
        <f>EOMONTH($B918,0)</f>
        <v/>
      </c>
      <c r="D918" s="201">
        <f>$C918-$B918+1</f>
        <v/>
      </c>
      <c r="E918" s="201">
        <f>MONTH($B918)</f>
        <v/>
      </c>
      <c r="F918" s="235">
        <f>($B918+$C918+1)/2</f>
        <v/>
      </c>
      <c r="G918" s="201">
        <f>YEAR($B918)*12+MONTH($B918)-1</f>
        <v/>
      </c>
      <c r="H918" s="207">
        <f>IF(OR(nr_SeasonOn="OFF",$D$886=0,$E$886=0),1,12*INDEX(se_block,$D$886,$E918)/$E$886)</f>
        <v/>
      </c>
      <c r="I918" s="208">
        <f>EXP(SUMPRODUCT((rl_eff&lt;$B918)*(rl_key=$A$886)*rl_ln1p))</f>
        <v/>
      </c>
      <c r="J918" s="208">
        <f>EXP(SUMPRODUCT((rl_eff&lt;=$C918)*(rl_key=$A$886)*rl_ln1p))</f>
        <v/>
      </c>
      <c r="K918" s="201">
        <f>COUNTIFS(rl_key,$A$886,rl_eff,"&gt;="&amp;$B918,rl_eff,"&lt;="&amp;$C918)</f>
        <v/>
      </c>
      <c r="L918" s="201">
        <f>SUMIFS(rl_daysafter,rl_key,$A$886,rl_effmonth,$B918,rl_first,1)</f>
        <v/>
      </c>
      <c r="M918" s="209">
        <f>IF($K918=0,0,MIN(1,$L918/$D918))</f>
        <v/>
      </c>
      <c r="N918" s="208">
        <f>IF($K918=0,$J918,(1-$M918)*$I918+$M918*$J918)</f>
        <v/>
      </c>
      <c r="O918" s="209">
        <f>IF($F918&lt;$B$887,$E$887+$I$887*($F918-$A$887),IF($F918&lt;$C$887,$F$887+$J$887*($F918-$B$887),$G$887+$K$887*($F918-$C$887)))</f>
        <v/>
      </c>
      <c r="P918" s="208">
        <f>MIN(1,MAX(0,(nr_MEndPm1-$G918+0.5)/$C$886))-MIN(1,MAX(0,(nr_MStartPm1-1-$G918+0.5)/$C$886))</f>
        <v/>
      </c>
      <c r="Q918" s="208">
        <f>MIN(1,MAX(0,(nr_MEndP-$G918+0.5)/$C$886))-MIN(1,MAX(0,(nr_MStartP-1-$G918+0.5)/$C$886))</f>
        <v/>
      </c>
      <c r="R918" s="208">
        <f>MIN(1,MAX(0,(nr_MEndP1-$G918+0.5)/$C$886))-MIN(1,MAX(0,(nr_MStartP1-1-$G918+0.5)/$C$886))</f>
        <v/>
      </c>
      <c r="S918" s="208">
        <f>IF($L$886,$N918*IF($O$886=1,$O918/$F$886,1),"")</f>
        <v/>
      </c>
      <c r="T918" s="208">
        <f>IF(NOT($L$886),"",IF($G918&lt;nr_MStartP,$S918,$T906*(1+IF($G918&lt;nr_MStartP1,$M$886,$N$886))))</f>
        <v/>
      </c>
      <c r="U918" s="208">
        <f>IF($L$886,$T918,$N918)</f>
        <v/>
      </c>
    </row>
    <row r="919">
      <c r="A919" s="145" t="n">
        <v>31</v>
      </c>
      <c r="B919" s="204">
        <f>EDATE($B918,1)</f>
        <v/>
      </c>
      <c r="C919" s="205">
        <f>EOMONTH($B919,0)</f>
        <v/>
      </c>
      <c r="D919" s="201">
        <f>$C919-$B919+1</f>
        <v/>
      </c>
      <c r="E919" s="201">
        <f>MONTH($B919)</f>
        <v/>
      </c>
      <c r="F919" s="235">
        <f>($B919+$C919+1)/2</f>
        <v/>
      </c>
      <c r="G919" s="201">
        <f>YEAR($B919)*12+MONTH($B919)-1</f>
        <v/>
      </c>
      <c r="H919" s="207">
        <f>IF(OR(nr_SeasonOn="OFF",$D$886=0,$E$886=0),1,12*INDEX(se_block,$D$886,$E919)/$E$886)</f>
        <v/>
      </c>
      <c r="I919" s="208">
        <f>EXP(SUMPRODUCT((rl_eff&lt;$B919)*(rl_key=$A$886)*rl_ln1p))</f>
        <v/>
      </c>
      <c r="J919" s="208">
        <f>EXP(SUMPRODUCT((rl_eff&lt;=$C919)*(rl_key=$A$886)*rl_ln1p))</f>
        <v/>
      </c>
      <c r="K919" s="201">
        <f>COUNTIFS(rl_key,$A$886,rl_eff,"&gt;="&amp;$B919,rl_eff,"&lt;="&amp;$C919)</f>
        <v/>
      </c>
      <c r="L919" s="201">
        <f>SUMIFS(rl_daysafter,rl_key,$A$886,rl_effmonth,$B919,rl_first,1)</f>
        <v/>
      </c>
      <c r="M919" s="209">
        <f>IF($K919=0,0,MIN(1,$L919/$D919))</f>
        <v/>
      </c>
      <c r="N919" s="208">
        <f>IF($K919=0,$J919,(1-$M919)*$I919+$M919*$J919)</f>
        <v/>
      </c>
      <c r="O919" s="209">
        <f>IF($F919&lt;$B$887,$E$887+$I$887*($F919-$A$887),IF($F919&lt;$C$887,$F$887+$J$887*($F919-$B$887),$G$887+$K$887*($F919-$C$887)))</f>
        <v/>
      </c>
      <c r="P919" s="208">
        <f>MIN(1,MAX(0,(nr_MEndPm1-$G919+0.5)/$C$886))-MIN(1,MAX(0,(nr_MStartPm1-1-$G919+0.5)/$C$886))</f>
        <v/>
      </c>
      <c r="Q919" s="208">
        <f>MIN(1,MAX(0,(nr_MEndP-$G919+0.5)/$C$886))-MIN(1,MAX(0,(nr_MStartP-1-$G919+0.5)/$C$886))</f>
        <v/>
      </c>
      <c r="R919" s="208">
        <f>MIN(1,MAX(0,(nr_MEndP1-$G919+0.5)/$C$886))-MIN(1,MAX(0,(nr_MStartP1-1-$G919+0.5)/$C$886))</f>
        <v/>
      </c>
      <c r="S919" s="208">
        <f>IF($L$886,$N919*IF($O$886=1,$O919/$F$886,1),"")</f>
        <v/>
      </c>
      <c r="T919" s="208">
        <f>IF(NOT($L$886),"",IF($G919&lt;nr_MStartP,$S919,$T907*(1+IF($G919&lt;nr_MStartP1,$M$886,$N$886))))</f>
        <v/>
      </c>
      <c r="U919" s="208">
        <f>IF($L$886,$T919,$N919)</f>
        <v/>
      </c>
    </row>
    <row r="920">
      <c r="A920" s="145" t="n">
        <v>32</v>
      </c>
      <c r="B920" s="204">
        <f>EDATE($B919,1)</f>
        <v/>
      </c>
      <c r="C920" s="205">
        <f>EOMONTH($B920,0)</f>
        <v/>
      </c>
      <c r="D920" s="201">
        <f>$C920-$B920+1</f>
        <v/>
      </c>
      <c r="E920" s="201">
        <f>MONTH($B920)</f>
        <v/>
      </c>
      <c r="F920" s="235">
        <f>($B920+$C920+1)/2</f>
        <v/>
      </c>
      <c r="G920" s="201">
        <f>YEAR($B920)*12+MONTH($B920)-1</f>
        <v/>
      </c>
      <c r="H920" s="207">
        <f>IF(OR(nr_SeasonOn="OFF",$D$886=0,$E$886=0),1,12*INDEX(se_block,$D$886,$E920)/$E$886)</f>
        <v/>
      </c>
      <c r="I920" s="208">
        <f>EXP(SUMPRODUCT((rl_eff&lt;$B920)*(rl_key=$A$886)*rl_ln1p))</f>
        <v/>
      </c>
      <c r="J920" s="208">
        <f>EXP(SUMPRODUCT((rl_eff&lt;=$C920)*(rl_key=$A$886)*rl_ln1p))</f>
        <v/>
      </c>
      <c r="K920" s="201">
        <f>COUNTIFS(rl_key,$A$886,rl_eff,"&gt;="&amp;$B920,rl_eff,"&lt;="&amp;$C920)</f>
        <v/>
      </c>
      <c r="L920" s="201">
        <f>SUMIFS(rl_daysafter,rl_key,$A$886,rl_effmonth,$B920,rl_first,1)</f>
        <v/>
      </c>
      <c r="M920" s="209">
        <f>IF($K920=0,0,MIN(1,$L920/$D920))</f>
        <v/>
      </c>
      <c r="N920" s="208">
        <f>IF($K920=0,$J920,(1-$M920)*$I920+$M920*$J920)</f>
        <v/>
      </c>
      <c r="O920" s="209">
        <f>IF($F920&lt;$B$887,$E$887+$I$887*($F920-$A$887),IF($F920&lt;$C$887,$F$887+$J$887*($F920-$B$887),$G$887+$K$887*($F920-$C$887)))</f>
        <v/>
      </c>
      <c r="P920" s="208">
        <f>MIN(1,MAX(0,(nr_MEndPm1-$G920+0.5)/$C$886))-MIN(1,MAX(0,(nr_MStartPm1-1-$G920+0.5)/$C$886))</f>
        <v/>
      </c>
      <c r="Q920" s="208">
        <f>MIN(1,MAX(0,(nr_MEndP-$G920+0.5)/$C$886))-MIN(1,MAX(0,(nr_MStartP-1-$G920+0.5)/$C$886))</f>
        <v/>
      </c>
      <c r="R920" s="208">
        <f>MIN(1,MAX(0,(nr_MEndP1-$G920+0.5)/$C$886))-MIN(1,MAX(0,(nr_MStartP1-1-$G920+0.5)/$C$886))</f>
        <v/>
      </c>
      <c r="S920" s="208">
        <f>IF($L$886,$N920*IF($O$886=1,$O920/$F$886,1),"")</f>
        <v/>
      </c>
      <c r="T920" s="208">
        <f>IF(NOT($L$886),"",IF($G920&lt;nr_MStartP,$S920,$T908*(1+IF($G920&lt;nr_MStartP1,$M$886,$N$886))))</f>
        <v/>
      </c>
      <c r="U920" s="208">
        <f>IF($L$886,$T920,$N920)</f>
        <v/>
      </c>
    </row>
    <row r="921">
      <c r="A921" s="145" t="n">
        <v>33</v>
      </c>
      <c r="B921" s="204">
        <f>EDATE($B920,1)</f>
        <v/>
      </c>
      <c r="C921" s="205">
        <f>EOMONTH($B921,0)</f>
        <v/>
      </c>
      <c r="D921" s="201">
        <f>$C921-$B921+1</f>
        <v/>
      </c>
      <c r="E921" s="201">
        <f>MONTH($B921)</f>
        <v/>
      </c>
      <c r="F921" s="235">
        <f>($B921+$C921+1)/2</f>
        <v/>
      </c>
      <c r="G921" s="201">
        <f>YEAR($B921)*12+MONTH($B921)-1</f>
        <v/>
      </c>
      <c r="H921" s="207">
        <f>IF(OR(nr_SeasonOn="OFF",$D$886=0,$E$886=0),1,12*INDEX(se_block,$D$886,$E921)/$E$886)</f>
        <v/>
      </c>
      <c r="I921" s="208">
        <f>EXP(SUMPRODUCT((rl_eff&lt;$B921)*(rl_key=$A$886)*rl_ln1p))</f>
        <v/>
      </c>
      <c r="J921" s="208">
        <f>EXP(SUMPRODUCT((rl_eff&lt;=$C921)*(rl_key=$A$886)*rl_ln1p))</f>
        <v/>
      </c>
      <c r="K921" s="201">
        <f>COUNTIFS(rl_key,$A$886,rl_eff,"&gt;="&amp;$B921,rl_eff,"&lt;="&amp;$C921)</f>
        <v/>
      </c>
      <c r="L921" s="201">
        <f>SUMIFS(rl_daysafter,rl_key,$A$886,rl_effmonth,$B921,rl_first,1)</f>
        <v/>
      </c>
      <c r="M921" s="209">
        <f>IF($K921=0,0,MIN(1,$L921/$D921))</f>
        <v/>
      </c>
      <c r="N921" s="208">
        <f>IF($K921=0,$J921,(1-$M921)*$I921+$M921*$J921)</f>
        <v/>
      </c>
      <c r="O921" s="209">
        <f>IF($F921&lt;$B$887,$E$887+$I$887*($F921-$A$887),IF($F921&lt;$C$887,$F$887+$J$887*($F921-$B$887),$G$887+$K$887*($F921-$C$887)))</f>
        <v/>
      </c>
      <c r="P921" s="208">
        <f>MIN(1,MAX(0,(nr_MEndPm1-$G921+0.5)/$C$886))-MIN(1,MAX(0,(nr_MStartPm1-1-$G921+0.5)/$C$886))</f>
        <v/>
      </c>
      <c r="Q921" s="208">
        <f>MIN(1,MAX(0,(nr_MEndP-$G921+0.5)/$C$886))-MIN(1,MAX(0,(nr_MStartP-1-$G921+0.5)/$C$886))</f>
        <v/>
      </c>
      <c r="R921" s="208">
        <f>MIN(1,MAX(0,(nr_MEndP1-$G921+0.5)/$C$886))-MIN(1,MAX(0,(nr_MStartP1-1-$G921+0.5)/$C$886))</f>
        <v/>
      </c>
      <c r="S921" s="208">
        <f>IF($L$886,$N921*IF($O$886=1,$O921/$F$886,1),"")</f>
        <v/>
      </c>
      <c r="T921" s="208">
        <f>IF(NOT($L$886),"",IF($G921&lt;nr_MStartP,$S921,$T909*(1+IF($G921&lt;nr_MStartP1,$M$886,$N$886))))</f>
        <v/>
      </c>
      <c r="U921" s="208">
        <f>IF($L$886,$T921,$N921)</f>
        <v/>
      </c>
    </row>
    <row r="922">
      <c r="A922" s="145" t="n">
        <v>34</v>
      </c>
      <c r="B922" s="204">
        <f>EDATE($B921,1)</f>
        <v/>
      </c>
      <c r="C922" s="205">
        <f>EOMONTH($B922,0)</f>
        <v/>
      </c>
      <c r="D922" s="201">
        <f>$C922-$B922+1</f>
        <v/>
      </c>
      <c r="E922" s="201">
        <f>MONTH($B922)</f>
        <v/>
      </c>
      <c r="F922" s="235">
        <f>($B922+$C922+1)/2</f>
        <v/>
      </c>
      <c r="G922" s="201">
        <f>YEAR($B922)*12+MONTH($B922)-1</f>
        <v/>
      </c>
      <c r="H922" s="207">
        <f>IF(OR(nr_SeasonOn="OFF",$D$886=0,$E$886=0),1,12*INDEX(se_block,$D$886,$E922)/$E$886)</f>
        <v/>
      </c>
      <c r="I922" s="208">
        <f>EXP(SUMPRODUCT((rl_eff&lt;$B922)*(rl_key=$A$886)*rl_ln1p))</f>
        <v/>
      </c>
      <c r="J922" s="208">
        <f>EXP(SUMPRODUCT((rl_eff&lt;=$C922)*(rl_key=$A$886)*rl_ln1p))</f>
        <v/>
      </c>
      <c r="K922" s="201">
        <f>COUNTIFS(rl_key,$A$886,rl_eff,"&gt;="&amp;$B922,rl_eff,"&lt;="&amp;$C922)</f>
        <v/>
      </c>
      <c r="L922" s="201">
        <f>SUMIFS(rl_daysafter,rl_key,$A$886,rl_effmonth,$B922,rl_first,1)</f>
        <v/>
      </c>
      <c r="M922" s="209">
        <f>IF($K922=0,0,MIN(1,$L922/$D922))</f>
        <v/>
      </c>
      <c r="N922" s="208">
        <f>IF($K922=0,$J922,(1-$M922)*$I922+$M922*$J922)</f>
        <v/>
      </c>
      <c r="O922" s="209">
        <f>IF($F922&lt;$B$887,$E$887+$I$887*($F922-$A$887),IF($F922&lt;$C$887,$F$887+$J$887*($F922-$B$887),$G$887+$K$887*($F922-$C$887)))</f>
        <v/>
      </c>
      <c r="P922" s="208">
        <f>MIN(1,MAX(0,(nr_MEndPm1-$G922+0.5)/$C$886))-MIN(1,MAX(0,(nr_MStartPm1-1-$G922+0.5)/$C$886))</f>
        <v/>
      </c>
      <c r="Q922" s="208">
        <f>MIN(1,MAX(0,(nr_MEndP-$G922+0.5)/$C$886))-MIN(1,MAX(0,(nr_MStartP-1-$G922+0.5)/$C$886))</f>
        <v/>
      </c>
      <c r="R922" s="208">
        <f>MIN(1,MAX(0,(nr_MEndP1-$G922+0.5)/$C$886))-MIN(1,MAX(0,(nr_MStartP1-1-$G922+0.5)/$C$886))</f>
        <v/>
      </c>
      <c r="S922" s="208">
        <f>IF($L$886,$N922*IF($O$886=1,$O922/$F$886,1),"")</f>
        <v/>
      </c>
      <c r="T922" s="208">
        <f>IF(NOT($L$886),"",IF($G922&lt;nr_MStartP,$S922,$T910*(1+IF($G922&lt;nr_MStartP1,$M$886,$N$886))))</f>
        <v/>
      </c>
      <c r="U922" s="208">
        <f>IF($L$886,$T922,$N922)</f>
        <v/>
      </c>
    </row>
    <row r="923">
      <c r="A923" s="145" t="n">
        <v>35</v>
      </c>
      <c r="B923" s="204">
        <f>EDATE($B922,1)</f>
        <v/>
      </c>
      <c r="C923" s="205">
        <f>EOMONTH($B923,0)</f>
        <v/>
      </c>
      <c r="D923" s="201">
        <f>$C923-$B923+1</f>
        <v/>
      </c>
      <c r="E923" s="201">
        <f>MONTH($B923)</f>
        <v/>
      </c>
      <c r="F923" s="235">
        <f>($B923+$C923+1)/2</f>
        <v/>
      </c>
      <c r="G923" s="201">
        <f>YEAR($B923)*12+MONTH($B923)-1</f>
        <v/>
      </c>
      <c r="H923" s="207">
        <f>IF(OR(nr_SeasonOn="OFF",$D$886=0,$E$886=0),1,12*INDEX(se_block,$D$886,$E923)/$E$886)</f>
        <v/>
      </c>
      <c r="I923" s="208">
        <f>EXP(SUMPRODUCT((rl_eff&lt;$B923)*(rl_key=$A$886)*rl_ln1p))</f>
        <v/>
      </c>
      <c r="J923" s="208">
        <f>EXP(SUMPRODUCT((rl_eff&lt;=$C923)*(rl_key=$A$886)*rl_ln1p))</f>
        <v/>
      </c>
      <c r="K923" s="201">
        <f>COUNTIFS(rl_key,$A$886,rl_eff,"&gt;="&amp;$B923,rl_eff,"&lt;="&amp;$C923)</f>
        <v/>
      </c>
      <c r="L923" s="201">
        <f>SUMIFS(rl_daysafter,rl_key,$A$886,rl_effmonth,$B923,rl_first,1)</f>
        <v/>
      </c>
      <c r="M923" s="209">
        <f>IF($K923=0,0,MIN(1,$L923/$D923))</f>
        <v/>
      </c>
      <c r="N923" s="208">
        <f>IF($K923=0,$J923,(1-$M923)*$I923+$M923*$J923)</f>
        <v/>
      </c>
      <c r="O923" s="209">
        <f>IF($F923&lt;$B$887,$E$887+$I$887*($F923-$A$887),IF($F923&lt;$C$887,$F$887+$J$887*($F923-$B$887),$G$887+$K$887*($F923-$C$887)))</f>
        <v/>
      </c>
      <c r="P923" s="208">
        <f>MIN(1,MAX(0,(nr_MEndPm1-$G923+0.5)/$C$886))-MIN(1,MAX(0,(nr_MStartPm1-1-$G923+0.5)/$C$886))</f>
        <v/>
      </c>
      <c r="Q923" s="208">
        <f>MIN(1,MAX(0,(nr_MEndP-$G923+0.5)/$C$886))-MIN(1,MAX(0,(nr_MStartP-1-$G923+0.5)/$C$886))</f>
        <v/>
      </c>
      <c r="R923" s="208">
        <f>MIN(1,MAX(0,(nr_MEndP1-$G923+0.5)/$C$886))-MIN(1,MAX(0,(nr_MStartP1-1-$G923+0.5)/$C$886))</f>
        <v/>
      </c>
      <c r="S923" s="208">
        <f>IF($L$886,$N923*IF($O$886=1,$O923/$F$886,1),"")</f>
        <v/>
      </c>
      <c r="T923" s="208">
        <f>IF(NOT($L$886),"",IF($G923&lt;nr_MStartP,$S923,$T911*(1+IF($G923&lt;nr_MStartP1,$M$886,$N$886))))</f>
        <v/>
      </c>
      <c r="U923" s="208">
        <f>IF($L$886,$T923,$N923)</f>
        <v/>
      </c>
    </row>
    <row r="924">
      <c r="A924" s="145" t="n">
        <v>36</v>
      </c>
      <c r="B924" s="204">
        <f>EDATE($B923,1)</f>
        <v/>
      </c>
      <c r="C924" s="205">
        <f>EOMONTH($B924,0)</f>
        <v/>
      </c>
      <c r="D924" s="201">
        <f>$C924-$B924+1</f>
        <v/>
      </c>
      <c r="E924" s="201">
        <f>MONTH($B924)</f>
        <v/>
      </c>
      <c r="F924" s="235">
        <f>($B924+$C924+1)/2</f>
        <v/>
      </c>
      <c r="G924" s="201">
        <f>YEAR($B924)*12+MONTH($B924)-1</f>
        <v/>
      </c>
      <c r="H924" s="207">
        <f>IF(OR(nr_SeasonOn="OFF",$D$886=0,$E$886=0),1,12*INDEX(se_block,$D$886,$E924)/$E$886)</f>
        <v/>
      </c>
      <c r="I924" s="208">
        <f>EXP(SUMPRODUCT((rl_eff&lt;$B924)*(rl_key=$A$886)*rl_ln1p))</f>
        <v/>
      </c>
      <c r="J924" s="208">
        <f>EXP(SUMPRODUCT((rl_eff&lt;=$C924)*(rl_key=$A$886)*rl_ln1p))</f>
        <v/>
      </c>
      <c r="K924" s="201">
        <f>COUNTIFS(rl_key,$A$886,rl_eff,"&gt;="&amp;$B924,rl_eff,"&lt;="&amp;$C924)</f>
        <v/>
      </c>
      <c r="L924" s="201">
        <f>SUMIFS(rl_daysafter,rl_key,$A$886,rl_effmonth,$B924,rl_first,1)</f>
        <v/>
      </c>
      <c r="M924" s="209">
        <f>IF($K924=0,0,MIN(1,$L924/$D924))</f>
        <v/>
      </c>
      <c r="N924" s="208">
        <f>IF($K924=0,$J924,(1-$M924)*$I924+$M924*$J924)</f>
        <v/>
      </c>
      <c r="O924" s="209">
        <f>IF($F924&lt;$B$887,$E$887+$I$887*($F924-$A$887),IF($F924&lt;$C$887,$F$887+$J$887*($F924-$B$887),$G$887+$K$887*($F924-$C$887)))</f>
        <v/>
      </c>
      <c r="P924" s="208">
        <f>MIN(1,MAX(0,(nr_MEndPm1-$G924+0.5)/$C$886))-MIN(1,MAX(0,(nr_MStartPm1-1-$G924+0.5)/$C$886))</f>
        <v/>
      </c>
      <c r="Q924" s="208">
        <f>MIN(1,MAX(0,(nr_MEndP-$G924+0.5)/$C$886))-MIN(1,MAX(0,(nr_MStartP-1-$G924+0.5)/$C$886))</f>
        <v/>
      </c>
      <c r="R924" s="208">
        <f>MIN(1,MAX(0,(nr_MEndP1-$G924+0.5)/$C$886))-MIN(1,MAX(0,(nr_MStartP1-1-$G924+0.5)/$C$886))</f>
        <v/>
      </c>
      <c r="S924" s="208">
        <f>IF($L$886,$N924*IF($O$886=1,$O924/$F$886,1),"")</f>
        <v/>
      </c>
      <c r="T924" s="208">
        <f>IF(NOT($L$886),"",IF($G924&lt;nr_MStartP,$S924,$T912*(1+IF($G924&lt;nr_MStartP1,$M$886,$N$886))))</f>
        <v/>
      </c>
      <c r="U924" s="208">
        <f>IF($L$886,$T924,$N924)</f>
        <v/>
      </c>
    </row>
    <row r="925">
      <c r="A925" s="145" t="n">
        <v>37</v>
      </c>
      <c r="B925" s="204">
        <f>EDATE($B924,1)</f>
        <v/>
      </c>
      <c r="C925" s="205">
        <f>EOMONTH($B925,0)</f>
        <v/>
      </c>
      <c r="D925" s="201">
        <f>$C925-$B925+1</f>
        <v/>
      </c>
      <c r="E925" s="201">
        <f>MONTH($B925)</f>
        <v/>
      </c>
      <c r="F925" s="235">
        <f>($B925+$C925+1)/2</f>
        <v/>
      </c>
      <c r="G925" s="201">
        <f>YEAR($B925)*12+MONTH($B925)-1</f>
        <v/>
      </c>
      <c r="H925" s="207">
        <f>IF(OR(nr_SeasonOn="OFF",$D$886=0,$E$886=0),1,12*INDEX(se_block,$D$886,$E925)/$E$886)</f>
        <v/>
      </c>
      <c r="I925" s="208">
        <f>EXP(SUMPRODUCT((rl_eff&lt;$B925)*(rl_key=$A$886)*rl_ln1p))</f>
        <v/>
      </c>
      <c r="J925" s="208">
        <f>EXP(SUMPRODUCT((rl_eff&lt;=$C925)*(rl_key=$A$886)*rl_ln1p))</f>
        <v/>
      </c>
      <c r="K925" s="201">
        <f>COUNTIFS(rl_key,$A$886,rl_eff,"&gt;="&amp;$B925,rl_eff,"&lt;="&amp;$C925)</f>
        <v/>
      </c>
      <c r="L925" s="201">
        <f>SUMIFS(rl_daysafter,rl_key,$A$886,rl_effmonth,$B925,rl_first,1)</f>
        <v/>
      </c>
      <c r="M925" s="209">
        <f>IF($K925=0,0,MIN(1,$L925/$D925))</f>
        <v/>
      </c>
      <c r="N925" s="208">
        <f>IF($K925=0,$J925,(1-$M925)*$I925+$M925*$J925)</f>
        <v/>
      </c>
      <c r="O925" s="209">
        <f>IF($F925&lt;$B$887,$E$887+$I$887*($F925-$A$887),IF($F925&lt;$C$887,$F$887+$J$887*($F925-$B$887),$G$887+$K$887*($F925-$C$887)))</f>
        <v/>
      </c>
      <c r="P925" s="208">
        <f>MIN(1,MAX(0,(nr_MEndPm1-$G925+0.5)/$C$886))-MIN(1,MAX(0,(nr_MStartPm1-1-$G925+0.5)/$C$886))</f>
        <v/>
      </c>
      <c r="Q925" s="208">
        <f>MIN(1,MAX(0,(nr_MEndP-$G925+0.5)/$C$886))-MIN(1,MAX(0,(nr_MStartP-1-$G925+0.5)/$C$886))</f>
        <v/>
      </c>
      <c r="R925" s="208">
        <f>MIN(1,MAX(0,(nr_MEndP1-$G925+0.5)/$C$886))-MIN(1,MAX(0,(nr_MStartP1-1-$G925+0.5)/$C$886))</f>
        <v/>
      </c>
      <c r="S925" s="208">
        <f>IF($L$886,$N925*IF($O$886=1,$O925/$F$886,1),"")</f>
        <v/>
      </c>
      <c r="T925" s="208">
        <f>IF(NOT($L$886),"",IF($G925&lt;nr_MStartP,$S925,$T913*(1+IF($G925&lt;nr_MStartP1,$M$886,$N$886))))</f>
        <v/>
      </c>
      <c r="U925" s="208">
        <f>IF($L$886,$T925,$N925)</f>
        <v/>
      </c>
    </row>
    <row r="926">
      <c r="A926" s="145" t="n">
        <v>38</v>
      </c>
      <c r="B926" s="204">
        <f>EDATE($B925,1)</f>
        <v/>
      </c>
      <c r="C926" s="205">
        <f>EOMONTH($B926,0)</f>
        <v/>
      </c>
      <c r="D926" s="201">
        <f>$C926-$B926+1</f>
        <v/>
      </c>
      <c r="E926" s="201">
        <f>MONTH($B926)</f>
        <v/>
      </c>
      <c r="F926" s="235">
        <f>($B926+$C926+1)/2</f>
        <v/>
      </c>
      <c r="G926" s="201">
        <f>YEAR($B926)*12+MONTH($B926)-1</f>
        <v/>
      </c>
      <c r="H926" s="207">
        <f>IF(OR(nr_SeasonOn="OFF",$D$886=0,$E$886=0),1,12*INDEX(se_block,$D$886,$E926)/$E$886)</f>
        <v/>
      </c>
      <c r="I926" s="208">
        <f>EXP(SUMPRODUCT((rl_eff&lt;$B926)*(rl_key=$A$886)*rl_ln1p))</f>
        <v/>
      </c>
      <c r="J926" s="208">
        <f>EXP(SUMPRODUCT((rl_eff&lt;=$C926)*(rl_key=$A$886)*rl_ln1p))</f>
        <v/>
      </c>
      <c r="K926" s="201">
        <f>COUNTIFS(rl_key,$A$886,rl_eff,"&gt;="&amp;$B926,rl_eff,"&lt;="&amp;$C926)</f>
        <v/>
      </c>
      <c r="L926" s="201">
        <f>SUMIFS(rl_daysafter,rl_key,$A$886,rl_effmonth,$B926,rl_first,1)</f>
        <v/>
      </c>
      <c r="M926" s="209">
        <f>IF($K926=0,0,MIN(1,$L926/$D926))</f>
        <v/>
      </c>
      <c r="N926" s="208">
        <f>IF($K926=0,$J926,(1-$M926)*$I926+$M926*$J926)</f>
        <v/>
      </c>
      <c r="O926" s="209">
        <f>IF($F926&lt;$B$887,$E$887+$I$887*($F926-$A$887),IF($F926&lt;$C$887,$F$887+$J$887*($F926-$B$887),$G$887+$K$887*($F926-$C$887)))</f>
        <v/>
      </c>
      <c r="P926" s="208">
        <f>MIN(1,MAX(0,(nr_MEndPm1-$G926+0.5)/$C$886))-MIN(1,MAX(0,(nr_MStartPm1-1-$G926+0.5)/$C$886))</f>
        <v/>
      </c>
      <c r="Q926" s="208">
        <f>MIN(1,MAX(0,(nr_MEndP-$G926+0.5)/$C$886))-MIN(1,MAX(0,(nr_MStartP-1-$G926+0.5)/$C$886))</f>
        <v/>
      </c>
      <c r="R926" s="208">
        <f>MIN(1,MAX(0,(nr_MEndP1-$G926+0.5)/$C$886))-MIN(1,MAX(0,(nr_MStartP1-1-$G926+0.5)/$C$886))</f>
        <v/>
      </c>
      <c r="S926" s="208">
        <f>IF($L$886,$N926*IF($O$886=1,$O926/$F$886,1),"")</f>
        <v/>
      </c>
      <c r="T926" s="208">
        <f>IF(NOT($L$886),"",IF($G926&lt;nr_MStartP,$S926,$T914*(1+IF($G926&lt;nr_MStartP1,$M$886,$N$886))))</f>
        <v/>
      </c>
      <c r="U926" s="208">
        <f>IF($L$886,$T926,$N926)</f>
        <v/>
      </c>
    </row>
    <row r="927">
      <c r="A927" s="145" t="n">
        <v>39</v>
      </c>
      <c r="B927" s="204">
        <f>EDATE($B926,1)</f>
        <v/>
      </c>
      <c r="C927" s="205">
        <f>EOMONTH($B927,0)</f>
        <v/>
      </c>
      <c r="D927" s="201">
        <f>$C927-$B927+1</f>
        <v/>
      </c>
      <c r="E927" s="201">
        <f>MONTH($B927)</f>
        <v/>
      </c>
      <c r="F927" s="235">
        <f>($B927+$C927+1)/2</f>
        <v/>
      </c>
      <c r="G927" s="201">
        <f>YEAR($B927)*12+MONTH($B927)-1</f>
        <v/>
      </c>
      <c r="H927" s="207">
        <f>IF(OR(nr_SeasonOn="OFF",$D$886=0,$E$886=0),1,12*INDEX(se_block,$D$886,$E927)/$E$886)</f>
        <v/>
      </c>
      <c r="I927" s="208">
        <f>EXP(SUMPRODUCT((rl_eff&lt;$B927)*(rl_key=$A$886)*rl_ln1p))</f>
        <v/>
      </c>
      <c r="J927" s="208">
        <f>EXP(SUMPRODUCT((rl_eff&lt;=$C927)*(rl_key=$A$886)*rl_ln1p))</f>
        <v/>
      </c>
      <c r="K927" s="201">
        <f>COUNTIFS(rl_key,$A$886,rl_eff,"&gt;="&amp;$B927,rl_eff,"&lt;="&amp;$C927)</f>
        <v/>
      </c>
      <c r="L927" s="201">
        <f>SUMIFS(rl_daysafter,rl_key,$A$886,rl_effmonth,$B927,rl_first,1)</f>
        <v/>
      </c>
      <c r="M927" s="209">
        <f>IF($K927=0,0,MIN(1,$L927/$D927))</f>
        <v/>
      </c>
      <c r="N927" s="208">
        <f>IF($K927=0,$J927,(1-$M927)*$I927+$M927*$J927)</f>
        <v/>
      </c>
      <c r="O927" s="209">
        <f>IF($F927&lt;$B$887,$E$887+$I$887*($F927-$A$887),IF($F927&lt;$C$887,$F$887+$J$887*($F927-$B$887),$G$887+$K$887*($F927-$C$887)))</f>
        <v/>
      </c>
      <c r="P927" s="208">
        <f>MIN(1,MAX(0,(nr_MEndPm1-$G927+0.5)/$C$886))-MIN(1,MAX(0,(nr_MStartPm1-1-$G927+0.5)/$C$886))</f>
        <v/>
      </c>
      <c r="Q927" s="208">
        <f>MIN(1,MAX(0,(nr_MEndP-$G927+0.5)/$C$886))-MIN(1,MAX(0,(nr_MStartP-1-$G927+0.5)/$C$886))</f>
        <v/>
      </c>
      <c r="R927" s="208">
        <f>MIN(1,MAX(0,(nr_MEndP1-$G927+0.5)/$C$886))-MIN(1,MAX(0,(nr_MStartP1-1-$G927+0.5)/$C$886))</f>
        <v/>
      </c>
      <c r="S927" s="208">
        <f>IF($L$886,$N927*IF($O$886=1,$O927/$F$886,1),"")</f>
        <v/>
      </c>
      <c r="T927" s="208">
        <f>IF(NOT($L$886),"",IF($G927&lt;nr_MStartP,$S927,$T915*(1+IF($G927&lt;nr_MStartP1,$M$886,$N$886))))</f>
        <v/>
      </c>
      <c r="U927" s="208">
        <f>IF($L$886,$T927,$N927)</f>
        <v/>
      </c>
    </row>
    <row r="928">
      <c r="A928" s="145" t="n">
        <v>40</v>
      </c>
      <c r="B928" s="204">
        <f>EDATE($B927,1)</f>
        <v/>
      </c>
      <c r="C928" s="205">
        <f>EOMONTH($B928,0)</f>
        <v/>
      </c>
      <c r="D928" s="201">
        <f>$C928-$B928+1</f>
        <v/>
      </c>
      <c r="E928" s="201">
        <f>MONTH($B928)</f>
        <v/>
      </c>
      <c r="F928" s="235">
        <f>($B928+$C928+1)/2</f>
        <v/>
      </c>
      <c r="G928" s="201">
        <f>YEAR($B928)*12+MONTH($B928)-1</f>
        <v/>
      </c>
      <c r="H928" s="207">
        <f>IF(OR(nr_SeasonOn="OFF",$D$886=0,$E$886=0),1,12*INDEX(se_block,$D$886,$E928)/$E$886)</f>
        <v/>
      </c>
      <c r="I928" s="208">
        <f>EXP(SUMPRODUCT((rl_eff&lt;$B928)*(rl_key=$A$886)*rl_ln1p))</f>
        <v/>
      </c>
      <c r="J928" s="208">
        <f>EXP(SUMPRODUCT((rl_eff&lt;=$C928)*(rl_key=$A$886)*rl_ln1p))</f>
        <v/>
      </c>
      <c r="K928" s="201">
        <f>COUNTIFS(rl_key,$A$886,rl_eff,"&gt;="&amp;$B928,rl_eff,"&lt;="&amp;$C928)</f>
        <v/>
      </c>
      <c r="L928" s="201">
        <f>SUMIFS(rl_daysafter,rl_key,$A$886,rl_effmonth,$B928,rl_first,1)</f>
        <v/>
      </c>
      <c r="M928" s="209">
        <f>IF($K928=0,0,MIN(1,$L928/$D928))</f>
        <v/>
      </c>
      <c r="N928" s="208">
        <f>IF($K928=0,$J928,(1-$M928)*$I928+$M928*$J928)</f>
        <v/>
      </c>
      <c r="O928" s="209">
        <f>IF($F928&lt;$B$887,$E$887+$I$887*($F928-$A$887),IF($F928&lt;$C$887,$F$887+$J$887*($F928-$B$887),$G$887+$K$887*($F928-$C$887)))</f>
        <v/>
      </c>
      <c r="P928" s="208">
        <f>MIN(1,MAX(0,(nr_MEndPm1-$G928+0.5)/$C$886))-MIN(1,MAX(0,(nr_MStartPm1-1-$G928+0.5)/$C$886))</f>
        <v/>
      </c>
      <c r="Q928" s="208">
        <f>MIN(1,MAX(0,(nr_MEndP-$G928+0.5)/$C$886))-MIN(1,MAX(0,(nr_MStartP-1-$G928+0.5)/$C$886))</f>
        <v/>
      </c>
      <c r="R928" s="208">
        <f>MIN(1,MAX(0,(nr_MEndP1-$G928+0.5)/$C$886))-MIN(1,MAX(0,(nr_MStartP1-1-$G928+0.5)/$C$886))</f>
        <v/>
      </c>
      <c r="S928" s="208">
        <f>IF($L$886,$N928*IF($O$886=1,$O928/$F$886,1),"")</f>
        <v/>
      </c>
      <c r="T928" s="208">
        <f>IF(NOT($L$886),"",IF($G928&lt;nr_MStartP,$S928,$T916*(1+IF($G928&lt;nr_MStartP1,$M$886,$N$886))))</f>
        <v/>
      </c>
      <c r="U928" s="208">
        <f>IF($L$886,$T928,$N928)</f>
        <v/>
      </c>
    </row>
    <row r="929">
      <c r="A929" s="145" t="n">
        <v>41</v>
      </c>
      <c r="B929" s="204">
        <f>EDATE($B928,1)</f>
        <v/>
      </c>
      <c r="C929" s="205">
        <f>EOMONTH($B929,0)</f>
        <v/>
      </c>
      <c r="D929" s="201">
        <f>$C929-$B929+1</f>
        <v/>
      </c>
      <c r="E929" s="201">
        <f>MONTH($B929)</f>
        <v/>
      </c>
      <c r="F929" s="235">
        <f>($B929+$C929+1)/2</f>
        <v/>
      </c>
      <c r="G929" s="201">
        <f>YEAR($B929)*12+MONTH($B929)-1</f>
        <v/>
      </c>
      <c r="H929" s="207">
        <f>IF(OR(nr_SeasonOn="OFF",$D$886=0,$E$886=0),1,12*INDEX(se_block,$D$886,$E929)/$E$886)</f>
        <v/>
      </c>
      <c r="I929" s="208">
        <f>EXP(SUMPRODUCT((rl_eff&lt;$B929)*(rl_key=$A$886)*rl_ln1p))</f>
        <v/>
      </c>
      <c r="J929" s="208">
        <f>EXP(SUMPRODUCT((rl_eff&lt;=$C929)*(rl_key=$A$886)*rl_ln1p))</f>
        <v/>
      </c>
      <c r="K929" s="201">
        <f>COUNTIFS(rl_key,$A$886,rl_eff,"&gt;="&amp;$B929,rl_eff,"&lt;="&amp;$C929)</f>
        <v/>
      </c>
      <c r="L929" s="201">
        <f>SUMIFS(rl_daysafter,rl_key,$A$886,rl_effmonth,$B929,rl_first,1)</f>
        <v/>
      </c>
      <c r="M929" s="209">
        <f>IF($K929=0,0,MIN(1,$L929/$D929))</f>
        <v/>
      </c>
      <c r="N929" s="208">
        <f>IF($K929=0,$J929,(1-$M929)*$I929+$M929*$J929)</f>
        <v/>
      </c>
      <c r="O929" s="209">
        <f>IF($F929&lt;$B$887,$E$887+$I$887*($F929-$A$887),IF($F929&lt;$C$887,$F$887+$J$887*($F929-$B$887),$G$887+$K$887*($F929-$C$887)))</f>
        <v/>
      </c>
      <c r="P929" s="208">
        <f>MIN(1,MAX(0,(nr_MEndPm1-$G929+0.5)/$C$886))-MIN(1,MAX(0,(nr_MStartPm1-1-$G929+0.5)/$C$886))</f>
        <v/>
      </c>
      <c r="Q929" s="208">
        <f>MIN(1,MAX(0,(nr_MEndP-$G929+0.5)/$C$886))-MIN(1,MAX(0,(nr_MStartP-1-$G929+0.5)/$C$886))</f>
        <v/>
      </c>
      <c r="R929" s="208">
        <f>MIN(1,MAX(0,(nr_MEndP1-$G929+0.5)/$C$886))-MIN(1,MAX(0,(nr_MStartP1-1-$G929+0.5)/$C$886))</f>
        <v/>
      </c>
      <c r="S929" s="208">
        <f>IF($L$886,$N929*IF($O$886=1,$O929/$F$886,1),"")</f>
        <v/>
      </c>
      <c r="T929" s="208">
        <f>IF(NOT($L$886),"",IF($G929&lt;nr_MStartP,$S929,$T917*(1+IF($G929&lt;nr_MStartP1,$M$886,$N$886))))</f>
        <v/>
      </c>
      <c r="U929" s="208">
        <f>IF($L$886,$T929,$N929)</f>
        <v/>
      </c>
    </row>
    <row r="930">
      <c r="A930" s="145" t="n">
        <v>42</v>
      </c>
      <c r="B930" s="204">
        <f>EDATE($B929,1)</f>
        <v/>
      </c>
      <c r="C930" s="205">
        <f>EOMONTH($B930,0)</f>
        <v/>
      </c>
      <c r="D930" s="201">
        <f>$C930-$B930+1</f>
        <v/>
      </c>
      <c r="E930" s="201">
        <f>MONTH($B930)</f>
        <v/>
      </c>
      <c r="F930" s="235">
        <f>($B930+$C930+1)/2</f>
        <v/>
      </c>
      <c r="G930" s="201">
        <f>YEAR($B930)*12+MONTH($B930)-1</f>
        <v/>
      </c>
      <c r="H930" s="207">
        <f>IF(OR(nr_SeasonOn="OFF",$D$886=0,$E$886=0),1,12*INDEX(se_block,$D$886,$E930)/$E$886)</f>
        <v/>
      </c>
      <c r="I930" s="208">
        <f>EXP(SUMPRODUCT((rl_eff&lt;$B930)*(rl_key=$A$886)*rl_ln1p))</f>
        <v/>
      </c>
      <c r="J930" s="208">
        <f>EXP(SUMPRODUCT((rl_eff&lt;=$C930)*(rl_key=$A$886)*rl_ln1p))</f>
        <v/>
      </c>
      <c r="K930" s="201">
        <f>COUNTIFS(rl_key,$A$886,rl_eff,"&gt;="&amp;$B930,rl_eff,"&lt;="&amp;$C930)</f>
        <v/>
      </c>
      <c r="L930" s="201">
        <f>SUMIFS(rl_daysafter,rl_key,$A$886,rl_effmonth,$B930,rl_first,1)</f>
        <v/>
      </c>
      <c r="M930" s="209">
        <f>IF($K930=0,0,MIN(1,$L930/$D930))</f>
        <v/>
      </c>
      <c r="N930" s="208">
        <f>IF($K930=0,$J930,(1-$M930)*$I930+$M930*$J930)</f>
        <v/>
      </c>
      <c r="O930" s="209">
        <f>IF($F930&lt;$B$887,$E$887+$I$887*($F930-$A$887),IF($F930&lt;$C$887,$F$887+$J$887*($F930-$B$887),$G$887+$K$887*($F930-$C$887)))</f>
        <v/>
      </c>
      <c r="P930" s="208">
        <f>MIN(1,MAX(0,(nr_MEndPm1-$G930+0.5)/$C$886))-MIN(1,MAX(0,(nr_MStartPm1-1-$G930+0.5)/$C$886))</f>
        <v/>
      </c>
      <c r="Q930" s="208">
        <f>MIN(1,MAX(0,(nr_MEndP-$G930+0.5)/$C$886))-MIN(1,MAX(0,(nr_MStartP-1-$G930+0.5)/$C$886))</f>
        <v/>
      </c>
      <c r="R930" s="208">
        <f>MIN(1,MAX(0,(nr_MEndP1-$G930+0.5)/$C$886))-MIN(1,MAX(0,(nr_MStartP1-1-$G930+0.5)/$C$886))</f>
        <v/>
      </c>
      <c r="S930" s="208">
        <f>IF($L$886,$N930*IF($O$886=1,$O930/$F$886,1),"")</f>
        <v/>
      </c>
      <c r="T930" s="208">
        <f>IF(NOT($L$886),"",IF($G930&lt;nr_MStartP,$S930,$T918*(1+IF($G930&lt;nr_MStartP1,$M$886,$N$886))))</f>
        <v/>
      </c>
      <c r="U930" s="208">
        <f>IF($L$886,$T930,$N930)</f>
        <v/>
      </c>
    </row>
    <row r="931">
      <c r="A931" s="145" t="n">
        <v>43</v>
      </c>
      <c r="B931" s="204">
        <f>EDATE($B930,1)</f>
        <v/>
      </c>
      <c r="C931" s="205">
        <f>EOMONTH($B931,0)</f>
        <v/>
      </c>
      <c r="D931" s="201">
        <f>$C931-$B931+1</f>
        <v/>
      </c>
      <c r="E931" s="201">
        <f>MONTH($B931)</f>
        <v/>
      </c>
      <c r="F931" s="235">
        <f>($B931+$C931+1)/2</f>
        <v/>
      </c>
      <c r="G931" s="201">
        <f>YEAR($B931)*12+MONTH($B931)-1</f>
        <v/>
      </c>
      <c r="H931" s="207">
        <f>IF(OR(nr_SeasonOn="OFF",$D$886=0,$E$886=0),1,12*INDEX(se_block,$D$886,$E931)/$E$886)</f>
        <v/>
      </c>
      <c r="I931" s="208">
        <f>EXP(SUMPRODUCT((rl_eff&lt;$B931)*(rl_key=$A$886)*rl_ln1p))</f>
        <v/>
      </c>
      <c r="J931" s="208">
        <f>EXP(SUMPRODUCT((rl_eff&lt;=$C931)*(rl_key=$A$886)*rl_ln1p))</f>
        <v/>
      </c>
      <c r="K931" s="201">
        <f>COUNTIFS(rl_key,$A$886,rl_eff,"&gt;="&amp;$B931,rl_eff,"&lt;="&amp;$C931)</f>
        <v/>
      </c>
      <c r="L931" s="201">
        <f>SUMIFS(rl_daysafter,rl_key,$A$886,rl_effmonth,$B931,rl_first,1)</f>
        <v/>
      </c>
      <c r="M931" s="209">
        <f>IF($K931=0,0,MIN(1,$L931/$D931))</f>
        <v/>
      </c>
      <c r="N931" s="208">
        <f>IF($K931=0,$J931,(1-$M931)*$I931+$M931*$J931)</f>
        <v/>
      </c>
      <c r="O931" s="209">
        <f>IF($F931&lt;$B$887,$E$887+$I$887*($F931-$A$887),IF($F931&lt;$C$887,$F$887+$J$887*($F931-$B$887),$G$887+$K$887*($F931-$C$887)))</f>
        <v/>
      </c>
      <c r="P931" s="208">
        <f>MIN(1,MAX(0,(nr_MEndPm1-$G931+0.5)/$C$886))-MIN(1,MAX(0,(nr_MStartPm1-1-$G931+0.5)/$C$886))</f>
        <v/>
      </c>
      <c r="Q931" s="208">
        <f>MIN(1,MAX(0,(nr_MEndP-$G931+0.5)/$C$886))-MIN(1,MAX(0,(nr_MStartP-1-$G931+0.5)/$C$886))</f>
        <v/>
      </c>
      <c r="R931" s="208">
        <f>MIN(1,MAX(0,(nr_MEndP1-$G931+0.5)/$C$886))-MIN(1,MAX(0,(nr_MStartP1-1-$G931+0.5)/$C$886))</f>
        <v/>
      </c>
      <c r="S931" s="208">
        <f>IF($L$886,$N931*IF($O$886=1,$O931/$F$886,1),"")</f>
        <v/>
      </c>
      <c r="T931" s="208">
        <f>IF(NOT($L$886),"",IF($G931&lt;nr_MStartP,$S931,$T919*(1+IF($G931&lt;nr_MStartP1,$M$886,$N$886))))</f>
        <v/>
      </c>
      <c r="U931" s="208">
        <f>IF($L$886,$T931,$N931)</f>
        <v/>
      </c>
    </row>
    <row r="932">
      <c r="A932" s="145" t="n">
        <v>44</v>
      </c>
      <c r="B932" s="204">
        <f>EDATE($B931,1)</f>
        <v/>
      </c>
      <c r="C932" s="205">
        <f>EOMONTH($B932,0)</f>
        <v/>
      </c>
      <c r="D932" s="201">
        <f>$C932-$B932+1</f>
        <v/>
      </c>
      <c r="E932" s="201">
        <f>MONTH($B932)</f>
        <v/>
      </c>
      <c r="F932" s="235">
        <f>($B932+$C932+1)/2</f>
        <v/>
      </c>
      <c r="G932" s="201">
        <f>YEAR($B932)*12+MONTH($B932)-1</f>
        <v/>
      </c>
      <c r="H932" s="207">
        <f>IF(OR(nr_SeasonOn="OFF",$D$886=0,$E$886=0),1,12*INDEX(se_block,$D$886,$E932)/$E$886)</f>
        <v/>
      </c>
      <c r="I932" s="208">
        <f>EXP(SUMPRODUCT((rl_eff&lt;$B932)*(rl_key=$A$886)*rl_ln1p))</f>
        <v/>
      </c>
      <c r="J932" s="208">
        <f>EXP(SUMPRODUCT((rl_eff&lt;=$C932)*(rl_key=$A$886)*rl_ln1p))</f>
        <v/>
      </c>
      <c r="K932" s="201">
        <f>COUNTIFS(rl_key,$A$886,rl_eff,"&gt;="&amp;$B932,rl_eff,"&lt;="&amp;$C932)</f>
        <v/>
      </c>
      <c r="L932" s="201">
        <f>SUMIFS(rl_daysafter,rl_key,$A$886,rl_effmonth,$B932,rl_first,1)</f>
        <v/>
      </c>
      <c r="M932" s="209">
        <f>IF($K932=0,0,MIN(1,$L932/$D932))</f>
        <v/>
      </c>
      <c r="N932" s="208">
        <f>IF($K932=0,$J932,(1-$M932)*$I932+$M932*$J932)</f>
        <v/>
      </c>
      <c r="O932" s="209">
        <f>IF($F932&lt;$B$887,$E$887+$I$887*($F932-$A$887),IF($F932&lt;$C$887,$F$887+$J$887*($F932-$B$887),$G$887+$K$887*($F932-$C$887)))</f>
        <v/>
      </c>
      <c r="P932" s="208">
        <f>MIN(1,MAX(0,(nr_MEndPm1-$G932+0.5)/$C$886))-MIN(1,MAX(0,(nr_MStartPm1-1-$G932+0.5)/$C$886))</f>
        <v/>
      </c>
      <c r="Q932" s="208">
        <f>MIN(1,MAX(0,(nr_MEndP-$G932+0.5)/$C$886))-MIN(1,MAX(0,(nr_MStartP-1-$G932+0.5)/$C$886))</f>
        <v/>
      </c>
      <c r="R932" s="208">
        <f>MIN(1,MAX(0,(nr_MEndP1-$G932+0.5)/$C$886))-MIN(1,MAX(0,(nr_MStartP1-1-$G932+0.5)/$C$886))</f>
        <v/>
      </c>
      <c r="S932" s="208">
        <f>IF($L$886,$N932*IF($O$886=1,$O932/$F$886,1),"")</f>
        <v/>
      </c>
      <c r="T932" s="208">
        <f>IF(NOT($L$886),"",IF($G932&lt;nr_MStartP,$S932,$T920*(1+IF($G932&lt;nr_MStartP1,$M$886,$N$886))))</f>
        <v/>
      </c>
      <c r="U932" s="208">
        <f>IF($L$886,$T932,$N932)</f>
        <v/>
      </c>
    </row>
    <row r="933">
      <c r="A933" s="145" t="n">
        <v>45</v>
      </c>
      <c r="B933" s="204">
        <f>EDATE($B932,1)</f>
        <v/>
      </c>
      <c r="C933" s="205">
        <f>EOMONTH($B933,0)</f>
        <v/>
      </c>
      <c r="D933" s="201">
        <f>$C933-$B933+1</f>
        <v/>
      </c>
      <c r="E933" s="201">
        <f>MONTH($B933)</f>
        <v/>
      </c>
      <c r="F933" s="235">
        <f>($B933+$C933+1)/2</f>
        <v/>
      </c>
      <c r="G933" s="201">
        <f>YEAR($B933)*12+MONTH($B933)-1</f>
        <v/>
      </c>
      <c r="H933" s="207">
        <f>IF(OR(nr_SeasonOn="OFF",$D$886=0,$E$886=0),1,12*INDEX(se_block,$D$886,$E933)/$E$886)</f>
        <v/>
      </c>
      <c r="I933" s="208">
        <f>EXP(SUMPRODUCT((rl_eff&lt;$B933)*(rl_key=$A$886)*rl_ln1p))</f>
        <v/>
      </c>
      <c r="J933" s="208">
        <f>EXP(SUMPRODUCT((rl_eff&lt;=$C933)*(rl_key=$A$886)*rl_ln1p))</f>
        <v/>
      </c>
      <c r="K933" s="201">
        <f>COUNTIFS(rl_key,$A$886,rl_eff,"&gt;="&amp;$B933,rl_eff,"&lt;="&amp;$C933)</f>
        <v/>
      </c>
      <c r="L933" s="201">
        <f>SUMIFS(rl_daysafter,rl_key,$A$886,rl_effmonth,$B933,rl_first,1)</f>
        <v/>
      </c>
      <c r="M933" s="209">
        <f>IF($K933=0,0,MIN(1,$L933/$D933))</f>
        <v/>
      </c>
      <c r="N933" s="208">
        <f>IF($K933=0,$J933,(1-$M933)*$I933+$M933*$J933)</f>
        <v/>
      </c>
      <c r="O933" s="209">
        <f>IF($F933&lt;$B$887,$E$887+$I$887*($F933-$A$887),IF($F933&lt;$C$887,$F$887+$J$887*($F933-$B$887),$G$887+$K$887*($F933-$C$887)))</f>
        <v/>
      </c>
      <c r="P933" s="208">
        <f>MIN(1,MAX(0,(nr_MEndPm1-$G933+0.5)/$C$886))-MIN(1,MAX(0,(nr_MStartPm1-1-$G933+0.5)/$C$886))</f>
        <v/>
      </c>
      <c r="Q933" s="208">
        <f>MIN(1,MAX(0,(nr_MEndP-$G933+0.5)/$C$886))-MIN(1,MAX(0,(nr_MStartP-1-$G933+0.5)/$C$886))</f>
        <v/>
      </c>
      <c r="R933" s="208">
        <f>MIN(1,MAX(0,(nr_MEndP1-$G933+0.5)/$C$886))-MIN(1,MAX(0,(nr_MStartP1-1-$G933+0.5)/$C$886))</f>
        <v/>
      </c>
      <c r="S933" s="208">
        <f>IF($L$886,$N933*IF($O$886=1,$O933/$F$886,1),"")</f>
        <v/>
      </c>
      <c r="T933" s="208">
        <f>IF(NOT($L$886),"",IF($G933&lt;nr_MStartP,$S933,$T921*(1+IF($G933&lt;nr_MStartP1,$M$886,$N$886))))</f>
        <v/>
      </c>
      <c r="U933" s="208">
        <f>IF($L$886,$T933,$N933)</f>
        <v/>
      </c>
    </row>
    <row r="934">
      <c r="A934" s="145" t="n">
        <v>46</v>
      </c>
      <c r="B934" s="204">
        <f>EDATE($B933,1)</f>
        <v/>
      </c>
      <c r="C934" s="205">
        <f>EOMONTH($B934,0)</f>
        <v/>
      </c>
      <c r="D934" s="201">
        <f>$C934-$B934+1</f>
        <v/>
      </c>
      <c r="E934" s="201">
        <f>MONTH($B934)</f>
        <v/>
      </c>
      <c r="F934" s="235">
        <f>($B934+$C934+1)/2</f>
        <v/>
      </c>
      <c r="G934" s="201">
        <f>YEAR($B934)*12+MONTH($B934)-1</f>
        <v/>
      </c>
      <c r="H934" s="207">
        <f>IF(OR(nr_SeasonOn="OFF",$D$886=0,$E$886=0),1,12*INDEX(se_block,$D$886,$E934)/$E$886)</f>
        <v/>
      </c>
      <c r="I934" s="208">
        <f>EXP(SUMPRODUCT((rl_eff&lt;$B934)*(rl_key=$A$886)*rl_ln1p))</f>
        <v/>
      </c>
      <c r="J934" s="208">
        <f>EXP(SUMPRODUCT((rl_eff&lt;=$C934)*(rl_key=$A$886)*rl_ln1p))</f>
        <v/>
      </c>
      <c r="K934" s="201">
        <f>COUNTIFS(rl_key,$A$886,rl_eff,"&gt;="&amp;$B934,rl_eff,"&lt;="&amp;$C934)</f>
        <v/>
      </c>
      <c r="L934" s="201">
        <f>SUMIFS(rl_daysafter,rl_key,$A$886,rl_effmonth,$B934,rl_first,1)</f>
        <v/>
      </c>
      <c r="M934" s="209">
        <f>IF($K934=0,0,MIN(1,$L934/$D934))</f>
        <v/>
      </c>
      <c r="N934" s="208">
        <f>IF($K934=0,$J934,(1-$M934)*$I934+$M934*$J934)</f>
        <v/>
      </c>
      <c r="O934" s="209">
        <f>IF($F934&lt;$B$887,$E$887+$I$887*($F934-$A$887),IF($F934&lt;$C$887,$F$887+$J$887*($F934-$B$887),$G$887+$K$887*($F934-$C$887)))</f>
        <v/>
      </c>
      <c r="P934" s="208">
        <f>MIN(1,MAX(0,(nr_MEndPm1-$G934+0.5)/$C$886))-MIN(1,MAX(0,(nr_MStartPm1-1-$G934+0.5)/$C$886))</f>
        <v/>
      </c>
      <c r="Q934" s="208">
        <f>MIN(1,MAX(0,(nr_MEndP-$G934+0.5)/$C$886))-MIN(1,MAX(0,(nr_MStartP-1-$G934+0.5)/$C$886))</f>
        <v/>
      </c>
      <c r="R934" s="208">
        <f>MIN(1,MAX(0,(nr_MEndP1-$G934+0.5)/$C$886))-MIN(1,MAX(0,(nr_MStartP1-1-$G934+0.5)/$C$886))</f>
        <v/>
      </c>
      <c r="S934" s="208">
        <f>IF($L$886,$N934*IF($O$886=1,$O934/$F$886,1),"")</f>
        <v/>
      </c>
      <c r="T934" s="208">
        <f>IF(NOT($L$886),"",IF($G934&lt;nr_MStartP,$S934,$T922*(1+IF($G934&lt;nr_MStartP1,$M$886,$N$886))))</f>
        <v/>
      </c>
      <c r="U934" s="208">
        <f>IF($L$886,$T934,$N934)</f>
        <v/>
      </c>
    </row>
    <row r="935">
      <c r="A935" s="145" t="n">
        <v>47</v>
      </c>
      <c r="B935" s="204">
        <f>EDATE($B934,1)</f>
        <v/>
      </c>
      <c r="C935" s="205">
        <f>EOMONTH($B935,0)</f>
        <v/>
      </c>
      <c r="D935" s="201">
        <f>$C935-$B935+1</f>
        <v/>
      </c>
      <c r="E935" s="201">
        <f>MONTH($B935)</f>
        <v/>
      </c>
      <c r="F935" s="235">
        <f>($B935+$C935+1)/2</f>
        <v/>
      </c>
      <c r="G935" s="201">
        <f>YEAR($B935)*12+MONTH($B935)-1</f>
        <v/>
      </c>
      <c r="H935" s="207">
        <f>IF(OR(nr_SeasonOn="OFF",$D$886=0,$E$886=0),1,12*INDEX(se_block,$D$886,$E935)/$E$886)</f>
        <v/>
      </c>
      <c r="I935" s="208">
        <f>EXP(SUMPRODUCT((rl_eff&lt;$B935)*(rl_key=$A$886)*rl_ln1p))</f>
        <v/>
      </c>
      <c r="J935" s="208">
        <f>EXP(SUMPRODUCT((rl_eff&lt;=$C935)*(rl_key=$A$886)*rl_ln1p))</f>
        <v/>
      </c>
      <c r="K935" s="201">
        <f>COUNTIFS(rl_key,$A$886,rl_eff,"&gt;="&amp;$B935,rl_eff,"&lt;="&amp;$C935)</f>
        <v/>
      </c>
      <c r="L935" s="201">
        <f>SUMIFS(rl_daysafter,rl_key,$A$886,rl_effmonth,$B935,rl_first,1)</f>
        <v/>
      </c>
      <c r="M935" s="209">
        <f>IF($K935=0,0,MIN(1,$L935/$D935))</f>
        <v/>
      </c>
      <c r="N935" s="208">
        <f>IF($K935=0,$J935,(1-$M935)*$I935+$M935*$J935)</f>
        <v/>
      </c>
      <c r="O935" s="209">
        <f>IF($F935&lt;$B$887,$E$887+$I$887*($F935-$A$887),IF($F935&lt;$C$887,$F$887+$J$887*($F935-$B$887),$G$887+$K$887*($F935-$C$887)))</f>
        <v/>
      </c>
      <c r="P935" s="208">
        <f>MIN(1,MAX(0,(nr_MEndPm1-$G935+0.5)/$C$886))-MIN(1,MAX(0,(nr_MStartPm1-1-$G935+0.5)/$C$886))</f>
        <v/>
      </c>
      <c r="Q935" s="208">
        <f>MIN(1,MAX(0,(nr_MEndP-$G935+0.5)/$C$886))-MIN(1,MAX(0,(nr_MStartP-1-$G935+0.5)/$C$886))</f>
        <v/>
      </c>
      <c r="R935" s="208">
        <f>MIN(1,MAX(0,(nr_MEndP1-$G935+0.5)/$C$886))-MIN(1,MAX(0,(nr_MStartP1-1-$G935+0.5)/$C$886))</f>
        <v/>
      </c>
      <c r="S935" s="208">
        <f>IF($L$886,$N935*IF($O$886=1,$O935/$F$886,1),"")</f>
        <v/>
      </c>
      <c r="T935" s="208">
        <f>IF(NOT($L$886),"",IF($G935&lt;nr_MStartP,$S935,$T923*(1+IF($G935&lt;nr_MStartP1,$M$886,$N$886))))</f>
        <v/>
      </c>
      <c r="U935" s="208">
        <f>IF($L$886,$T935,$N935)</f>
        <v/>
      </c>
    </row>
    <row r="936">
      <c r="A936" s="145" t="n">
        <v>48</v>
      </c>
      <c r="B936" s="204">
        <f>EDATE($B935,1)</f>
        <v/>
      </c>
      <c r="C936" s="205">
        <f>EOMONTH($B936,0)</f>
        <v/>
      </c>
      <c r="D936" s="201">
        <f>$C936-$B936+1</f>
        <v/>
      </c>
      <c r="E936" s="201">
        <f>MONTH($B936)</f>
        <v/>
      </c>
      <c r="F936" s="235">
        <f>($B936+$C936+1)/2</f>
        <v/>
      </c>
      <c r="G936" s="201">
        <f>YEAR($B936)*12+MONTH($B936)-1</f>
        <v/>
      </c>
      <c r="H936" s="207">
        <f>IF(OR(nr_SeasonOn="OFF",$D$886=0,$E$886=0),1,12*INDEX(se_block,$D$886,$E936)/$E$886)</f>
        <v/>
      </c>
      <c r="I936" s="208">
        <f>EXP(SUMPRODUCT((rl_eff&lt;$B936)*(rl_key=$A$886)*rl_ln1p))</f>
        <v/>
      </c>
      <c r="J936" s="208">
        <f>EXP(SUMPRODUCT((rl_eff&lt;=$C936)*(rl_key=$A$886)*rl_ln1p))</f>
        <v/>
      </c>
      <c r="K936" s="201">
        <f>COUNTIFS(rl_key,$A$886,rl_eff,"&gt;="&amp;$B936,rl_eff,"&lt;="&amp;$C936)</f>
        <v/>
      </c>
      <c r="L936" s="201">
        <f>SUMIFS(rl_daysafter,rl_key,$A$886,rl_effmonth,$B936,rl_first,1)</f>
        <v/>
      </c>
      <c r="M936" s="209">
        <f>IF($K936=0,0,MIN(1,$L936/$D936))</f>
        <v/>
      </c>
      <c r="N936" s="208">
        <f>IF($K936=0,$J936,(1-$M936)*$I936+$M936*$J936)</f>
        <v/>
      </c>
      <c r="O936" s="209">
        <f>IF($F936&lt;$B$887,$E$887+$I$887*($F936-$A$887),IF($F936&lt;$C$887,$F$887+$J$887*($F936-$B$887),$G$887+$K$887*($F936-$C$887)))</f>
        <v/>
      </c>
      <c r="P936" s="208">
        <f>MIN(1,MAX(0,(nr_MEndPm1-$G936+0.5)/$C$886))-MIN(1,MAX(0,(nr_MStartPm1-1-$G936+0.5)/$C$886))</f>
        <v/>
      </c>
      <c r="Q936" s="208">
        <f>MIN(1,MAX(0,(nr_MEndP-$G936+0.5)/$C$886))-MIN(1,MAX(0,(nr_MStartP-1-$G936+0.5)/$C$886))</f>
        <v/>
      </c>
      <c r="R936" s="208">
        <f>MIN(1,MAX(0,(nr_MEndP1-$G936+0.5)/$C$886))-MIN(1,MAX(0,(nr_MStartP1-1-$G936+0.5)/$C$886))</f>
        <v/>
      </c>
      <c r="S936" s="208">
        <f>IF($L$886,$N936*IF($O$886=1,$O936/$F$886,1),"")</f>
        <v/>
      </c>
      <c r="T936" s="208">
        <f>IF(NOT($L$886),"",IF($G936&lt;nr_MStartP,$S936,$T924*(1+IF($G936&lt;nr_MStartP1,$M$886,$N$886))))</f>
        <v/>
      </c>
      <c r="U936" s="208">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184">
        <f>SUMPRODUCT($H$889:$H$936,$Q$889:$Q$936,$O$889:$O$936)/SUMPRODUCT($H$889:$H$936,$Q$889:$Q$936)</f>
        <v/>
      </c>
      <c r="G937" s="184">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184">
        <f>IF(N(INDEX(lr_mind,17))=0,1,INDEX(lr_mind,17))</f>
        <v/>
      </c>
      <c r="G940" s="184">
        <f>IF(N(INDEX(lr_m0,17))=0,1,INDEX(lr_m0,17))</f>
        <v/>
      </c>
      <c r="H940" s="73">
        <f>IF(N(INDEX(lr_m0asof,17))=0,DATE(nr_PlanYear-1,10,1),INDEX(lr_m0asof,17))</f>
        <v/>
      </c>
      <c r="I940" s="184">
        <f>IF(N(INDEX(lr_m1,17))=0,1,INDEX(lr_m1,17))</f>
        <v/>
      </c>
      <c r="J940" s="184">
        <f>INDEX(lr_mprior,17)</f>
        <v/>
      </c>
      <c r="K940" s="184">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145" t="n">
        <v>1</v>
      </c>
      <c r="B943" s="204">
        <f>DATE(nr_PlanYear-2,1,1)</f>
        <v/>
      </c>
      <c r="C943" s="205">
        <f>EOMONTH($B943,0)</f>
        <v/>
      </c>
      <c r="D943" s="201">
        <f>$C943-$B943+1</f>
        <v/>
      </c>
      <c r="E943" s="201">
        <f>MONTH($B943)</f>
        <v/>
      </c>
      <c r="F943" s="235">
        <f>($B943+$C943+1)/2</f>
        <v/>
      </c>
      <c r="G943" s="201">
        <f>YEAR($B943)*12+MONTH($B943)-1</f>
        <v/>
      </c>
      <c r="H943" s="207">
        <f>IF(OR(nr_SeasonOn="OFF",$D$940=0,$E$940=0),1,12*INDEX(se_block,$D$940,$E943)/$E$940)</f>
        <v/>
      </c>
      <c r="I943" s="208">
        <f>EXP(SUMPRODUCT((rl_eff&lt;$B943)*(rl_key=$A$940)*rl_ln1p))</f>
        <v/>
      </c>
      <c r="J943" s="208">
        <f>EXP(SUMPRODUCT((rl_eff&lt;=$C943)*(rl_key=$A$940)*rl_ln1p))</f>
        <v/>
      </c>
      <c r="K943" s="201">
        <f>COUNTIFS(rl_key,$A$940,rl_eff,"&gt;="&amp;$B943,rl_eff,"&lt;="&amp;$C943)</f>
        <v/>
      </c>
      <c r="L943" s="201">
        <f>SUMIFS(rl_daysafter,rl_key,$A$940,rl_effmonth,$B943,rl_first,1)</f>
        <v/>
      </c>
      <c r="M943" s="209">
        <f>IF($K943=0,0,MIN(1,$L943/$D943))</f>
        <v/>
      </c>
      <c r="N943" s="208">
        <f>IF($K943=0,$J943,(1-$M943)*$I943+$M943*$J943)</f>
        <v/>
      </c>
      <c r="O943" s="209">
        <f>IF($F943&lt;$B$941,$E$941+$I$941*($F943-$A$941),IF($F943&lt;$C$941,$F$941+$J$941*($F943-$B$941),$G$941+$K$941*($F943-$C$941)))</f>
        <v/>
      </c>
      <c r="P943" s="208">
        <f>MIN(1,MAX(0,(nr_MEndPm1-$G943+0.5)/$C$940))-MIN(1,MAX(0,(nr_MStartPm1-1-$G943+0.5)/$C$940))</f>
        <v/>
      </c>
      <c r="Q943" s="208">
        <f>MIN(1,MAX(0,(nr_MEndP-$G943+0.5)/$C$940))-MIN(1,MAX(0,(nr_MStartP-1-$G943+0.5)/$C$940))</f>
        <v/>
      </c>
      <c r="R943" s="208">
        <f>MIN(1,MAX(0,(nr_MEndP1-$G943+0.5)/$C$940))-MIN(1,MAX(0,(nr_MStartP1-1-$G943+0.5)/$C$940))</f>
        <v/>
      </c>
      <c r="S943" s="208">
        <f>IF($L$940,$N943*IF($O$940=1,$O943/$F$940,1),"")</f>
        <v/>
      </c>
      <c r="T943" s="208">
        <f>IF(NOT($L$940),"",IF($G943&lt;nr_MStartP,$S943,$T931*(1+IF($G943&lt;nr_MStartP1,$M$940,$N$940))))</f>
        <v/>
      </c>
      <c r="U943" s="208">
        <f>IF($L$940,$T943,$N943)</f>
        <v/>
      </c>
    </row>
    <row r="944">
      <c r="A944" s="145" t="n">
        <v>2</v>
      </c>
      <c r="B944" s="204">
        <f>EDATE($B943,1)</f>
        <v/>
      </c>
      <c r="C944" s="205">
        <f>EOMONTH($B944,0)</f>
        <v/>
      </c>
      <c r="D944" s="201">
        <f>$C944-$B944+1</f>
        <v/>
      </c>
      <c r="E944" s="201">
        <f>MONTH($B944)</f>
        <v/>
      </c>
      <c r="F944" s="235">
        <f>($B944+$C944+1)/2</f>
        <v/>
      </c>
      <c r="G944" s="201">
        <f>YEAR($B944)*12+MONTH($B944)-1</f>
        <v/>
      </c>
      <c r="H944" s="207">
        <f>IF(OR(nr_SeasonOn="OFF",$D$940=0,$E$940=0),1,12*INDEX(se_block,$D$940,$E944)/$E$940)</f>
        <v/>
      </c>
      <c r="I944" s="208">
        <f>EXP(SUMPRODUCT((rl_eff&lt;$B944)*(rl_key=$A$940)*rl_ln1p))</f>
        <v/>
      </c>
      <c r="J944" s="208">
        <f>EXP(SUMPRODUCT((rl_eff&lt;=$C944)*(rl_key=$A$940)*rl_ln1p))</f>
        <v/>
      </c>
      <c r="K944" s="201">
        <f>COUNTIFS(rl_key,$A$940,rl_eff,"&gt;="&amp;$B944,rl_eff,"&lt;="&amp;$C944)</f>
        <v/>
      </c>
      <c r="L944" s="201">
        <f>SUMIFS(rl_daysafter,rl_key,$A$940,rl_effmonth,$B944,rl_first,1)</f>
        <v/>
      </c>
      <c r="M944" s="209">
        <f>IF($K944=0,0,MIN(1,$L944/$D944))</f>
        <v/>
      </c>
      <c r="N944" s="208">
        <f>IF($K944=0,$J944,(1-$M944)*$I944+$M944*$J944)</f>
        <v/>
      </c>
      <c r="O944" s="209">
        <f>IF($F944&lt;$B$941,$E$941+$I$941*($F944-$A$941),IF($F944&lt;$C$941,$F$941+$J$941*($F944-$B$941),$G$941+$K$941*($F944-$C$941)))</f>
        <v/>
      </c>
      <c r="P944" s="208">
        <f>MIN(1,MAX(0,(nr_MEndPm1-$G944+0.5)/$C$940))-MIN(1,MAX(0,(nr_MStartPm1-1-$G944+0.5)/$C$940))</f>
        <v/>
      </c>
      <c r="Q944" s="208">
        <f>MIN(1,MAX(0,(nr_MEndP-$G944+0.5)/$C$940))-MIN(1,MAX(0,(nr_MStartP-1-$G944+0.5)/$C$940))</f>
        <v/>
      </c>
      <c r="R944" s="208">
        <f>MIN(1,MAX(0,(nr_MEndP1-$G944+0.5)/$C$940))-MIN(1,MAX(0,(nr_MStartP1-1-$G944+0.5)/$C$940))</f>
        <v/>
      </c>
      <c r="S944" s="208">
        <f>IF($L$940,$N944*IF($O$940=1,$O944/$F$940,1),"")</f>
        <v/>
      </c>
      <c r="T944" s="208">
        <f>IF(NOT($L$940),"",IF($G944&lt;nr_MStartP,$S944,$T932*(1+IF($G944&lt;nr_MStartP1,$M$940,$N$940))))</f>
        <v/>
      </c>
      <c r="U944" s="208">
        <f>IF($L$940,$T944,$N944)</f>
        <v/>
      </c>
    </row>
    <row r="945">
      <c r="A945" s="145" t="n">
        <v>3</v>
      </c>
      <c r="B945" s="204">
        <f>EDATE($B944,1)</f>
        <v/>
      </c>
      <c r="C945" s="205">
        <f>EOMONTH($B945,0)</f>
        <v/>
      </c>
      <c r="D945" s="201">
        <f>$C945-$B945+1</f>
        <v/>
      </c>
      <c r="E945" s="201">
        <f>MONTH($B945)</f>
        <v/>
      </c>
      <c r="F945" s="235">
        <f>($B945+$C945+1)/2</f>
        <v/>
      </c>
      <c r="G945" s="201">
        <f>YEAR($B945)*12+MONTH($B945)-1</f>
        <v/>
      </c>
      <c r="H945" s="207">
        <f>IF(OR(nr_SeasonOn="OFF",$D$940=0,$E$940=0),1,12*INDEX(se_block,$D$940,$E945)/$E$940)</f>
        <v/>
      </c>
      <c r="I945" s="208">
        <f>EXP(SUMPRODUCT((rl_eff&lt;$B945)*(rl_key=$A$940)*rl_ln1p))</f>
        <v/>
      </c>
      <c r="J945" s="208">
        <f>EXP(SUMPRODUCT((rl_eff&lt;=$C945)*(rl_key=$A$940)*rl_ln1p))</f>
        <v/>
      </c>
      <c r="K945" s="201">
        <f>COUNTIFS(rl_key,$A$940,rl_eff,"&gt;="&amp;$B945,rl_eff,"&lt;="&amp;$C945)</f>
        <v/>
      </c>
      <c r="L945" s="201">
        <f>SUMIFS(rl_daysafter,rl_key,$A$940,rl_effmonth,$B945,rl_first,1)</f>
        <v/>
      </c>
      <c r="M945" s="209">
        <f>IF($K945=0,0,MIN(1,$L945/$D945))</f>
        <v/>
      </c>
      <c r="N945" s="208">
        <f>IF($K945=0,$J945,(1-$M945)*$I945+$M945*$J945)</f>
        <v/>
      </c>
      <c r="O945" s="209">
        <f>IF($F945&lt;$B$941,$E$941+$I$941*($F945-$A$941),IF($F945&lt;$C$941,$F$941+$J$941*($F945-$B$941),$G$941+$K$941*($F945-$C$941)))</f>
        <v/>
      </c>
      <c r="P945" s="208">
        <f>MIN(1,MAX(0,(nr_MEndPm1-$G945+0.5)/$C$940))-MIN(1,MAX(0,(nr_MStartPm1-1-$G945+0.5)/$C$940))</f>
        <v/>
      </c>
      <c r="Q945" s="208">
        <f>MIN(1,MAX(0,(nr_MEndP-$G945+0.5)/$C$940))-MIN(1,MAX(0,(nr_MStartP-1-$G945+0.5)/$C$940))</f>
        <v/>
      </c>
      <c r="R945" s="208">
        <f>MIN(1,MAX(0,(nr_MEndP1-$G945+0.5)/$C$940))-MIN(1,MAX(0,(nr_MStartP1-1-$G945+0.5)/$C$940))</f>
        <v/>
      </c>
      <c r="S945" s="208">
        <f>IF($L$940,$N945*IF($O$940=1,$O945/$F$940,1),"")</f>
        <v/>
      </c>
      <c r="T945" s="208">
        <f>IF(NOT($L$940),"",IF($G945&lt;nr_MStartP,$S945,$T933*(1+IF($G945&lt;nr_MStartP1,$M$940,$N$940))))</f>
        <v/>
      </c>
      <c r="U945" s="208">
        <f>IF($L$940,$T945,$N945)</f>
        <v/>
      </c>
    </row>
    <row r="946">
      <c r="A946" s="145" t="n">
        <v>4</v>
      </c>
      <c r="B946" s="204">
        <f>EDATE($B945,1)</f>
        <v/>
      </c>
      <c r="C946" s="205">
        <f>EOMONTH($B946,0)</f>
        <v/>
      </c>
      <c r="D946" s="201">
        <f>$C946-$B946+1</f>
        <v/>
      </c>
      <c r="E946" s="201">
        <f>MONTH($B946)</f>
        <v/>
      </c>
      <c r="F946" s="235">
        <f>($B946+$C946+1)/2</f>
        <v/>
      </c>
      <c r="G946" s="201">
        <f>YEAR($B946)*12+MONTH($B946)-1</f>
        <v/>
      </c>
      <c r="H946" s="207">
        <f>IF(OR(nr_SeasonOn="OFF",$D$940=0,$E$940=0),1,12*INDEX(se_block,$D$940,$E946)/$E$940)</f>
        <v/>
      </c>
      <c r="I946" s="208">
        <f>EXP(SUMPRODUCT((rl_eff&lt;$B946)*(rl_key=$A$940)*rl_ln1p))</f>
        <v/>
      </c>
      <c r="J946" s="208">
        <f>EXP(SUMPRODUCT((rl_eff&lt;=$C946)*(rl_key=$A$940)*rl_ln1p))</f>
        <v/>
      </c>
      <c r="K946" s="201">
        <f>COUNTIFS(rl_key,$A$940,rl_eff,"&gt;="&amp;$B946,rl_eff,"&lt;="&amp;$C946)</f>
        <v/>
      </c>
      <c r="L946" s="201">
        <f>SUMIFS(rl_daysafter,rl_key,$A$940,rl_effmonth,$B946,rl_first,1)</f>
        <v/>
      </c>
      <c r="M946" s="209">
        <f>IF($K946=0,0,MIN(1,$L946/$D946))</f>
        <v/>
      </c>
      <c r="N946" s="208">
        <f>IF($K946=0,$J946,(1-$M946)*$I946+$M946*$J946)</f>
        <v/>
      </c>
      <c r="O946" s="209">
        <f>IF($F946&lt;$B$941,$E$941+$I$941*($F946-$A$941),IF($F946&lt;$C$941,$F$941+$J$941*($F946-$B$941),$G$941+$K$941*($F946-$C$941)))</f>
        <v/>
      </c>
      <c r="P946" s="208">
        <f>MIN(1,MAX(0,(nr_MEndPm1-$G946+0.5)/$C$940))-MIN(1,MAX(0,(nr_MStartPm1-1-$G946+0.5)/$C$940))</f>
        <v/>
      </c>
      <c r="Q946" s="208">
        <f>MIN(1,MAX(0,(nr_MEndP-$G946+0.5)/$C$940))-MIN(1,MAX(0,(nr_MStartP-1-$G946+0.5)/$C$940))</f>
        <v/>
      </c>
      <c r="R946" s="208">
        <f>MIN(1,MAX(0,(nr_MEndP1-$G946+0.5)/$C$940))-MIN(1,MAX(0,(nr_MStartP1-1-$G946+0.5)/$C$940))</f>
        <v/>
      </c>
      <c r="S946" s="208">
        <f>IF($L$940,$N946*IF($O$940=1,$O946/$F$940,1),"")</f>
        <v/>
      </c>
      <c r="T946" s="208">
        <f>IF(NOT($L$940),"",IF($G946&lt;nr_MStartP,$S946,$T934*(1+IF($G946&lt;nr_MStartP1,$M$940,$N$940))))</f>
        <v/>
      </c>
      <c r="U946" s="208">
        <f>IF($L$940,$T946,$N946)</f>
        <v/>
      </c>
    </row>
    <row r="947">
      <c r="A947" s="145" t="n">
        <v>5</v>
      </c>
      <c r="B947" s="204">
        <f>EDATE($B946,1)</f>
        <v/>
      </c>
      <c r="C947" s="205">
        <f>EOMONTH($B947,0)</f>
        <v/>
      </c>
      <c r="D947" s="201">
        <f>$C947-$B947+1</f>
        <v/>
      </c>
      <c r="E947" s="201">
        <f>MONTH($B947)</f>
        <v/>
      </c>
      <c r="F947" s="235">
        <f>($B947+$C947+1)/2</f>
        <v/>
      </c>
      <c r="G947" s="201">
        <f>YEAR($B947)*12+MONTH($B947)-1</f>
        <v/>
      </c>
      <c r="H947" s="207">
        <f>IF(OR(nr_SeasonOn="OFF",$D$940=0,$E$940=0),1,12*INDEX(se_block,$D$940,$E947)/$E$940)</f>
        <v/>
      </c>
      <c r="I947" s="208">
        <f>EXP(SUMPRODUCT((rl_eff&lt;$B947)*(rl_key=$A$940)*rl_ln1p))</f>
        <v/>
      </c>
      <c r="J947" s="208">
        <f>EXP(SUMPRODUCT((rl_eff&lt;=$C947)*(rl_key=$A$940)*rl_ln1p))</f>
        <v/>
      </c>
      <c r="K947" s="201">
        <f>COUNTIFS(rl_key,$A$940,rl_eff,"&gt;="&amp;$B947,rl_eff,"&lt;="&amp;$C947)</f>
        <v/>
      </c>
      <c r="L947" s="201">
        <f>SUMIFS(rl_daysafter,rl_key,$A$940,rl_effmonth,$B947,rl_first,1)</f>
        <v/>
      </c>
      <c r="M947" s="209">
        <f>IF($K947=0,0,MIN(1,$L947/$D947))</f>
        <v/>
      </c>
      <c r="N947" s="208">
        <f>IF($K947=0,$J947,(1-$M947)*$I947+$M947*$J947)</f>
        <v/>
      </c>
      <c r="O947" s="209">
        <f>IF($F947&lt;$B$941,$E$941+$I$941*($F947-$A$941),IF($F947&lt;$C$941,$F$941+$J$941*($F947-$B$941),$G$941+$K$941*($F947-$C$941)))</f>
        <v/>
      </c>
      <c r="P947" s="208">
        <f>MIN(1,MAX(0,(nr_MEndPm1-$G947+0.5)/$C$940))-MIN(1,MAX(0,(nr_MStartPm1-1-$G947+0.5)/$C$940))</f>
        <v/>
      </c>
      <c r="Q947" s="208">
        <f>MIN(1,MAX(0,(nr_MEndP-$G947+0.5)/$C$940))-MIN(1,MAX(0,(nr_MStartP-1-$G947+0.5)/$C$940))</f>
        <v/>
      </c>
      <c r="R947" s="208">
        <f>MIN(1,MAX(0,(nr_MEndP1-$G947+0.5)/$C$940))-MIN(1,MAX(0,(nr_MStartP1-1-$G947+0.5)/$C$940))</f>
        <v/>
      </c>
      <c r="S947" s="208">
        <f>IF($L$940,$N947*IF($O$940=1,$O947/$F$940,1),"")</f>
        <v/>
      </c>
      <c r="T947" s="208">
        <f>IF(NOT($L$940),"",IF($G947&lt;nr_MStartP,$S947,$T935*(1+IF($G947&lt;nr_MStartP1,$M$940,$N$940))))</f>
        <v/>
      </c>
      <c r="U947" s="208">
        <f>IF($L$940,$T947,$N947)</f>
        <v/>
      </c>
    </row>
    <row r="948">
      <c r="A948" s="145" t="n">
        <v>6</v>
      </c>
      <c r="B948" s="204">
        <f>EDATE($B947,1)</f>
        <v/>
      </c>
      <c r="C948" s="205">
        <f>EOMONTH($B948,0)</f>
        <v/>
      </c>
      <c r="D948" s="201">
        <f>$C948-$B948+1</f>
        <v/>
      </c>
      <c r="E948" s="201">
        <f>MONTH($B948)</f>
        <v/>
      </c>
      <c r="F948" s="235">
        <f>($B948+$C948+1)/2</f>
        <v/>
      </c>
      <c r="G948" s="201">
        <f>YEAR($B948)*12+MONTH($B948)-1</f>
        <v/>
      </c>
      <c r="H948" s="207">
        <f>IF(OR(nr_SeasonOn="OFF",$D$940=0,$E$940=0),1,12*INDEX(se_block,$D$940,$E948)/$E$940)</f>
        <v/>
      </c>
      <c r="I948" s="208">
        <f>EXP(SUMPRODUCT((rl_eff&lt;$B948)*(rl_key=$A$940)*rl_ln1p))</f>
        <v/>
      </c>
      <c r="J948" s="208">
        <f>EXP(SUMPRODUCT((rl_eff&lt;=$C948)*(rl_key=$A$940)*rl_ln1p))</f>
        <v/>
      </c>
      <c r="K948" s="201">
        <f>COUNTIFS(rl_key,$A$940,rl_eff,"&gt;="&amp;$B948,rl_eff,"&lt;="&amp;$C948)</f>
        <v/>
      </c>
      <c r="L948" s="201">
        <f>SUMIFS(rl_daysafter,rl_key,$A$940,rl_effmonth,$B948,rl_first,1)</f>
        <v/>
      </c>
      <c r="M948" s="209">
        <f>IF($K948=0,0,MIN(1,$L948/$D948))</f>
        <v/>
      </c>
      <c r="N948" s="208">
        <f>IF($K948=0,$J948,(1-$M948)*$I948+$M948*$J948)</f>
        <v/>
      </c>
      <c r="O948" s="209">
        <f>IF($F948&lt;$B$941,$E$941+$I$941*($F948-$A$941),IF($F948&lt;$C$941,$F$941+$J$941*($F948-$B$941),$G$941+$K$941*($F948-$C$941)))</f>
        <v/>
      </c>
      <c r="P948" s="208">
        <f>MIN(1,MAX(0,(nr_MEndPm1-$G948+0.5)/$C$940))-MIN(1,MAX(0,(nr_MStartPm1-1-$G948+0.5)/$C$940))</f>
        <v/>
      </c>
      <c r="Q948" s="208">
        <f>MIN(1,MAX(0,(nr_MEndP-$G948+0.5)/$C$940))-MIN(1,MAX(0,(nr_MStartP-1-$G948+0.5)/$C$940))</f>
        <v/>
      </c>
      <c r="R948" s="208">
        <f>MIN(1,MAX(0,(nr_MEndP1-$G948+0.5)/$C$940))-MIN(1,MAX(0,(nr_MStartP1-1-$G948+0.5)/$C$940))</f>
        <v/>
      </c>
      <c r="S948" s="208">
        <f>IF($L$940,$N948*IF($O$940=1,$O948/$F$940,1),"")</f>
        <v/>
      </c>
      <c r="T948" s="208">
        <f>IF(NOT($L$940),"",IF($G948&lt;nr_MStartP,$S948,$T936*(1+IF($G948&lt;nr_MStartP1,$M$940,$N$940))))</f>
        <v/>
      </c>
      <c r="U948" s="208">
        <f>IF($L$940,$T948,$N948)</f>
        <v/>
      </c>
    </row>
    <row r="949">
      <c r="A949" s="145" t="n">
        <v>7</v>
      </c>
      <c r="B949" s="204">
        <f>EDATE($B948,1)</f>
        <v/>
      </c>
      <c r="C949" s="205">
        <f>EOMONTH($B949,0)</f>
        <v/>
      </c>
      <c r="D949" s="201">
        <f>$C949-$B949+1</f>
        <v/>
      </c>
      <c r="E949" s="201">
        <f>MONTH($B949)</f>
        <v/>
      </c>
      <c r="F949" s="235">
        <f>($B949+$C949+1)/2</f>
        <v/>
      </c>
      <c r="G949" s="201">
        <f>YEAR($B949)*12+MONTH($B949)-1</f>
        <v/>
      </c>
      <c r="H949" s="207">
        <f>IF(OR(nr_SeasonOn="OFF",$D$940=0,$E$940=0),1,12*INDEX(se_block,$D$940,$E949)/$E$940)</f>
        <v/>
      </c>
      <c r="I949" s="208">
        <f>EXP(SUMPRODUCT((rl_eff&lt;$B949)*(rl_key=$A$940)*rl_ln1p))</f>
        <v/>
      </c>
      <c r="J949" s="208">
        <f>EXP(SUMPRODUCT((rl_eff&lt;=$C949)*(rl_key=$A$940)*rl_ln1p))</f>
        <v/>
      </c>
      <c r="K949" s="201">
        <f>COUNTIFS(rl_key,$A$940,rl_eff,"&gt;="&amp;$B949,rl_eff,"&lt;="&amp;$C949)</f>
        <v/>
      </c>
      <c r="L949" s="201">
        <f>SUMIFS(rl_daysafter,rl_key,$A$940,rl_effmonth,$B949,rl_first,1)</f>
        <v/>
      </c>
      <c r="M949" s="209">
        <f>IF($K949=0,0,MIN(1,$L949/$D949))</f>
        <v/>
      </c>
      <c r="N949" s="208">
        <f>IF($K949=0,$J949,(1-$M949)*$I949+$M949*$J949)</f>
        <v/>
      </c>
      <c r="O949" s="209">
        <f>IF($F949&lt;$B$941,$E$941+$I$941*($F949-$A$941),IF($F949&lt;$C$941,$F$941+$J$941*($F949-$B$941),$G$941+$K$941*($F949-$C$941)))</f>
        <v/>
      </c>
      <c r="P949" s="208">
        <f>MIN(1,MAX(0,(nr_MEndPm1-$G949+0.5)/$C$940))-MIN(1,MAX(0,(nr_MStartPm1-1-$G949+0.5)/$C$940))</f>
        <v/>
      </c>
      <c r="Q949" s="208">
        <f>MIN(1,MAX(0,(nr_MEndP-$G949+0.5)/$C$940))-MIN(1,MAX(0,(nr_MStartP-1-$G949+0.5)/$C$940))</f>
        <v/>
      </c>
      <c r="R949" s="208">
        <f>MIN(1,MAX(0,(nr_MEndP1-$G949+0.5)/$C$940))-MIN(1,MAX(0,(nr_MStartP1-1-$G949+0.5)/$C$940))</f>
        <v/>
      </c>
      <c r="S949" s="208">
        <f>IF($L$940,$N949*IF($O$940=1,$O949/$F$940,1),"")</f>
        <v/>
      </c>
      <c r="T949" s="208">
        <f>IF(NOT($L$940),"",IF($G949&lt;nr_MStartP,$S949,$T937*(1+IF($G949&lt;nr_MStartP1,$M$940,$N$940))))</f>
        <v/>
      </c>
      <c r="U949" s="208">
        <f>IF($L$940,$T949,$N949)</f>
        <v/>
      </c>
    </row>
    <row r="950">
      <c r="A950" s="145" t="n">
        <v>8</v>
      </c>
      <c r="B950" s="204">
        <f>EDATE($B949,1)</f>
        <v/>
      </c>
      <c r="C950" s="205">
        <f>EOMONTH($B950,0)</f>
        <v/>
      </c>
      <c r="D950" s="201">
        <f>$C950-$B950+1</f>
        <v/>
      </c>
      <c r="E950" s="201">
        <f>MONTH($B950)</f>
        <v/>
      </c>
      <c r="F950" s="235">
        <f>($B950+$C950+1)/2</f>
        <v/>
      </c>
      <c r="G950" s="201">
        <f>YEAR($B950)*12+MONTH($B950)-1</f>
        <v/>
      </c>
      <c r="H950" s="207">
        <f>IF(OR(nr_SeasonOn="OFF",$D$940=0,$E$940=0),1,12*INDEX(se_block,$D$940,$E950)/$E$940)</f>
        <v/>
      </c>
      <c r="I950" s="208">
        <f>EXP(SUMPRODUCT((rl_eff&lt;$B950)*(rl_key=$A$940)*rl_ln1p))</f>
        <v/>
      </c>
      <c r="J950" s="208">
        <f>EXP(SUMPRODUCT((rl_eff&lt;=$C950)*(rl_key=$A$940)*rl_ln1p))</f>
        <v/>
      </c>
      <c r="K950" s="201">
        <f>COUNTIFS(rl_key,$A$940,rl_eff,"&gt;="&amp;$B950,rl_eff,"&lt;="&amp;$C950)</f>
        <v/>
      </c>
      <c r="L950" s="201">
        <f>SUMIFS(rl_daysafter,rl_key,$A$940,rl_effmonth,$B950,rl_first,1)</f>
        <v/>
      </c>
      <c r="M950" s="209">
        <f>IF($K950=0,0,MIN(1,$L950/$D950))</f>
        <v/>
      </c>
      <c r="N950" s="208">
        <f>IF($K950=0,$J950,(1-$M950)*$I950+$M950*$J950)</f>
        <v/>
      </c>
      <c r="O950" s="209">
        <f>IF($F950&lt;$B$941,$E$941+$I$941*($F950-$A$941),IF($F950&lt;$C$941,$F$941+$J$941*($F950-$B$941),$G$941+$K$941*($F950-$C$941)))</f>
        <v/>
      </c>
      <c r="P950" s="208">
        <f>MIN(1,MAX(0,(nr_MEndPm1-$G950+0.5)/$C$940))-MIN(1,MAX(0,(nr_MStartPm1-1-$G950+0.5)/$C$940))</f>
        <v/>
      </c>
      <c r="Q950" s="208">
        <f>MIN(1,MAX(0,(nr_MEndP-$G950+0.5)/$C$940))-MIN(1,MAX(0,(nr_MStartP-1-$G950+0.5)/$C$940))</f>
        <v/>
      </c>
      <c r="R950" s="208">
        <f>MIN(1,MAX(0,(nr_MEndP1-$G950+0.5)/$C$940))-MIN(1,MAX(0,(nr_MStartP1-1-$G950+0.5)/$C$940))</f>
        <v/>
      </c>
      <c r="S950" s="208">
        <f>IF($L$940,$N950*IF($O$940=1,$O950/$F$940,1),"")</f>
        <v/>
      </c>
      <c r="T950" s="208">
        <f>IF(NOT($L$940),"",IF($G950&lt;nr_MStartP,$S950,$T938*(1+IF($G950&lt;nr_MStartP1,$M$940,$N$940))))</f>
        <v/>
      </c>
      <c r="U950" s="208">
        <f>IF($L$940,$T950,$N950)</f>
        <v/>
      </c>
    </row>
    <row r="951">
      <c r="A951" s="145" t="n">
        <v>9</v>
      </c>
      <c r="B951" s="204">
        <f>EDATE($B950,1)</f>
        <v/>
      </c>
      <c r="C951" s="205">
        <f>EOMONTH($B951,0)</f>
        <v/>
      </c>
      <c r="D951" s="201">
        <f>$C951-$B951+1</f>
        <v/>
      </c>
      <c r="E951" s="201">
        <f>MONTH($B951)</f>
        <v/>
      </c>
      <c r="F951" s="235">
        <f>($B951+$C951+1)/2</f>
        <v/>
      </c>
      <c r="G951" s="201">
        <f>YEAR($B951)*12+MONTH($B951)-1</f>
        <v/>
      </c>
      <c r="H951" s="207">
        <f>IF(OR(nr_SeasonOn="OFF",$D$940=0,$E$940=0),1,12*INDEX(se_block,$D$940,$E951)/$E$940)</f>
        <v/>
      </c>
      <c r="I951" s="208">
        <f>EXP(SUMPRODUCT((rl_eff&lt;$B951)*(rl_key=$A$940)*rl_ln1p))</f>
        <v/>
      </c>
      <c r="J951" s="208">
        <f>EXP(SUMPRODUCT((rl_eff&lt;=$C951)*(rl_key=$A$940)*rl_ln1p))</f>
        <v/>
      </c>
      <c r="K951" s="201">
        <f>COUNTIFS(rl_key,$A$940,rl_eff,"&gt;="&amp;$B951,rl_eff,"&lt;="&amp;$C951)</f>
        <v/>
      </c>
      <c r="L951" s="201">
        <f>SUMIFS(rl_daysafter,rl_key,$A$940,rl_effmonth,$B951,rl_first,1)</f>
        <v/>
      </c>
      <c r="M951" s="209">
        <f>IF($K951=0,0,MIN(1,$L951/$D951))</f>
        <v/>
      </c>
      <c r="N951" s="208">
        <f>IF($K951=0,$J951,(1-$M951)*$I951+$M951*$J951)</f>
        <v/>
      </c>
      <c r="O951" s="209">
        <f>IF($F951&lt;$B$941,$E$941+$I$941*($F951-$A$941),IF($F951&lt;$C$941,$F$941+$J$941*($F951-$B$941),$G$941+$K$941*($F951-$C$941)))</f>
        <v/>
      </c>
      <c r="P951" s="208">
        <f>MIN(1,MAX(0,(nr_MEndPm1-$G951+0.5)/$C$940))-MIN(1,MAX(0,(nr_MStartPm1-1-$G951+0.5)/$C$940))</f>
        <v/>
      </c>
      <c r="Q951" s="208">
        <f>MIN(1,MAX(0,(nr_MEndP-$G951+0.5)/$C$940))-MIN(1,MAX(0,(nr_MStartP-1-$G951+0.5)/$C$940))</f>
        <v/>
      </c>
      <c r="R951" s="208">
        <f>MIN(1,MAX(0,(nr_MEndP1-$G951+0.5)/$C$940))-MIN(1,MAX(0,(nr_MStartP1-1-$G951+0.5)/$C$940))</f>
        <v/>
      </c>
      <c r="S951" s="208">
        <f>IF($L$940,$N951*IF($O$940=1,$O951/$F$940,1),"")</f>
        <v/>
      </c>
      <c r="T951" s="208">
        <f>IF(NOT($L$940),"",IF($G951&lt;nr_MStartP,$S951,$T939*(1+IF($G951&lt;nr_MStartP1,$M$940,$N$940))))</f>
        <v/>
      </c>
      <c r="U951" s="208">
        <f>IF($L$940,$T951,$N951)</f>
        <v/>
      </c>
    </row>
    <row r="952">
      <c r="A952" s="145" t="n">
        <v>10</v>
      </c>
      <c r="B952" s="204">
        <f>EDATE($B951,1)</f>
        <v/>
      </c>
      <c r="C952" s="205">
        <f>EOMONTH($B952,0)</f>
        <v/>
      </c>
      <c r="D952" s="201">
        <f>$C952-$B952+1</f>
        <v/>
      </c>
      <c r="E952" s="201">
        <f>MONTH($B952)</f>
        <v/>
      </c>
      <c r="F952" s="235">
        <f>($B952+$C952+1)/2</f>
        <v/>
      </c>
      <c r="G952" s="201">
        <f>YEAR($B952)*12+MONTH($B952)-1</f>
        <v/>
      </c>
      <c r="H952" s="207">
        <f>IF(OR(nr_SeasonOn="OFF",$D$940=0,$E$940=0),1,12*INDEX(se_block,$D$940,$E952)/$E$940)</f>
        <v/>
      </c>
      <c r="I952" s="208">
        <f>EXP(SUMPRODUCT((rl_eff&lt;$B952)*(rl_key=$A$940)*rl_ln1p))</f>
        <v/>
      </c>
      <c r="J952" s="208">
        <f>EXP(SUMPRODUCT((rl_eff&lt;=$C952)*(rl_key=$A$940)*rl_ln1p))</f>
        <v/>
      </c>
      <c r="K952" s="201">
        <f>COUNTIFS(rl_key,$A$940,rl_eff,"&gt;="&amp;$B952,rl_eff,"&lt;="&amp;$C952)</f>
        <v/>
      </c>
      <c r="L952" s="201">
        <f>SUMIFS(rl_daysafter,rl_key,$A$940,rl_effmonth,$B952,rl_first,1)</f>
        <v/>
      </c>
      <c r="M952" s="209">
        <f>IF($K952=0,0,MIN(1,$L952/$D952))</f>
        <v/>
      </c>
      <c r="N952" s="208">
        <f>IF($K952=0,$J952,(1-$M952)*$I952+$M952*$J952)</f>
        <v/>
      </c>
      <c r="O952" s="209">
        <f>IF($F952&lt;$B$941,$E$941+$I$941*($F952-$A$941),IF($F952&lt;$C$941,$F$941+$J$941*($F952-$B$941),$G$941+$K$941*($F952-$C$941)))</f>
        <v/>
      </c>
      <c r="P952" s="208">
        <f>MIN(1,MAX(0,(nr_MEndPm1-$G952+0.5)/$C$940))-MIN(1,MAX(0,(nr_MStartPm1-1-$G952+0.5)/$C$940))</f>
        <v/>
      </c>
      <c r="Q952" s="208">
        <f>MIN(1,MAX(0,(nr_MEndP-$G952+0.5)/$C$940))-MIN(1,MAX(0,(nr_MStartP-1-$G952+0.5)/$C$940))</f>
        <v/>
      </c>
      <c r="R952" s="208">
        <f>MIN(1,MAX(0,(nr_MEndP1-$G952+0.5)/$C$940))-MIN(1,MAX(0,(nr_MStartP1-1-$G952+0.5)/$C$940))</f>
        <v/>
      </c>
      <c r="S952" s="208">
        <f>IF($L$940,$N952*IF($O$940=1,$O952/$F$940,1),"")</f>
        <v/>
      </c>
      <c r="T952" s="208">
        <f>IF(NOT($L$940),"",IF($G952&lt;nr_MStartP,$S952,$T940*(1+IF($G952&lt;nr_MStartP1,$M$940,$N$940))))</f>
        <v/>
      </c>
      <c r="U952" s="208">
        <f>IF($L$940,$T952,$N952)</f>
        <v/>
      </c>
    </row>
    <row r="953">
      <c r="A953" s="145" t="n">
        <v>11</v>
      </c>
      <c r="B953" s="204">
        <f>EDATE($B952,1)</f>
        <v/>
      </c>
      <c r="C953" s="205">
        <f>EOMONTH($B953,0)</f>
        <v/>
      </c>
      <c r="D953" s="201">
        <f>$C953-$B953+1</f>
        <v/>
      </c>
      <c r="E953" s="201">
        <f>MONTH($B953)</f>
        <v/>
      </c>
      <c r="F953" s="235">
        <f>($B953+$C953+1)/2</f>
        <v/>
      </c>
      <c r="G953" s="201">
        <f>YEAR($B953)*12+MONTH($B953)-1</f>
        <v/>
      </c>
      <c r="H953" s="207">
        <f>IF(OR(nr_SeasonOn="OFF",$D$940=0,$E$940=0),1,12*INDEX(se_block,$D$940,$E953)/$E$940)</f>
        <v/>
      </c>
      <c r="I953" s="208">
        <f>EXP(SUMPRODUCT((rl_eff&lt;$B953)*(rl_key=$A$940)*rl_ln1p))</f>
        <v/>
      </c>
      <c r="J953" s="208">
        <f>EXP(SUMPRODUCT((rl_eff&lt;=$C953)*(rl_key=$A$940)*rl_ln1p))</f>
        <v/>
      </c>
      <c r="K953" s="201">
        <f>COUNTIFS(rl_key,$A$940,rl_eff,"&gt;="&amp;$B953,rl_eff,"&lt;="&amp;$C953)</f>
        <v/>
      </c>
      <c r="L953" s="201">
        <f>SUMIFS(rl_daysafter,rl_key,$A$940,rl_effmonth,$B953,rl_first,1)</f>
        <v/>
      </c>
      <c r="M953" s="209">
        <f>IF($K953=0,0,MIN(1,$L953/$D953))</f>
        <v/>
      </c>
      <c r="N953" s="208">
        <f>IF($K953=0,$J953,(1-$M953)*$I953+$M953*$J953)</f>
        <v/>
      </c>
      <c r="O953" s="209">
        <f>IF($F953&lt;$B$941,$E$941+$I$941*($F953-$A$941),IF($F953&lt;$C$941,$F$941+$J$941*($F953-$B$941),$G$941+$K$941*($F953-$C$941)))</f>
        <v/>
      </c>
      <c r="P953" s="208">
        <f>MIN(1,MAX(0,(nr_MEndPm1-$G953+0.5)/$C$940))-MIN(1,MAX(0,(nr_MStartPm1-1-$G953+0.5)/$C$940))</f>
        <v/>
      </c>
      <c r="Q953" s="208">
        <f>MIN(1,MAX(0,(nr_MEndP-$G953+0.5)/$C$940))-MIN(1,MAX(0,(nr_MStartP-1-$G953+0.5)/$C$940))</f>
        <v/>
      </c>
      <c r="R953" s="208">
        <f>MIN(1,MAX(0,(nr_MEndP1-$G953+0.5)/$C$940))-MIN(1,MAX(0,(nr_MStartP1-1-$G953+0.5)/$C$940))</f>
        <v/>
      </c>
      <c r="S953" s="208">
        <f>IF($L$940,$N953*IF($O$940=1,$O953/$F$940,1),"")</f>
        <v/>
      </c>
      <c r="T953" s="208">
        <f>IF(NOT($L$940),"",IF($G953&lt;nr_MStartP,$S953,$T941*(1+IF($G953&lt;nr_MStartP1,$M$940,$N$940))))</f>
        <v/>
      </c>
      <c r="U953" s="208">
        <f>IF($L$940,$T953,$N953)</f>
        <v/>
      </c>
    </row>
    <row r="954">
      <c r="A954" s="145" t="n">
        <v>12</v>
      </c>
      <c r="B954" s="204">
        <f>EDATE($B953,1)</f>
        <v/>
      </c>
      <c r="C954" s="205">
        <f>EOMONTH($B954,0)</f>
        <v/>
      </c>
      <c r="D954" s="201">
        <f>$C954-$B954+1</f>
        <v/>
      </c>
      <c r="E954" s="201">
        <f>MONTH($B954)</f>
        <v/>
      </c>
      <c r="F954" s="235">
        <f>($B954+$C954+1)/2</f>
        <v/>
      </c>
      <c r="G954" s="201">
        <f>YEAR($B954)*12+MONTH($B954)-1</f>
        <v/>
      </c>
      <c r="H954" s="207">
        <f>IF(OR(nr_SeasonOn="OFF",$D$940=0,$E$940=0),1,12*INDEX(se_block,$D$940,$E954)/$E$940)</f>
        <v/>
      </c>
      <c r="I954" s="208">
        <f>EXP(SUMPRODUCT((rl_eff&lt;$B954)*(rl_key=$A$940)*rl_ln1p))</f>
        <v/>
      </c>
      <c r="J954" s="208">
        <f>EXP(SUMPRODUCT((rl_eff&lt;=$C954)*(rl_key=$A$940)*rl_ln1p))</f>
        <v/>
      </c>
      <c r="K954" s="201">
        <f>COUNTIFS(rl_key,$A$940,rl_eff,"&gt;="&amp;$B954,rl_eff,"&lt;="&amp;$C954)</f>
        <v/>
      </c>
      <c r="L954" s="201">
        <f>SUMIFS(rl_daysafter,rl_key,$A$940,rl_effmonth,$B954,rl_first,1)</f>
        <v/>
      </c>
      <c r="M954" s="209">
        <f>IF($K954=0,0,MIN(1,$L954/$D954))</f>
        <v/>
      </c>
      <c r="N954" s="208">
        <f>IF($K954=0,$J954,(1-$M954)*$I954+$M954*$J954)</f>
        <v/>
      </c>
      <c r="O954" s="209">
        <f>IF($F954&lt;$B$941,$E$941+$I$941*($F954-$A$941),IF($F954&lt;$C$941,$F$941+$J$941*($F954-$B$941),$G$941+$K$941*($F954-$C$941)))</f>
        <v/>
      </c>
      <c r="P954" s="208">
        <f>MIN(1,MAX(0,(nr_MEndPm1-$G954+0.5)/$C$940))-MIN(1,MAX(0,(nr_MStartPm1-1-$G954+0.5)/$C$940))</f>
        <v/>
      </c>
      <c r="Q954" s="208">
        <f>MIN(1,MAX(0,(nr_MEndP-$G954+0.5)/$C$940))-MIN(1,MAX(0,(nr_MStartP-1-$G954+0.5)/$C$940))</f>
        <v/>
      </c>
      <c r="R954" s="208">
        <f>MIN(1,MAX(0,(nr_MEndP1-$G954+0.5)/$C$940))-MIN(1,MAX(0,(nr_MStartP1-1-$G954+0.5)/$C$940))</f>
        <v/>
      </c>
      <c r="S954" s="208">
        <f>IF($L$940,$N954*IF($O$940=1,$O954/$F$940,1),"")</f>
        <v/>
      </c>
      <c r="T954" s="208">
        <f>IF(NOT($L$940),"",IF($G954&lt;nr_MStartP,$S954,$T942*(1+IF($G954&lt;nr_MStartP1,$M$940,$N$940))))</f>
        <v/>
      </c>
      <c r="U954" s="208">
        <f>IF($L$940,$T954,$N954)</f>
        <v/>
      </c>
    </row>
    <row r="955">
      <c r="A955" s="145" t="n">
        <v>13</v>
      </c>
      <c r="B955" s="204">
        <f>EDATE($B954,1)</f>
        <v/>
      </c>
      <c r="C955" s="205">
        <f>EOMONTH($B955,0)</f>
        <v/>
      </c>
      <c r="D955" s="201">
        <f>$C955-$B955+1</f>
        <v/>
      </c>
      <c r="E955" s="201">
        <f>MONTH($B955)</f>
        <v/>
      </c>
      <c r="F955" s="235">
        <f>($B955+$C955+1)/2</f>
        <v/>
      </c>
      <c r="G955" s="201">
        <f>YEAR($B955)*12+MONTH($B955)-1</f>
        <v/>
      </c>
      <c r="H955" s="207">
        <f>IF(OR(nr_SeasonOn="OFF",$D$940=0,$E$940=0),1,12*INDEX(se_block,$D$940,$E955)/$E$940)</f>
        <v/>
      </c>
      <c r="I955" s="208">
        <f>EXP(SUMPRODUCT((rl_eff&lt;$B955)*(rl_key=$A$940)*rl_ln1p))</f>
        <v/>
      </c>
      <c r="J955" s="208">
        <f>EXP(SUMPRODUCT((rl_eff&lt;=$C955)*(rl_key=$A$940)*rl_ln1p))</f>
        <v/>
      </c>
      <c r="K955" s="201">
        <f>COUNTIFS(rl_key,$A$940,rl_eff,"&gt;="&amp;$B955,rl_eff,"&lt;="&amp;$C955)</f>
        <v/>
      </c>
      <c r="L955" s="201">
        <f>SUMIFS(rl_daysafter,rl_key,$A$940,rl_effmonth,$B955,rl_first,1)</f>
        <v/>
      </c>
      <c r="M955" s="209">
        <f>IF($K955=0,0,MIN(1,$L955/$D955))</f>
        <v/>
      </c>
      <c r="N955" s="208">
        <f>IF($K955=0,$J955,(1-$M955)*$I955+$M955*$J955)</f>
        <v/>
      </c>
      <c r="O955" s="209">
        <f>IF($F955&lt;$B$941,$E$941+$I$941*($F955-$A$941),IF($F955&lt;$C$941,$F$941+$J$941*($F955-$B$941),$G$941+$K$941*($F955-$C$941)))</f>
        <v/>
      </c>
      <c r="P955" s="208">
        <f>MIN(1,MAX(0,(nr_MEndPm1-$G955+0.5)/$C$940))-MIN(1,MAX(0,(nr_MStartPm1-1-$G955+0.5)/$C$940))</f>
        <v/>
      </c>
      <c r="Q955" s="208">
        <f>MIN(1,MAX(0,(nr_MEndP-$G955+0.5)/$C$940))-MIN(1,MAX(0,(nr_MStartP-1-$G955+0.5)/$C$940))</f>
        <v/>
      </c>
      <c r="R955" s="208">
        <f>MIN(1,MAX(0,(nr_MEndP1-$G955+0.5)/$C$940))-MIN(1,MAX(0,(nr_MStartP1-1-$G955+0.5)/$C$940))</f>
        <v/>
      </c>
      <c r="S955" s="208">
        <f>IF($L$940,$N955*IF($O$940=1,$O955/$F$940,1),"")</f>
        <v/>
      </c>
      <c r="T955" s="208">
        <f>IF(NOT($L$940),"",IF($G955&lt;nr_MStartP,$S955,$T943*(1+IF($G955&lt;nr_MStartP1,$M$940,$N$940))))</f>
        <v/>
      </c>
      <c r="U955" s="208">
        <f>IF($L$940,$T955,$N955)</f>
        <v/>
      </c>
    </row>
    <row r="956">
      <c r="A956" s="145" t="n">
        <v>14</v>
      </c>
      <c r="B956" s="204">
        <f>EDATE($B955,1)</f>
        <v/>
      </c>
      <c r="C956" s="205">
        <f>EOMONTH($B956,0)</f>
        <v/>
      </c>
      <c r="D956" s="201">
        <f>$C956-$B956+1</f>
        <v/>
      </c>
      <c r="E956" s="201">
        <f>MONTH($B956)</f>
        <v/>
      </c>
      <c r="F956" s="235">
        <f>($B956+$C956+1)/2</f>
        <v/>
      </c>
      <c r="G956" s="201">
        <f>YEAR($B956)*12+MONTH($B956)-1</f>
        <v/>
      </c>
      <c r="H956" s="207">
        <f>IF(OR(nr_SeasonOn="OFF",$D$940=0,$E$940=0),1,12*INDEX(se_block,$D$940,$E956)/$E$940)</f>
        <v/>
      </c>
      <c r="I956" s="208">
        <f>EXP(SUMPRODUCT((rl_eff&lt;$B956)*(rl_key=$A$940)*rl_ln1p))</f>
        <v/>
      </c>
      <c r="J956" s="208">
        <f>EXP(SUMPRODUCT((rl_eff&lt;=$C956)*(rl_key=$A$940)*rl_ln1p))</f>
        <v/>
      </c>
      <c r="K956" s="201">
        <f>COUNTIFS(rl_key,$A$940,rl_eff,"&gt;="&amp;$B956,rl_eff,"&lt;="&amp;$C956)</f>
        <v/>
      </c>
      <c r="L956" s="201">
        <f>SUMIFS(rl_daysafter,rl_key,$A$940,rl_effmonth,$B956,rl_first,1)</f>
        <v/>
      </c>
      <c r="M956" s="209">
        <f>IF($K956=0,0,MIN(1,$L956/$D956))</f>
        <v/>
      </c>
      <c r="N956" s="208">
        <f>IF($K956=0,$J956,(1-$M956)*$I956+$M956*$J956)</f>
        <v/>
      </c>
      <c r="O956" s="209">
        <f>IF($F956&lt;$B$941,$E$941+$I$941*($F956-$A$941),IF($F956&lt;$C$941,$F$941+$J$941*($F956-$B$941),$G$941+$K$941*($F956-$C$941)))</f>
        <v/>
      </c>
      <c r="P956" s="208">
        <f>MIN(1,MAX(0,(nr_MEndPm1-$G956+0.5)/$C$940))-MIN(1,MAX(0,(nr_MStartPm1-1-$G956+0.5)/$C$940))</f>
        <v/>
      </c>
      <c r="Q956" s="208">
        <f>MIN(1,MAX(0,(nr_MEndP-$G956+0.5)/$C$940))-MIN(1,MAX(0,(nr_MStartP-1-$G956+0.5)/$C$940))</f>
        <v/>
      </c>
      <c r="R956" s="208">
        <f>MIN(1,MAX(0,(nr_MEndP1-$G956+0.5)/$C$940))-MIN(1,MAX(0,(nr_MStartP1-1-$G956+0.5)/$C$940))</f>
        <v/>
      </c>
      <c r="S956" s="208">
        <f>IF($L$940,$N956*IF($O$940=1,$O956/$F$940,1),"")</f>
        <v/>
      </c>
      <c r="T956" s="208">
        <f>IF(NOT($L$940),"",IF($G956&lt;nr_MStartP,$S956,$T944*(1+IF($G956&lt;nr_MStartP1,$M$940,$N$940))))</f>
        <v/>
      </c>
      <c r="U956" s="208">
        <f>IF($L$940,$T956,$N956)</f>
        <v/>
      </c>
    </row>
    <row r="957">
      <c r="A957" s="145" t="n">
        <v>15</v>
      </c>
      <c r="B957" s="204">
        <f>EDATE($B956,1)</f>
        <v/>
      </c>
      <c r="C957" s="205">
        <f>EOMONTH($B957,0)</f>
        <v/>
      </c>
      <c r="D957" s="201">
        <f>$C957-$B957+1</f>
        <v/>
      </c>
      <c r="E957" s="201">
        <f>MONTH($B957)</f>
        <v/>
      </c>
      <c r="F957" s="235">
        <f>($B957+$C957+1)/2</f>
        <v/>
      </c>
      <c r="G957" s="201">
        <f>YEAR($B957)*12+MONTH($B957)-1</f>
        <v/>
      </c>
      <c r="H957" s="207">
        <f>IF(OR(nr_SeasonOn="OFF",$D$940=0,$E$940=0),1,12*INDEX(se_block,$D$940,$E957)/$E$940)</f>
        <v/>
      </c>
      <c r="I957" s="208">
        <f>EXP(SUMPRODUCT((rl_eff&lt;$B957)*(rl_key=$A$940)*rl_ln1p))</f>
        <v/>
      </c>
      <c r="J957" s="208">
        <f>EXP(SUMPRODUCT((rl_eff&lt;=$C957)*(rl_key=$A$940)*rl_ln1p))</f>
        <v/>
      </c>
      <c r="K957" s="201">
        <f>COUNTIFS(rl_key,$A$940,rl_eff,"&gt;="&amp;$B957,rl_eff,"&lt;="&amp;$C957)</f>
        <v/>
      </c>
      <c r="L957" s="201">
        <f>SUMIFS(rl_daysafter,rl_key,$A$940,rl_effmonth,$B957,rl_first,1)</f>
        <v/>
      </c>
      <c r="M957" s="209">
        <f>IF($K957=0,0,MIN(1,$L957/$D957))</f>
        <v/>
      </c>
      <c r="N957" s="208">
        <f>IF($K957=0,$J957,(1-$M957)*$I957+$M957*$J957)</f>
        <v/>
      </c>
      <c r="O957" s="209">
        <f>IF($F957&lt;$B$941,$E$941+$I$941*($F957-$A$941),IF($F957&lt;$C$941,$F$941+$J$941*($F957-$B$941),$G$941+$K$941*($F957-$C$941)))</f>
        <v/>
      </c>
      <c r="P957" s="208">
        <f>MIN(1,MAX(0,(nr_MEndPm1-$G957+0.5)/$C$940))-MIN(1,MAX(0,(nr_MStartPm1-1-$G957+0.5)/$C$940))</f>
        <v/>
      </c>
      <c r="Q957" s="208">
        <f>MIN(1,MAX(0,(nr_MEndP-$G957+0.5)/$C$940))-MIN(1,MAX(0,(nr_MStartP-1-$G957+0.5)/$C$940))</f>
        <v/>
      </c>
      <c r="R957" s="208">
        <f>MIN(1,MAX(0,(nr_MEndP1-$G957+0.5)/$C$940))-MIN(1,MAX(0,(nr_MStartP1-1-$G957+0.5)/$C$940))</f>
        <v/>
      </c>
      <c r="S957" s="208">
        <f>IF($L$940,$N957*IF($O$940=1,$O957/$F$940,1),"")</f>
        <v/>
      </c>
      <c r="T957" s="208">
        <f>IF(NOT($L$940),"",IF($G957&lt;nr_MStartP,$S957,$T945*(1+IF($G957&lt;nr_MStartP1,$M$940,$N$940))))</f>
        <v/>
      </c>
      <c r="U957" s="208">
        <f>IF($L$940,$T957,$N957)</f>
        <v/>
      </c>
    </row>
    <row r="958">
      <c r="A958" s="145" t="n">
        <v>16</v>
      </c>
      <c r="B958" s="204">
        <f>EDATE($B957,1)</f>
        <v/>
      </c>
      <c r="C958" s="205">
        <f>EOMONTH($B958,0)</f>
        <v/>
      </c>
      <c r="D958" s="201">
        <f>$C958-$B958+1</f>
        <v/>
      </c>
      <c r="E958" s="201">
        <f>MONTH($B958)</f>
        <v/>
      </c>
      <c r="F958" s="235">
        <f>($B958+$C958+1)/2</f>
        <v/>
      </c>
      <c r="G958" s="201">
        <f>YEAR($B958)*12+MONTH($B958)-1</f>
        <v/>
      </c>
      <c r="H958" s="207">
        <f>IF(OR(nr_SeasonOn="OFF",$D$940=0,$E$940=0),1,12*INDEX(se_block,$D$940,$E958)/$E$940)</f>
        <v/>
      </c>
      <c r="I958" s="208">
        <f>EXP(SUMPRODUCT((rl_eff&lt;$B958)*(rl_key=$A$940)*rl_ln1p))</f>
        <v/>
      </c>
      <c r="J958" s="208">
        <f>EXP(SUMPRODUCT((rl_eff&lt;=$C958)*(rl_key=$A$940)*rl_ln1p))</f>
        <v/>
      </c>
      <c r="K958" s="201">
        <f>COUNTIFS(rl_key,$A$940,rl_eff,"&gt;="&amp;$B958,rl_eff,"&lt;="&amp;$C958)</f>
        <v/>
      </c>
      <c r="L958" s="201">
        <f>SUMIFS(rl_daysafter,rl_key,$A$940,rl_effmonth,$B958,rl_first,1)</f>
        <v/>
      </c>
      <c r="M958" s="209">
        <f>IF($K958=0,0,MIN(1,$L958/$D958))</f>
        <v/>
      </c>
      <c r="N958" s="208">
        <f>IF($K958=0,$J958,(1-$M958)*$I958+$M958*$J958)</f>
        <v/>
      </c>
      <c r="O958" s="209">
        <f>IF($F958&lt;$B$941,$E$941+$I$941*($F958-$A$941),IF($F958&lt;$C$941,$F$941+$J$941*($F958-$B$941),$G$941+$K$941*($F958-$C$941)))</f>
        <v/>
      </c>
      <c r="P958" s="208">
        <f>MIN(1,MAX(0,(nr_MEndPm1-$G958+0.5)/$C$940))-MIN(1,MAX(0,(nr_MStartPm1-1-$G958+0.5)/$C$940))</f>
        <v/>
      </c>
      <c r="Q958" s="208">
        <f>MIN(1,MAX(0,(nr_MEndP-$G958+0.5)/$C$940))-MIN(1,MAX(0,(nr_MStartP-1-$G958+0.5)/$C$940))</f>
        <v/>
      </c>
      <c r="R958" s="208">
        <f>MIN(1,MAX(0,(nr_MEndP1-$G958+0.5)/$C$940))-MIN(1,MAX(0,(nr_MStartP1-1-$G958+0.5)/$C$940))</f>
        <v/>
      </c>
      <c r="S958" s="208">
        <f>IF($L$940,$N958*IF($O$940=1,$O958/$F$940,1),"")</f>
        <v/>
      </c>
      <c r="T958" s="208">
        <f>IF(NOT($L$940),"",IF($G958&lt;nr_MStartP,$S958,$T946*(1+IF($G958&lt;nr_MStartP1,$M$940,$N$940))))</f>
        <v/>
      </c>
      <c r="U958" s="208">
        <f>IF($L$940,$T958,$N958)</f>
        <v/>
      </c>
    </row>
    <row r="959">
      <c r="A959" s="145" t="n">
        <v>17</v>
      </c>
      <c r="B959" s="204">
        <f>EDATE($B958,1)</f>
        <v/>
      </c>
      <c r="C959" s="205">
        <f>EOMONTH($B959,0)</f>
        <v/>
      </c>
      <c r="D959" s="201">
        <f>$C959-$B959+1</f>
        <v/>
      </c>
      <c r="E959" s="201">
        <f>MONTH($B959)</f>
        <v/>
      </c>
      <c r="F959" s="235">
        <f>($B959+$C959+1)/2</f>
        <v/>
      </c>
      <c r="G959" s="201">
        <f>YEAR($B959)*12+MONTH($B959)-1</f>
        <v/>
      </c>
      <c r="H959" s="207">
        <f>IF(OR(nr_SeasonOn="OFF",$D$940=0,$E$940=0),1,12*INDEX(se_block,$D$940,$E959)/$E$940)</f>
        <v/>
      </c>
      <c r="I959" s="208">
        <f>EXP(SUMPRODUCT((rl_eff&lt;$B959)*(rl_key=$A$940)*rl_ln1p))</f>
        <v/>
      </c>
      <c r="J959" s="208">
        <f>EXP(SUMPRODUCT((rl_eff&lt;=$C959)*(rl_key=$A$940)*rl_ln1p))</f>
        <v/>
      </c>
      <c r="K959" s="201">
        <f>COUNTIFS(rl_key,$A$940,rl_eff,"&gt;="&amp;$B959,rl_eff,"&lt;="&amp;$C959)</f>
        <v/>
      </c>
      <c r="L959" s="201">
        <f>SUMIFS(rl_daysafter,rl_key,$A$940,rl_effmonth,$B959,rl_first,1)</f>
        <v/>
      </c>
      <c r="M959" s="209">
        <f>IF($K959=0,0,MIN(1,$L959/$D959))</f>
        <v/>
      </c>
      <c r="N959" s="208">
        <f>IF($K959=0,$J959,(1-$M959)*$I959+$M959*$J959)</f>
        <v/>
      </c>
      <c r="O959" s="209">
        <f>IF($F959&lt;$B$941,$E$941+$I$941*($F959-$A$941),IF($F959&lt;$C$941,$F$941+$J$941*($F959-$B$941),$G$941+$K$941*($F959-$C$941)))</f>
        <v/>
      </c>
      <c r="P959" s="208">
        <f>MIN(1,MAX(0,(nr_MEndPm1-$G959+0.5)/$C$940))-MIN(1,MAX(0,(nr_MStartPm1-1-$G959+0.5)/$C$940))</f>
        <v/>
      </c>
      <c r="Q959" s="208">
        <f>MIN(1,MAX(0,(nr_MEndP-$G959+0.5)/$C$940))-MIN(1,MAX(0,(nr_MStartP-1-$G959+0.5)/$C$940))</f>
        <v/>
      </c>
      <c r="R959" s="208">
        <f>MIN(1,MAX(0,(nr_MEndP1-$G959+0.5)/$C$940))-MIN(1,MAX(0,(nr_MStartP1-1-$G959+0.5)/$C$940))</f>
        <v/>
      </c>
      <c r="S959" s="208">
        <f>IF($L$940,$N959*IF($O$940=1,$O959/$F$940,1),"")</f>
        <v/>
      </c>
      <c r="T959" s="208">
        <f>IF(NOT($L$940),"",IF($G959&lt;nr_MStartP,$S959,$T947*(1+IF($G959&lt;nr_MStartP1,$M$940,$N$940))))</f>
        <v/>
      </c>
      <c r="U959" s="208">
        <f>IF($L$940,$T959,$N959)</f>
        <v/>
      </c>
    </row>
    <row r="960">
      <c r="A960" s="145" t="n">
        <v>18</v>
      </c>
      <c r="B960" s="204">
        <f>EDATE($B959,1)</f>
        <v/>
      </c>
      <c r="C960" s="205">
        <f>EOMONTH($B960,0)</f>
        <v/>
      </c>
      <c r="D960" s="201">
        <f>$C960-$B960+1</f>
        <v/>
      </c>
      <c r="E960" s="201">
        <f>MONTH($B960)</f>
        <v/>
      </c>
      <c r="F960" s="235">
        <f>($B960+$C960+1)/2</f>
        <v/>
      </c>
      <c r="G960" s="201">
        <f>YEAR($B960)*12+MONTH($B960)-1</f>
        <v/>
      </c>
      <c r="H960" s="207">
        <f>IF(OR(nr_SeasonOn="OFF",$D$940=0,$E$940=0),1,12*INDEX(se_block,$D$940,$E960)/$E$940)</f>
        <v/>
      </c>
      <c r="I960" s="208">
        <f>EXP(SUMPRODUCT((rl_eff&lt;$B960)*(rl_key=$A$940)*rl_ln1p))</f>
        <v/>
      </c>
      <c r="J960" s="208">
        <f>EXP(SUMPRODUCT((rl_eff&lt;=$C960)*(rl_key=$A$940)*rl_ln1p))</f>
        <v/>
      </c>
      <c r="K960" s="201">
        <f>COUNTIFS(rl_key,$A$940,rl_eff,"&gt;="&amp;$B960,rl_eff,"&lt;="&amp;$C960)</f>
        <v/>
      </c>
      <c r="L960" s="201">
        <f>SUMIFS(rl_daysafter,rl_key,$A$940,rl_effmonth,$B960,rl_first,1)</f>
        <v/>
      </c>
      <c r="M960" s="209">
        <f>IF($K960=0,0,MIN(1,$L960/$D960))</f>
        <v/>
      </c>
      <c r="N960" s="208">
        <f>IF($K960=0,$J960,(1-$M960)*$I960+$M960*$J960)</f>
        <v/>
      </c>
      <c r="O960" s="209">
        <f>IF($F960&lt;$B$941,$E$941+$I$941*($F960-$A$941),IF($F960&lt;$C$941,$F$941+$J$941*($F960-$B$941),$G$941+$K$941*($F960-$C$941)))</f>
        <v/>
      </c>
      <c r="P960" s="208">
        <f>MIN(1,MAX(0,(nr_MEndPm1-$G960+0.5)/$C$940))-MIN(1,MAX(0,(nr_MStartPm1-1-$G960+0.5)/$C$940))</f>
        <v/>
      </c>
      <c r="Q960" s="208">
        <f>MIN(1,MAX(0,(nr_MEndP-$G960+0.5)/$C$940))-MIN(1,MAX(0,(nr_MStartP-1-$G960+0.5)/$C$940))</f>
        <v/>
      </c>
      <c r="R960" s="208">
        <f>MIN(1,MAX(0,(nr_MEndP1-$G960+0.5)/$C$940))-MIN(1,MAX(0,(nr_MStartP1-1-$G960+0.5)/$C$940))</f>
        <v/>
      </c>
      <c r="S960" s="208">
        <f>IF($L$940,$N960*IF($O$940=1,$O960/$F$940,1),"")</f>
        <v/>
      </c>
      <c r="T960" s="208">
        <f>IF(NOT($L$940),"",IF($G960&lt;nr_MStartP,$S960,$T948*(1+IF($G960&lt;nr_MStartP1,$M$940,$N$940))))</f>
        <v/>
      </c>
      <c r="U960" s="208">
        <f>IF($L$940,$T960,$N960)</f>
        <v/>
      </c>
    </row>
    <row r="961">
      <c r="A961" s="145" t="n">
        <v>19</v>
      </c>
      <c r="B961" s="204">
        <f>EDATE($B960,1)</f>
        <v/>
      </c>
      <c r="C961" s="205">
        <f>EOMONTH($B961,0)</f>
        <v/>
      </c>
      <c r="D961" s="201">
        <f>$C961-$B961+1</f>
        <v/>
      </c>
      <c r="E961" s="201">
        <f>MONTH($B961)</f>
        <v/>
      </c>
      <c r="F961" s="235">
        <f>($B961+$C961+1)/2</f>
        <v/>
      </c>
      <c r="G961" s="201">
        <f>YEAR($B961)*12+MONTH($B961)-1</f>
        <v/>
      </c>
      <c r="H961" s="207">
        <f>IF(OR(nr_SeasonOn="OFF",$D$940=0,$E$940=0),1,12*INDEX(se_block,$D$940,$E961)/$E$940)</f>
        <v/>
      </c>
      <c r="I961" s="208">
        <f>EXP(SUMPRODUCT((rl_eff&lt;$B961)*(rl_key=$A$940)*rl_ln1p))</f>
        <v/>
      </c>
      <c r="J961" s="208">
        <f>EXP(SUMPRODUCT((rl_eff&lt;=$C961)*(rl_key=$A$940)*rl_ln1p))</f>
        <v/>
      </c>
      <c r="K961" s="201">
        <f>COUNTIFS(rl_key,$A$940,rl_eff,"&gt;="&amp;$B961,rl_eff,"&lt;="&amp;$C961)</f>
        <v/>
      </c>
      <c r="L961" s="201">
        <f>SUMIFS(rl_daysafter,rl_key,$A$940,rl_effmonth,$B961,rl_first,1)</f>
        <v/>
      </c>
      <c r="M961" s="209">
        <f>IF($K961=0,0,MIN(1,$L961/$D961))</f>
        <v/>
      </c>
      <c r="N961" s="208">
        <f>IF($K961=0,$J961,(1-$M961)*$I961+$M961*$J961)</f>
        <v/>
      </c>
      <c r="O961" s="209">
        <f>IF($F961&lt;$B$941,$E$941+$I$941*($F961-$A$941),IF($F961&lt;$C$941,$F$941+$J$941*($F961-$B$941),$G$941+$K$941*($F961-$C$941)))</f>
        <v/>
      </c>
      <c r="P961" s="208">
        <f>MIN(1,MAX(0,(nr_MEndPm1-$G961+0.5)/$C$940))-MIN(1,MAX(0,(nr_MStartPm1-1-$G961+0.5)/$C$940))</f>
        <v/>
      </c>
      <c r="Q961" s="208">
        <f>MIN(1,MAX(0,(nr_MEndP-$G961+0.5)/$C$940))-MIN(1,MAX(0,(nr_MStartP-1-$G961+0.5)/$C$940))</f>
        <v/>
      </c>
      <c r="R961" s="208">
        <f>MIN(1,MAX(0,(nr_MEndP1-$G961+0.5)/$C$940))-MIN(1,MAX(0,(nr_MStartP1-1-$G961+0.5)/$C$940))</f>
        <v/>
      </c>
      <c r="S961" s="208">
        <f>IF($L$940,$N961*IF($O$940=1,$O961/$F$940,1),"")</f>
        <v/>
      </c>
      <c r="T961" s="208">
        <f>IF(NOT($L$940),"",IF($G961&lt;nr_MStartP,$S961,$T949*(1+IF($G961&lt;nr_MStartP1,$M$940,$N$940))))</f>
        <v/>
      </c>
      <c r="U961" s="208">
        <f>IF($L$940,$T961,$N961)</f>
        <v/>
      </c>
    </row>
    <row r="962">
      <c r="A962" s="145" t="n">
        <v>20</v>
      </c>
      <c r="B962" s="204">
        <f>EDATE($B961,1)</f>
        <v/>
      </c>
      <c r="C962" s="205">
        <f>EOMONTH($B962,0)</f>
        <v/>
      </c>
      <c r="D962" s="201">
        <f>$C962-$B962+1</f>
        <v/>
      </c>
      <c r="E962" s="201">
        <f>MONTH($B962)</f>
        <v/>
      </c>
      <c r="F962" s="235">
        <f>($B962+$C962+1)/2</f>
        <v/>
      </c>
      <c r="G962" s="201">
        <f>YEAR($B962)*12+MONTH($B962)-1</f>
        <v/>
      </c>
      <c r="H962" s="207">
        <f>IF(OR(nr_SeasonOn="OFF",$D$940=0,$E$940=0),1,12*INDEX(se_block,$D$940,$E962)/$E$940)</f>
        <v/>
      </c>
      <c r="I962" s="208">
        <f>EXP(SUMPRODUCT((rl_eff&lt;$B962)*(rl_key=$A$940)*rl_ln1p))</f>
        <v/>
      </c>
      <c r="J962" s="208">
        <f>EXP(SUMPRODUCT((rl_eff&lt;=$C962)*(rl_key=$A$940)*rl_ln1p))</f>
        <v/>
      </c>
      <c r="K962" s="201">
        <f>COUNTIFS(rl_key,$A$940,rl_eff,"&gt;="&amp;$B962,rl_eff,"&lt;="&amp;$C962)</f>
        <v/>
      </c>
      <c r="L962" s="201">
        <f>SUMIFS(rl_daysafter,rl_key,$A$940,rl_effmonth,$B962,rl_first,1)</f>
        <v/>
      </c>
      <c r="M962" s="209">
        <f>IF($K962=0,0,MIN(1,$L962/$D962))</f>
        <v/>
      </c>
      <c r="N962" s="208">
        <f>IF($K962=0,$J962,(1-$M962)*$I962+$M962*$J962)</f>
        <v/>
      </c>
      <c r="O962" s="209">
        <f>IF($F962&lt;$B$941,$E$941+$I$941*($F962-$A$941),IF($F962&lt;$C$941,$F$941+$J$941*($F962-$B$941),$G$941+$K$941*($F962-$C$941)))</f>
        <v/>
      </c>
      <c r="P962" s="208">
        <f>MIN(1,MAX(0,(nr_MEndPm1-$G962+0.5)/$C$940))-MIN(1,MAX(0,(nr_MStartPm1-1-$G962+0.5)/$C$940))</f>
        <v/>
      </c>
      <c r="Q962" s="208">
        <f>MIN(1,MAX(0,(nr_MEndP-$G962+0.5)/$C$940))-MIN(1,MAX(0,(nr_MStartP-1-$G962+0.5)/$C$940))</f>
        <v/>
      </c>
      <c r="R962" s="208">
        <f>MIN(1,MAX(0,(nr_MEndP1-$G962+0.5)/$C$940))-MIN(1,MAX(0,(nr_MStartP1-1-$G962+0.5)/$C$940))</f>
        <v/>
      </c>
      <c r="S962" s="208">
        <f>IF($L$940,$N962*IF($O$940=1,$O962/$F$940,1),"")</f>
        <v/>
      </c>
      <c r="T962" s="208">
        <f>IF(NOT($L$940),"",IF($G962&lt;nr_MStartP,$S962,$T950*(1+IF($G962&lt;nr_MStartP1,$M$940,$N$940))))</f>
        <v/>
      </c>
      <c r="U962" s="208">
        <f>IF($L$940,$T962,$N962)</f>
        <v/>
      </c>
    </row>
    <row r="963">
      <c r="A963" s="145" t="n">
        <v>21</v>
      </c>
      <c r="B963" s="204">
        <f>EDATE($B962,1)</f>
        <v/>
      </c>
      <c r="C963" s="205">
        <f>EOMONTH($B963,0)</f>
        <v/>
      </c>
      <c r="D963" s="201">
        <f>$C963-$B963+1</f>
        <v/>
      </c>
      <c r="E963" s="201">
        <f>MONTH($B963)</f>
        <v/>
      </c>
      <c r="F963" s="235">
        <f>($B963+$C963+1)/2</f>
        <v/>
      </c>
      <c r="G963" s="201">
        <f>YEAR($B963)*12+MONTH($B963)-1</f>
        <v/>
      </c>
      <c r="H963" s="207">
        <f>IF(OR(nr_SeasonOn="OFF",$D$940=0,$E$940=0),1,12*INDEX(se_block,$D$940,$E963)/$E$940)</f>
        <v/>
      </c>
      <c r="I963" s="208">
        <f>EXP(SUMPRODUCT((rl_eff&lt;$B963)*(rl_key=$A$940)*rl_ln1p))</f>
        <v/>
      </c>
      <c r="J963" s="208">
        <f>EXP(SUMPRODUCT((rl_eff&lt;=$C963)*(rl_key=$A$940)*rl_ln1p))</f>
        <v/>
      </c>
      <c r="K963" s="201">
        <f>COUNTIFS(rl_key,$A$940,rl_eff,"&gt;="&amp;$B963,rl_eff,"&lt;="&amp;$C963)</f>
        <v/>
      </c>
      <c r="L963" s="201">
        <f>SUMIFS(rl_daysafter,rl_key,$A$940,rl_effmonth,$B963,rl_first,1)</f>
        <v/>
      </c>
      <c r="M963" s="209">
        <f>IF($K963=0,0,MIN(1,$L963/$D963))</f>
        <v/>
      </c>
      <c r="N963" s="208">
        <f>IF($K963=0,$J963,(1-$M963)*$I963+$M963*$J963)</f>
        <v/>
      </c>
      <c r="O963" s="209">
        <f>IF($F963&lt;$B$941,$E$941+$I$941*($F963-$A$941),IF($F963&lt;$C$941,$F$941+$J$941*($F963-$B$941),$G$941+$K$941*($F963-$C$941)))</f>
        <v/>
      </c>
      <c r="P963" s="208">
        <f>MIN(1,MAX(0,(nr_MEndPm1-$G963+0.5)/$C$940))-MIN(1,MAX(0,(nr_MStartPm1-1-$G963+0.5)/$C$940))</f>
        <v/>
      </c>
      <c r="Q963" s="208">
        <f>MIN(1,MAX(0,(nr_MEndP-$G963+0.5)/$C$940))-MIN(1,MAX(0,(nr_MStartP-1-$G963+0.5)/$C$940))</f>
        <v/>
      </c>
      <c r="R963" s="208">
        <f>MIN(1,MAX(0,(nr_MEndP1-$G963+0.5)/$C$940))-MIN(1,MAX(0,(nr_MStartP1-1-$G963+0.5)/$C$940))</f>
        <v/>
      </c>
      <c r="S963" s="208">
        <f>IF($L$940,$N963*IF($O$940=1,$O963/$F$940,1),"")</f>
        <v/>
      </c>
      <c r="T963" s="208">
        <f>IF(NOT($L$940),"",IF($G963&lt;nr_MStartP,$S963,$T951*(1+IF($G963&lt;nr_MStartP1,$M$940,$N$940))))</f>
        <v/>
      </c>
      <c r="U963" s="208">
        <f>IF($L$940,$T963,$N963)</f>
        <v/>
      </c>
    </row>
    <row r="964">
      <c r="A964" s="145" t="n">
        <v>22</v>
      </c>
      <c r="B964" s="204">
        <f>EDATE($B963,1)</f>
        <v/>
      </c>
      <c r="C964" s="205">
        <f>EOMONTH($B964,0)</f>
        <v/>
      </c>
      <c r="D964" s="201">
        <f>$C964-$B964+1</f>
        <v/>
      </c>
      <c r="E964" s="201">
        <f>MONTH($B964)</f>
        <v/>
      </c>
      <c r="F964" s="235">
        <f>($B964+$C964+1)/2</f>
        <v/>
      </c>
      <c r="G964" s="201">
        <f>YEAR($B964)*12+MONTH($B964)-1</f>
        <v/>
      </c>
      <c r="H964" s="207">
        <f>IF(OR(nr_SeasonOn="OFF",$D$940=0,$E$940=0),1,12*INDEX(se_block,$D$940,$E964)/$E$940)</f>
        <v/>
      </c>
      <c r="I964" s="208">
        <f>EXP(SUMPRODUCT((rl_eff&lt;$B964)*(rl_key=$A$940)*rl_ln1p))</f>
        <v/>
      </c>
      <c r="J964" s="208">
        <f>EXP(SUMPRODUCT((rl_eff&lt;=$C964)*(rl_key=$A$940)*rl_ln1p))</f>
        <v/>
      </c>
      <c r="K964" s="201">
        <f>COUNTIFS(rl_key,$A$940,rl_eff,"&gt;="&amp;$B964,rl_eff,"&lt;="&amp;$C964)</f>
        <v/>
      </c>
      <c r="L964" s="201">
        <f>SUMIFS(rl_daysafter,rl_key,$A$940,rl_effmonth,$B964,rl_first,1)</f>
        <v/>
      </c>
      <c r="M964" s="209">
        <f>IF($K964=0,0,MIN(1,$L964/$D964))</f>
        <v/>
      </c>
      <c r="N964" s="208">
        <f>IF($K964=0,$J964,(1-$M964)*$I964+$M964*$J964)</f>
        <v/>
      </c>
      <c r="O964" s="209">
        <f>IF($F964&lt;$B$941,$E$941+$I$941*($F964-$A$941),IF($F964&lt;$C$941,$F$941+$J$941*($F964-$B$941),$G$941+$K$941*($F964-$C$941)))</f>
        <v/>
      </c>
      <c r="P964" s="208">
        <f>MIN(1,MAX(0,(nr_MEndPm1-$G964+0.5)/$C$940))-MIN(1,MAX(0,(nr_MStartPm1-1-$G964+0.5)/$C$940))</f>
        <v/>
      </c>
      <c r="Q964" s="208">
        <f>MIN(1,MAX(0,(nr_MEndP-$G964+0.5)/$C$940))-MIN(1,MAX(0,(nr_MStartP-1-$G964+0.5)/$C$940))</f>
        <v/>
      </c>
      <c r="R964" s="208">
        <f>MIN(1,MAX(0,(nr_MEndP1-$G964+0.5)/$C$940))-MIN(1,MAX(0,(nr_MStartP1-1-$G964+0.5)/$C$940))</f>
        <v/>
      </c>
      <c r="S964" s="208">
        <f>IF($L$940,$N964*IF($O$940=1,$O964/$F$940,1),"")</f>
        <v/>
      </c>
      <c r="T964" s="208">
        <f>IF(NOT($L$940),"",IF($G964&lt;nr_MStartP,$S964,$T952*(1+IF($G964&lt;nr_MStartP1,$M$940,$N$940))))</f>
        <v/>
      </c>
      <c r="U964" s="208">
        <f>IF($L$940,$T964,$N964)</f>
        <v/>
      </c>
    </row>
    <row r="965">
      <c r="A965" s="145" t="n">
        <v>23</v>
      </c>
      <c r="B965" s="204">
        <f>EDATE($B964,1)</f>
        <v/>
      </c>
      <c r="C965" s="205">
        <f>EOMONTH($B965,0)</f>
        <v/>
      </c>
      <c r="D965" s="201">
        <f>$C965-$B965+1</f>
        <v/>
      </c>
      <c r="E965" s="201">
        <f>MONTH($B965)</f>
        <v/>
      </c>
      <c r="F965" s="235">
        <f>($B965+$C965+1)/2</f>
        <v/>
      </c>
      <c r="G965" s="201">
        <f>YEAR($B965)*12+MONTH($B965)-1</f>
        <v/>
      </c>
      <c r="H965" s="207">
        <f>IF(OR(nr_SeasonOn="OFF",$D$940=0,$E$940=0),1,12*INDEX(se_block,$D$940,$E965)/$E$940)</f>
        <v/>
      </c>
      <c r="I965" s="208">
        <f>EXP(SUMPRODUCT((rl_eff&lt;$B965)*(rl_key=$A$940)*rl_ln1p))</f>
        <v/>
      </c>
      <c r="J965" s="208">
        <f>EXP(SUMPRODUCT((rl_eff&lt;=$C965)*(rl_key=$A$940)*rl_ln1p))</f>
        <v/>
      </c>
      <c r="K965" s="201">
        <f>COUNTIFS(rl_key,$A$940,rl_eff,"&gt;="&amp;$B965,rl_eff,"&lt;="&amp;$C965)</f>
        <v/>
      </c>
      <c r="L965" s="201">
        <f>SUMIFS(rl_daysafter,rl_key,$A$940,rl_effmonth,$B965,rl_first,1)</f>
        <v/>
      </c>
      <c r="M965" s="209">
        <f>IF($K965=0,0,MIN(1,$L965/$D965))</f>
        <v/>
      </c>
      <c r="N965" s="208">
        <f>IF($K965=0,$J965,(1-$M965)*$I965+$M965*$J965)</f>
        <v/>
      </c>
      <c r="O965" s="209">
        <f>IF($F965&lt;$B$941,$E$941+$I$941*($F965-$A$941),IF($F965&lt;$C$941,$F$941+$J$941*($F965-$B$941),$G$941+$K$941*($F965-$C$941)))</f>
        <v/>
      </c>
      <c r="P965" s="208">
        <f>MIN(1,MAX(0,(nr_MEndPm1-$G965+0.5)/$C$940))-MIN(1,MAX(0,(nr_MStartPm1-1-$G965+0.5)/$C$940))</f>
        <v/>
      </c>
      <c r="Q965" s="208">
        <f>MIN(1,MAX(0,(nr_MEndP-$G965+0.5)/$C$940))-MIN(1,MAX(0,(nr_MStartP-1-$G965+0.5)/$C$940))</f>
        <v/>
      </c>
      <c r="R965" s="208">
        <f>MIN(1,MAX(0,(nr_MEndP1-$G965+0.5)/$C$940))-MIN(1,MAX(0,(nr_MStartP1-1-$G965+0.5)/$C$940))</f>
        <v/>
      </c>
      <c r="S965" s="208">
        <f>IF($L$940,$N965*IF($O$940=1,$O965/$F$940,1),"")</f>
        <v/>
      </c>
      <c r="T965" s="208">
        <f>IF(NOT($L$940),"",IF($G965&lt;nr_MStartP,$S965,$T953*(1+IF($G965&lt;nr_MStartP1,$M$940,$N$940))))</f>
        <v/>
      </c>
      <c r="U965" s="208">
        <f>IF($L$940,$T965,$N965)</f>
        <v/>
      </c>
    </row>
    <row r="966">
      <c r="A966" s="145" t="n">
        <v>24</v>
      </c>
      <c r="B966" s="204">
        <f>EDATE($B965,1)</f>
        <v/>
      </c>
      <c r="C966" s="205">
        <f>EOMONTH($B966,0)</f>
        <v/>
      </c>
      <c r="D966" s="201">
        <f>$C966-$B966+1</f>
        <v/>
      </c>
      <c r="E966" s="201">
        <f>MONTH($B966)</f>
        <v/>
      </c>
      <c r="F966" s="235">
        <f>($B966+$C966+1)/2</f>
        <v/>
      </c>
      <c r="G966" s="201">
        <f>YEAR($B966)*12+MONTH($B966)-1</f>
        <v/>
      </c>
      <c r="H966" s="207">
        <f>IF(OR(nr_SeasonOn="OFF",$D$940=0,$E$940=0),1,12*INDEX(se_block,$D$940,$E966)/$E$940)</f>
        <v/>
      </c>
      <c r="I966" s="208">
        <f>EXP(SUMPRODUCT((rl_eff&lt;$B966)*(rl_key=$A$940)*rl_ln1p))</f>
        <v/>
      </c>
      <c r="J966" s="208">
        <f>EXP(SUMPRODUCT((rl_eff&lt;=$C966)*(rl_key=$A$940)*rl_ln1p))</f>
        <v/>
      </c>
      <c r="K966" s="201">
        <f>COUNTIFS(rl_key,$A$940,rl_eff,"&gt;="&amp;$B966,rl_eff,"&lt;="&amp;$C966)</f>
        <v/>
      </c>
      <c r="L966" s="201">
        <f>SUMIFS(rl_daysafter,rl_key,$A$940,rl_effmonth,$B966,rl_first,1)</f>
        <v/>
      </c>
      <c r="M966" s="209">
        <f>IF($K966=0,0,MIN(1,$L966/$D966))</f>
        <v/>
      </c>
      <c r="N966" s="208">
        <f>IF($K966=0,$J966,(1-$M966)*$I966+$M966*$J966)</f>
        <v/>
      </c>
      <c r="O966" s="209">
        <f>IF($F966&lt;$B$941,$E$941+$I$941*($F966-$A$941),IF($F966&lt;$C$941,$F$941+$J$941*($F966-$B$941),$G$941+$K$941*($F966-$C$941)))</f>
        <v/>
      </c>
      <c r="P966" s="208">
        <f>MIN(1,MAX(0,(nr_MEndPm1-$G966+0.5)/$C$940))-MIN(1,MAX(0,(nr_MStartPm1-1-$G966+0.5)/$C$940))</f>
        <v/>
      </c>
      <c r="Q966" s="208">
        <f>MIN(1,MAX(0,(nr_MEndP-$G966+0.5)/$C$940))-MIN(1,MAX(0,(nr_MStartP-1-$G966+0.5)/$C$940))</f>
        <v/>
      </c>
      <c r="R966" s="208">
        <f>MIN(1,MAX(0,(nr_MEndP1-$G966+0.5)/$C$940))-MIN(1,MAX(0,(nr_MStartP1-1-$G966+0.5)/$C$940))</f>
        <v/>
      </c>
      <c r="S966" s="208">
        <f>IF($L$940,$N966*IF($O$940=1,$O966/$F$940,1),"")</f>
        <v/>
      </c>
      <c r="T966" s="208">
        <f>IF(NOT($L$940),"",IF($G966&lt;nr_MStartP,$S966,$T954*(1+IF($G966&lt;nr_MStartP1,$M$940,$N$940))))</f>
        <v/>
      </c>
      <c r="U966" s="208">
        <f>IF($L$940,$T966,$N966)</f>
        <v/>
      </c>
    </row>
    <row r="967">
      <c r="A967" s="145" t="n">
        <v>25</v>
      </c>
      <c r="B967" s="204">
        <f>EDATE($B966,1)</f>
        <v/>
      </c>
      <c r="C967" s="205">
        <f>EOMONTH($B967,0)</f>
        <v/>
      </c>
      <c r="D967" s="201">
        <f>$C967-$B967+1</f>
        <v/>
      </c>
      <c r="E967" s="201">
        <f>MONTH($B967)</f>
        <v/>
      </c>
      <c r="F967" s="235">
        <f>($B967+$C967+1)/2</f>
        <v/>
      </c>
      <c r="G967" s="201">
        <f>YEAR($B967)*12+MONTH($B967)-1</f>
        <v/>
      </c>
      <c r="H967" s="207">
        <f>IF(OR(nr_SeasonOn="OFF",$D$940=0,$E$940=0),1,12*INDEX(se_block,$D$940,$E967)/$E$940)</f>
        <v/>
      </c>
      <c r="I967" s="208">
        <f>EXP(SUMPRODUCT((rl_eff&lt;$B967)*(rl_key=$A$940)*rl_ln1p))</f>
        <v/>
      </c>
      <c r="J967" s="208">
        <f>EXP(SUMPRODUCT((rl_eff&lt;=$C967)*(rl_key=$A$940)*rl_ln1p))</f>
        <v/>
      </c>
      <c r="K967" s="201">
        <f>COUNTIFS(rl_key,$A$940,rl_eff,"&gt;="&amp;$B967,rl_eff,"&lt;="&amp;$C967)</f>
        <v/>
      </c>
      <c r="L967" s="201">
        <f>SUMIFS(rl_daysafter,rl_key,$A$940,rl_effmonth,$B967,rl_first,1)</f>
        <v/>
      </c>
      <c r="M967" s="209">
        <f>IF($K967=0,0,MIN(1,$L967/$D967))</f>
        <v/>
      </c>
      <c r="N967" s="208">
        <f>IF($K967=0,$J967,(1-$M967)*$I967+$M967*$J967)</f>
        <v/>
      </c>
      <c r="O967" s="209">
        <f>IF($F967&lt;$B$941,$E$941+$I$941*($F967-$A$941),IF($F967&lt;$C$941,$F$941+$J$941*($F967-$B$941),$G$941+$K$941*($F967-$C$941)))</f>
        <v/>
      </c>
      <c r="P967" s="208">
        <f>MIN(1,MAX(0,(nr_MEndPm1-$G967+0.5)/$C$940))-MIN(1,MAX(0,(nr_MStartPm1-1-$G967+0.5)/$C$940))</f>
        <v/>
      </c>
      <c r="Q967" s="208">
        <f>MIN(1,MAX(0,(nr_MEndP-$G967+0.5)/$C$940))-MIN(1,MAX(0,(nr_MStartP-1-$G967+0.5)/$C$940))</f>
        <v/>
      </c>
      <c r="R967" s="208">
        <f>MIN(1,MAX(0,(nr_MEndP1-$G967+0.5)/$C$940))-MIN(1,MAX(0,(nr_MStartP1-1-$G967+0.5)/$C$940))</f>
        <v/>
      </c>
      <c r="S967" s="208">
        <f>IF($L$940,$N967*IF($O$940=1,$O967/$F$940,1),"")</f>
        <v/>
      </c>
      <c r="T967" s="208">
        <f>IF(NOT($L$940),"",IF($G967&lt;nr_MStartP,$S967,$T955*(1+IF($G967&lt;nr_MStartP1,$M$940,$N$940))))</f>
        <v/>
      </c>
      <c r="U967" s="208">
        <f>IF($L$940,$T967,$N967)</f>
        <v/>
      </c>
    </row>
    <row r="968">
      <c r="A968" s="145" t="n">
        <v>26</v>
      </c>
      <c r="B968" s="204">
        <f>EDATE($B967,1)</f>
        <v/>
      </c>
      <c r="C968" s="205">
        <f>EOMONTH($B968,0)</f>
        <v/>
      </c>
      <c r="D968" s="201">
        <f>$C968-$B968+1</f>
        <v/>
      </c>
      <c r="E968" s="201">
        <f>MONTH($B968)</f>
        <v/>
      </c>
      <c r="F968" s="235">
        <f>($B968+$C968+1)/2</f>
        <v/>
      </c>
      <c r="G968" s="201">
        <f>YEAR($B968)*12+MONTH($B968)-1</f>
        <v/>
      </c>
      <c r="H968" s="207">
        <f>IF(OR(nr_SeasonOn="OFF",$D$940=0,$E$940=0),1,12*INDEX(se_block,$D$940,$E968)/$E$940)</f>
        <v/>
      </c>
      <c r="I968" s="208">
        <f>EXP(SUMPRODUCT((rl_eff&lt;$B968)*(rl_key=$A$940)*rl_ln1p))</f>
        <v/>
      </c>
      <c r="J968" s="208">
        <f>EXP(SUMPRODUCT((rl_eff&lt;=$C968)*(rl_key=$A$940)*rl_ln1p))</f>
        <v/>
      </c>
      <c r="K968" s="201">
        <f>COUNTIFS(rl_key,$A$940,rl_eff,"&gt;="&amp;$B968,rl_eff,"&lt;="&amp;$C968)</f>
        <v/>
      </c>
      <c r="L968" s="201">
        <f>SUMIFS(rl_daysafter,rl_key,$A$940,rl_effmonth,$B968,rl_first,1)</f>
        <v/>
      </c>
      <c r="M968" s="209">
        <f>IF($K968=0,0,MIN(1,$L968/$D968))</f>
        <v/>
      </c>
      <c r="N968" s="208">
        <f>IF($K968=0,$J968,(1-$M968)*$I968+$M968*$J968)</f>
        <v/>
      </c>
      <c r="O968" s="209">
        <f>IF($F968&lt;$B$941,$E$941+$I$941*($F968-$A$941),IF($F968&lt;$C$941,$F$941+$J$941*($F968-$B$941),$G$941+$K$941*($F968-$C$941)))</f>
        <v/>
      </c>
      <c r="P968" s="208">
        <f>MIN(1,MAX(0,(nr_MEndPm1-$G968+0.5)/$C$940))-MIN(1,MAX(0,(nr_MStartPm1-1-$G968+0.5)/$C$940))</f>
        <v/>
      </c>
      <c r="Q968" s="208">
        <f>MIN(1,MAX(0,(nr_MEndP-$G968+0.5)/$C$940))-MIN(1,MAX(0,(nr_MStartP-1-$G968+0.5)/$C$940))</f>
        <v/>
      </c>
      <c r="R968" s="208">
        <f>MIN(1,MAX(0,(nr_MEndP1-$G968+0.5)/$C$940))-MIN(1,MAX(0,(nr_MStartP1-1-$G968+0.5)/$C$940))</f>
        <v/>
      </c>
      <c r="S968" s="208">
        <f>IF($L$940,$N968*IF($O$940=1,$O968/$F$940,1),"")</f>
        <v/>
      </c>
      <c r="T968" s="208">
        <f>IF(NOT($L$940),"",IF($G968&lt;nr_MStartP,$S968,$T956*(1+IF($G968&lt;nr_MStartP1,$M$940,$N$940))))</f>
        <v/>
      </c>
      <c r="U968" s="208">
        <f>IF($L$940,$T968,$N968)</f>
        <v/>
      </c>
    </row>
    <row r="969">
      <c r="A969" s="145" t="n">
        <v>27</v>
      </c>
      <c r="B969" s="204">
        <f>EDATE($B968,1)</f>
        <v/>
      </c>
      <c r="C969" s="205">
        <f>EOMONTH($B969,0)</f>
        <v/>
      </c>
      <c r="D969" s="201">
        <f>$C969-$B969+1</f>
        <v/>
      </c>
      <c r="E969" s="201">
        <f>MONTH($B969)</f>
        <v/>
      </c>
      <c r="F969" s="235">
        <f>($B969+$C969+1)/2</f>
        <v/>
      </c>
      <c r="G969" s="201">
        <f>YEAR($B969)*12+MONTH($B969)-1</f>
        <v/>
      </c>
      <c r="H969" s="207">
        <f>IF(OR(nr_SeasonOn="OFF",$D$940=0,$E$940=0),1,12*INDEX(se_block,$D$940,$E969)/$E$940)</f>
        <v/>
      </c>
      <c r="I969" s="208">
        <f>EXP(SUMPRODUCT((rl_eff&lt;$B969)*(rl_key=$A$940)*rl_ln1p))</f>
        <v/>
      </c>
      <c r="J969" s="208">
        <f>EXP(SUMPRODUCT((rl_eff&lt;=$C969)*(rl_key=$A$940)*rl_ln1p))</f>
        <v/>
      </c>
      <c r="K969" s="201">
        <f>COUNTIFS(rl_key,$A$940,rl_eff,"&gt;="&amp;$B969,rl_eff,"&lt;="&amp;$C969)</f>
        <v/>
      </c>
      <c r="L969" s="201">
        <f>SUMIFS(rl_daysafter,rl_key,$A$940,rl_effmonth,$B969,rl_first,1)</f>
        <v/>
      </c>
      <c r="M969" s="209">
        <f>IF($K969=0,0,MIN(1,$L969/$D969))</f>
        <v/>
      </c>
      <c r="N969" s="208">
        <f>IF($K969=0,$J969,(1-$M969)*$I969+$M969*$J969)</f>
        <v/>
      </c>
      <c r="O969" s="209">
        <f>IF($F969&lt;$B$941,$E$941+$I$941*($F969-$A$941),IF($F969&lt;$C$941,$F$941+$J$941*($F969-$B$941),$G$941+$K$941*($F969-$C$941)))</f>
        <v/>
      </c>
      <c r="P969" s="208">
        <f>MIN(1,MAX(0,(nr_MEndPm1-$G969+0.5)/$C$940))-MIN(1,MAX(0,(nr_MStartPm1-1-$G969+0.5)/$C$940))</f>
        <v/>
      </c>
      <c r="Q969" s="208">
        <f>MIN(1,MAX(0,(nr_MEndP-$G969+0.5)/$C$940))-MIN(1,MAX(0,(nr_MStartP-1-$G969+0.5)/$C$940))</f>
        <v/>
      </c>
      <c r="R969" s="208">
        <f>MIN(1,MAX(0,(nr_MEndP1-$G969+0.5)/$C$940))-MIN(1,MAX(0,(nr_MStartP1-1-$G969+0.5)/$C$940))</f>
        <v/>
      </c>
      <c r="S969" s="208">
        <f>IF($L$940,$N969*IF($O$940=1,$O969/$F$940,1),"")</f>
        <v/>
      </c>
      <c r="T969" s="208">
        <f>IF(NOT($L$940),"",IF($G969&lt;nr_MStartP,$S969,$T957*(1+IF($G969&lt;nr_MStartP1,$M$940,$N$940))))</f>
        <v/>
      </c>
      <c r="U969" s="208">
        <f>IF($L$940,$T969,$N969)</f>
        <v/>
      </c>
    </row>
    <row r="970">
      <c r="A970" s="145" t="n">
        <v>28</v>
      </c>
      <c r="B970" s="204">
        <f>EDATE($B969,1)</f>
        <v/>
      </c>
      <c r="C970" s="205">
        <f>EOMONTH($B970,0)</f>
        <v/>
      </c>
      <c r="D970" s="201">
        <f>$C970-$B970+1</f>
        <v/>
      </c>
      <c r="E970" s="201">
        <f>MONTH($B970)</f>
        <v/>
      </c>
      <c r="F970" s="235">
        <f>($B970+$C970+1)/2</f>
        <v/>
      </c>
      <c r="G970" s="201">
        <f>YEAR($B970)*12+MONTH($B970)-1</f>
        <v/>
      </c>
      <c r="H970" s="207">
        <f>IF(OR(nr_SeasonOn="OFF",$D$940=0,$E$940=0),1,12*INDEX(se_block,$D$940,$E970)/$E$940)</f>
        <v/>
      </c>
      <c r="I970" s="208">
        <f>EXP(SUMPRODUCT((rl_eff&lt;$B970)*(rl_key=$A$940)*rl_ln1p))</f>
        <v/>
      </c>
      <c r="J970" s="208">
        <f>EXP(SUMPRODUCT((rl_eff&lt;=$C970)*(rl_key=$A$940)*rl_ln1p))</f>
        <v/>
      </c>
      <c r="K970" s="201">
        <f>COUNTIFS(rl_key,$A$940,rl_eff,"&gt;="&amp;$B970,rl_eff,"&lt;="&amp;$C970)</f>
        <v/>
      </c>
      <c r="L970" s="201">
        <f>SUMIFS(rl_daysafter,rl_key,$A$940,rl_effmonth,$B970,rl_first,1)</f>
        <v/>
      </c>
      <c r="M970" s="209">
        <f>IF($K970=0,0,MIN(1,$L970/$D970))</f>
        <v/>
      </c>
      <c r="N970" s="208">
        <f>IF($K970=0,$J970,(1-$M970)*$I970+$M970*$J970)</f>
        <v/>
      </c>
      <c r="O970" s="209">
        <f>IF($F970&lt;$B$941,$E$941+$I$941*($F970-$A$941),IF($F970&lt;$C$941,$F$941+$J$941*($F970-$B$941),$G$941+$K$941*($F970-$C$941)))</f>
        <v/>
      </c>
      <c r="P970" s="208">
        <f>MIN(1,MAX(0,(nr_MEndPm1-$G970+0.5)/$C$940))-MIN(1,MAX(0,(nr_MStartPm1-1-$G970+0.5)/$C$940))</f>
        <v/>
      </c>
      <c r="Q970" s="208">
        <f>MIN(1,MAX(0,(nr_MEndP-$G970+0.5)/$C$940))-MIN(1,MAX(0,(nr_MStartP-1-$G970+0.5)/$C$940))</f>
        <v/>
      </c>
      <c r="R970" s="208">
        <f>MIN(1,MAX(0,(nr_MEndP1-$G970+0.5)/$C$940))-MIN(1,MAX(0,(nr_MStartP1-1-$G970+0.5)/$C$940))</f>
        <v/>
      </c>
      <c r="S970" s="208">
        <f>IF($L$940,$N970*IF($O$940=1,$O970/$F$940,1),"")</f>
        <v/>
      </c>
      <c r="T970" s="208">
        <f>IF(NOT($L$940),"",IF($G970&lt;nr_MStartP,$S970,$T958*(1+IF($G970&lt;nr_MStartP1,$M$940,$N$940))))</f>
        <v/>
      </c>
      <c r="U970" s="208">
        <f>IF($L$940,$T970,$N970)</f>
        <v/>
      </c>
    </row>
    <row r="971">
      <c r="A971" s="145" t="n">
        <v>29</v>
      </c>
      <c r="B971" s="204">
        <f>EDATE($B970,1)</f>
        <v/>
      </c>
      <c r="C971" s="205">
        <f>EOMONTH($B971,0)</f>
        <v/>
      </c>
      <c r="D971" s="201">
        <f>$C971-$B971+1</f>
        <v/>
      </c>
      <c r="E971" s="201">
        <f>MONTH($B971)</f>
        <v/>
      </c>
      <c r="F971" s="235">
        <f>($B971+$C971+1)/2</f>
        <v/>
      </c>
      <c r="G971" s="201">
        <f>YEAR($B971)*12+MONTH($B971)-1</f>
        <v/>
      </c>
      <c r="H971" s="207">
        <f>IF(OR(nr_SeasonOn="OFF",$D$940=0,$E$940=0),1,12*INDEX(se_block,$D$940,$E971)/$E$940)</f>
        <v/>
      </c>
      <c r="I971" s="208">
        <f>EXP(SUMPRODUCT((rl_eff&lt;$B971)*(rl_key=$A$940)*rl_ln1p))</f>
        <v/>
      </c>
      <c r="J971" s="208">
        <f>EXP(SUMPRODUCT((rl_eff&lt;=$C971)*(rl_key=$A$940)*rl_ln1p))</f>
        <v/>
      </c>
      <c r="K971" s="201">
        <f>COUNTIFS(rl_key,$A$940,rl_eff,"&gt;="&amp;$B971,rl_eff,"&lt;="&amp;$C971)</f>
        <v/>
      </c>
      <c r="L971" s="201">
        <f>SUMIFS(rl_daysafter,rl_key,$A$940,rl_effmonth,$B971,rl_first,1)</f>
        <v/>
      </c>
      <c r="M971" s="209">
        <f>IF($K971=0,0,MIN(1,$L971/$D971))</f>
        <v/>
      </c>
      <c r="N971" s="208">
        <f>IF($K971=0,$J971,(1-$M971)*$I971+$M971*$J971)</f>
        <v/>
      </c>
      <c r="O971" s="209">
        <f>IF($F971&lt;$B$941,$E$941+$I$941*($F971-$A$941),IF($F971&lt;$C$941,$F$941+$J$941*($F971-$B$941),$G$941+$K$941*($F971-$C$941)))</f>
        <v/>
      </c>
      <c r="P971" s="208">
        <f>MIN(1,MAX(0,(nr_MEndPm1-$G971+0.5)/$C$940))-MIN(1,MAX(0,(nr_MStartPm1-1-$G971+0.5)/$C$940))</f>
        <v/>
      </c>
      <c r="Q971" s="208">
        <f>MIN(1,MAX(0,(nr_MEndP-$G971+0.5)/$C$940))-MIN(1,MAX(0,(nr_MStartP-1-$G971+0.5)/$C$940))</f>
        <v/>
      </c>
      <c r="R971" s="208">
        <f>MIN(1,MAX(0,(nr_MEndP1-$G971+0.5)/$C$940))-MIN(1,MAX(0,(nr_MStartP1-1-$G971+0.5)/$C$940))</f>
        <v/>
      </c>
      <c r="S971" s="208">
        <f>IF($L$940,$N971*IF($O$940=1,$O971/$F$940,1),"")</f>
        <v/>
      </c>
      <c r="T971" s="208">
        <f>IF(NOT($L$940),"",IF($G971&lt;nr_MStartP,$S971,$T959*(1+IF($G971&lt;nr_MStartP1,$M$940,$N$940))))</f>
        <v/>
      </c>
      <c r="U971" s="208">
        <f>IF($L$940,$T971,$N971)</f>
        <v/>
      </c>
    </row>
    <row r="972">
      <c r="A972" s="145" t="n">
        <v>30</v>
      </c>
      <c r="B972" s="204">
        <f>EDATE($B971,1)</f>
        <v/>
      </c>
      <c r="C972" s="205">
        <f>EOMONTH($B972,0)</f>
        <v/>
      </c>
      <c r="D972" s="201">
        <f>$C972-$B972+1</f>
        <v/>
      </c>
      <c r="E972" s="201">
        <f>MONTH($B972)</f>
        <v/>
      </c>
      <c r="F972" s="235">
        <f>($B972+$C972+1)/2</f>
        <v/>
      </c>
      <c r="G972" s="201">
        <f>YEAR($B972)*12+MONTH($B972)-1</f>
        <v/>
      </c>
      <c r="H972" s="207">
        <f>IF(OR(nr_SeasonOn="OFF",$D$940=0,$E$940=0),1,12*INDEX(se_block,$D$940,$E972)/$E$940)</f>
        <v/>
      </c>
      <c r="I972" s="208">
        <f>EXP(SUMPRODUCT((rl_eff&lt;$B972)*(rl_key=$A$940)*rl_ln1p))</f>
        <v/>
      </c>
      <c r="J972" s="208">
        <f>EXP(SUMPRODUCT((rl_eff&lt;=$C972)*(rl_key=$A$940)*rl_ln1p))</f>
        <v/>
      </c>
      <c r="K972" s="201">
        <f>COUNTIFS(rl_key,$A$940,rl_eff,"&gt;="&amp;$B972,rl_eff,"&lt;="&amp;$C972)</f>
        <v/>
      </c>
      <c r="L972" s="201">
        <f>SUMIFS(rl_daysafter,rl_key,$A$940,rl_effmonth,$B972,rl_first,1)</f>
        <v/>
      </c>
      <c r="M972" s="209">
        <f>IF($K972=0,0,MIN(1,$L972/$D972))</f>
        <v/>
      </c>
      <c r="N972" s="208">
        <f>IF($K972=0,$J972,(1-$M972)*$I972+$M972*$J972)</f>
        <v/>
      </c>
      <c r="O972" s="209">
        <f>IF($F972&lt;$B$941,$E$941+$I$941*($F972-$A$941),IF($F972&lt;$C$941,$F$941+$J$941*($F972-$B$941),$G$941+$K$941*($F972-$C$941)))</f>
        <v/>
      </c>
      <c r="P972" s="208">
        <f>MIN(1,MAX(0,(nr_MEndPm1-$G972+0.5)/$C$940))-MIN(1,MAX(0,(nr_MStartPm1-1-$G972+0.5)/$C$940))</f>
        <v/>
      </c>
      <c r="Q972" s="208">
        <f>MIN(1,MAX(0,(nr_MEndP-$G972+0.5)/$C$940))-MIN(1,MAX(0,(nr_MStartP-1-$G972+0.5)/$C$940))</f>
        <v/>
      </c>
      <c r="R972" s="208">
        <f>MIN(1,MAX(0,(nr_MEndP1-$G972+0.5)/$C$940))-MIN(1,MAX(0,(nr_MStartP1-1-$G972+0.5)/$C$940))</f>
        <v/>
      </c>
      <c r="S972" s="208">
        <f>IF($L$940,$N972*IF($O$940=1,$O972/$F$940,1),"")</f>
        <v/>
      </c>
      <c r="T972" s="208">
        <f>IF(NOT($L$940),"",IF($G972&lt;nr_MStartP,$S972,$T960*(1+IF($G972&lt;nr_MStartP1,$M$940,$N$940))))</f>
        <v/>
      </c>
      <c r="U972" s="208">
        <f>IF($L$940,$T972,$N972)</f>
        <v/>
      </c>
    </row>
    <row r="973">
      <c r="A973" s="145" t="n">
        <v>31</v>
      </c>
      <c r="B973" s="204">
        <f>EDATE($B972,1)</f>
        <v/>
      </c>
      <c r="C973" s="205">
        <f>EOMONTH($B973,0)</f>
        <v/>
      </c>
      <c r="D973" s="201">
        <f>$C973-$B973+1</f>
        <v/>
      </c>
      <c r="E973" s="201">
        <f>MONTH($B973)</f>
        <v/>
      </c>
      <c r="F973" s="235">
        <f>($B973+$C973+1)/2</f>
        <v/>
      </c>
      <c r="G973" s="201">
        <f>YEAR($B973)*12+MONTH($B973)-1</f>
        <v/>
      </c>
      <c r="H973" s="207">
        <f>IF(OR(nr_SeasonOn="OFF",$D$940=0,$E$940=0),1,12*INDEX(se_block,$D$940,$E973)/$E$940)</f>
        <v/>
      </c>
      <c r="I973" s="208">
        <f>EXP(SUMPRODUCT((rl_eff&lt;$B973)*(rl_key=$A$940)*rl_ln1p))</f>
        <v/>
      </c>
      <c r="J973" s="208">
        <f>EXP(SUMPRODUCT((rl_eff&lt;=$C973)*(rl_key=$A$940)*rl_ln1p))</f>
        <v/>
      </c>
      <c r="K973" s="201">
        <f>COUNTIFS(rl_key,$A$940,rl_eff,"&gt;="&amp;$B973,rl_eff,"&lt;="&amp;$C973)</f>
        <v/>
      </c>
      <c r="L973" s="201">
        <f>SUMIFS(rl_daysafter,rl_key,$A$940,rl_effmonth,$B973,rl_first,1)</f>
        <v/>
      </c>
      <c r="M973" s="209">
        <f>IF($K973=0,0,MIN(1,$L973/$D973))</f>
        <v/>
      </c>
      <c r="N973" s="208">
        <f>IF($K973=0,$J973,(1-$M973)*$I973+$M973*$J973)</f>
        <v/>
      </c>
      <c r="O973" s="209">
        <f>IF($F973&lt;$B$941,$E$941+$I$941*($F973-$A$941),IF($F973&lt;$C$941,$F$941+$J$941*($F973-$B$941),$G$941+$K$941*($F973-$C$941)))</f>
        <v/>
      </c>
      <c r="P973" s="208">
        <f>MIN(1,MAX(0,(nr_MEndPm1-$G973+0.5)/$C$940))-MIN(1,MAX(0,(nr_MStartPm1-1-$G973+0.5)/$C$940))</f>
        <v/>
      </c>
      <c r="Q973" s="208">
        <f>MIN(1,MAX(0,(nr_MEndP-$G973+0.5)/$C$940))-MIN(1,MAX(0,(nr_MStartP-1-$G973+0.5)/$C$940))</f>
        <v/>
      </c>
      <c r="R973" s="208">
        <f>MIN(1,MAX(0,(nr_MEndP1-$G973+0.5)/$C$940))-MIN(1,MAX(0,(nr_MStartP1-1-$G973+0.5)/$C$940))</f>
        <v/>
      </c>
      <c r="S973" s="208">
        <f>IF($L$940,$N973*IF($O$940=1,$O973/$F$940,1),"")</f>
        <v/>
      </c>
      <c r="T973" s="208">
        <f>IF(NOT($L$940),"",IF($G973&lt;nr_MStartP,$S973,$T961*(1+IF($G973&lt;nr_MStartP1,$M$940,$N$940))))</f>
        <v/>
      </c>
      <c r="U973" s="208">
        <f>IF($L$940,$T973,$N973)</f>
        <v/>
      </c>
    </row>
    <row r="974">
      <c r="A974" s="145" t="n">
        <v>32</v>
      </c>
      <c r="B974" s="204">
        <f>EDATE($B973,1)</f>
        <v/>
      </c>
      <c r="C974" s="205">
        <f>EOMONTH($B974,0)</f>
        <v/>
      </c>
      <c r="D974" s="201">
        <f>$C974-$B974+1</f>
        <v/>
      </c>
      <c r="E974" s="201">
        <f>MONTH($B974)</f>
        <v/>
      </c>
      <c r="F974" s="235">
        <f>($B974+$C974+1)/2</f>
        <v/>
      </c>
      <c r="G974" s="201">
        <f>YEAR($B974)*12+MONTH($B974)-1</f>
        <v/>
      </c>
      <c r="H974" s="207">
        <f>IF(OR(nr_SeasonOn="OFF",$D$940=0,$E$940=0),1,12*INDEX(se_block,$D$940,$E974)/$E$940)</f>
        <v/>
      </c>
      <c r="I974" s="208">
        <f>EXP(SUMPRODUCT((rl_eff&lt;$B974)*(rl_key=$A$940)*rl_ln1p))</f>
        <v/>
      </c>
      <c r="J974" s="208">
        <f>EXP(SUMPRODUCT((rl_eff&lt;=$C974)*(rl_key=$A$940)*rl_ln1p))</f>
        <v/>
      </c>
      <c r="K974" s="201">
        <f>COUNTIFS(rl_key,$A$940,rl_eff,"&gt;="&amp;$B974,rl_eff,"&lt;="&amp;$C974)</f>
        <v/>
      </c>
      <c r="L974" s="201">
        <f>SUMIFS(rl_daysafter,rl_key,$A$940,rl_effmonth,$B974,rl_first,1)</f>
        <v/>
      </c>
      <c r="M974" s="209">
        <f>IF($K974=0,0,MIN(1,$L974/$D974))</f>
        <v/>
      </c>
      <c r="N974" s="208">
        <f>IF($K974=0,$J974,(1-$M974)*$I974+$M974*$J974)</f>
        <v/>
      </c>
      <c r="O974" s="209">
        <f>IF($F974&lt;$B$941,$E$941+$I$941*($F974-$A$941),IF($F974&lt;$C$941,$F$941+$J$941*($F974-$B$941),$G$941+$K$941*($F974-$C$941)))</f>
        <v/>
      </c>
      <c r="P974" s="208">
        <f>MIN(1,MAX(0,(nr_MEndPm1-$G974+0.5)/$C$940))-MIN(1,MAX(0,(nr_MStartPm1-1-$G974+0.5)/$C$940))</f>
        <v/>
      </c>
      <c r="Q974" s="208">
        <f>MIN(1,MAX(0,(nr_MEndP-$G974+0.5)/$C$940))-MIN(1,MAX(0,(nr_MStartP-1-$G974+0.5)/$C$940))</f>
        <v/>
      </c>
      <c r="R974" s="208">
        <f>MIN(1,MAX(0,(nr_MEndP1-$G974+0.5)/$C$940))-MIN(1,MAX(0,(nr_MStartP1-1-$G974+0.5)/$C$940))</f>
        <v/>
      </c>
      <c r="S974" s="208">
        <f>IF($L$940,$N974*IF($O$940=1,$O974/$F$940,1),"")</f>
        <v/>
      </c>
      <c r="T974" s="208">
        <f>IF(NOT($L$940),"",IF($G974&lt;nr_MStartP,$S974,$T962*(1+IF($G974&lt;nr_MStartP1,$M$940,$N$940))))</f>
        <v/>
      </c>
      <c r="U974" s="208">
        <f>IF($L$940,$T974,$N974)</f>
        <v/>
      </c>
    </row>
    <row r="975">
      <c r="A975" s="145" t="n">
        <v>33</v>
      </c>
      <c r="B975" s="204">
        <f>EDATE($B974,1)</f>
        <v/>
      </c>
      <c r="C975" s="205">
        <f>EOMONTH($B975,0)</f>
        <v/>
      </c>
      <c r="D975" s="201">
        <f>$C975-$B975+1</f>
        <v/>
      </c>
      <c r="E975" s="201">
        <f>MONTH($B975)</f>
        <v/>
      </c>
      <c r="F975" s="235">
        <f>($B975+$C975+1)/2</f>
        <v/>
      </c>
      <c r="G975" s="201">
        <f>YEAR($B975)*12+MONTH($B975)-1</f>
        <v/>
      </c>
      <c r="H975" s="207">
        <f>IF(OR(nr_SeasonOn="OFF",$D$940=0,$E$940=0),1,12*INDEX(se_block,$D$940,$E975)/$E$940)</f>
        <v/>
      </c>
      <c r="I975" s="208">
        <f>EXP(SUMPRODUCT((rl_eff&lt;$B975)*(rl_key=$A$940)*rl_ln1p))</f>
        <v/>
      </c>
      <c r="J975" s="208">
        <f>EXP(SUMPRODUCT((rl_eff&lt;=$C975)*(rl_key=$A$940)*rl_ln1p))</f>
        <v/>
      </c>
      <c r="K975" s="201">
        <f>COUNTIFS(rl_key,$A$940,rl_eff,"&gt;="&amp;$B975,rl_eff,"&lt;="&amp;$C975)</f>
        <v/>
      </c>
      <c r="L975" s="201">
        <f>SUMIFS(rl_daysafter,rl_key,$A$940,rl_effmonth,$B975,rl_first,1)</f>
        <v/>
      </c>
      <c r="M975" s="209">
        <f>IF($K975=0,0,MIN(1,$L975/$D975))</f>
        <v/>
      </c>
      <c r="N975" s="208">
        <f>IF($K975=0,$J975,(1-$M975)*$I975+$M975*$J975)</f>
        <v/>
      </c>
      <c r="O975" s="209">
        <f>IF($F975&lt;$B$941,$E$941+$I$941*($F975-$A$941),IF($F975&lt;$C$941,$F$941+$J$941*($F975-$B$941),$G$941+$K$941*($F975-$C$941)))</f>
        <v/>
      </c>
      <c r="P975" s="208">
        <f>MIN(1,MAX(0,(nr_MEndPm1-$G975+0.5)/$C$940))-MIN(1,MAX(0,(nr_MStartPm1-1-$G975+0.5)/$C$940))</f>
        <v/>
      </c>
      <c r="Q975" s="208">
        <f>MIN(1,MAX(0,(nr_MEndP-$G975+0.5)/$C$940))-MIN(1,MAX(0,(nr_MStartP-1-$G975+0.5)/$C$940))</f>
        <v/>
      </c>
      <c r="R975" s="208">
        <f>MIN(1,MAX(0,(nr_MEndP1-$G975+0.5)/$C$940))-MIN(1,MAX(0,(nr_MStartP1-1-$G975+0.5)/$C$940))</f>
        <v/>
      </c>
      <c r="S975" s="208">
        <f>IF($L$940,$N975*IF($O$940=1,$O975/$F$940,1),"")</f>
        <v/>
      </c>
      <c r="T975" s="208">
        <f>IF(NOT($L$940),"",IF($G975&lt;nr_MStartP,$S975,$T963*(1+IF($G975&lt;nr_MStartP1,$M$940,$N$940))))</f>
        <v/>
      </c>
      <c r="U975" s="208">
        <f>IF($L$940,$T975,$N975)</f>
        <v/>
      </c>
    </row>
    <row r="976">
      <c r="A976" s="145" t="n">
        <v>34</v>
      </c>
      <c r="B976" s="204">
        <f>EDATE($B975,1)</f>
        <v/>
      </c>
      <c r="C976" s="205">
        <f>EOMONTH($B976,0)</f>
        <v/>
      </c>
      <c r="D976" s="201">
        <f>$C976-$B976+1</f>
        <v/>
      </c>
      <c r="E976" s="201">
        <f>MONTH($B976)</f>
        <v/>
      </c>
      <c r="F976" s="235">
        <f>($B976+$C976+1)/2</f>
        <v/>
      </c>
      <c r="G976" s="201">
        <f>YEAR($B976)*12+MONTH($B976)-1</f>
        <v/>
      </c>
      <c r="H976" s="207">
        <f>IF(OR(nr_SeasonOn="OFF",$D$940=0,$E$940=0),1,12*INDEX(se_block,$D$940,$E976)/$E$940)</f>
        <v/>
      </c>
      <c r="I976" s="208">
        <f>EXP(SUMPRODUCT((rl_eff&lt;$B976)*(rl_key=$A$940)*rl_ln1p))</f>
        <v/>
      </c>
      <c r="J976" s="208">
        <f>EXP(SUMPRODUCT((rl_eff&lt;=$C976)*(rl_key=$A$940)*rl_ln1p))</f>
        <v/>
      </c>
      <c r="K976" s="201">
        <f>COUNTIFS(rl_key,$A$940,rl_eff,"&gt;="&amp;$B976,rl_eff,"&lt;="&amp;$C976)</f>
        <v/>
      </c>
      <c r="L976" s="201">
        <f>SUMIFS(rl_daysafter,rl_key,$A$940,rl_effmonth,$B976,rl_first,1)</f>
        <v/>
      </c>
      <c r="M976" s="209">
        <f>IF($K976=0,0,MIN(1,$L976/$D976))</f>
        <v/>
      </c>
      <c r="N976" s="208">
        <f>IF($K976=0,$J976,(1-$M976)*$I976+$M976*$J976)</f>
        <v/>
      </c>
      <c r="O976" s="209">
        <f>IF($F976&lt;$B$941,$E$941+$I$941*($F976-$A$941),IF($F976&lt;$C$941,$F$941+$J$941*($F976-$B$941),$G$941+$K$941*($F976-$C$941)))</f>
        <v/>
      </c>
      <c r="P976" s="208">
        <f>MIN(1,MAX(0,(nr_MEndPm1-$G976+0.5)/$C$940))-MIN(1,MAX(0,(nr_MStartPm1-1-$G976+0.5)/$C$940))</f>
        <v/>
      </c>
      <c r="Q976" s="208">
        <f>MIN(1,MAX(0,(nr_MEndP-$G976+0.5)/$C$940))-MIN(1,MAX(0,(nr_MStartP-1-$G976+0.5)/$C$940))</f>
        <v/>
      </c>
      <c r="R976" s="208">
        <f>MIN(1,MAX(0,(nr_MEndP1-$G976+0.5)/$C$940))-MIN(1,MAX(0,(nr_MStartP1-1-$G976+0.5)/$C$940))</f>
        <v/>
      </c>
      <c r="S976" s="208">
        <f>IF($L$940,$N976*IF($O$940=1,$O976/$F$940,1),"")</f>
        <v/>
      </c>
      <c r="T976" s="208">
        <f>IF(NOT($L$940),"",IF($G976&lt;nr_MStartP,$S976,$T964*(1+IF($G976&lt;nr_MStartP1,$M$940,$N$940))))</f>
        <v/>
      </c>
      <c r="U976" s="208">
        <f>IF($L$940,$T976,$N976)</f>
        <v/>
      </c>
    </row>
    <row r="977">
      <c r="A977" s="145" t="n">
        <v>35</v>
      </c>
      <c r="B977" s="204">
        <f>EDATE($B976,1)</f>
        <v/>
      </c>
      <c r="C977" s="205">
        <f>EOMONTH($B977,0)</f>
        <v/>
      </c>
      <c r="D977" s="201">
        <f>$C977-$B977+1</f>
        <v/>
      </c>
      <c r="E977" s="201">
        <f>MONTH($B977)</f>
        <v/>
      </c>
      <c r="F977" s="235">
        <f>($B977+$C977+1)/2</f>
        <v/>
      </c>
      <c r="G977" s="201">
        <f>YEAR($B977)*12+MONTH($B977)-1</f>
        <v/>
      </c>
      <c r="H977" s="207">
        <f>IF(OR(nr_SeasonOn="OFF",$D$940=0,$E$940=0),1,12*INDEX(se_block,$D$940,$E977)/$E$940)</f>
        <v/>
      </c>
      <c r="I977" s="208">
        <f>EXP(SUMPRODUCT((rl_eff&lt;$B977)*(rl_key=$A$940)*rl_ln1p))</f>
        <v/>
      </c>
      <c r="J977" s="208">
        <f>EXP(SUMPRODUCT((rl_eff&lt;=$C977)*(rl_key=$A$940)*rl_ln1p))</f>
        <v/>
      </c>
      <c r="K977" s="201">
        <f>COUNTIFS(rl_key,$A$940,rl_eff,"&gt;="&amp;$B977,rl_eff,"&lt;="&amp;$C977)</f>
        <v/>
      </c>
      <c r="L977" s="201">
        <f>SUMIFS(rl_daysafter,rl_key,$A$940,rl_effmonth,$B977,rl_first,1)</f>
        <v/>
      </c>
      <c r="M977" s="209">
        <f>IF($K977=0,0,MIN(1,$L977/$D977))</f>
        <v/>
      </c>
      <c r="N977" s="208">
        <f>IF($K977=0,$J977,(1-$M977)*$I977+$M977*$J977)</f>
        <v/>
      </c>
      <c r="O977" s="209">
        <f>IF($F977&lt;$B$941,$E$941+$I$941*($F977-$A$941),IF($F977&lt;$C$941,$F$941+$J$941*($F977-$B$941),$G$941+$K$941*($F977-$C$941)))</f>
        <v/>
      </c>
      <c r="P977" s="208">
        <f>MIN(1,MAX(0,(nr_MEndPm1-$G977+0.5)/$C$940))-MIN(1,MAX(0,(nr_MStartPm1-1-$G977+0.5)/$C$940))</f>
        <v/>
      </c>
      <c r="Q977" s="208">
        <f>MIN(1,MAX(0,(nr_MEndP-$G977+0.5)/$C$940))-MIN(1,MAX(0,(nr_MStartP-1-$G977+0.5)/$C$940))</f>
        <v/>
      </c>
      <c r="R977" s="208">
        <f>MIN(1,MAX(0,(nr_MEndP1-$G977+0.5)/$C$940))-MIN(1,MAX(0,(nr_MStartP1-1-$G977+0.5)/$C$940))</f>
        <v/>
      </c>
      <c r="S977" s="208">
        <f>IF($L$940,$N977*IF($O$940=1,$O977/$F$940,1),"")</f>
        <v/>
      </c>
      <c r="T977" s="208">
        <f>IF(NOT($L$940),"",IF($G977&lt;nr_MStartP,$S977,$T965*(1+IF($G977&lt;nr_MStartP1,$M$940,$N$940))))</f>
        <v/>
      </c>
      <c r="U977" s="208">
        <f>IF($L$940,$T977,$N977)</f>
        <v/>
      </c>
    </row>
    <row r="978">
      <c r="A978" s="145" t="n">
        <v>36</v>
      </c>
      <c r="B978" s="204">
        <f>EDATE($B977,1)</f>
        <v/>
      </c>
      <c r="C978" s="205">
        <f>EOMONTH($B978,0)</f>
        <v/>
      </c>
      <c r="D978" s="201">
        <f>$C978-$B978+1</f>
        <v/>
      </c>
      <c r="E978" s="201">
        <f>MONTH($B978)</f>
        <v/>
      </c>
      <c r="F978" s="235">
        <f>($B978+$C978+1)/2</f>
        <v/>
      </c>
      <c r="G978" s="201">
        <f>YEAR($B978)*12+MONTH($B978)-1</f>
        <v/>
      </c>
      <c r="H978" s="207">
        <f>IF(OR(nr_SeasonOn="OFF",$D$940=0,$E$940=0),1,12*INDEX(se_block,$D$940,$E978)/$E$940)</f>
        <v/>
      </c>
      <c r="I978" s="208">
        <f>EXP(SUMPRODUCT((rl_eff&lt;$B978)*(rl_key=$A$940)*rl_ln1p))</f>
        <v/>
      </c>
      <c r="J978" s="208">
        <f>EXP(SUMPRODUCT((rl_eff&lt;=$C978)*(rl_key=$A$940)*rl_ln1p))</f>
        <v/>
      </c>
      <c r="K978" s="201">
        <f>COUNTIFS(rl_key,$A$940,rl_eff,"&gt;="&amp;$B978,rl_eff,"&lt;="&amp;$C978)</f>
        <v/>
      </c>
      <c r="L978" s="201">
        <f>SUMIFS(rl_daysafter,rl_key,$A$940,rl_effmonth,$B978,rl_first,1)</f>
        <v/>
      </c>
      <c r="M978" s="209">
        <f>IF($K978=0,0,MIN(1,$L978/$D978))</f>
        <v/>
      </c>
      <c r="N978" s="208">
        <f>IF($K978=0,$J978,(1-$M978)*$I978+$M978*$J978)</f>
        <v/>
      </c>
      <c r="O978" s="209">
        <f>IF($F978&lt;$B$941,$E$941+$I$941*($F978-$A$941),IF($F978&lt;$C$941,$F$941+$J$941*($F978-$B$941),$G$941+$K$941*($F978-$C$941)))</f>
        <v/>
      </c>
      <c r="P978" s="208">
        <f>MIN(1,MAX(0,(nr_MEndPm1-$G978+0.5)/$C$940))-MIN(1,MAX(0,(nr_MStartPm1-1-$G978+0.5)/$C$940))</f>
        <v/>
      </c>
      <c r="Q978" s="208">
        <f>MIN(1,MAX(0,(nr_MEndP-$G978+0.5)/$C$940))-MIN(1,MAX(0,(nr_MStartP-1-$G978+0.5)/$C$940))</f>
        <v/>
      </c>
      <c r="R978" s="208">
        <f>MIN(1,MAX(0,(nr_MEndP1-$G978+0.5)/$C$940))-MIN(1,MAX(0,(nr_MStartP1-1-$G978+0.5)/$C$940))</f>
        <v/>
      </c>
      <c r="S978" s="208">
        <f>IF($L$940,$N978*IF($O$940=1,$O978/$F$940,1),"")</f>
        <v/>
      </c>
      <c r="T978" s="208">
        <f>IF(NOT($L$940),"",IF($G978&lt;nr_MStartP,$S978,$T966*(1+IF($G978&lt;nr_MStartP1,$M$940,$N$940))))</f>
        <v/>
      </c>
      <c r="U978" s="208">
        <f>IF($L$940,$T978,$N978)</f>
        <v/>
      </c>
    </row>
    <row r="979">
      <c r="A979" s="145" t="n">
        <v>37</v>
      </c>
      <c r="B979" s="204">
        <f>EDATE($B978,1)</f>
        <v/>
      </c>
      <c r="C979" s="205">
        <f>EOMONTH($B979,0)</f>
        <v/>
      </c>
      <c r="D979" s="201">
        <f>$C979-$B979+1</f>
        <v/>
      </c>
      <c r="E979" s="201">
        <f>MONTH($B979)</f>
        <v/>
      </c>
      <c r="F979" s="235">
        <f>($B979+$C979+1)/2</f>
        <v/>
      </c>
      <c r="G979" s="201">
        <f>YEAR($B979)*12+MONTH($B979)-1</f>
        <v/>
      </c>
      <c r="H979" s="207">
        <f>IF(OR(nr_SeasonOn="OFF",$D$940=0,$E$940=0),1,12*INDEX(se_block,$D$940,$E979)/$E$940)</f>
        <v/>
      </c>
      <c r="I979" s="208">
        <f>EXP(SUMPRODUCT((rl_eff&lt;$B979)*(rl_key=$A$940)*rl_ln1p))</f>
        <v/>
      </c>
      <c r="J979" s="208">
        <f>EXP(SUMPRODUCT((rl_eff&lt;=$C979)*(rl_key=$A$940)*rl_ln1p))</f>
        <v/>
      </c>
      <c r="K979" s="201">
        <f>COUNTIFS(rl_key,$A$940,rl_eff,"&gt;="&amp;$B979,rl_eff,"&lt;="&amp;$C979)</f>
        <v/>
      </c>
      <c r="L979" s="201">
        <f>SUMIFS(rl_daysafter,rl_key,$A$940,rl_effmonth,$B979,rl_first,1)</f>
        <v/>
      </c>
      <c r="M979" s="209">
        <f>IF($K979=0,0,MIN(1,$L979/$D979))</f>
        <v/>
      </c>
      <c r="N979" s="208">
        <f>IF($K979=0,$J979,(1-$M979)*$I979+$M979*$J979)</f>
        <v/>
      </c>
      <c r="O979" s="209">
        <f>IF($F979&lt;$B$941,$E$941+$I$941*($F979-$A$941),IF($F979&lt;$C$941,$F$941+$J$941*($F979-$B$941),$G$941+$K$941*($F979-$C$941)))</f>
        <v/>
      </c>
      <c r="P979" s="208">
        <f>MIN(1,MAX(0,(nr_MEndPm1-$G979+0.5)/$C$940))-MIN(1,MAX(0,(nr_MStartPm1-1-$G979+0.5)/$C$940))</f>
        <v/>
      </c>
      <c r="Q979" s="208">
        <f>MIN(1,MAX(0,(nr_MEndP-$G979+0.5)/$C$940))-MIN(1,MAX(0,(nr_MStartP-1-$G979+0.5)/$C$940))</f>
        <v/>
      </c>
      <c r="R979" s="208">
        <f>MIN(1,MAX(0,(nr_MEndP1-$G979+0.5)/$C$940))-MIN(1,MAX(0,(nr_MStartP1-1-$G979+0.5)/$C$940))</f>
        <v/>
      </c>
      <c r="S979" s="208">
        <f>IF($L$940,$N979*IF($O$940=1,$O979/$F$940,1),"")</f>
        <v/>
      </c>
      <c r="T979" s="208">
        <f>IF(NOT($L$940),"",IF($G979&lt;nr_MStartP,$S979,$T967*(1+IF($G979&lt;nr_MStartP1,$M$940,$N$940))))</f>
        <v/>
      </c>
      <c r="U979" s="208">
        <f>IF($L$940,$T979,$N979)</f>
        <v/>
      </c>
    </row>
    <row r="980">
      <c r="A980" s="145" t="n">
        <v>38</v>
      </c>
      <c r="B980" s="204">
        <f>EDATE($B979,1)</f>
        <v/>
      </c>
      <c r="C980" s="205">
        <f>EOMONTH($B980,0)</f>
        <v/>
      </c>
      <c r="D980" s="201">
        <f>$C980-$B980+1</f>
        <v/>
      </c>
      <c r="E980" s="201">
        <f>MONTH($B980)</f>
        <v/>
      </c>
      <c r="F980" s="235">
        <f>($B980+$C980+1)/2</f>
        <v/>
      </c>
      <c r="G980" s="201">
        <f>YEAR($B980)*12+MONTH($B980)-1</f>
        <v/>
      </c>
      <c r="H980" s="207">
        <f>IF(OR(nr_SeasonOn="OFF",$D$940=0,$E$940=0),1,12*INDEX(se_block,$D$940,$E980)/$E$940)</f>
        <v/>
      </c>
      <c r="I980" s="208">
        <f>EXP(SUMPRODUCT((rl_eff&lt;$B980)*(rl_key=$A$940)*rl_ln1p))</f>
        <v/>
      </c>
      <c r="J980" s="208">
        <f>EXP(SUMPRODUCT((rl_eff&lt;=$C980)*(rl_key=$A$940)*rl_ln1p))</f>
        <v/>
      </c>
      <c r="K980" s="201">
        <f>COUNTIFS(rl_key,$A$940,rl_eff,"&gt;="&amp;$B980,rl_eff,"&lt;="&amp;$C980)</f>
        <v/>
      </c>
      <c r="L980" s="201">
        <f>SUMIFS(rl_daysafter,rl_key,$A$940,rl_effmonth,$B980,rl_first,1)</f>
        <v/>
      </c>
      <c r="M980" s="209">
        <f>IF($K980=0,0,MIN(1,$L980/$D980))</f>
        <v/>
      </c>
      <c r="N980" s="208">
        <f>IF($K980=0,$J980,(1-$M980)*$I980+$M980*$J980)</f>
        <v/>
      </c>
      <c r="O980" s="209">
        <f>IF($F980&lt;$B$941,$E$941+$I$941*($F980-$A$941),IF($F980&lt;$C$941,$F$941+$J$941*($F980-$B$941),$G$941+$K$941*($F980-$C$941)))</f>
        <v/>
      </c>
      <c r="P980" s="208">
        <f>MIN(1,MAX(0,(nr_MEndPm1-$G980+0.5)/$C$940))-MIN(1,MAX(0,(nr_MStartPm1-1-$G980+0.5)/$C$940))</f>
        <v/>
      </c>
      <c r="Q980" s="208">
        <f>MIN(1,MAX(0,(nr_MEndP-$G980+0.5)/$C$940))-MIN(1,MAX(0,(nr_MStartP-1-$G980+0.5)/$C$940))</f>
        <v/>
      </c>
      <c r="R980" s="208">
        <f>MIN(1,MAX(0,(nr_MEndP1-$G980+0.5)/$C$940))-MIN(1,MAX(0,(nr_MStartP1-1-$G980+0.5)/$C$940))</f>
        <v/>
      </c>
      <c r="S980" s="208">
        <f>IF($L$940,$N980*IF($O$940=1,$O980/$F$940,1),"")</f>
        <v/>
      </c>
      <c r="T980" s="208">
        <f>IF(NOT($L$940),"",IF($G980&lt;nr_MStartP,$S980,$T968*(1+IF($G980&lt;nr_MStartP1,$M$940,$N$940))))</f>
        <v/>
      </c>
      <c r="U980" s="208">
        <f>IF($L$940,$T980,$N980)</f>
        <v/>
      </c>
    </row>
    <row r="981">
      <c r="A981" s="145" t="n">
        <v>39</v>
      </c>
      <c r="B981" s="204">
        <f>EDATE($B980,1)</f>
        <v/>
      </c>
      <c r="C981" s="205">
        <f>EOMONTH($B981,0)</f>
        <v/>
      </c>
      <c r="D981" s="201">
        <f>$C981-$B981+1</f>
        <v/>
      </c>
      <c r="E981" s="201">
        <f>MONTH($B981)</f>
        <v/>
      </c>
      <c r="F981" s="235">
        <f>($B981+$C981+1)/2</f>
        <v/>
      </c>
      <c r="G981" s="201">
        <f>YEAR($B981)*12+MONTH($B981)-1</f>
        <v/>
      </c>
      <c r="H981" s="207">
        <f>IF(OR(nr_SeasonOn="OFF",$D$940=0,$E$940=0),1,12*INDEX(se_block,$D$940,$E981)/$E$940)</f>
        <v/>
      </c>
      <c r="I981" s="208">
        <f>EXP(SUMPRODUCT((rl_eff&lt;$B981)*(rl_key=$A$940)*rl_ln1p))</f>
        <v/>
      </c>
      <c r="J981" s="208">
        <f>EXP(SUMPRODUCT((rl_eff&lt;=$C981)*(rl_key=$A$940)*rl_ln1p))</f>
        <v/>
      </c>
      <c r="K981" s="201">
        <f>COUNTIFS(rl_key,$A$940,rl_eff,"&gt;="&amp;$B981,rl_eff,"&lt;="&amp;$C981)</f>
        <v/>
      </c>
      <c r="L981" s="201">
        <f>SUMIFS(rl_daysafter,rl_key,$A$940,rl_effmonth,$B981,rl_first,1)</f>
        <v/>
      </c>
      <c r="M981" s="209">
        <f>IF($K981=0,0,MIN(1,$L981/$D981))</f>
        <v/>
      </c>
      <c r="N981" s="208">
        <f>IF($K981=0,$J981,(1-$M981)*$I981+$M981*$J981)</f>
        <v/>
      </c>
      <c r="O981" s="209">
        <f>IF($F981&lt;$B$941,$E$941+$I$941*($F981-$A$941),IF($F981&lt;$C$941,$F$941+$J$941*($F981-$B$941),$G$941+$K$941*($F981-$C$941)))</f>
        <v/>
      </c>
      <c r="P981" s="208">
        <f>MIN(1,MAX(0,(nr_MEndPm1-$G981+0.5)/$C$940))-MIN(1,MAX(0,(nr_MStartPm1-1-$G981+0.5)/$C$940))</f>
        <v/>
      </c>
      <c r="Q981" s="208">
        <f>MIN(1,MAX(0,(nr_MEndP-$G981+0.5)/$C$940))-MIN(1,MAX(0,(nr_MStartP-1-$G981+0.5)/$C$940))</f>
        <v/>
      </c>
      <c r="R981" s="208">
        <f>MIN(1,MAX(0,(nr_MEndP1-$G981+0.5)/$C$940))-MIN(1,MAX(0,(nr_MStartP1-1-$G981+0.5)/$C$940))</f>
        <v/>
      </c>
      <c r="S981" s="208">
        <f>IF($L$940,$N981*IF($O$940=1,$O981/$F$940,1),"")</f>
        <v/>
      </c>
      <c r="T981" s="208">
        <f>IF(NOT($L$940),"",IF($G981&lt;nr_MStartP,$S981,$T969*(1+IF($G981&lt;nr_MStartP1,$M$940,$N$940))))</f>
        <v/>
      </c>
      <c r="U981" s="208">
        <f>IF($L$940,$T981,$N981)</f>
        <v/>
      </c>
    </row>
    <row r="982">
      <c r="A982" s="145" t="n">
        <v>40</v>
      </c>
      <c r="B982" s="204">
        <f>EDATE($B981,1)</f>
        <v/>
      </c>
      <c r="C982" s="205">
        <f>EOMONTH($B982,0)</f>
        <v/>
      </c>
      <c r="D982" s="201">
        <f>$C982-$B982+1</f>
        <v/>
      </c>
      <c r="E982" s="201">
        <f>MONTH($B982)</f>
        <v/>
      </c>
      <c r="F982" s="235">
        <f>($B982+$C982+1)/2</f>
        <v/>
      </c>
      <c r="G982" s="201">
        <f>YEAR($B982)*12+MONTH($B982)-1</f>
        <v/>
      </c>
      <c r="H982" s="207">
        <f>IF(OR(nr_SeasonOn="OFF",$D$940=0,$E$940=0),1,12*INDEX(se_block,$D$940,$E982)/$E$940)</f>
        <v/>
      </c>
      <c r="I982" s="208">
        <f>EXP(SUMPRODUCT((rl_eff&lt;$B982)*(rl_key=$A$940)*rl_ln1p))</f>
        <v/>
      </c>
      <c r="J982" s="208">
        <f>EXP(SUMPRODUCT((rl_eff&lt;=$C982)*(rl_key=$A$940)*rl_ln1p))</f>
        <v/>
      </c>
      <c r="K982" s="201">
        <f>COUNTIFS(rl_key,$A$940,rl_eff,"&gt;="&amp;$B982,rl_eff,"&lt;="&amp;$C982)</f>
        <v/>
      </c>
      <c r="L982" s="201">
        <f>SUMIFS(rl_daysafter,rl_key,$A$940,rl_effmonth,$B982,rl_first,1)</f>
        <v/>
      </c>
      <c r="M982" s="209">
        <f>IF($K982=0,0,MIN(1,$L982/$D982))</f>
        <v/>
      </c>
      <c r="N982" s="208">
        <f>IF($K982=0,$J982,(1-$M982)*$I982+$M982*$J982)</f>
        <v/>
      </c>
      <c r="O982" s="209">
        <f>IF($F982&lt;$B$941,$E$941+$I$941*($F982-$A$941),IF($F982&lt;$C$941,$F$941+$J$941*($F982-$B$941),$G$941+$K$941*($F982-$C$941)))</f>
        <v/>
      </c>
      <c r="P982" s="208">
        <f>MIN(1,MAX(0,(nr_MEndPm1-$G982+0.5)/$C$940))-MIN(1,MAX(0,(nr_MStartPm1-1-$G982+0.5)/$C$940))</f>
        <v/>
      </c>
      <c r="Q982" s="208">
        <f>MIN(1,MAX(0,(nr_MEndP-$G982+0.5)/$C$940))-MIN(1,MAX(0,(nr_MStartP-1-$G982+0.5)/$C$940))</f>
        <v/>
      </c>
      <c r="R982" s="208">
        <f>MIN(1,MAX(0,(nr_MEndP1-$G982+0.5)/$C$940))-MIN(1,MAX(0,(nr_MStartP1-1-$G982+0.5)/$C$940))</f>
        <v/>
      </c>
      <c r="S982" s="208">
        <f>IF($L$940,$N982*IF($O$940=1,$O982/$F$940,1),"")</f>
        <v/>
      </c>
      <c r="T982" s="208">
        <f>IF(NOT($L$940),"",IF($G982&lt;nr_MStartP,$S982,$T970*(1+IF($G982&lt;nr_MStartP1,$M$940,$N$940))))</f>
        <v/>
      </c>
      <c r="U982" s="208">
        <f>IF($L$940,$T982,$N982)</f>
        <v/>
      </c>
    </row>
    <row r="983">
      <c r="A983" s="145" t="n">
        <v>41</v>
      </c>
      <c r="B983" s="204">
        <f>EDATE($B982,1)</f>
        <v/>
      </c>
      <c r="C983" s="205">
        <f>EOMONTH($B983,0)</f>
        <v/>
      </c>
      <c r="D983" s="201">
        <f>$C983-$B983+1</f>
        <v/>
      </c>
      <c r="E983" s="201">
        <f>MONTH($B983)</f>
        <v/>
      </c>
      <c r="F983" s="235">
        <f>($B983+$C983+1)/2</f>
        <v/>
      </c>
      <c r="G983" s="201">
        <f>YEAR($B983)*12+MONTH($B983)-1</f>
        <v/>
      </c>
      <c r="H983" s="207">
        <f>IF(OR(nr_SeasonOn="OFF",$D$940=0,$E$940=0),1,12*INDEX(se_block,$D$940,$E983)/$E$940)</f>
        <v/>
      </c>
      <c r="I983" s="208">
        <f>EXP(SUMPRODUCT((rl_eff&lt;$B983)*(rl_key=$A$940)*rl_ln1p))</f>
        <v/>
      </c>
      <c r="J983" s="208">
        <f>EXP(SUMPRODUCT((rl_eff&lt;=$C983)*(rl_key=$A$940)*rl_ln1p))</f>
        <v/>
      </c>
      <c r="K983" s="201">
        <f>COUNTIFS(rl_key,$A$940,rl_eff,"&gt;="&amp;$B983,rl_eff,"&lt;="&amp;$C983)</f>
        <v/>
      </c>
      <c r="L983" s="201">
        <f>SUMIFS(rl_daysafter,rl_key,$A$940,rl_effmonth,$B983,rl_first,1)</f>
        <v/>
      </c>
      <c r="M983" s="209">
        <f>IF($K983=0,0,MIN(1,$L983/$D983))</f>
        <v/>
      </c>
      <c r="N983" s="208">
        <f>IF($K983=0,$J983,(1-$M983)*$I983+$M983*$J983)</f>
        <v/>
      </c>
      <c r="O983" s="209">
        <f>IF($F983&lt;$B$941,$E$941+$I$941*($F983-$A$941),IF($F983&lt;$C$941,$F$941+$J$941*($F983-$B$941),$G$941+$K$941*($F983-$C$941)))</f>
        <v/>
      </c>
      <c r="P983" s="208">
        <f>MIN(1,MAX(0,(nr_MEndPm1-$G983+0.5)/$C$940))-MIN(1,MAX(0,(nr_MStartPm1-1-$G983+0.5)/$C$940))</f>
        <v/>
      </c>
      <c r="Q983" s="208">
        <f>MIN(1,MAX(0,(nr_MEndP-$G983+0.5)/$C$940))-MIN(1,MAX(0,(nr_MStartP-1-$G983+0.5)/$C$940))</f>
        <v/>
      </c>
      <c r="R983" s="208">
        <f>MIN(1,MAX(0,(nr_MEndP1-$G983+0.5)/$C$940))-MIN(1,MAX(0,(nr_MStartP1-1-$G983+0.5)/$C$940))</f>
        <v/>
      </c>
      <c r="S983" s="208">
        <f>IF($L$940,$N983*IF($O$940=1,$O983/$F$940,1),"")</f>
        <v/>
      </c>
      <c r="T983" s="208">
        <f>IF(NOT($L$940),"",IF($G983&lt;nr_MStartP,$S983,$T971*(1+IF($G983&lt;nr_MStartP1,$M$940,$N$940))))</f>
        <v/>
      </c>
      <c r="U983" s="208">
        <f>IF($L$940,$T983,$N983)</f>
        <v/>
      </c>
    </row>
    <row r="984">
      <c r="A984" s="145" t="n">
        <v>42</v>
      </c>
      <c r="B984" s="204">
        <f>EDATE($B983,1)</f>
        <v/>
      </c>
      <c r="C984" s="205">
        <f>EOMONTH($B984,0)</f>
        <v/>
      </c>
      <c r="D984" s="201">
        <f>$C984-$B984+1</f>
        <v/>
      </c>
      <c r="E984" s="201">
        <f>MONTH($B984)</f>
        <v/>
      </c>
      <c r="F984" s="235">
        <f>($B984+$C984+1)/2</f>
        <v/>
      </c>
      <c r="G984" s="201">
        <f>YEAR($B984)*12+MONTH($B984)-1</f>
        <v/>
      </c>
      <c r="H984" s="207">
        <f>IF(OR(nr_SeasonOn="OFF",$D$940=0,$E$940=0),1,12*INDEX(se_block,$D$940,$E984)/$E$940)</f>
        <v/>
      </c>
      <c r="I984" s="208">
        <f>EXP(SUMPRODUCT((rl_eff&lt;$B984)*(rl_key=$A$940)*rl_ln1p))</f>
        <v/>
      </c>
      <c r="J984" s="208">
        <f>EXP(SUMPRODUCT((rl_eff&lt;=$C984)*(rl_key=$A$940)*rl_ln1p))</f>
        <v/>
      </c>
      <c r="K984" s="201">
        <f>COUNTIFS(rl_key,$A$940,rl_eff,"&gt;="&amp;$B984,rl_eff,"&lt;="&amp;$C984)</f>
        <v/>
      </c>
      <c r="L984" s="201">
        <f>SUMIFS(rl_daysafter,rl_key,$A$940,rl_effmonth,$B984,rl_first,1)</f>
        <v/>
      </c>
      <c r="M984" s="209">
        <f>IF($K984=0,0,MIN(1,$L984/$D984))</f>
        <v/>
      </c>
      <c r="N984" s="208">
        <f>IF($K984=0,$J984,(1-$M984)*$I984+$M984*$J984)</f>
        <v/>
      </c>
      <c r="O984" s="209">
        <f>IF($F984&lt;$B$941,$E$941+$I$941*($F984-$A$941),IF($F984&lt;$C$941,$F$941+$J$941*($F984-$B$941),$G$941+$K$941*($F984-$C$941)))</f>
        <v/>
      </c>
      <c r="P984" s="208">
        <f>MIN(1,MAX(0,(nr_MEndPm1-$G984+0.5)/$C$940))-MIN(1,MAX(0,(nr_MStartPm1-1-$G984+0.5)/$C$940))</f>
        <v/>
      </c>
      <c r="Q984" s="208">
        <f>MIN(1,MAX(0,(nr_MEndP-$G984+0.5)/$C$940))-MIN(1,MAX(0,(nr_MStartP-1-$G984+0.5)/$C$940))</f>
        <v/>
      </c>
      <c r="R984" s="208">
        <f>MIN(1,MAX(0,(nr_MEndP1-$G984+0.5)/$C$940))-MIN(1,MAX(0,(nr_MStartP1-1-$G984+0.5)/$C$940))</f>
        <v/>
      </c>
      <c r="S984" s="208">
        <f>IF($L$940,$N984*IF($O$940=1,$O984/$F$940,1),"")</f>
        <v/>
      </c>
      <c r="T984" s="208">
        <f>IF(NOT($L$940),"",IF($G984&lt;nr_MStartP,$S984,$T972*(1+IF($G984&lt;nr_MStartP1,$M$940,$N$940))))</f>
        <v/>
      </c>
      <c r="U984" s="208">
        <f>IF($L$940,$T984,$N984)</f>
        <v/>
      </c>
    </row>
    <row r="985">
      <c r="A985" s="145" t="n">
        <v>43</v>
      </c>
      <c r="B985" s="204">
        <f>EDATE($B984,1)</f>
        <v/>
      </c>
      <c r="C985" s="205">
        <f>EOMONTH($B985,0)</f>
        <v/>
      </c>
      <c r="D985" s="201">
        <f>$C985-$B985+1</f>
        <v/>
      </c>
      <c r="E985" s="201">
        <f>MONTH($B985)</f>
        <v/>
      </c>
      <c r="F985" s="235">
        <f>($B985+$C985+1)/2</f>
        <v/>
      </c>
      <c r="G985" s="201">
        <f>YEAR($B985)*12+MONTH($B985)-1</f>
        <v/>
      </c>
      <c r="H985" s="207">
        <f>IF(OR(nr_SeasonOn="OFF",$D$940=0,$E$940=0),1,12*INDEX(se_block,$D$940,$E985)/$E$940)</f>
        <v/>
      </c>
      <c r="I985" s="208">
        <f>EXP(SUMPRODUCT((rl_eff&lt;$B985)*(rl_key=$A$940)*rl_ln1p))</f>
        <v/>
      </c>
      <c r="J985" s="208">
        <f>EXP(SUMPRODUCT((rl_eff&lt;=$C985)*(rl_key=$A$940)*rl_ln1p))</f>
        <v/>
      </c>
      <c r="K985" s="201">
        <f>COUNTIFS(rl_key,$A$940,rl_eff,"&gt;="&amp;$B985,rl_eff,"&lt;="&amp;$C985)</f>
        <v/>
      </c>
      <c r="L985" s="201">
        <f>SUMIFS(rl_daysafter,rl_key,$A$940,rl_effmonth,$B985,rl_first,1)</f>
        <v/>
      </c>
      <c r="M985" s="209">
        <f>IF($K985=0,0,MIN(1,$L985/$D985))</f>
        <v/>
      </c>
      <c r="N985" s="208">
        <f>IF($K985=0,$J985,(1-$M985)*$I985+$M985*$J985)</f>
        <v/>
      </c>
      <c r="O985" s="209">
        <f>IF($F985&lt;$B$941,$E$941+$I$941*($F985-$A$941),IF($F985&lt;$C$941,$F$941+$J$941*($F985-$B$941),$G$941+$K$941*($F985-$C$941)))</f>
        <v/>
      </c>
      <c r="P985" s="208">
        <f>MIN(1,MAX(0,(nr_MEndPm1-$G985+0.5)/$C$940))-MIN(1,MAX(0,(nr_MStartPm1-1-$G985+0.5)/$C$940))</f>
        <v/>
      </c>
      <c r="Q985" s="208">
        <f>MIN(1,MAX(0,(nr_MEndP-$G985+0.5)/$C$940))-MIN(1,MAX(0,(nr_MStartP-1-$G985+0.5)/$C$940))</f>
        <v/>
      </c>
      <c r="R985" s="208">
        <f>MIN(1,MAX(0,(nr_MEndP1-$G985+0.5)/$C$940))-MIN(1,MAX(0,(nr_MStartP1-1-$G985+0.5)/$C$940))</f>
        <v/>
      </c>
      <c r="S985" s="208">
        <f>IF($L$940,$N985*IF($O$940=1,$O985/$F$940,1),"")</f>
        <v/>
      </c>
      <c r="T985" s="208">
        <f>IF(NOT($L$940),"",IF($G985&lt;nr_MStartP,$S985,$T973*(1+IF($G985&lt;nr_MStartP1,$M$940,$N$940))))</f>
        <v/>
      </c>
      <c r="U985" s="208">
        <f>IF($L$940,$T985,$N985)</f>
        <v/>
      </c>
    </row>
    <row r="986">
      <c r="A986" s="145" t="n">
        <v>44</v>
      </c>
      <c r="B986" s="204">
        <f>EDATE($B985,1)</f>
        <v/>
      </c>
      <c r="C986" s="205">
        <f>EOMONTH($B986,0)</f>
        <v/>
      </c>
      <c r="D986" s="201">
        <f>$C986-$B986+1</f>
        <v/>
      </c>
      <c r="E986" s="201">
        <f>MONTH($B986)</f>
        <v/>
      </c>
      <c r="F986" s="235">
        <f>($B986+$C986+1)/2</f>
        <v/>
      </c>
      <c r="G986" s="201">
        <f>YEAR($B986)*12+MONTH($B986)-1</f>
        <v/>
      </c>
      <c r="H986" s="207">
        <f>IF(OR(nr_SeasonOn="OFF",$D$940=0,$E$940=0),1,12*INDEX(se_block,$D$940,$E986)/$E$940)</f>
        <v/>
      </c>
      <c r="I986" s="208">
        <f>EXP(SUMPRODUCT((rl_eff&lt;$B986)*(rl_key=$A$940)*rl_ln1p))</f>
        <v/>
      </c>
      <c r="J986" s="208">
        <f>EXP(SUMPRODUCT((rl_eff&lt;=$C986)*(rl_key=$A$940)*rl_ln1p))</f>
        <v/>
      </c>
      <c r="K986" s="201">
        <f>COUNTIFS(rl_key,$A$940,rl_eff,"&gt;="&amp;$B986,rl_eff,"&lt;="&amp;$C986)</f>
        <v/>
      </c>
      <c r="L986" s="201">
        <f>SUMIFS(rl_daysafter,rl_key,$A$940,rl_effmonth,$B986,rl_first,1)</f>
        <v/>
      </c>
      <c r="M986" s="209">
        <f>IF($K986=0,0,MIN(1,$L986/$D986))</f>
        <v/>
      </c>
      <c r="N986" s="208">
        <f>IF($K986=0,$J986,(1-$M986)*$I986+$M986*$J986)</f>
        <v/>
      </c>
      <c r="O986" s="209">
        <f>IF($F986&lt;$B$941,$E$941+$I$941*($F986-$A$941),IF($F986&lt;$C$941,$F$941+$J$941*($F986-$B$941),$G$941+$K$941*($F986-$C$941)))</f>
        <v/>
      </c>
      <c r="P986" s="208">
        <f>MIN(1,MAX(0,(nr_MEndPm1-$G986+0.5)/$C$940))-MIN(1,MAX(0,(nr_MStartPm1-1-$G986+0.5)/$C$940))</f>
        <v/>
      </c>
      <c r="Q986" s="208">
        <f>MIN(1,MAX(0,(nr_MEndP-$G986+0.5)/$C$940))-MIN(1,MAX(0,(nr_MStartP-1-$G986+0.5)/$C$940))</f>
        <v/>
      </c>
      <c r="R986" s="208">
        <f>MIN(1,MAX(0,(nr_MEndP1-$G986+0.5)/$C$940))-MIN(1,MAX(0,(nr_MStartP1-1-$G986+0.5)/$C$940))</f>
        <v/>
      </c>
      <c r="S986" s="208">
        <f>IF($L$940,$N986*IF($O$940=1,$O986/$F$940,1),"")</f>
        <v/>
      </c>
      <c r="T986" s="208">
        <f>IF(NOT($L$940),"",IF($G986&lt;nr_MStartP,$S986,$T974*(1+IF($G986&lt;nr_MStartP1,$M$940,$N$940))))</f>
        <v/>
      </c>
      <c r="U986" s="208">
        <f>IF($L$940,$T986,$N986)</f>
        <v/>
      </c>
    </row>
    <row r="987">
      <c r="A987" s="145" t="n">
        <v>45</v>
      </c>
      <c r="B987" s="204">
        <f>EDATE($B986,1)</f>
        <v/>
      </c>
      <c r="C987" s="205">
        <f>EOMONTH($B987,0)</f>
        <v/>
      </c>
      <c r="D987" s="201">
        <f>$C987-$B987+1</f>
        <v/>
      </c>
      <c r="E987" s="201">
        <f>MONTH($B987)</f>
        <v/>
      </c>
      <c r="F987" s="235">
        <f>($B987+$C987+1)/2</f>
        <v/>
      </c>
      <c r="G987" s="201">
        <f>YEAR($B987)*12+MONTH($B987)-1</f>
        <v/>
      </c>
      <c r="H987" s="207">
        <f>IF(OR(nr_SeasonOn="OFF",$D$940=0,$E$940=0),1,12*INDEX(se_block,$D$940,$E987)/$E$940)</f>
        <v/>
      </c>
      <c r="I987" s="208">
        <f>EXP(SUMPRODUCT((rl_eff&lt;$B987)*(rl_key=$A$940)*rl_ln1p))</f>
        <v/>
      </c>
      <c r="J987" s="208">
        <f>EXP(SUMPRODUCT((rl_eff&lt;=$C987)*(rl_key=$A$940)*rl_ln1p))</f>
        <v/>
      </c>
      <c r="K987" s="201">
        <f>COUNTIFS(rl_key,$A$940,rl_eff,"&gt;="&amp;$B987,rl_eff,"&lt;="&amp;$C987)</f>
        <v/>
      </c>
      <c r="L987" s="201">
        <f>SUMIFS(rl_daysafter,rl_key,$A$940,rl_effmonth,$B987,rl_first,1)</f>
        <v/>
      </c>
      <c r="M987" s="209">
        <f>IF($K987=0,0,MIN(1,$L987/$D987))</f>
        <v/>
      </c>
      <c r="N987" s="208">
        <f>IF($K987=0,$J987,(1-$M987)*$I987+$M987*$J987)</f>
        <v/>
      </c>
      <c r="O987" s="209">
        <f>IF($F987&lt;$B$941,$E$941+$I$941*($F987-$A$941),IF($F987&lt;$C$941,$F$941+$J$941*($F987-$B$941),$G$941+$K$941*($F987-$C$941)))</f>
        <v/>
      </c>
      <c r="P987" s="208">
        <f>MIN(1,MAX(0,(nr_MEndPm1-$G987+0.5)/$C$940))-MIN(1,MAX(0,(nr_MStartPm1-1-$G987+0.5)/$C$940))</f>
        <v/>
      </c>
      <c r="Q987" s="208">
        <f>MIN(1,MAX(0,(nr_MEndP-$G987+0.5)/$C$940))-MIN(1,MAX(0,(nr_MStartP-1-$G987+0.5)/$C$940))</f>
        <v/>
      </c>
      <c r="R987" s="208">
        <f>MIN(1,MAX(0,(nr_MEndP1-$G987+0.5)/$C$940))-MIN(1,MAX(0,(nr_MStartP1-1-$G987+0.5)/$C$940))</f>
        <v/>
      </c>
      <c r="S987" s="208">
        <f>IF($L$940,$N987*IF($O$940=1,$O987/$F$940,1),"")</f>
        <v/>
      </c>
      <c r="T987" s="208">
        <f>IF(NOT($L$940),"",IF($G987&lt;nr_MStartP,$S987,$T975*(1+IF($G987&lt;nr_MStartP1,$M$940,$N$940))))</f>
        <v/>
      </c>
      <c r="U987" s="208">
        <f>IF($L$940,$T987,$N987)</f>
        <v/>
      </c>
    </row>
    <row r="988">
      <c r="A988" s="145" t="n">
        <v>46</v>
      </c>
      <c r="B988" s="204">
        <f>EDATE($B987,1)</f>
        <v/>
      </c>
      <c r="C988" s="205">
        <f>EOMONTH($B988,0)</f>
        <v/>
      </c>
      <c r="D988" s="201">
        <f>$C988-$B988+1</f>
        <v/>
      </c>
      <c r="E988" s="201">
        <f>MONTH($B988)</f>
        <v/>
      </c>
      <c r="F988" s="235">
        <f>($B988+$C988+1)/2</f>
        <v/>
      </c>
      <c r="G988" s="201">
        <f>YEAR($B988)*12+MONTH($B988)-1</f>
        <v/>
      </c>
      <c r="H988" s="207">
        <f>IF(OR(nr_SeasonOn="OFF",$D$940=0,$E$940=0),1,12*INDEX(se_block,$D$940,$E988)/$E$940)</f>
        <v/>
      </c>
      <c r="I988" s="208">
        <f>EXP(SUMPRODUCT((rl_eff&lt;$B988)*(rl_key=$A$940)*rl_ln1p))</f>
        <v/>
      </c>
      <c r="J988" s="208">
        <f>EXP(SUMPRODUCT((rl_eff&lt;=$C988)*(rl_key=$A$940)*rl_ln1p))</f>
        <v/>
      </c>
      <c r="K988" s="201">
        <f>COUNTIFS(rl_key,$A$940,rl_eff,"&gt;="&amp;$B988,rl_eff,"&lt;="&amp;$C988)</f>
        <v/>
      </c>
      <c r="L988" s="201">
        <f>SUMIFS(rl_daysafter,rl_key,$A$940,rl_effmonth,$B988,rl_first,1)</f>
        <v/>
      </c>
      <c r="M988" s="209">
        <f>IF($K988=0,0,MIN(1,$L988/$D988))</f>
        <v/>
      </c>
      <c r="N988" s="208">
        <f>IF($K988=0,$J988,(1-$M988)*$I988+$M988*$J988)</f>
        <v/>
      </c>
      <c r="O988" s="209">
        <f>IF($F988&lt;$B$941,$E$941+$I$941*($F988-$A$941),IF($F988&lt;$C$941,$F$941+$J$941*($F988-$B$941),$G$941+$K$941*($F988-$C$941)))</f>
        <v/>
      </c>
      <c r="P988" s="208">
        <f>MIN(1,MAX(0,(nr_MEndPm1-$G988+0.5)/$C$940))-MIN(1,MAX(0,(nr_MStartPm1-1-$G988+0.5)/$C$940))</f>
        <v/>
      </c>
      <c r="Q988" s="208">
        <f>MIN(1,MAX(0,(nr_MEndP-$G988+0.5)/$C$940))-MIN(1,MAX(0,(nr_MStartP-1-$G988+0.5)/$C$940))</f>
        <v/>
      </c>
      <c r="R988" s="208">
        <f>MIN(1,MAX(0,(nr_MEndP1-$G988+0.5)/$C$940))-MIN(1,MAX(0,(nr_MStartP1-1-$G988+0.5)/$C$940))</f>
        <v/>
      </c>
      <c r="S988" s="208">
        <f>IF($L$940,$N988*IF($O$940=1,$O988/$F$940,1),"")</f>
        <v/>
      </c>
      <c r="T988" s="208">
        <f>IF(NOT($L$940),"",IF($G988&lt;nr_MStartP,$S988,$T976*(1+IF($G988&lt;nr_MStartP1,$M$940,$N$940))))</f>
        <v/>
      </c>
      <c r="U988" s="208">
        <f>IF($L$940,$T988,$N988)</f>
        <v/>
      </c>
    </row>
    <row r="989">
      <c r="A989" s="145" t="n">
        <v>47</v>
      </c>
      <c r="B989" s="204">
        <f>EDATE($B988,1)</f>
        <v/>
      </c>
      <c r="C989" s="205">
        <f>EOMONTH($B989,0)</f>
        <v/>
      </c>
      <c r="D989" s="201">
        <f>$C989-$B989+1</f>
        <v/>
      </c>
      <c r="E989" s="201">
        <f>MONTH($B989)</f>
        <v/>
      </c>
      <c r="F989" s="235">
        <f>($B989+$C989+1)/2</f>
        <v/>
      </c>
      <c r="G989" s="201">
        <f>YEAR($B989)*12+MONTH($B989)-1</f>
        <v/>
      </c>
      <c r="H989" s="207">
        <f>IF(OR(nr_SeasonOn="OFF",$D$940=0,$E$940=0),1,12*INDEX(se_block,$D$940,$E989)/$E$940)</f>
        <v/>
      </c>
      <c r="I989" s="208">
        <f>EXP(SUMPRODUCT((rl_eff&lt;$B989)*(rl_key=$A$940)*rl_ln1p))</f>
        <v/>
      </c>
      <c r="J989" s="208">
        <f>EXP(SUMPRODUCT((rl_eff&lt;=$C989)*(rl_key=$A$940)*rl_ln1p))</f>
        <v/>
      </c>
      <c r="K989" s="201">
        <f>COUNTIFS(rl_key,$A$940,rl_eff,"&gt;="&amp;$B989,rl_eff,"&lt;="&amp;$C989)</f>
        <v/>
      </c>
      <c r="L989" s="201">
        <f>SUMIFS(rl_daysafter,rl_key,$A$940,rl_effmonth,$B989,rl_first,1)</f>
        <v/>
      </c>
      <c r="M989" s="209">
        <f>IF($K989=0,0,MIN(1,$L989/$D989))</f>
        <v/>
      </c>
      <c r="N989" s="208">
        <f>IF($K989=0,$J989,(1-$M989)*$I989+$M989*$J989)</f>
        <v/>
      </c>
      <c r="O989" s="209">
        <f>IF($F989&lt;$B$941,$E$941+$I$941*($F989-$A$941),IF($F989&lt;$C$941,$F$941+$J$941*($F989-$B$941),$G$941+$K$941*($F989-$C$941)))</f>
        <v/>
      </c>
      <c r="P989" s="208">
        <f>MIN(1,MAX(0,(nr_MEndPm1-$G989+0.5)/$C$940))-MIN(1,MAX(0,(nr_MStartPm1-1-$G989+0.5)/$C$940))</f>
        <v/>
      </c>
      <c r="Q989" s="208">
        <f>MIN(1,MAX(0,(nr_MEndP-$G989+0.5)/$C$940))-MIN(1,MAX(0,(nr_MStartP-1-$G989+0.5)/$C$940))</f>
        <v/>
      </c>
      <c r="R989" s="208">
        <f>MIN(1,MAX(0,(nr_MEndP1-$G989+0.5)/$C$940))-MIN(1,MAX(0,(nr_MStartP1-1-$G989+0.5)/$C$940))</f>
        <v/>
      </c>
      <c r="S989" s="208">
        <f>IF($L$940,$N989*IF($O$940=1,$O989/$F$940,1),"")</f>
        <v/>
      </c>
      <c r="T989" s="208">
        <f>IF(NOT($L$940),"",IF($G989&lt;nr_MStartP,$S989,$T977*(1+IF($G989&lt;nr_MStartP1,$M$940,$N$940))))</f>
        <v/>
      </c>
      <c r="U989" s="208">
        <f>IF($L$940,$T989,$N989)</f>
        <v/>
      </c>
    </row>
    <row r="990">
      <c r="A990" s="145" t="n">
        <v>48</v>
      </c>
      <c r="B990" s="204">
        <f>EDATE($B989,1)</f>
        <v/>
      </c>
      <c r="C990" s="205">
        <f>EOMONTH($B990,0)</f>
        <v/>
      </c>
      <c r="D990" s="201">
        <f>$C990-$B990+1</f>
        <v/>
      </c>
      <c r="E990" s="201">
        <f>MONTH($B990)</f>
        <v/>
      </c>
      <c r="F990" s="235">
        <f>($B990+$C990+1)/2</f>
        <v/>
      </c>
      <c r="G990" s="201">
        <f>YEAR($B990)*12+MONTH($B990)-1</f>
        <v/>
      </c>
      <c r="H990" s="207">
        <f>IF(OR(nr_SeasonOn="OFF",$D$940=0,$E$940=0),1,12*INDEX(se_block,$D$940,$E990)/$E$940)</f>
        <v/>
      </c>
      <c r="I990" s="208">
        <f>EXP(SUMPRODUCT((rl_eff&lt;$B990)*(rl_key=$A$940)*rl_ln1p))</f>
        <v/>
      </c>
      <c r="J990" s="208">
        <f>EXP(SUMPRODUCT((rl_eff&lt;=$C990)*(rl_key=$A$940)*rl_ln1p))</f>
        <v/>
      </c>
      <c r="K990" s="201">
        <f>COUNTIFS(rl_key,$A$940,rl_eff,"&gt;="&amp;$B990,rl_eff,"&lt;="&amp;$C990)</f>
        <v/>
      </c>
      <c r="L990" s="201">
        <f>SUMIFS(rl_daysafter,rl_key,$A$940,rl_effmonth,$B990,rl_first,1)</f>
        <v/>
      </c>
      <c r="M990" s="209">
        <f>IF($K990=0,0,MIN(1,$L990/$D990))</f>
        <v/>
      </c>
      <c r="N990" s="208">
        <f>IF($K990=0,$J990,(1-$M990)*$I990+$M990*$J990)</f>
        <v/>
      </c>
      <c r="O990" s="209">
        <f>IF($F990&lt;$B$941,$E$941+$I$941*($F990-$A$941),IF($F990&lt;$C$941,$F$941+$J$941*($F990-$B$941),$G$941+$K$941*($F990-$C$941)))</f>
        <v/>
      </c>
      <c r="P990" s="208">
        <f>MIN(1,MAX(0,(nr_MEndPm1-$G990+0.5)/$C$940))-MIN(1,MAX(0,(nr_MStartPm1-1-$G990+0.5)/$C$940))</f>
        <v/>
      </c>
      <c r="Q990" s="208">
        <f>MIN(1,MAX(0,(nr_MEndP-$G990+0.5)/$C$940))-MIN(1,MAX(0,(nr_MStartP-1-$G990+0.5)/$C$940))</f>
        <v/>
      </c>
      <c r="R990" s="208">
        <f>MIN(1,MAX(0,(nr_MEndP1-$G990+0.5)/$C$940))-MIN(1,MAX(0,(nr_MStartP1-1-$G990+0.5)/$C$940))</f>
        <v/>
      </c>
      <c r="S990" s="208">
        <f>IF($L$940,$N990*IF($O$940=1,$O990/$F$940,1),"")</f>
        <v/>
      </c>
      <c r="T990" s="208">
        <f>IF(NOT($L$940),"",IF($G990&lt;nr_MStartP,$S990,$T978*(1+IF($G990&lt;nr_MStartP1,$M$940,$N$940))))</f>
        <v/>
      </c>
      <c r="U990" s="208">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184">
        <f>SUMPRODUCT($H$943:$H$990,$Q$943:$Q$990,$O$943:$O$990)/SUMPRODUCT($H$943:$H$990,$Q$943:$Q$990)</f>
        <v/>
      </c>
      <c r="G991" s="184">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184">
        <f>IF(N(INDEX(lr_mind,18))=0,1,INDEX(lr_mind,18))</f>
        <v/>
      </c>
      <c r="G994" s="184">
        <f>IF(N(INDEX(lr_m0,18))=0,1,INDEX(lr_m0,18))</f>
        <v/>
      </c>
      <c r="H994" s="73">
        <f>IF(N(INDEX(lr_m0asof,18))=0,DATE(nr_PlanYear-1,10,1),INDEX(lr_m0asof,18))</f>
        <v/>
      </c>
      <c r="I994" s="184">
        <f>IF(N(INDEX(lr_m1,18))=0,1,INDEX(lr_m1,18))</f>
        <v/>
      </c>
      <c r="J994" s="184">
        <f>INDEX(lr_mprior,18)</f>
        <v/>
      </c>
      <c r="K994" s="184">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145" t="n">
        <v>1</v>
      </c>
      <c r="B997" s="204">
        <f>DATE(nr_PlanYear-2,1,1)</f>
        <v/>
      </c>
      <c r="C997" s="205">
        <f>EOMONTH($B997,0)</f>
        <v/>
      </c>
      <c r="D997" s="201">
        <f>$C997-$B997+1</f>
        <v/>
      </c>
      <c r="E997" s="201">
        <f>MONTH($B997)</f>
        <v/>
      </c>
      <c r="F997" s="235">
        <f>($B997+$C997+1)/2</f>
        <v/>
      </c>
      <c r="G997" s="201">
        <f>YEAR($B997)*12+MONTH($B997)-1</f>
        <v/>
      </c>
      <c r="H997" s="207">
        <f>IF(OR(nr_SeasonOn="OFF",$D$994=0,$E$994=0),1,12*INDEX(se_block,$D$994,$E997)/$E$994)</f>
        <v/>
      </c>
      <c r="I997" s="208">
        <f>EXP(SUMPRODUCT((rl_eff&lt;$B997)*(rl_key=$A$994)*rl_ln1p))</f>
        <v/>
      </c>
      <c r="J997" s="208">
        <f>EXP(SUMPRODUCT((rl_eff&lt;=$C997)*(rl_key=$A$994)*rl_ln1p))</f>
        <v/>
      </c>
      <c r="K997" s="201">
        <f>COUNTIFS(rl_key,$A$994,rl_eff,"&gt;="&amp;$B997,rl_eff,"&lt;="&amp;$C997)</f>
        <v/>
      </c>
      <c r="L997" s="201">
        <f>SUMIFS(rl_daysafter,rl_key,$A$994,rl_effmonth,$B997,rl_first,1)</f>
        <v/>
      </c>
      <c r="M997" s="209">
        <f>IF($K997=0,0,MIN(1,$L997/$D997))</f>
        <v/>
      </c>
      <c r="N997" s="208">
        <f>IF($K997=0,$J997,(1-$M997)*$I997+$M997*$J997)</f>
        <v/>
      </c>
      <c r="O997" s="209">
        <f>IF($F997&lt;$B$995,$E$995+$I$995*($F997-$A$995),IF($F997&lt;$C$995,$F$995+$J$995*($F997-$B$995),$G$995+$K$995*($F997-$C$995)))</f>
        <v/>
      </c>
      <c r="P997" s="208">
        <f>MIN(1,MAX(0,(nr_MEndPm1-$G997+0.5)/$C$994))-MIN(1,MAX(0,(nr_MStartPm1-1-$G997+0.5)/$C$994))</f>
        <v/>
      </c>
      <c r="Q997" s="208">
        <f>MIN(1,MAX(0,(nr_MEndP-$G997+0.5)/$C$994))-MIN(1,MAX(0,(nr_MStartP-1-$G997+0.5)/$C$994))</f>
        <v/>
      </c>
      <c r="R997" s="208">
        <f>MIN(1,MAX(0,(nr_MEndP1-$G997+0.5)/$C$994))-MIN(1,MAX(0,(nr_MStartP1-1-$G997+0.5)/$C$994))</f>
        <v/>
      </c>
      <c r="S997" s="208">
        <f>IF($L$994,$N997*IF($O$994=1,$O997/$F$994,1),"")</f>
        <v/>
      </c>
      <c r="T997" s="208">
        <f>IF(NOT($L$994),"",IF($G997&lt;nr_MStartP,$S997,$T985*(1+IF($G997&lt;nr_MStartP1,$M$994,$N$994))))</f>
        <v/>
      </c>
      <c r="U997" s="208">
        <f>IF($L$994,$T997,$N997)</f>
        <v/>
      </c>
    </row>
    <row r="998">
      <c r="A998" s="145" t="n">
        <v>2</v>
      </c>
      <c r="B998" s="204">
        <f>EDATE($B997,1)</f>
        <v/>
      </c>
      <c r="C998" s="205">
        <f>EOMONTH($B998,0)</f>
        <v/>
      </c>
      <c r="D998" s="201">
        <f>$C998-$B998+1</f>
        <v/>
      </c>
      <c r="E998" s="201">
        <f>MONTH($B998)</f>
        <v/>
      </c>
      <c r="F998" s="235">
        <f>($B998+$C998+1)/2</f>
        <v/>
      </c>
      <c r="G998" s="201">
        <f>YEAR($B998)*12+MONTH($B998)-1</f>
        <v/>
      </c>
      <c r="H998" s="207">
        <f>IF(OR(nr_SeasonOn="OFF",$D$994=0,$E$994=0),1,12*INDEX(se_block,$D$994,$E998)/$E$994)</f>
        <v/>
      </c>
      <c r="I998" s="208">
        <f>EXP(SUMPRODUCT((rl_eff&lt;$B998)*(rl_key=$A$994)*rl_ln1p))</f>
        <v/>
      </c>
      <c r="J998" s="208">
        <f>EXP(SUMPRODUCT((rl_eff&lt;=$C998)*(rl_key=$A$994)*rl_ln1p))</f>
        <v/>
      </c>
      <c r="K998" s="201">
        <f>COUNTIFS(rl_key,$A$994,rl_eff,"&gt;="&amp;$B998,rl_eff,"&lt;="&amp;$C998)</f>
        <v/>
      </c>
      <c r="L998" s="201">
        <f>SUMIFS(rl_daysafter,rl_key,$A$994,rl_effmonth,$B998,rl_first,1)</f>
        <v/>
      </c>
      <c r="M998" s="209">
        <f>IF($K998=0,0,MIN(1,$L998/$D998))</f>
        <v/>
      </c>
      <c r="N998" s="208">
        <f>IF($K998=0,$J998,(1-$M998)*$I998+$M998*$J998)</f>
        <v/>
      </c>
      <c r="O998" s="209">
        <f>IF($F998&lt;$B$995,$E$995+$I$995*($F998-$A$995),IF($F998&lt;$C$995,$F$995+$J$995*($F998-$B$995),$G$995+$K$995*($F998-$C$995)))</f>
        <v/>
      </c>
      <c r="P998" s="208">
        <f>MIN(1,MAX(0,(nr_MEndPm1-$G998+0.5)/$C$994))-MIN(1,MAX(0,(nr_MStartPm1-1-$G998+0.5)/$C$994))</f>
        <v/>
      </c>
      <c r="Q998" s="208">
        <f>MIN(1,MAX(0,(nr_MEndP-$G998+0.5)/$C$994))-MIN(1,MAX(0,(nr_MStartP-1-$G998+0.5)/$C$994))</f>
        <v/>
      </c>
      <c r="R998" s="208">
        <f>MIN(1,MAX(0,(nr_MEndP1-$G998+0.5)/$C$994))-MIN(1,MAX(0,(nr_MStartP1-1-$G998+0.5)/$C$994))</f>
        <v/>
      </c>
      <c r="S998" s="208">
        <f>IF($L$994,$N998*IF($O$994=1,$O998/$F$994,1),"")</f>
        <v/>
      </c>
      <c r="T998" s="208">
        <f>IF(NOT($L$994),"",IF($G998&lt;nr_MStartP,$S998,$T986*(1+IF($G998&lt;nr_MStartP1,$M$994,$N$994))))</f>
        <v/>
      </c>
      <c r="U998" s="208">
        <f>IF($L$994,$T998,$N998)</f>
        <v/>
      </c>
    </row>
    <row r="999">
      <c r="A999" s="145" t="n">
        <v>3</v>
      </c>
      <c r="B999" s="204">
        <f>EDATE($B998,1)</f>
        <v/>
      </c>
      <c r="C999" s="205">
        <f>EOMONTH($B999,0)</f>
        <v/>
      </c>
      <c r="D999" s="201">
        <f>$C999-$B999+1</f>
        <v/>
      </c>
      <c r="E999" s="201">
        <f>MONTH($B999)</f>
        <v/>
      </c>
      <c r="F999" s="235">
        <f>($B999+$C999+1)/2</f>
        <v/>
      </c>
      <c r="G999" s="201">
        <f>YEAR($B999)*12+MONTH($B999)-1</f>
        <v/>
      </c>
      <c r="H999" s="207">
        <f>IF(OR(nr_SeasonOn="OFF",$D$994=0,$E$994=0),1,12*INDEX(se_block,$D$994,$E999)/$E$994)</f>
        <v/>
      </c>
      <c r="I999" s="208">
        <f>EXP(SUMPRODUCT((rl_eff&lt;$B999)*(rl_key=$A$994)*rl_ln1p))</f>
        <v/>
      </c>
      <c r="J999" s="208">
        <f>EXP(SUMPRODUCT((rl_eff&lt;=$C999)*(rl_key=$A$994)*rl_ln1p))</f>
        <v/>
      </c>
      <c r="K999" s="201">
        <f>COUNTIFS(rl_key,$A$994,rl_eff,"&gt;="&amp;$B999,rl_eff,"&lt;="&amp;$C999)</f>
        <v/>
      </c>
      <c r="L999" s="201">
        <f>SUMIFS(rl_daysafter,rl_key,$A$994,rl_effmonth,$B999,rl_first,1)</f>
        <v/>
      </c>
      <c r="M999" s="209">
        <f>IF($K999=0,0,MIN(1,$L999/$D999))</f>
        <v/>
      </c>
      <c r="N999" s="208">
        <f>IF($K999=0,$J999,(1-$M999)*$I999+$M999*$J999)</f>
        <v/>
      </c>
      <c r="O999" s="209">
        <f>IF($F999&lt;$B$995,$E$995+$I$995*($F999-$A$995),IF($F999&lt;$C$995,$F$995+$J$995*($F999-$B$995),$G$995+$K$995*($F999-$C$995)))</f>
        <v/>
      </c>
      <c r="P999" s="208">
        <f>MIN(1,MAX(0,(nr_MEndPm1-$G999+0.5)/$C$994))-MIN(1,MAX(0,(nr_MStartPm1-1-$G999+0.5)/$C$994))</f>
        <v/>
      </c>
      <c r="Q999" s="208">
        <f>MIN(1,MAX(0,(nr_MEndP-$G999+0.5)/$C$994))-MIN(1,MAX(0,(nr_MStartP-1-$G999+0.5)/$C$994))</f>
        <v/>
      </c>
      <c r="R999" s="208">
        <f>MIN(1,MAX(0,(nr_MEndP1-$G999+0.5)/$C$994))-MIN(1,MAX(0,(nr_MStartP1-1-$G999+0.5)/$C$994))</f>
        <v/>
      </c>
      <c r="S999" s="208">
        <f>IF($L$994,$N999*IF($O$994=1,$O999/$F$994,1),"")</f>
        <v/>
      </c>
      <c r="T999" s="208">
        <f>IF(NOT($L$994),"",IF($G999&lt;nr_MStartP,$S999,$T987*(1+IF($G999&lt;nr_MStartP1,$M$994,$N$994))))</f>
        <v/>
      </c>
      <c r="U999" s="208">
        <f>IF($L$994,$T999,$N999)</f>
        <v/>
      </c>
    </row>
    <row r="1000">
      <c r="A1000" s="145" t="n">
        <v>4</v>
      </c>
      <c r="B1000" s="204">
        <f>EDATE($B999,1)</f>
        <v/>
      </c>
      <c r="C1000" s="205">
        <f>EOMONTH($B1000,0)</f>
        <v/>
      </c>
      <c r="D1000" s="201">
        <f>$C1000-$B1000+1</f>
        <v/>
      </c>
      <c r="E1000" s="201">
        <f>MONTH($B1000)</f>
        <v/>
      </c>
      <c r="F1000" s="235">
        <f>($B1000+$C1000+1)/2</f>
        <v/>
      </c>
      <c r="G1000" s="201">
        <f>YEAR($B1000)*12+MONTH($B1000)-1</f>
        <v/>
      </c>
      <c r="H1000" s="207">
        <f>IF(OR(nr_SeasonOn="OFF",$D$994=0,$E$994=0),1,12*INDEX(se_block,$D$994,$E1000)/$E$994)</f>
        <v/>
      </c>
      <c r="I1000" s="208">
        <f>EXP(SUMPRODUCT((rl_eff&lt;$B1000)*(rl_key=$A$994)*rl_ln1p))</f>
        <v/>
      </c>
      <c r="J1000" s="208">
        <f>EXP(SUMPRODUCT((rl_eff&lt;=$C1000)*(rl_key=$A$994)*rl_ln1p))</f>
        <v/>
      </c>
      <c r="K1000" s="201">
        <f>COUNTIFS(rl_key,$A$994,rl_eff,"&gt;="&amp;$B1000,rl_eff,"&lt;="&amp;$C1000)</f>
        <v/>
      </c>
      <c r="L1000" s="201">
        <f>SUMIFS(rl_daysafter,rl_key,$A$994,rl_effmonth,$B1000,rl_first,1)</f>
        <v/>
      </c>
      <c r="M1000" s="209">
        <f>IF($K1000=0,0,MIN(1,$L1000/$D1000))</f>
        <v/>
      </c>
      <c r="N1000" s="208">
        <f>IF($K1000=0,$J1000,(1-$M1000)*$I1000+$M1000*$J1000)</f>
        <v/>
      </c>
      <c r="O1000" s="209">
        <f>IF($F1000&lt;$B$995,$E$995+$I$995*($F1000-$A$995),IF($F1000&lt;$C$995,$F$995+$J$995*($F1000-$B$995),$G$995+$K$995*($F1000-$C$995)))</f>
        <v/>
      </c>
      <c r="P1000" s="208">
        <f>MIN(1,MAX(0,(nr_MEndPm1-$G1000+0.5)/$C$994))-MIN(1,MAX(0,(nr_MStartPm1-1-$G1000+0.5)/$C$994))</f>
        <v/>
      </c>
      <c r="Q1000" s="208">
        <f>MIN(1,MAX(0,(nr_MEndP-$G1000+0.5)/$C$994))-MIN(1,MAX(0,(nr_MStartP-1-$G1000+0.5)/$C$994))</f>
        <v/>
      </c>
      <c r="R1000" s="208">
        <f>MIN(1,MAX(0,(nr_MEndP1-$G1000+0.5)/$C$994))-MIN(1,MAX(0,(nr_MStartP1-1-$G1000+0.5)/$C$994))</f>
        <v/>
      </c>
      <c r="S1000" s="208">
        <f>IF($L$994,$N1000*IF($O$994=1,$O1000/$F$994,1),"")</f>
        <v/>
      </c>
      <c r="T1000" s="208">
        <f>IF(NOT($L$994),"",IF($G1000&lt;nr_MStartP,$S1000,$T988*(1+IF($G1000&lt;nr_MStartP1,$M$994,$N$994))))</f>
        <v/>
      </c>
      <c r="U1000" s="208">
        <f>IF($L$994,$T1000,$N1000)</f>
        <v/>
      </c>
    </row>
    <row r="1001">
      <c r="A1001" s="145" t="n">
        <v>5</v>
      </c>
      <c r="B1001" s="204">
        <f>EDATE($B1000,1)</f>
        <v/>
      </c>
      <c r="C1001" s="205">
        <f>EOMONTH($B1001,0)</f>
        <v/>
      </c>
      <c r="D1001" s="201">
        <f>$C1001-$B1001+1</f>
        <v/>
      </c>
      <c r="E1001" s="201">
        <f>MONTH($B1001)</f>
        <v/>
      </c>
      <c r="F1001" s="235">
        <f>($B1001+$C1001+1)/2</f>
        <v/>
      </c>
      <c r="G1001" s="201">
        <f>YEAR($B1001)*12+MONTH($B1001)-1</f>
        <v/>
      </c>
      <c r="H1001" s="207">
        <f>IF(OR(nr_SeasonOn="OFF",$D$994=0,$E$994=0),1,12*INDEX(se_block,$D$994,$E1001)/$E$994)</f>
        <v/>
      </c>
      <c r="I1001" s="208">
        <f>EXP(SUMPRODUCT((rl_eff&lt;$B1001)*(rl_key=$A$994)*rl_ln1p))</f>
        <v/>
      </c>
      <c r="J1001" s="208">
        <f>EXP(SUMPRODUCT((rl_eff&lt;=$C1001)*(rl_key=$A$994)*rl_ln1p))</f>
        <v/>
      </c>
      <c r="K1001" s="201">
        <f>COUNTIFS(rl_key,$A$994,rl_eff,"&gt;="&amp;$B1001,rl_eff,"&lt;="&amp;$C1001)</f>
        <v/>
      </c>
      <c r="L1001" s="201">
        <f>SUMIFS(rl_daysafter,rl_key,$A$994,rl_effmonth,$B1001,rl_first,1)</f>
        <v/>
      </c>
      <c r="M1001" s="209">
        <f>IF($K1001=0,0,MIN(1,$L1001/$D1001))</f>
        <v/>
      </c>
      <c r="N1001" s="208">
        <f>IF($K1001=0,$J1001,(1-$M1001)*$I1001+$M1001*$J1001)</f>
        <v/>
      </c>
      <c r="O1001" s="209">
        <f>IF($F1001&lt;$B$995,$E$995+$I$995*($F1001-$A$995),IF($F1001&lt;$C$995,$F$995+$J$995*($F1001-$B$995),$G$995+$K$995*($F1001-$C$995)))</f>
        <v/>
      </c>
      <c r="P1001" s="208">
        <f>MIN(1,MAX(0,(nr_MEndPm1-$G1001+0.5)/$C$994))-MIN(1,MAX(0,(nr_MStartPm1-1-$G1001+0.5)/$C$994))</f>
        <v/>
      </c>
      <c r="Q1001" s="208">
        <f>MIN(1,MAX(0,(nr_MEndP-$G1001+0.5)/$C$994))-MIN(1,MAX(0,(nr_MStartP-1-$G1001+0.5)/$C$994))</f>
        <v/>
      </c>
      <c r="R1001" s="208">
        <f>MIN(1,MAX(0,(nr_MEndP1-$G1001+0.5)/$C$994))-MIN(1,MAX(0,(nr_MStartP1-1-$G1001+0.5)/$C$994))</f>
        <v/>
      </c>
      <c r="S1001" s="208">
        <f>IF($L$994,$N1001*IF($O$994=1,$O1001/$F$994,1),"")</f>
        <v/>
      </c>
      <c r="T1001" s="208">
        <f>IF(NOT($L$994),"",IF($G1001&lt;nr_MStartP,$S1001,$T989*(1+IF($G1001&lt;nr_MStartP1,$M$994,$N$994))))</f>
        <v/>
      </c>
      <c r="U1001" s="208">
        <f>IF($L$994,$T1001,$N1001)</f>
        <v/>
      </c>
    </row>
    <row r="1002">
      <c r="A1002" s="145" t="n">
        <v>6</v>
      </c>
      <c r="B1002" s="204">
        <f>EDATE($B1001,1)</f>
        <v/>
      </c>
      <c r="C1002" s="205">
        <f>EOMONTH($B1002,0)</f>
        <v/>
      </c>
      <c r="D1002" s="201">
        <f>$C1002-$B1002+1</f>
        <v/>
      </c>
      <c r="E1002" s="201">
        <f>MONTH($B1002)</f>
        <v/>
      </c>
      <c r="F1002" s="235">
        <f>($B1002+$C1002+1)/2</f>
        <v/>
      </c>
      <c r="G1002" s="201">
        <f>YEAR($B1002)*12+MONTH($B1002)-1</f>
        <v/>
      </c>
      <c r="H1002" s="207">
        <f>IF(OR(nr_SeasonOn="OFF",$D$994=0,$E$994=0),1,12*INDEX(se_block,$D$994,$E1002)/$E$994)</f>
        <v/>
      </c>
      <c r="I1002" s="208">
        <f>EXP(SUMPRODUCT((rl_eff&lt;$B1002)*(rl_key=$A$994)*rl_ln1p))</f>
        <v/>
      </c>
      <c r="J1002" s="208">
        <f>EXP(SUMPRODUCT((rl_eff&lt;=$C1002)*(rl_key=$A$994)*rl_ln1p))</f>
        <v/>
      </c>
      <c r="K1002" s="201">
        <f>COUNTIFS(rl_key,$A$994,rl_eff,"&gt;="&amp;$B1002,rl_eff,"&lt;="&amp;$C1002)</f>
        <v/>
      </c>
      <c r="L1002" s="201">
        <f>SUMIFS(rl_daysafter,rl_key,$A$994,rl_effmonth,$B1002,rl_first,1)</f>
        <v/>
      </c>
      <c r="M1002" s="209">
        <f>IF($K1002=0,0,MIN(1,$L1002/$D1002))</f>
        <v/>
      </c>
      <c r="N1002" s="208">
        <f>IF($K1002=0,$J1002,(1-$M1002)*$I1002+$M1002*$J1002)</f>
        <v/>
      </c>
      <c r="O1002" s="209">
        <f>IF($F1002&lt;$B$995,$E$995+$I$995*($F1002-$A$995),IF($F1002&lt;$C$995,$F$995+$J$995*($F1002-$B$995),$G$995+$K$995*($F1002-$C$995)))</f>
        <v/>
      </c>
      <c r="P1002" s="208">
        <f>MIN(1,MAX(0,(nr_MEndPm1-$G1002+0.5)/$C$994))-MIN(1,MAX(0,(nr_MStartPm1-1-$G1002+0.5)/$C$994))</f>
        <v/>
      </c>
      <c r="Q1002" s="208">
        <f>MIN(1,MAX(0,(nr_MEndP-$G1002+0.5)/$C$994))-MIN(1,MAX(0,(nr_MStartP-1-$G1002+0.5)/$C$994))</f>
        <v/>
      </c>
      <c r="R1002" s="208">
        <f>MIN(1,MAX(0,(nr_MEndP1-$G1002+0.5)/$C$994))-MIN(1,MAX(0,(nr_MStartP1-1-$G1002+0.5)/$C$994))</f>
        <v/>
      </c>
      <c r="S1002" s="208">
        <f>IF($L$994,$N1002*IF($O$994=1,$O1002/$F$994,1),"")</f>
        <v/>
      </c>
      <c r="T1002" s="208">
        <f>IF(NOT($L$994),"",IF($G1002&lt;nr_MStartP,$S1002,$T990*(1+IF($G1002&lt;nr_MStartP1,$M$994,$N$994))))</f>
        <v/>
      </c>
      <c r="U1002" s="208">
        <f>IF($L$994,$T1002,$N1002)</f>
        <v/>
      </c>
    </row>
    <row r="1003">
      <c r="A1003" s="145" t="n">
        <v>7</v>
      </c>
      <c r="B1003" s="204">
        <f>EDATE($B1002,1)</f>
        <v/>
      </c>
      <c r="C1003" s="205">
        <f>EOMONTH($B1003,0)</f>
        <v/>
      </c>
      <c r="D1003" s="201">
        <f>$C1003-$B1003+1</f>
        <v/>
      </c>
      <c r="E1003" s="201">
        <f>MONTH($B1003)</f>
        <v/>
      </c>
      <c r="F1003" s="235">
        <f>($B1003+$C1003+1)/2</f>
        <v/>
      </c>
      <c r="G1003" s="201">
        <f>YEAR($B1003)*12+MONTH($B1003)-1</f>
        <v/>
      </c>
      <c r="H1003" s="207">
        <f>IF(OR(nr_SeasonOn="OFF",$D$994=0,$E$994=0),1,12*INDEX(se_block,$D$994,$E1003)/$E$994)</f>
        <v/>
      </c>
      <c r="I1003" s="208">
        <f>EXP(SUMPRODUCT((rl_eff&lt;$B1003)*(rl_key=$A$994)*rl_ln1p))</f>
        <v/>
      </c>
      <c r="J1003" s="208">
        <f>EXP(SUMPRODUCT((rl_eff&lt;=$C1003)*(rl_key=$A$994)*rl_ln1p))</f>
        <v/>
      </c>
      <c r="K1003" s="201">
        <f>COUNTIFS(rl_key,$A$994,rl_eff,"&gt;="&amp;$B1003,rl_eff,"&lt;="&amp;$C1003)</f>
        <v/>
      </c>
      <c r="L1003" s="201">
        <f>SUMIFS(rl_daysafter,rl_key,$A$994,rl_effmonth,$B1003,rl_first,1)</f>
        <v/>
      </c>
      <c r="M1003" s="209">
        <f>IF($K1003=0,0,MIN(1,$L1003/$D1003))</f>
        <v/>
      </c>
      <c r="N1003" s="208">
        <f>IF($K1003=0,$J1003,(1-$M1003)*$I1003+$M1003*$J1003)</f>
        <v/>
      </c>
      <c r="O1003" s="209">
        <f>IF($F1003&lt;$B$995,$E$995+$I$995*($F1003-$A$995),IF($F1003&lt;$C$995,$F$995+$J$995*($F1003-$B$995),$G$995+$K$995*($F1003-$C$995)))</f>
        <v/>
      </c>
      <c r="P1003" s="208">
        <f>MIN(1,MAX(0,(nr_MEndPm1-$G1003+0.5)/$C$994))-MIN(1,MAX(0,(nr_MStartPm1-1-$G1003+0.5)/$C$994))</f>
        <v/>
      </c>
      <c r="Q1003" s="208">
        <f>MIN(1,MAX(0,(nr_MEndP-$G1003+0.5)/$C$994))-MIN(1,MAX(0,(nr_MStartP-1-$G1003+0.5)/$C$994))</f>
        <v/>
      </c>
      <c r="R1003" s="208">
        <f>MIN(1,MAX(0,(nr_MEndP1-$G1003+0.5)/$C$994))-MIN(1,MAX(0,(nr_MStartP1-1-$G1003+0.5)/$C$994))</f>
        <v/>
      </c>
      <c r="S1003" s="208">
        <f>IF($L$994,$N1003*IF($O$994=1,$O1003/$F$994,1),"")</f>
        <v/>
      </c>
      <c r="T1003" s="208">
        <f>IF(NOT($L$994),"",IF($G1003&lt;nr_MStartP,$S1003,$T991*(1+IF($G1003&lt;nr_MStartP1,$M$994,$N$994))))</f>
        <v/>
      </c>
      <c r="U1003" s="208">
        <f>IF($L$994,$T1003,$N1003)</f>
        <v/>
      </c>
    </row>
    <row r="1004">
      <c r="A1004" s="145" t="n">
        <v>8</v>
      </c>
      <c r="B1004" s="204">
        <f>EDATE($B1003,1)</f>
        <v/>
      </c>
      <c r="C1004" s="205">
        <f>EOMONTH($B1004,0)</f>
        <v/>
      </c>
      <c r="D1004" s="201">
        <f>$C1004-$B1004+1</f>
        <v/>
      </c>
      <c r="E1004" s="201">
        <f>MONTH($B1004)</f>
        <v/>
      </c>
      <c r="F1004" s="235">
        <f>($B1004+$C1004+1)/2</f>
        <v/>
      </c>
      <c r="G1004" s="201">
        <f>YEAR($B1004)*12+MONTH($B1004)-1</f>
        <v/>
      </c>
      <c r="H1004" s="207">
        <f>IF(OR(nr_SeasonOn="OFF",$D$994=0,$E$994=0),1,12*INDEX(se_block,$D$994,$E1004)/$E$994)</f>
        <v/>
      </c>
      <c r="I1004" s="208">
        <f>EXP(SUMPRODUCT((rl_eff&lt;$B1004)*(rl_key=$A$994)*rl_ln1p))</f>
        <v/>
      </c>
      <c r="J1004" s="208">
        <f>EXP(SUMPRODUCT((rl_eff&lt;=$C1004)*(rl_key=$A$994)*rl_ln1p))</f>
        <v/>
      </c>
      <c r="K1004" s="201">
        <f>COUNTIFS(rl_key,$A$994,rl_eff,"&gt;="&amp;$B1004,rl_eff,"&lt;="&amp;$C1004)</f>
        <v/>
      </c>
      <c r="L1004" s="201">
        <f>SUMIFS(rl_daysafter,rl_key,$A$994,rl_effmonth,$B1004,rl_first,1)</f>
        <v/>
      </c>
      <c r="M1004" s="209">
        <f>IF($K1004=0,0,MIN(1,$L1004/$D1004))</f>
        <v/>
      </c>
      <c r="N1004" s="208">
        <f>IF($K1004=0,$J1004,(1-$M1004)*$I1004+$M1004*$J1004)</f>
        <v/>
      </c>
      <c r="O1004" s="209">
        <f>IF($F1004&lt;$B$995,$E$995+$I$995*($F1004-$A$995),IF($F1004&lt;$C$995,$F$995+$J$995*($F1004-$B$995),$G$995+$K$995*($F1004-$C$995)))</f>
        <v/>
      </c>
      <c r="P1004" s="208">
        <f>MIN(1,MAX(0,(nr_MEndPm1-$G1004+0.5)/$C$994))-MIN(1,MAX(0,(nr_MStartPm1-1-$G1004+0.5)/$C$994))</f>
        <v/>
      </c>
      <c r="Q1004" s="208">
        <f>MIN(1,MAX(0,(nr_MEndP-$G1004+0.5)/$C$994))-MIN(1,MAX(0,(nr_MStartP-1-$G1004+0.5)/$C$994))</f>
        <v/>
      </c>
      <c r="R1004" s="208">
        <f>MIN(1,MAX(0,(nr_MEndP1-$G1004+0.5)/$C$994))-MIN(1,MAX(0,(nr_MStartP1-1-$G1004+0.5)/$C$994))</f>
        <v/>
      </c>
      <c r="S1004" s="208">
        <f>IF($L$994,$N1004*IF($O$994=1,$O1004/$F$994,1),"")</f>
        <v/>
      </c>
      <c r="T1004" s="208">
        <f>IF(NOT($L$994),"",IF($G1004&lt;nr_MStartP,$S1004,$T992*(1+IF($G1004&lt;nr_MStartP1,$M$994,$N$994))))</f>
        <v/>
      </c>
      <c r="U1004" s="208">
        <f>IF($L$994,$T1004,$N1004)</f>
        <v/>
      </c>
    </row>
    <row r="1005">
      <c r="A1005" s="145" t="n">
        <v>9</v>
      </c>
      <c r="B1005" s="204">
        <f>EDATE($B1004,1)</f>
        <v/>
      </c>
      <c r="C1005" s="205">
        <f>EOMONTH($B1005,0)</f>
        <v/>
      </c>
      <c r="D1005" s="201">
        <f>$C1005-$B1005+1</f>
        <v/>
      </c>
      <c r="E1005" s="201">
        <f>MONTH($B1005)</f>
        <v/>
      </c>
      <c r="F1005" s="235">
        <f>($B1005+$C1005+1)/2</f>
        <v/>
      </c>
      <c r="G1005" s="201">
        <f>YEAR($B1005)*12+MONTH($B1005)-1</f>
        <v/>
      </c>
      <c r="H1005" s="207">
        <f>IF(OR(nr_SeasonOn="OFF",$D$994=0,$E$994=0),1,12*INDEX(se_block,$D$994,$E1005)/$E$994)</f>
        <v/>
      </c>
      <c r="I1005" s="208">
        <f>EXP(SUMPRODUCT((rl_eff&lt;$B1005)*(rl_key=$A$994)*rl_ln1p))</f>
        <v/>
      </c>
      <c r="J1005" s="208">
        <f>EXP(SUMPRODUCT((rl_eff&lt;=$C1005)*(rl_key=$A$994)*rl_ln1p))</f>
        <v/>
      </c>
      <c r="K1005" s="201">
        <f>COUNTIFS(rl_key,$A$994,rl_eff,"&gt;="&amp;$B1005,rl_eff,"&lt;="&amp;$C1005)</f>
        <v/>
      </c>
      <c r="L1005" s="201">
        <f>SUMIFS(rl_daysafter,rl_key,$A$994,rl_effmonth,$B1005,rl_first,1)</f>
        <v/>
      </c>
      <c r="M1005" s="209">
        <f>IF($K1005=0,0,MIN(1,$L1005/$D1005))</f>
        <v/>
      </c>
      <c r="N1005" s="208">
        <f>IF($K1005=0,$J1005,(1-$M1005)*$I1005+$M1005*$J1005)</f>
        <v/>
      </c>
      <c r="O1005" s="209">
        <f>IF($F1005&lt;$B$995,$E$995+$I$995*($F1005-$A$995),IF($F1005&lt;$C$995,$F$995+$J$995*($F1005-$B$995),$G$995+$K$995*($F1005-$C$995)))</f>
        <v/>
      </c>
      <c r="P1005" s="208">
        <f>MIN(1,MAX(0,(nr_MEndPm1-$G1005+0.5)/$C$994))-MIN(1,MAX(0,(nr_MStartPm1-1-$G1005+0.5)/$C$994))</f>
        <v/>
      </c>
      <c r="Q1005" s="208">
        <f>MIN(1,MAX(0,(nr_MEndP-$G1005+0.5)/$C$994))-MIN(1,MAX(0,(nr_MStartP-1-$G1005+0.5)/$C$994))</f>
        <v/>
      </c>
      <c r="R1005" s="208">
        <f>MIN(1,MAX(0,(nr_MEndP1-$G1005+0.5)/$C$994))-MIN(1,MAX(0,(nr_MStartP1-1-$G1005+0.5)/$C$994))</f>
        <v/>
      </c>
      <c r="S1005" s="208">
        <f>IF($L$994,$N1005*IF($O$994=1,$O1005/$F$994,1),"")</f>
        <v/>
      </c>
      <c r="T1005" s="208">
        <f>IF(NOT($L$994),"",IF($G1005&lt;nr_MStartP,$S1005,$T993*(1+IF($G1005&lt;nr_MStartP1,$M$994,$N$994))))</f>
        <v/>
      </c>
      <c r="U1005" s="208">
        <f>IF($L$994,$T1005,$N1005)</f>
        <v/>
      </c>
    </row>
    <row r="1006">
      <c r="A1006" s="145" t="n">
        <v>10</v>
      </c>
      <c r="B1006" s="204">
        <f>EDATE($B1005,1)</f>
        <v/>
      </c>
      <c r="C1006" s="205">
        <f>EOMONTH($B1006,0)</f>
        <v/>
      </c>
      <c r="D1006" s="201">
        <f>$C1006-$B1006+1</f>
        <v/>
      </c>
      <c r="E1006" s="201">
        <f>MONTH($B1006)</f>
        <v/>
      </c>
      <c r="F1006" s="235">
        <f>($B1006+$C1006+1)/2</f>
        <v/>
      </c>
      <c r="G1006" s="201">
        <f>YEAR($B1006)*12+MONTH($B1006)-1</f>
        <v/>
      </c>
      <c r="H1006" s="207">
        <f>IF(OR(nr_SeasonOn="OFF",$D$994=0,$E$994=0),1,12*INDEX(se_block,$D$994,$E1006)/$E$994)</f>
        <v/>
      </c>
      <c r="I1006" s="208">
        <f>EXP(SUMPRODUCT((rl_eff&lt;$B1006)*(rl_key=$A$994)*rl_ln1p))</f>
        <v/>
      </c>
      <c r="J1006" s="208">
        <f>EXP(SUMPRODUCT((rl_eff&lt;=$C1006)*(rl_key=$A$994)*rl_ln1p))</f>
        <v/>
      </c>
      <c r="K1006" s="201">
        <f>COUNTIFS(rl_key,$A$994,rl_eff,"&gt;="&amp;$B1006,rl_eff,"&lt;="&amp;$C1006)</f>
        <v/>
      </c>
      <c r="L1006" s="201">
        <f>SUMIFS(rl_daysafter,rl_key,$A$994,rl_effmonth,$B1006,rl_first,1)</f>
        <v/>
      </c>
      <c r="M1006" s="209">
        <f>IF($K1006=0,0,MIN(1,$L1006/$D1006))</f>
        <v/>
      </c>
      <c r="N1006" s="208">
        <f>IF($K1006=0,$J1006,(1-$M1006)*$I1006+$M1006*$J1006)</f>
        <v/>
      </c>
      <c r="O1006" s="209">
        <f>IF($F1006&lt;$B$995,$E$995+$I$995*($F1006-$A$995),IF($F1006&lt;$C$995,$F$995+$J$995*($F1006-$B$995),$G$995+$K$995*($F1006-$C$995)))</f>
        <v/>
      </c>
      <c r="P1006" s="208">
        <f>MIN(1,MAX(0,(nr_MEndPm1-$G1006+0.5)/$C$994))-MIN(1,MAX(0,(nr_MStartPm1-1-$G1006+0.5)/$C$994))</f>
        <v/>
      </c>
      <c r="Q1006" s="208">
        <f>MIN(1,MAX(0,(nr_MEndP-$G1006+0.5)/$C$994))-MIN(1,MAX(0,(nr_MStartP-1-$G1006+0.5)/$C$994))</f>
        <v/>
      </c>
      <c r="R1006" s="208">
        <f>MIN(1,MAX(0,(nr_MEndP1-$G1006+0.5)/$C$994))-MIN(1,MAX(0,(nr_MStartP1-1-$G1006+0.5)/$C$994))</f>
        <v/>
      </c>
      <c r="S1006" s="208">
        <f>IF($L$994,$N1006*IF($O$994=1,$O1006/$F$994,1),"")</f>
        <v/>
      </c>
      <c r="T1006" s="208">
        <f>IF(NOT($L$994),"",IF($G1006&lt;nr_MStartP,$S1006,$T994*(1+IF($G1006&lt;nr_MStartP1,$M$994,$N$994))))</f>
        <v/>
      </c>
      <c r="U1006" s="208">
        <f>IF($L$994,$T1006,$N1006)</f>
        <v/>
      </c>
    </row>
    <row r="1007">
      <c r="A1007" s="145" t="n">
        <v>11</v>
      </c>
      <c r="B1007" s="204">
        <f>EDATE($B1006,1)</f>
        <v/>
      </c>
      <c r="C1007" s="205">
        <f>EOMONTH($B1007,0)</f>
        <v/>
      </c>
      <c r="D1007" s="201">
        <f>$C1007-$B1007+1</f>
        <v/>
      </c>
      <c r="E1007" s="201">
        <f>MONTH($B1007)</f>
        <v/>
      </c>
      <c r="F1007" s="235">
        <f>($B1007+$C1007+1)/2</f>
        <v/>
      </c>
      <c r="G1007" s="201">
        <f>YEAR($B1007)*12+MONTH($B1007)-1</f>
        <v/>
      </c>
      <c r="H1007" s="207">
        <f>IF(OR(nr_SeasonOn="OFF",$D$994=0,$E$994=0),1,12*INDEX(se_block,$D$994,$E1007)/$E$994)</f>
        <v/>
      </c>
      <c r="I1007" s="208">
        <f>EXP(SUMPRODUCT((rl_eff&lt;$B1007)*(rl_key=$A$994)*rl_ln1p))</f>
        <v/>
      </c>
      <c r="J1007" s="208">
        <f>EXP(SUMPRODUCT((rl_eff&lt;=$C1007)*(rl_key=$A$994)*rl_ln1p))</f>
        <v/>
      </c>
      <c r="K1007" s="201">
        <f>COUNTIFS(rl_key,$A$994,rl_eff,"&gt;="&amp;$B1007,rl_eff,"&lt;="&amp;$C1007)</f>
        <v/>
      </c>
      <c r="L1007" s="201">
        <f>SUMIFS(rl_daysafter,rl_key,$A$994,rl_effmonth,$B1007,rl_first,1)</f>
        <v/>
      </c>
      <c r="M1007" s="209">
        <f>IF($K1007=0,0,MIN(1,$L1007/$D1007))</f>
        <v/>
      </c>
      <c r="N1007" s="208">
        <f>IF($K1007=0,$J1007,(1-$M1007)*$I1007+$M1007*$J1007)</f>
        <v/>
      </c>
      <c r="O1007" s="209">
        <f>IF($F1007&lt;$B$995,$E$995+$I$995*($F1007-$A$995),IF($F1007&lt;$C$995,$F$995+$J$995*($F1007-$B$995),$G$995+$K$995*($F1007-$C$995)))</f>
        <v/>
      </c>
      <c r="P1007" s="208">
        <f>MIN(1,MAX(0,(nr_MEndPm1-$G1007+0.5)/$C$994))-MIN(1,MAX(0,(nr_MStartPm1-1-$G1007+0.5)/$C$994))</f>
        <v/>
      </c>
      <c r="Q1007" s="208">
        <f>MIN(1,MAX(0,(nr_MEndP-$G1007+0.5)/$C$994))-MIN(1,MAX(0,(nr_MStartP-1-$G1007+0.5)/$C$994))</f>
        <v/>
      </c>
      <c r="R1007" s="208">
        <f>MIN(1,MAX(0,(nr_MEndP1-$G1007+0.5)/$C$994))-MIN(1,MAX(0,(nr_MStartP1-1-$G1007+0.5)/$C$994))</f>
        <v/>
      </c>
      <c r="S1007" s="208">
        <f>IF($L$994,$N1007*IF($O$994=1,$O1007/$F$994,1),"")</f>
        <v/>
      </c>
      <c r="T1007" s="208">
        <f>IF(NOT($L$994),"",IF($G1007&lt;nr_MStartP,$S1007,$T995*(1+IF($G1007&lt;nr_MStartP1,$M$994,$N$994))))</f>
        <v/>
      </c>
      <c r="U1007" s="208">
        <f>IF($L$994,$T1007,$N1007)</f>
        <v/>
      </c>
    </row>
    <row r="1008">
      <c r="A1008" s="145" t="n">
        <v>12</v>
      </c>
      <c r="B1008" s="204">
        <f>EDATE($B1007,1)</f>
        <v/>
      </c>
      <c r="C1008" s="205">
        <f>EOMONTH($B1008,0)</f>
        <v/>
      </c>
      <c r="D1008" s="201">
        <f>$C1008-$B1008+1</f>
        <v/>
      </c>
      <c r="E1008" s="201">
        <f>MONTH($B1008)</f>
        <v/>
      </c>
      <c r="F1008" s="235">
        <f>($B1008+$C1008+1)/2</f>
        <v/>
      </c>
      <c r="G1008" s="201">
        <f>YEAR($B1008)*12+MONTH($B1008)-1</f>
        <v/>
      </c>
      <c r="H1008" s="207">
        <f>IF(OR(nr_SeasonOn="OFF",$D$994=0,$E$994=0),1,12*INDEX(se_block,$D$994,$E1008)/$E$994)</f>
        <v/>
      </c>
      <c r="I1008" s="208">
        <f>EXP(SUMPRODUCT((rl_eff&lt;$B1008)*(rl_key=$A$994)*rl_ln1p))</f>
        <v/>
      </c>
      <c r="J1008" s="208">
        <f>EXP(SUMPRODUCT((rl_eff&lt;=$C1008)*(rl_key=$A$994)*rl_ln1p))</f>
        <v/>
      </c>
      <c r="K1008" s="201">
        <f>COUNTIFS(rl_key,$A$994,rl_eff,"&gt;="&amp;$B1008,rl_eff,"&lt;="&amp;$C1008)</f>
        <v/>
      </c>
      <c r="L1008" s="201">
        <f>SUMIFS(rl_daysafter,rl_key,$A$994,rl_effmonth,$B1008,rl_first,1)</f>
        <v/>
      </c>
      <c r="M1008" s="209">
        <f>IF($K1008=0,0,MIN(1,$L1008/$D1008))</f>
        <v/>
      </c>
      <c r="N1008" s="208">
        <f>IF($K1008=0,$J1008,(1-$M1008)*$I1008+$M1008*$J1008)</f>
        <v/>
      </c>
      <c r="O1008" s="209">
        <f>IF($F1008&lt;$B$995,$E$995+$I$995*($F1008-$A$995),IF($F1008&lt;$C$995,$F$995+$J$995*($F1008-$B$995),$G$995+$K$995*($F1008-$C$995)))</f>
        <v/>
      </c>
      <c r="P1008" s="208">
        <f>MIN(1,MAX(0,(nr_MEndPm1-$G1008+0.5)/$C$994))-MIN(1,MAX(0,(nr_MStartPm1-1-$G1008+0.5)/$C$994))</f>
        <v/>
      </c>
      <c r="Q1008" s="208">
        <f>MIN(1,MAX(0,(nr_MEndP-$G1008+0.5)/$C$994))-MIN(1,MAX(0,(nr_MStartP-1-$G1008+0.5)/$C$994))</f>
        <v/>
      </c>
      <c r="R1008" s="208">
        <f>MIN(1,MAX(0,(nr_MEndP1-$G1008+0.5)/$C$994))-MIN(1,MAX(0,(nr_MStartP1-1-$G1008+0.5)/$C$994))</f>
        <v/>
      </c>
      <c r="S1008" s="208">
        <f>IF($L$994,$N1008*IF($O$994=1,$O1008/$F$994,1),"")</f>
        <v/>
      </c>
      <c r="T1008" s="208">
        <f>IF(NOT($L$994),"",IF($G1008&lt;nr_MStartP,$S1008,$T996*(1+IF($G1008&lt;nr_MStartP1,$M$994,$N$994))))</f>
        <v/>
      </c>
      <c r="U1008" s="208">
        <f>IF($L$994,$T1008,$N1008)</f>
        <v/>
      </c>
    </row>
    <row r="1009">
      <c r="A1009" s="145" t="n">
        <v>13</v>
      </c>
      <c r="B1009" s="204">
        <f>EDATE($B1008,1)</f>
        <v/>
      </c>
      <c r="C1009" s="205">
        <f>EOMONTH($B1009,0)</f>
        <v/>
      </c>
      <c r="D1009" s="201">
        <f>$C1009-$B1009+1</f>
        <v/>
      </c>
      <c r="E1009" s="201">
        <f>MONTH($B1009)</f>
        <v/>
      </c>
      <c r="F1009" s="235">
        <f>($B1009+$C1009+1)/2</f>
        <v/>
      </c>
      <c r="G1009" s="201">
        <f>YEAR($B1009)*12+MONTH($B1009)-1</f>
        <v/>
      </c>
      <c r="H1009" s="207">
        <f>IF(OR(nr_SeasonOn="OFF",$D$994=0,$E$994=0),1,12*INDEX(se_block,$D$994,$E1009)/$E$994)</f>
        <v/>
      </c>
      <c r="I1009" s="208">
        <f>EXP(SUMPRODUCT((rl_eff&lt;$B1009)*(rl_key=$A$994)*rl_ln1p))</f>
        <v/>
      </c>
      <c r="J1009" s="208">
        <f>EXP(SUMPRODUCT((rl_eff&lt;=$C1009)*(rl_key=$A$994)*rl_ln1p))</f>
        <v/>
      </c>
      <c r="K1009" s="201">
        <f>COUNTIFS(rl_key,$A$994,rl_eff,"&gt;="&amp;$B1009,rl_eff,"&lt;="&amp;$C1009)</f>
        <v/>
      </c>
      <c r="L1009" s="201">
        <f>SUMIFS(rl_daysafter,rl_key,$A$994,rl_effmonth,$B1009,rl_first,1)</f>
        <v/>
      </c>
      <c r="M1009" s="209">
        <f>IF($K1009=0,0,MIN(1,$L1009/$D1009))</f>
        <v/>
      </c>
      <c r="N1009" s="208">
        <f>IF($K1009=0,$J1009,(1-$M1009)*$I1009+$M1009*$J1009)</f>
        <v/>
      </c>
      <c r="O1009" s="209">
        <f>IF($F1009&lt;$B$995,$E$995+$I$995*($F1009-$A$995),IF($F1009&lt;$C$995,$F$995+$J$995*($F1009-$B$995),$G$995+$K$995*($F1009-$C$995)))</f>
        <v/>
      </c>
      <c r="P1009" s="208">
        <f>MIN(1,MAX(0,(nr_MEndPm1-$G1009+0.5)/$C$994))-MIN(1,MAX(0,(nr_MStartPm1-1-$G1009+0.5)/$C$994))</f>
        <v/>
      </c>
      <c r="Q1009" s="208">
        <f>MIN(1,MAX(0,(nr_MEndP-$G1009+0.5)/$C$994))-MIN(1,MAX(0,(nr_MStartP-1-$G1009+0.5)/$C$994))</f>
        <v/>
      </c>
      <c r="R1009" s="208">
        <f>MIN(1,MAX(0,(nr_MEndP1-$G1009+0.5)/$C$994))-MIN(1,MAX(0,(nr_MStartP1-1-$G1009+0.5)/$C$994))</f>
        <v/>
      </c>
      <c r="S1009" s="208">
        <f>IF($L$994,$N1009*IF($O$994=1,$O1009/$F$994,1),"")</f>
        <v/>
      </c>
      <c r="T1009" s="208">
        <f>IF(NOT($L$994),"",IF($G1009&lt;nr_MStartP,$S1009,$T997*(1+IF($G1009&lt;nr_MStartP1,$M$994,$N$994))))</f>
        <v/>
      </c>
      <c r="U1009" s="208">
        <f>IF($L$994,$T1009,$N1009)</f>
        <v/>
      </c>
    </row>
    <row r="1010">
      <c r="A1010" s="145" t="n">
        <v>14</v>
      </c>
      <c r="B1010" s="204">
        <f>EDATE($B1009,1)</f>
        <v/>
      </c>
      <c r="C1010" s="205">
        <f>EOMONTH($B1010,0)</f>
        <v/>
      </c>
      <c r="D1010" s="201">
        <f>$C1010-$B1010+1</f>
        <v/>
      </c>
      <c r="E1010" s="201">
        <f>MONTH($B1010)</f>
        <v/>
      </c>
      <c r="F1010" s="235">
        <f>($B1010+$C1010+1)/2</f>
        <v/>
      </c>
      <c r="G1010" s="201">
        <f>YEAR($B1010)*12+MONTH($B1010)-1</f>
        <v/>
      </c>
      <c r="H1010" s="207">
        <f>IF(OR(nr_SeasonOn="OFF",$D$994=0,$E$994=0),1,12*INDEX(se_block,$D$994,$E1010)/$E$994)</f>
        <v/>
      </c>
      <c r="I1010" s="208">
        <f>EXP(SUMPRODUCT((rl_eff&lt;$B1010)*(rl_key=$A$994)*rl_ln1p))</f>
        <v/>
      </c>
      <c r="J1010" s="208">
        <f>EXP(SUMPRODUCT((rl_eff&lt;=$C1010)*(rl_key=$A$994)*rl_ln1p))</f>
        <v/>
      </c>
      <c r="K1010" s="201">
        <f>COUNTIFS(rl_key,$A$994,rl_eff,"&gt;="&amp;$B1010,rl_eff,"&lt;="&amp;$C1010)</f>
        <v/>
      </c>
      <c r="L1010" s="201">
        <f>SUMIFS(rl_daysafter,rl_key,$A$994,rl_effmonth,$B1010,rl_first,1)</f>
        <v/>
      </c>
      <c r="M1010" s="209">
        <f>IF($K1010=0,0,MIN(1,$L1010/$D1010))</f>
        <v/>
      </c>
      <c r="N1010" s="208">
        <f>IF($K1010=0,$J1010,(1-$M1010)*$I1010+$M1010*$J1010)</f>
        <v/>
      </c>
      <c r="O1010" s="209">
        <f>IF($F1010&lt;$B$995,$E$995+$I$995*($F1010-$A$995),IF($F1010&lt;$C$995,$F$995+$J$995*($F1010-$B$995),$G$995+$K$995*($F1010-$C$995)))</f>
        <v/>
      </c>
      <c r="P1010" s="208">
        <f>MIN(1,MAX(0,(nr_MEndPm1-$G1010+0.5)/$C$994))-MIN(1,MAX(0,(nr_MStartPm1-1-$G1010+0.5)/$C$994))</f>
        <v/>
      </c>
      <c r="Q1010" s="208">
        <f>MIN(1,MAX(0,(nr_MEndP-$G1010+0.5)/$C$994))-MIN(1,MAX(0,(nr_MStartP-1-$G1010+0.5)/$C$994))</f>
        <v/>
      </c>
      <c r="R1010" s="208">
        <f>MIN(1,MAX(0,(nr_MEndP1-$G1010+0.5)/$C$994))-MIN(1,MAX(0,(nr_MStartP1-1-$G1010+0.5)/$C$994))</f>
        <v/>
      </c>
      <c r="S1010" s="208">
        <f>IF($L$994,$N1010*IF($O$994=1,$O1010/$F$994,1),"")</f>
        <v/>
      </c>
      <c r="T1010" s="208">
        <f>IF(NOT($L$994),"",IF($G1010&lt;nr_MStartP,$S1010,$T998*(1+IF($G1010&lt;nr_MStartP1,$M$994,$N$994))))</f>
        <v/>
      </c>
      <c r="U1010" s="208">
        <f>IF($L$994,$T1010,$N1010)</f>
        <v/>
      </c>
    </row>
    <row r="1011">
      <c r="A1011" s="145" t="n">
        <v>15</v>
      </c>
      <c r="B1011" s="204">
        <f>EDATE($B1010,1)</f>
        <v/>
      </c>
      <c r="C1011" s="205">
        <f>EOMONTH($B1011,0)</f>
        <v/>
      </c>
      <c r="D1011" s="201">
        <f>$C1011-$B1011+1</f>
        <v/>
      </c>
      <c r="E1011" s="201">
        <f>MONTH($B1011)</f>
        <v/>
      </c>
      <c r="F1011" s="235">
        <f>($B1011+$C1011+1)/2</f>
        <v/>
      </c>
      <c r="G1011" s="201">
        <f>YEAR($B1011)*12+MONTH($B1011)-1</f>
        <v/>
      </c>
      <c r="H1011" s="207">
        <f>IF(OR(nr_SeasonOn="OFF",$D$994=0,$E$994=0),1,12*INDEX(se_block,$D$994,$E1011)/$E$994)</f>
        <v/>
      </c>
      <c r="I1011" s="208">
        <f>EXP(SUMPRODUCT((rl_eff&lt;$B1011)*(rl_key=$A$994)*rl_ln1p))</f>
        <v/>
      </c>
      <c r="J1011" s="208">
        <f>EXP(SUMPRODUCT((rl_eff&lt;=$C1011)*(rl_key=$A$994)*rl_ln1p))</f>
        <v/>
      </c>
      <c r="K1011" s="201">
        <f>COUNTIFS(rl_key,$A$994,rl_eff,"&gt;="&amp;$B1011,rl_eff,"&lt;="&amp;$C1011)</f>
        <v/>
      </c>
      <c r="L1011" s="201">
        <f>SUMIFS(rl_daysafter,rl_key,$A$994,rl_effmonth,$B1011,rl_first,1)</f>
        <v/>
      </c>
      <c r="M1011" s="209">
        <f>IF($K1011=0,0,MIN(1,$L1011/$D1011))</f>
        <v/>
      </c>
      <c r="N1011" s="208">
        <f>IF($K1011=0,$J1011,(1-$M1011)*$I1011+$M1011*$J1011)</f>
        <v/>
      </c>
      <c r="O1011" s="209">
        <f>IF($F1011&lt;$B$995,$E$995+$I$995*($F1011-$A$995),IF($F1011&lt;$C$995,$F$995+$J$995*($F1011-$B$995),$G$995+$K$995*($F1011-$C$995)))</f>
        <v/>
      </c>
      <c r="P1011" s="208">
        <f>MIN(1,MAX(0,(nr_MEndPm1-$G1011+0.5)/$C$994))-MIN(1,MAX(0,(nr_MStartPm1-1-$G1011+0.5)/$C$994))</f>
        <v/>
      </c>
      <c r="Q1011" s="208">
        <f>MIN(1,MAX(0,(nr_MEndP-$G1011+0.5)/$C$994))-MIN(1,MAX(0,(nr_MStartP-1-$G1011+0.5)/$C$994))</f>
        <v/>
      </c>
      <c r="R1011" s="208">
        <f>MIN(1,MAX(0,(nr_MEndP1-$G1011+0.5)/$C$994))-MIN(1,MAX(0,(nr_MStartP1-1-$G1011+0.5)/$C$994))</f>
        <v/>
      </c>
      <c r="S1011" s="208">
        <f>IF($L$994,$N1011*IF($O$994=1,$O1011/$F$994,1),"")</f>
        <v/>
      </c>
      <c r="T1011" s="208">
        <f>IF(NOT($L$994),"",IF($G1011&lt;nr_MStartP,$S1011,$T999*(1+IF($G1011&lt;nr_MStartP1,$M$994,$N$994))))</f>
        <v/>
      </c>
      <c r="U1011" s="208">
        <f>IF($L$994,$T1011,$N1011)</f>
        <v/>
      </c>
    </row>
    <row r="1012">
      <c r="A1012" s="145" t="n">
        <v>16</v>
      </c>
      <c r="B1012" s="204">
        <f>EDATE($B1011,1)</f>
        <v/>
      </c>
      <c r="C1012" s="205">
        <f>EOMONTH($B1012,0)</f>
        <v/>
      </c>
      <c r="D1012" s="201">
        <f>$C1012-$B1012+1</f>
        <v/>
      </c>
      <c r="E1012" s="201">
        <f>MONTH($B1012)</f>
        <v/>
      </c>
      <c r="F1012" s="235">
        <f>($B1012+$C1012+1)/2</f>
        <v/>
      </c>
      <c r="G1012" s="201">
        <f>YEAR($B1012)*12+MONTH($B1012)-1</f>
        <v/>
      </c>
      <c r="H1012" s="207">
        <f>IF(OR(nr_SeasonOn="OFF",$D$994=0,$E$994=0),1,12*INDEX(se_block,$D$994,$E1012)/$E$994)</f>
        <v/>
      </c>
      <c r="I1012" s="208">
        <f>EXP(SUMPRODUCT((rl_eff&lt;$B1012)*(rl_key=$A$994)*rl_ln1p))</f>
        <v/>
      </c>
      <c r="J1012" s="208">
        <f>EXP(SUMPRODUCT((rl_eff&lt;=$C1012)*(rl_key=$A$994)*rl_ln1p))</f>
        <v/>
      </c>
      <c r="K1012" s="201">
        <f>COUNTIFS(rl_key,$A$994,rl_eff,"&gt;="&amp;$B1012,rl_eff,"&lt;="&amp;$C1012)</f>
        <v/>
      </c>
      <c r="L1012" s="201">
        <f>SUMIFS(rl_daysafter,rl_key,$A$994,rl_effmonth,$B1012,rl_first,1)</f>
        <v/>
      </c>
      <c r="M1012" s="209">
        <f>IF($K1012=0,0,MIN(1,$L1012/$D1012))</f>
        <v/>
      </c>
      <c r="N1012" s="208">
        <f>IF($K1012=0,$J1012,(1-$M1012)*$I1012+$M1012*$J1012)</f>
        <v/>
      </c>
      <c r="O1012" s="209">
        <f>IF($F1012&lt;$B$995,$E$995+$I$995*($F1012-$A$995),IF($F1012&lt;$C$995,$F$995+$J$995*($F1012-$B$995),$G$995+$K$995*($F1012-$C$995)))</f>
        <v/>
      </c>
      <c r="P1012" s="208">
        <f>MIN(1,MAX(0,(nr_MEndPm1-$G1012+0.5)/$C$994))-MIN(1,MAX(0,(nr_MStartPm1-1-$G1012+0.5)/$C$994))</f>
        <v/>
      </c>
      <c r="Q1012" s="208">
        <f>MIN(1,MAX(0,(nr_MEndP-$G1012+0.5)/$C$994))-MIN(1,MAX(0,(nr_MStartP-1-$G1012+0.5)/$C$994))</f>
        <v/>
      </c>
      <c r="R1012" s="208">
        <f>MIN(1,MAX(0,(nr_MEndP1-$G1012+0.5)/$C$994))-MIN(1,MAX(0,(nr_MStartP1-1-$G1012+0.5)/$C$994))</f>
        <v/>
      </c>
      <c r="S1012" s="208">
        <f>IF($L$994,$N1012*IF($O$994=1,$O1012/$F$994,1),"")</f>
        <v/>
      </c>
      <c r="T1012" s="208">
        <f>IF(NOT($L$994),"",IF($G1012&lt;nr_MStartP,$S1012,$T1000*(1+IF($G1012&lt;nr_MStartP1,$M$994,$N$994))))</f>
        <v/>
      </c>
      <c r="U1012" s="208">
        <f>IF($L$994,$T1012,$N1012)</f>
        <v/>
      </c>
    </row>
    <row r="1013">
      <c r="A1013" s="145" t="n">
        <v>17</v>
      </c>
      <c r="B1013" s="204">
        <f>EDATE($B1012,1)</f>
        <v/>
      </c>
      <c r="C1013" s="205">
        <f>EOMONTH($B1013,0)</f>
        <v/>
      </c>
      <c r="D1013" s="201">
        <f>$C1013-$B1013+1</f>
        <v/>
      </c>
      <c r="E1013" s="201">
        <f>MONTH($B1013)</f>
        <v/>
      </c>
      <c r="F1013" s="235">
        <f>($B1013+$C1013+1)/2</f>
        <v/>
      </c>
      <c r="G1013" s="201">
        <f>YEAR($B1013)*12+MONTH($B1013)-1</f>
        <v/>
      </c>
      <c r="H1013" s="207">
        <f>IF(OR(nr_SeasonOn="OFF",$D$994=0,$E$994=0),1,12*INDEX(se_block,$D$994,$E1013)/$E$994)</f>
        <v/>
      </c>
      <c r="I1013" s="208">
        <f>EXP(SUMPRODUCT((rl_eff&lt;$B1013)*(rl_key=$A$994)*rl_ln1p))</f>
        <v/>
      </c>
      <c r="J1013" s="208">
        <f>EXP(SUMPRODUCT((rl_eff&lt;=$C1013)*(rl_key=$A$994)*rl_ln1p))</f>
        <v/>
      </c>
      <c r="K1013" s="201">
        <f>COUNTIFS(rl_key,$A$994,rl_eff,"&gt;="&amp;$B1013,rl_eff,"&lt;="&amp;$C1013)</f>
        <v/>
      </c>
      <c r="L1013" s="201">
        <f>SUMIFS(rl_daysafter,rl_key,$A$994,rl_effmonth,$B1013,rl_first,1)</f>
        <v/>
      </c>
      <c r="M1013" s="209">
        <f>IF($K1013=0,0,MIN(1,$L1013/$D1013))</f>
        <v/>
      </c>
      <c r="N1013" s="208">
        <f>IF($K1013=0,$J1013,(1-$M1013)*$I1013+$M1013*$J1013)</f>
        <v/>
      </c>
      <c r="O1013" s="209">
        <f>IF($F1013&lt;$B$995,$E$995+$I$995*($F1013-$A$995),IF($F1013&lt;$C$995,$F$995+$J$995*($F1013-$B$995),$G$995+$K$995*($F1013-$C$995)))</f>
        <v/>
      </c>
      <c r="P1013" s="208">
        <f>MIN(1,MAX(0,(nr_MEndPm1-$G1013+0.5)/$C$994))-MIN(1,MAX(0,(nr_MStartPm1-1-$G1013+0.5)/$C$994))</f>
        <v/>
      </c>
      <c r="Q1013" s="208">
        <f>MIN(1,MAX(0,(nr_MEndP-$G1013+0.5)/$C$994))-MIN(1,MAX(0,(nr_MStartP-1-$G1013+0.5)/$C$994))</f>
        <v/>
      </c>
      <c r="R1013" s="208">
        <f>MIN(1,MAX(0,(nr_MEndP1-$G1013+0.5)/$C$994))-MIN(1,MAX(0,(nr_MStartP1-1-$G1013+0.5)/$C$994))</f>
        <v/>
      </c>
      <c r="S1013" s="208">
        <f>IF($L$994,$N1013*IF($O$994=1,$O1013/$F$994,1),"")</f>
        <v/>
      </c>
      <c r="T1013" s="208">
        <f>IF(NOT($L$994),"",IF($G1013&lt;nr_MStartP,$S1013,$T1001*(1+IF($G1013&lt;nr_MStartP1,$M$994,$N$994))))</f>
        <v/>
      </c>
      <c r="U1013" s="208">
        <f>IF($L$994,$T1013,$N1013)</f>
        <v/>
      </c>
    </row>
    <row r="1014">
      <c r="A1014" s="145" t="n">
        <v>18</v>
      </c>
      <c r="B1014" s="204">
        <f>EDATE($B1013,1)</f>
        <v/>
      </c>
      <c r="C1014" s="205">
        <f>EOMONTH($B1014,0)</f>
        <v/>
      </c>
      <c r="D1014" s="201">
        <f>$C1014-$B1014+1</f>
        <v/>
      </c>
      <c r="E1014" s="201">
        <f>MONTH($B1014)</f>
        <v/>
      </c>
      <c r="F1014" s="235">
        <f>($B1014+$C1014+1)/2</f>
        <v/>
      </c>
      <c r="G1014" s="201">
        <f>YEAR($B1014)*12+MONTH($B1014)-1</f>
        <v/>
      </c>
      <c r="H1014" s="207">
        <f>IF(OR(nr_SeasonOn="OFF",$D$994=0,$E$994=0),1,12*INDEX(se_block,$D$994,$E1014)/$E$994)</f>
        <v/>
      </c>
      <c r="I1014" s="208">
        <f>EXP(SUMPRODUCT((rl_eff&lt;$B1014)*(rl_key=$A$994)*rl_ln1p))</f>
        <v/>
      </c>
      <c r="J1014" s="208">
        <f>EXP(SUMPRODUCT((rl_eff&lt;=$C1014)*(rl_key=$A$994)*rl_ln1p))</f>
        <v/>
      </c>
      <c r="K1014" s="201">
        <f>COUNTIFS(rl_key,$A$994,rl_eff,"&gt;="&amp;$B1014,rl_eff,"&lt;="&amp;$C1014)</f>
        <v/>
      </c>
      <c r="L1014" s="201">
        <f>SUMIFS(rl_daysafter,rl_key,$A$994,rl_effmonth,$B1014,rl_first,1)</f>
        <v/>
      </c>
      <c r="M1014" s="209">
        <f>IF($K1014=0,0,MIN(1,$L1014/$D1014))</f>
        <v/>
      </c>
      <c r="N1014" s="208">
        <f>IF($K1014=0,$J1014,(1-$M1014)*$I1014+$M1014*$J1014)</f>
        <v/>
      </c>
      <c r="O1014" s="209">
        <f>IF($F1014&lt;$B$995,$E$995+$I$995*($F1014-$A$995),IF($F1014&lt;$C$995,$F$995+$J$995*($F1014-$B$995),$G$995+$K$995*($F1014-$C$995)))</f>
        <v/>
      </c>
      <c r="P1014" s="208">
        <f>MIN(1,MAX(0,(nr_MEndPm1-$G1014+0.5)/$C$994))-MIN(1,MAX(0,(nr_MStartPm1-1-$G1014+0.5)/$C$994))</f>
        <v/>
      </c>
      <c r="Q1014" s="208">
        <f>MIN(1,MAX(0,(nr_MEndP-$G1014+0.5)/$C$994))-MIN(1,MAX(0,(nr_MStartP-1-$G1014+0.5)/$C$994))</f>
        <v/>
      </c>
      <c r="R1014" s="208">
        <f>MIN(1,MAX(0,(nr_MEndP1-$G1014+0.5)/$C$994))-MIN(1,MAX(0,(nr_MStartP1-1-$G1014+0.5)/$C$994))</f>
        <v/>
      </c>
      <c r="S1014" s="208">
        <f>IF($L$994,$N1014*IF($O$994=1,$O1014/$F$994,1),"")</f>
        <v/>
      </c>
      <c r="T1014" s="208">
        <f>IF(NOT($L$994),"",IF($G1014&lt;nr_MStartP,$S1014,$T1002*(1+IF($G1014&lt;nr_MStartP1,$M$994,$N$994))))</f>
        <v/>
      </c>
      <c r="U1014" s="208">
        <f>IF($L$994,$T1014,$N1014)</f>
        <v/>
      </c>
    </row>
    <row r="1015">
      <c r="A1015" s="145" t="n">
        <v>19</v>
      </c>
      <c r="B1015" s="204">
        <f>EDATE($B1014,1)</f>
        <v/>
      </c>
      <c r="C1015" s="205">
        <f>EOMONTH($B1015,0)</f>
        <v/>
      </c>
      <c r="D1015" s="201">
        <f>$C1015-$B1015+1</f>
        <v/>
      </c>
      <c r="E1015" s="201">
        <f>MONTH($B1015)</f>
        <v/>
      </c>
      <c r="F1015" s="235">
        <f>($B1015+$C1015+1)/2</f>
        <v/>
      </c>
      <c r="G1015" s="201">
        <f>YEAR($B1015)*12+MONTH($B1015)-1</f>
        <v/>
      </c>
      <c r="H1015" s="207">
        <f>IF(OR(nr_SeasonOn="OFF",$D$994=0,$E$994=0),1,12*INDEX(se_block,$D$994,$E1015)/$E$994)</f>
        <v/>
      </c>
      <c r="I1015" s="208">
        <f>EXP(SUMPRODUCT((rl_eff&lt;$B1015)*(rl_key=$A$994)*rl_ln1p))</f>
        <v/>
      </c>
      <c r="J1015" s="208">
        <f>EXP(SUMPRODUCT((rl_eff&lt;=$C1015)*(rl_key=$A$994)*rl_ln1p))</f>
        <v/>
      </c>
      <c r="K1015" s="201">
        <f>COUNTIFS(rl_key,$A$994,rl_eff,"&gt;="&amp;$B1015,rl_eff,"&lt;="&amp;$C1015)</f>
        <v/>
      </c>
      <c r="L1015" s="201">
        <f>SUMIFS(rl_daysafter,rl_key,$A$994,rl_effmonth,$B1015,rl_first,1)</f>
        <v/>
      </c>
      <c r="M1015" s="209">
        <f>IF($K1015=0,0,MIN(1,$L1015/$D1015))</f>
        <v/>
      </c>
      <c r="N1015" s="208">
        <f>IF($K1015=0,$J1015,(1-$M1015)*$I1015+$M1015*$J1015)</f>
        <v/>
      </c>
      <c r="O1015" s="209">
        <f>IF($F1015&lt;$B$995,$E$995+$I$995*($F1015-$A$995),IF($F1015&lt;$C$995,$F$995+$J$995*($F1015-$B$995),$G$995+$K$995*($F1015-$C$995)))</f>
        <v/>
      </c>
      <c r="P1015" s="208">
        <f>MIN(1,MAX(0,(nr_MEndPm1-$G1015+0.5)/$C$994))-MIN(1,MAX(0,(nr_MStartPm1-1-$G1015+0.5)/$C$994))</f>
        <v/>
      </c>
      <c r="Q1015" s="208">
        <f>MIN(1,MAX(0,(nr_MEndP-$G1015+0.5)/$C$994))-MIN(1,MAX(0,(nr_MStartP-1-$G1015+0.5)/$C$994))</f>
        <v/>
      </c>
      <c r="R1015" s="208">
        <f>MIN(1,MAX(0,(nr_MEndP1-$G1015+0.5)/$C$994))-MIN(1,MAX(0,(nr_MStartP1-1-$G1015+0.5)/$C$994))</f>
        <v/>
      </c>
      <c r="S1015" s="208">
        <f>IF($L$994,$N1015*IF($O$994=1,$O1015/$F$994,1),"")</f>
        <v/>
      </c>
      <c r="T1015" s="208">
        <f>IF(NOT($L$994),"",IF($G1015&lt;nr_MStartP,$S1015,$T1003*(1+IF($G1015&lt;nr_MStartP1,$M$994,$N$994))))</f>
        <v/>
      </c>
      <c r="U1015" s="208">
        <f>IF($L$994,$T1015,$N1015)</f>
        <v/>
      </c>
    </row>
    <row r="1016">
      <c r="A1016" s="145" t="n">
        <v>20</v>
      </c>
      <c r="B1016" s="204">
        <f>EDATE($B1015,1)</f>
        <v/>
      </c>
      <c r="C1016" s="205">
        <f>EOMONTH($B1016,0)</f>
        <v/>
      </c>
      <c r="D1016" s="201">
        <f>$C1016-$B1016+1</f>
        <v/>
      </c>
      <c r="E1016" s="201">
        <f>MONTH($B1016)</f>
        <v/>
      </c>
      <c r="F1016" s="235">
        <f>($B1016+$C1016+1)/2</f>
        <v/>
      </c>
      <c r="G1016" s="201">
        <f>YEAR($B1016)*12+MONTH($B1016)-1</f>
        <v/>
      </c>
      <c r="H1016" s="207">
        <f>IF(OR(nr_SeasonOn="OFF",$D$994=0,$E$994=0),1,12*INDEX(se_block,$D$994,$E1016)/$E$994)</f>
        <v/>
      </c>
      <c r="I1016" s="208">
        <f>EXP(SUMPRODUCT((rl_eff&lt;$B1016)*(rl_key=$A$994)*rl_ln1p))</f>
        <v/>
      </c>
      <c r="J1016" s="208">
        <f>EXP(SUMPRODUCT((rl_eff&lt;=$C1016)*(rl_key=$A$994)*rl_ln1p))</f>
        <v/>
      </c>
      <c r="K1016" s="201">
        <f>COUNTIFS(rl_key,$A$994,rl_eff,"&gt;="&amp;$B1016,rl_eff,"&lt;="&amp;$C1016)</f>
        <v/>
      </c>
      <c r="L1016" s="201">
        <f>SUMIFS(rl_daysafter,rl_key,$A$994,rl_effmonth,$B1016,rl_first,1)</f>
        <v/>
      </c>
      <c r="M1016" s="209">
        <f>IF($K1016=0,0,MIN(1,$L1016/$D1016))</f>
        <v/>
      </c>
      <c r="N1016" s="208">
        <f>IF($K1016=0,$J1016,(1-$M1016)*$I1016+$M1016*$J1016)</f>
        <v/>
      </c>
      <c r="O1016" s="209">
        <f>IF($F1016&lt;$B$995,$E$995+$I$995*($F1016-$A$995),IF($F1016&lt;$C$995,$F$995+$J$995*($F1016-$B$995),$G$995+$K$995*($F1016-$C$995)))</f>
        <v/>
      </c>
      <c r="P1016" s="208">
        <f>MIN(1,MAX(0,(nr_MEndPm1-$G1016+0.5)/$C$994))-MIN(1,MAX(0,(nr_MStartPm1-1-$G1016+0.5)/$C$994))</f>
        <v/>
      </c>
      <c r="Q1016" s="208">
        <f>MIN(1,MAX(0,(nr_MEndP-$G1016+0.5)/$C$994))-MIN(1,MAX(0,(nr_MStartP-1-$G1016+0.5)/$C$994))</f>
        <v/>
      </c>
      <c r="R1016" s="208">
        <f>MIN(1,MAX(0,(nr_MEndP1-$G1016+0.5)/$C$994))-MIN(1,MAX(0,(nr_MStartP1-1-$G1016+0.5)/$C$994))</f>
        <v/>
      </c>
      <c r="S1016" s="208">
        <f>IF($L$994,$N1016*IF($O$994=1,$O1016/$F$994,1),"")</f>
        <v/>
      </c>
      <c r="T1016" s="208">
        <f>IF(NOT($L$994),"",IF($G1016&lt;nr_MStartP,$S1016,$T1004*(1+IF($G1016&lt;nr_MStartP1,$M$994,$N$994))))</f>
        <v/>
      </c>
      <c r="U1016" s="208">
        <f>IF($L$994,$T1016,$N1016)</f>
        <v/>
      </c>
    </row>
    <row r="1017">
      <c r="A1017" s="145" t="n">
        <v>21</v>
      </c>
      <c r="B1017" s="204">
        <f>EDATE($B1016,1)</f>
        <v/>
      </c>
      <c r="C1017" s="205">
        <f>EOMONTH($B1017,0)</f>
        <v/>
      </c>
      <c r="D1017" s="201">
        <f>$C1017-$B1017+1</f>
        <v/>
      </c>
      <c r="E1017" s="201">
        <f>MONTH($B1017)</f>
        <v/>
      </c>
      <c r="F1017" s="235">
        <f>($B1017+$C1017+1)/2</f>
        <v/>
      </c>
      <c r="G1017" s="201">
        <f>YEAR($B1017)*12+MONTH($B1017)-1</f>
        <v/>
      </c>
      <c r="H1017" s="207">
        <f>IF(OR(nr_SeasonOn="OFF",$D$994=0,$E$994=0),1,12*INDEX(se_block,$D$994,$E1017)/$E$994)</f>
        <v/>
      </c>
      <c r="I1017" s="208">
        <f>EXP(SUMPRODUCT((rl_eff&lt;$B1017)*(rl_key=$A$994)*rl_ln1p))</f>
        <v/>
      </c>
      <c r="J1017" s="208">
        <f>EXP(SUMPRODUCT((rl_eff&lt;=$C1017)*(rl_key=$A$994)*rl_ln1p))</f>
        <v/>
      </c>
      <c r="K1017" s="201">
        <f>COUNTIFS(rl_key,$A$994,rl_eff,"&gt;="&amp;$B1017,rl_eff,"&lt;="&amp;$C1017)</f>
        <v/>
      </c>
      <c r="L1017" s="201">
        <f>SUMIFS(rl_daysafter,rl_key,$A$994,rl_effmonth,$B1017,rl_first,1)</f>
        <v/>
      </c>
      <c r="M1017" s="209">
        <f>IF($K1017=0,0,MIN(1,$L1017/$D1017))</f>
        <v/>
      </c>
      <c r="N1017" s="208">
        <f>IF($K1017=0,$J1017,(1-$M1017)*$I1017+$M1017*$J1017)</f>
        <v/>
      </c>
      <c r="O1017" s="209">
        <f>IF($F1017&lt;$B$995,$E$995+$I$995*($F1017-$A$995),IF($F1017&lt;$C$995,$F$995+$J$995*($F1017-$B$995),$G$995+$K$995*($F1017-$C$995)))</f>
        <v/>
      </c>
      <c r="P1017" s="208">
        <f>MIN(1,MAX(0,(nr_MEndPm1-$G1017+0.5)/$C$994))-MIN(1,MAX(0,(nr_MStartPm1-1-$G1017+0.5)/$C$994))</f>
        <v/>
      </c>
      <c r="Q1017" s="208">
        <f>MIN(1,MAX(0,(nr_MEndP-$G1017+0.5)/$C$994))-MIN(1,MAX(0,(nr_MStartP-1-$G1017+0.5)/$C$994))</f>
        <v/>
      </c>
      <c r="R1017" s="208">
        <f>MIN(1,MAX(0,(nr_MEndP1-$G1017+0.5)/$C$994))-MIN(1,MAX(0,(nr_MStartP1-1-$G1017+0.5)/$C$994))</f>
        <v/>
      </c>
      <c r="S1017" s="208">
        <f>IF($L$994,$N1017*IF($O$994=1,$O1017/$F$994,1),"")</f>
        <v/>
      </c>
      <c r="T1017" s="208">
        <f>IF(NOT($L$994),"",IF($G1017&lt;nr_MStartP,$S1017,$T1005*(1+IF($G1017&lt;nr_MStartP1,$M$994,$N$994))))</f>
        <v/>
      </c>
      <c r="U1017" s="208">
        <f>IF($L$994,$T1017,$N1017)</f>
        <v/>
      </c>
    </row>
    <row r="1018">
      <c r="A1018" s="145" t="n">
        <v>22</v>
      </c>
      <c r="B1018" s="204">
        <f>EDATE($B1017,1)</f>
        <v/>
      </c>
      <c r="C1018" s="205">
        <f>EOMONTH($B1018,0)</f>
        <v/>
      </c>
      <c r="D1018" s="201">
        <f>$C1018-$B1018+1</f>
        <v/>
      </c>
      <c r="E1018" s="201">
        <f>MONTH($B1018)</f>
        <v/>
      </c>
      <c r="F1018" s="235">
        <f>($B1018+$C1018+1)/2</f>
        <v/>
      </c>
      <c r="G1018" s="201">
        <f>YEAR($B1018)*12+MONTH($B1018)-1</f>
        <v/>
      </c>
      <c r="H1018" s="207">
        <f>IF(OR(nr_SeasonOn="OFF",$D$994=0,$E$994=0),1,12*INDEX(se_block,$D$994,$E1018)/$E$994)</f>
        <v/>
      </c>
      <c r="I1018" s="208">
        <f>EXP(SUMPRODUCT((rl_eff&lt;$B1018)*(rl_key=$A$994)*rl_ln1p))</f>
        <v/>
      </c>
      <c r="J1018" s="208">
        <f>EXP(SUMPRODUCT((rl_eff&lt;=$C1018)*(rl_key=$A$994)*rl_ln1p))</f>
        <v/>
      </c>
      <c r="K1018" s="201">
        <f>COUNTIFS(rl_key,$A$994,rl_eff,"&gt;="&amp;$B1018,rl_eff,"&lt;="&amp;$C1018)</f>
        <v/>
      </c>
      <c r="L1018" s="201">
        <f>SUMIFS(rl_daysafter,rl_key,$A$994,rl_effmonth,$B1018,rl_first,1)</f>
        <v/>
      </c>
      <c r="M1018" s="209">
        <f>IF($K1018=0,0,MIN(1,$L1018/$D1018))</f>
        <v/>
      </c>
      <c r="N1018" s="208">
        <f>IF($K1018=0,$J1018,(1-$M1018)*$I1018+$M1018*$J1018)</f>
        <v/>
      </c>
      <c r="O1018" s="209">
        <f>IF($F1018&lt;$B$995,$E$995+$I$995*($F1018-$A$995),IF($F1018&lt;$C$995,$F$995+$J$995*($F1018-$B$995),$G$995+$K$995*($F1018-$C$995)))</f>
        <v/>
      </c>
      <c r="P1018" s="208">
        <f>MIN(1,MAX(0,(nr_MEndPm1-$G1018+0.5)/$C$994))-MIN(1,MAX(0,(nr_MStartPm1-1-$G1018+0.5)/$C$994))</f>
        <v/>
      </c>
      <c r="Q1018" s="208">
        <f>MIN(1,MAX(0,(nr_MEndP-$G1018+0.5)/$C$994))-MIN(1,MAX(0,(nr_MStartP-1-$G1018+0.5)/$C$994))</f>
        <v/>
      </c>
      <c r="R1018" s="208">
        <f>MIN(1,MAX(0,(nr_MEndP1-$G1018+0.5)/$C$994))-MIN(1,MAX(0,(nr_MStartP1-1-$G1018+0.5)/$C$994))</f>
        <v/>
      </c>
      <c r="S1018" s="208">
        <f>IF($L$994,$N1018*IF($O$994=1,$O1018/$F$994,1),"")</f>
        <v/>
      </c>
      <c r="T1018" s="208">
        <f>IF(NOT($L$994),"",IF($G1018&lt;nr_MStartP,$S1018,$T1006*(1+IF($G1018&lt;nr_MStartP1,$M$994,$N$994))))</f>
        <v/>
      </c>
      <c r="U1018" s="208">
        <f>IF($L$994,$T1018,$N1018)</f>
        <v/>
      </c>
    </row>
    <row r="1019">
      <c r="A1019" s="145" t="n">
        <v>23</v>
      </c>
      <c r="B1019" s="204">
        <f>EDATE($B1018,1)</f>
        <v/>
      </c>
      <c r="C1019" s="205">
        <f>EOMONTH($B1019,0)</f>
        <v/>
      </c>
      <c r="D1019" s="201">
        <f>$C1019-$B1019+1</f>
        <v/>
      </c>
      <c r="E1019" s="201">
        <f>MONTH($B1019)</f>
        <v/>
      </c>
      <c r="F1019" s="235">
        <f>($B1019+$C1019+1)/2</f>
        <v/>
      </c>
      <c r="G1019" s="201">
        <f>YEAR($B1019)*12+MONTH($B1019)-1</f>
        <v/>
      </c>
      <c r="H1019" s="207">
        <f>IF(OR(nr_SeasonOn="OFF",$D$994=0,$E$994=0),1,12*INDEX(se_block,$D$994,$E1019)/$E$994)</f>
        <v/>
      </c>
      <c r="I1019" s="208">
        <f>EXP(SUMPRODUCT((rl_eff&lt;$B1019)*(rl_key=$A$994)*rl_ln1p))</f>
        <v/>
      </c>
      <c r="J1019" s="208">
        <f>EXP(SUMPRODUCT((rl_eff&lt;=$C1019)*(rl_key=$A$994)*rl_ln1p))</f>
        <v/>
      </c>
      <c r="K1019" s="201">
        <f>COUNTIFS(rl_key,$A$994,rl_eff,"&gt;="&amp;$B1019,rl_eff,"&lt;="&amp;$C1019)</f>
        <v/>
      </c>
      <c r="L1019" s="201">
        <f>SUMIFS(rl_daysafter,rl_key,$A$994,rl_effmonth,$B1019,rl_first,1)</f>
        <v/>
      </c>
      <c r="M1019" s="209">
        <f>IF($K1019=0,0,MIN(1,$L1019/$D1019))</f>
        <v/>
      </c>
      <c r="N1019" s="208">
        <f>IF($K1019=0,$J1019,(1-$M1019)*$I1019+$M1019*$J1019)</f>
        <v/>
      </c>
      <c r="O1019" s="209">
        <f>IF($F1019&lt;$B$995,$E$995+$I$995*($F1019-$A$995),IF($F1019&lt;$C$995,$F$995+$J$995*($F1019-$B$995),$G$995+$K$995*($F1019-$C$995)))</f>
        <v/>
      </c>
      <c r="P1019" s="208">
        <f>MIN(1,MAX(0,(nr_MEndPm1-$G1019+0.5)/$C$994))-MIN(1,MAX(0,(nr_MStartPm1-1-$G1019+0.5)/$C$994))</f>
        <v/>
      </c>
      <c r="Q1019" s="208">
        <f>MIN(1,MAX(0,(nr_MEndP-$G1019+0.5)/$C$994))-MIN(1,MAX(0,(nr_MStartP-1-$G1019+0.5)/$C$994))</f>
        <v/>
      </c>
      <c r="R1019" s="208">
        <f>MIN(1,MAX(0,(nr_MEndP1-$G1019+0.5)/$C$994))-MIN(1,MAX(0,(nr_MStartP1-1-$G1019+0.5)/$C$994))</f>
        <v/>
      </c>
      <c r="S1019" s="208">
        <f>IF($L$994,$N1019*IF($O$994=1,$O1019/$F$994,1),"")</f>
        <v/>
      </c>
      <c r="T1019" s="208">
        <f>IF(NOT($L$994),"",IF($G1019&lt;nr_MStartP,$S1019,$T1007*(1+IF($G1019&lt;nr_MStartP1,$M$994,$N$994))))</f>
        <v/>
      </c>
      <c r="U1019" s="208">
        <f>IF($L$994,$T1019,$N1019)</f>
        <v/>
      </c>
    </row>
    <row r="1020">
      <c r="A1020" s="145" t="n">
        <v>24</v>
      </c>
      <c r="B1020" s="204">
        <f>EDATE($B1019,1)</f>
        <v/>
      </c>
      <c r="C1020" s="205">
        <f>EOMONTH($B1020,0)</f>
        <v/>
      </c>
      <c r="D1020" s="201">
        <f>$C1020-$B1020+1</f>
        <v/>
      </c>
      <c r="E1020" s="201">
        <f>MONTH($B1020)</f>
        <v/>
      </c>
      <c r="F1020" s="235">
        <f>($B1020+$C1020+1)/2</f>
        <v/>
      </c>
      <c r="G1020" s="201">
        <f>YEAR($B1020)*12+MONTH($B1020)-1</f>
        <v/>
      </c>
      <c r="H1020" s="207">
        <f>IF(OR(nr_SeasonOn="OFF",$D$994=0,$E$994=0),1,12*INDEX(se_block,$D$994,$E1020)/$E$994)</f>
        <v/>
      </c>
      <c r="I1020" s="208">
        <f>EXP(SUMPRODUCT((rl_eff&lt;$B1020)*(rl_key=$A$994)*rl_ln1p))</f>
        <v/>
      </c>
      <c r="J1020" s="208">
        <f>EXP(SUMPRODUCT((rl_eff&lt;=$C1020)*(rl_key=$A$994)*rl_ln1p))</f>
        <v/>
      </c>
      <c r="K1020" s="201">
        <f>COUNTIFS(rl_key,$A$994,rl_eff,"&gt;="&amp;$B1020,rl_eff,"&lt;="&amp;$C1020)</f>
        <v/>
      </c>
      <c r="L1020" s="201">
        <f>SUMIFS(rl_daysafter,rl_key,$A$994,rl_effmonth,$B1020,rl_first,1)</f>
        <v/>
      </c>
      <c r="M1020" s="209">
        <f>IF($K1020=0,0,MIN(1,$L1020/$D1020))</f>
        <v/>
      </c>
      <c r="N1020" s="208">
        <f>IF($K1020=0,$J1020,(1-$M1020)*$I1020+$M1020*$J1020)</f>
        <v/>
      </c>
      <c r="O1020" s="209">
        <f>IF($F1020&lt;$B$995,$E$995+$I$995*($F1020-$A$995),IF($F1020&lt;$C$995,$F$995+$J$995*($F1020-$B$995),$G$995+$K$995*($F1020-$C$995)))</f>
        <v/>
      </c>
      <c r="P1020" s="208">
        <f>MIN(1,MAX(0,(nr_MEndPm1-$G1020+0.5)/$C$994))-MIN(1,MAX(0,(nr_MStartPm1-1-$G1020+0.5)/$C$994))</f>
        <v/>
      </c>
      <c r="Q1020" s="208">
        <f>MIN(1,MAX(0,(nr_MEndP-$G1020+0.5)/$C$994))-MIN(1,MAX(0,(nr_MStartP-1-$G1020+0.5)/$C$994))</f>
        <v/>
      </c>
      <c r="R1020" s="208">
        <f>MIN(1,MAX(0,(nr_MEndP1-$G1020+0.5)/$C$994))-MIN(1,MAX(0,(nr_MStartP1-1-$G1020+0.5)/$C$994))</f>
        <v/>
      </c>
      <c r="S1020" s="208">
        <f>IF($L$994,$N1020*IF($O$994=1,$O1020/$F$994,1),"")</f>
        <v/>
      </c>
      <c r="T1020" s="208">
        <f>IF(NOT($L$994),"",IF($G1020&lt;nr_MStartP,$S1020,$T1008*(1+IF($G1020&lt;nr_MStartP1,$M$994,$N$994))))</f>
        <v/>
      </c>
      <c r="U1020" s="208">
        <f>IF($L$994,$T1020,$N1020)</f>
        <v/>
      </c>
    </row>
    <row r="1021">
      <c r="A1021" s="145" t="n">
        <v>25</v>
      </c>
      <c r="B1021" s="204">
        <f>EDATE($B1020,1)</f>
        <v/>
      </c>
      <c r="C1021" s="205">
        <f>EOMONTH($B1021,0)</f>
        <v/>
      </c>
      <c r="D1021" s="201">
        <f>$C1021-$B1021+1</f>
        <v/>
      </c>
      <c r="E1021" s="201">
        <f>MONTH($B1021)</f>
        <v/>
      </c>
      <c r="F1021" s="235">
        <f>($B1021+$C1021+1)/2</f>
        <v/>
      </c>
      <c r="G1021" s="201">
        <f>YEAR($B1021)*12+MONTH($B1021)-1</f>
        <v/>
      </c>
      <c r="H1021" s="207">
        <f>IF(OR(nr_SeasonOn="OFF",$D$994=0,$E$994=0),1,12*INDEX(se_block,$D$994,$E1021)/$E$994)</f>
        <v/>
      </c>
      <c r="I1021" s="208">
        <f>EXP(SUMPRODUCT((rl_eff&lt;$B1021)*(rl_key=$A$994)*rl_ln1p))</f>
        <v/>
      </c>
      <c r="J1021" s="208">
        <f>EXP(SUMPRODUCT((rl_eff&lt;=$C1021)*(rl_key=$A$994)*rl_ln1p))</f>
        <v/>
      </c>
      <c r="K1021" s="201">
        <f>COUNTIFS(rl_key,$A$994,rl_eff,"&gt;="&amp;$B1021,rl_eff,"&lt;="&amp;$C1021)</f>
        <v/>
      </c>
      <c r="L1021" s="201">
        <f>SUMIFS(rl_daysafter,rl_key,$A$994,rl_effmonth,$B1021,rl_first,1)</f>
        <v/>
      </c>
      <c r="M1021" s="209">
        <f>IF($K1021=0,0,MIN(1,$L1021/$D1021))</f>
        <v/>
      </c>
      <c r="N1021" s="208">
        <f>IF($K1021=0,$J1021,(1-$M1021)*$I1021+$M1021*$J1021)</f>
        <v/>
      </c>
      <c r="O1021" s="209">
        <f>IF($F1021&lt;$B$995,$E$995+$I$995*($F1021-$A$995),IF($F1021&lt;$C$995,$F$995+$J$995*($F1021-$B$995),$G$995+$K$995*($F1021-$C$995)))</f>
        <v/>
      </c>
      <c r="P1021" s="208">
        <f>MIN(1,MAX(0,(nr_MEndPm1-$G1021+0.5)/$C$994))-MIN(1,MAX(0,(nr_MStartPm1-1-$G1021+0.5)/$C$994))</f>
        <v/>
      </c>
      <c r="Q1021" s="208">
        <f>MIN(1,MAX(0,(nr_MEndP-$G1021+0.5)/$C$994))-MIN(1,MAX(0,(nr_MStartP-1-$G1021+0.5)/$C$994))</f>
        <v/>
      </c>
      <c r="R1021" s="208">
        <f>MIN(1,MAX(0,(nr_MEndP1-$G1021+0.5)/$C$994))-MIN(1,MAX(0,(nr_MStartP1-1-$G1021+0.5)/$C$994))</f>
        <v/>
      </c>
      <c r="S1021" s="208">
        <f>IF($L$994,$N1021*IF($O$994=1,$O1021/$F$994,1),"")</f>
        <v/>
      </c>
      <c r="T1021" s="208">
        <f>IF(NOT($L$994),"",IF($G1021&lt;nr_MStartP,$S1021,$T1009*(1+IF($G1021&lt;nr_MStartP1,$M$994,$N$994))))</f>
        <v/>
      </c>
      <c r="U1021" s="208">
        <f>IF($L$994,$T1021,$N1021)</f>
        <v/>
      </c>
    </row>
    <row r="1022">
      <c r="A1022" s="145" t="n">
        <v>26</v>
      </c>
      <c r="B1022" s="204">
        <f>EDATE($B1021,1)</f>
        <v/>
      </c>
      <c r="C1022" s="205">
        <f>EOMONTH($B1022,0)</f>
        <v/>
      </c>
      <c r="D1022" s="201">
        <f>$C1022-$B1022+1</f>
        <v/>
      </c>
      <c r="E1022" s="201">
        <f>MONTH($B1022)</f>
        <v/>
      </c>
      <c r="F1022" s="235">
        <f>($B1022+$C1022+1)/2</f>
        <v/>
      </c>
      <c r="G1022" s="201">
        <f>YEAR($B1022)*12+MONTH($B1022)-1</f>
        <v/>
      </c>
      <c r="H1022" s="207">
        <f>IF(OR(nr_SeasonOn="OFF",$D$994=0,$E$994=0),1,12*INDEX(se_block,$D$994,$E1022)/$E$994)</f>
        <v/>
      </c>
      <c r="I1022" s="208">
        <f>EXP(SUMPRODUCT((rl_eff&lt;$B1022)*(rl_key=$A$994)*rl_ln1p))</f>
        <v/>
      </c>
      <c r="J1022" s="208">
        <f>EXP(SUMPRODUCT((rl_eff&lt;=$C1022)*(rl_key=$A$994)*rl_ln1p))</f>
        <v/>
      </c>
      <c r="K1022" s="201">
        <f>COUNTIFS(rl_key,$A$994,rl_eff,"&gt;="&amp;$B1022,rl_eff,"&lt;="&amp;$C1022)</f>
        <v/>
      </c>
      <c r="L1022" s="201">
        <f>SUMIFS(rl_daysafter,rl_key,$A$994,rl_effmonth,$B1022,rl_first,1)</f>
        <v/>
      </c>
      <c r="M1022" s="209">
        <f>IF($K1022=0,0,MIN(1,$L1022/$D1022))</f>
        <v/>
      </c>
      <c r="N1022" s="208">
        <f>IF($K1022=0,$J1022,(1-$M1022)*$I1022+$M1022*$J1022)</f>
        <v/>
      </c>
      <c r="O1022" s="209">
        <f>IF($F1022&lt;$B$995,$E$995+$I$995*($F1022-$A$995),IF($F1022&lt;$C$995,$F$995+$J$995*($F1022-$B$995),$G$995+$K$995*($F1022-$C$995)))</f>
        <v/>
      </c>
      <c r="P1022" s="208">
        <f>MIN(1,MAX(0,(nr_MEndPm1-$G1022+0.5)/$C$994))-MIN(1,MAX(0,(nr_MStartPm1-1-$G1022+0.5)/$C$994))</f>
        <v/>
      </c>
      <c r="Q1022" s="208">
        <f>MIN(1,MAX(0,(nr_MEndP-$G1022+0.5)/$C$994))-MIN(1,MAX(0,(nr_MStartP-1-$G1022+0.5)/$C$994))</f>
        <v/>
      </c>
      <c r="R1022" s="208">
        <f>MIN(1,MAX(0,(nr_MEndP1-$G1022+0.5)/$C$994))-MIN(1,MAX(0,(nr_MStartP1-1-$G1022+0.5)/$C$994))</f>
        <v/>
      </c>
      <c r="S1022" s="208">
        <f>IF($L$994,$N1022*IF($O$994=1,$O1022/$F$994,1),"")</f>
        <v/>
      </c>
      <c r="T1022" s="208">
        <f>IF(NOT($L$994),"",IF($G1022&lt;nr_MStartP,$S1022,$T1010*(1+IF($G1022&lt;nr_MStartP1,$M$994,$N$994))))</f>
        <v/>
      </c>
      <c r="U1022" s="208">
        <f>IF($L$994,$T1022,$N1022)</f>
        <v/>
      </c>
    </row>
    <row r="1023">
      <c r="A1023" s="145" t="n">
        <v>27</v>
      </c>
      <c r="B1023" s="204">
        <f>EDATE($B1022,1)</f>
        <v/>
      </c>
      <c r="C1023" s="205">
        <f>EOMONTH($B1023,0)</f>
        <v/>
      </c>
      <c r="D1023" s="201">
        <f>$C1023-$B1023+1</f>
        <v/>
      </c>
      <c r="E1023" s="201">
        <f>MONTH($B1023)</f>
        <v/>
      </c>
      <c r="F1023" s="235">
        <f>($B1023+$C1023+1)/2</f>
        <v/>
      </c>
      <c r="G1023" s="201">
        <f>YEAR($B1023)*12+MONTH($B1023)-1</f>
        <v/>
      </c>
      <c r="H1023" s="207">
        <f>IF(OR(nr_SeasonOn="OFF",$D$994=0,$E$994=0),1,12*INDEX(se_block,$D$994,$E1023)/$E$994)</f>
        <v/>
      </c>
      <c r="I1023" s="208">
        <f>EXP(SUMPRODUCT((rl_eff&lt;$B1023)*(rl_key=$A$994)*rl_ln1p))</f>
        <v/>
      </c>
      <c r="J1023" s="208">
        <f>EXP(SUMPRODUCT((rl_eff&lt;=$C1023)*(rl_key=$A$994)*rl_ln1p))</f>
        <v/>
      </c>
      <c r="K1023" s="201">
        <f>COUNTIFS(rl_key,$A$994,rl_eff,"&gt;="&amp;$B1023,rl_eff,"&lt;="&amp;$C1023)</f>
        <v/>
      </c>
      <c r="L1023" s="201">
        <f>SUMIFS(rl_daysafter,rl_key,$A$994,rl_effmonth,$B1023,rl_first,1)</f>
        <v/>
      </c>
      <c r="M1023" s="209">
        <f>IF($K1023=0,0,MIN(1,$L1023/$D1023))</f>
        <v/>
      </c>
      <c r="N1023" s="208">
        <f>IF($K1023=0,$J1023,(1-$M1023)*$I1023+$M1023*$J1023)</f>
        <v/>
      </c>
      <c r="O1023" s="209">
        <f>IF($F1023&lt;$B$995,$E$995+$I$995*($F1023-$A$995),IF($F1023&lt;$C$995,$F$995+$J$995*($F1023-$B$995),$G$995+$K$995*($F1023-$C$995)))</f>
        <v/>
      </c>
      <c r="P1023" s="208">
        <f>MIN(1,MAX(0,(nr_MEndPm1-$G1023+0.5)/$C$994))-MIN(1,MAX(0,(nr_MStartPm1-1-$G1023+0.5)/$C$994))</f>
        <v/>
      </c>
      <c r="Q1023" s="208">
        <f>MIN(1,MAX(0,(nr_MEndP-$G1023+0.5)/$C$994))-MIN(1,MAX(0,(nr_MStartP-1-$G1023+0.5)/$C$994))</f>
        <v/>
      </c>
      <c r="R1023" s="208">
        <f>MIN(1,MAX(0,(nr_MEndP1-$G1023+0.5)/$C$994))-MIN(1,MAX(0,(nr_MStartP1-1-$G1023+0.5)/$C$994))</f>
        <v/>
      </c>
      <c r="S1023" s="208">
        <f>IF($L$994,$N1023*IF($O$994=1,$O1023/$F$994,1),"")</f>
        <v/>
      </c>
      <c r="T1023" s="208">
        <f>IF(NOT($L$994),"",IF($G1023&lt;nr_MStartP,$S1023,$T1011*(1+IF($G1023&lt;nr_MStartP1,$M$994,$N$994))))</f>
        <v/>
      </c>
      <c r="U1023" s="208">
        <f>IF($L$994,$T1023,$N1023)</f>
        <v/>
      </c>
    </row>
    <row r="1024">
      <c r="A1024" s="145" t="n">
        <v>28</v>
      </c>
      <c r="B1024" s="204">
        <f>EDATE($B1023,1)</f>
        <v/>
      </c>
      <c r="C1024" s="205">
        <f>EOMONTH($B1024,0)</f>
        <v/>
      </c>
      <c r="D1024" s="201">
        <f>$C1024-$B1024+1</f>
        <v/>
      </c>
      <c r="E1024" s="201">
        <f>MONTH($B1024)</f>
        <v/>
      </c>
      <c r="F1024" s="235">
        <f>($B1024+$C1024+1)/2</f>
        <v/>
      </c>
      <c r="G1024" s="201">
        <f>YEAR($B1024)*12+MONTH($B1024)-1</f>
        <v/>
      </c>
      <c r="H1024" s="207">
        <f>IF(OR(nr_SeasonOn="OFF",$D$994=0,$E$994=0),1,12*INDEX(se_block,$D$994,$E1024)/$E$994)</f>
        <v/>
      </c>
      <c r="I1024" s="208">
        <f>EXP(SUMPRODUCT((rl_eff&lt;$B1024)*(rl_key=$A$994)*rl_ln1p))</f>
        <v/>
      </c>
      <c r="J1024" s="208">
        <f>EXP(SUMPRODUCT((rl_eff&lt;=$C1024)*(rl_key=$A$994)*rl_ln1p))</f>
        <v/>
      </c>
      <c r="K1024" s="201">
        <f>COUNTIFS(rl_key,$A$994,rl_eff,"&gt;="&amp;$B1024,rl_eff,"&lt;="&amp;$C1024)</f>
        <v/>
      </c>
      <c r="L1024" s="201">
        <f>SUMIFS(rl_daysafter,rl_key,$A$994,rl_effmonth,$B1024,rl_first,1)</f>
        <v/>
      </c>
      <c r="M1024" s="209">
        <f>IF($K1024=0,0,MIN(1,$L1024/$D1024))</f>
        <v/>
      </c>
      <c r="N1024" s="208">
        <f>IF($K1024=0,$J1024,(1-$M1024)*$I1024+$M1024*$J1024)</f>
        <v/>
      </c>
      <c r="O1024" s="209">
        <f>IF($F1024&lt;$B$995,$E$995+$I$995*($F1024-$A$995),IF($F1024&lt;$C$995,$F$995+$J$995*($F1024-$B$995),$G$995+$K$995*($F1024-$C$995)))</f>
        <v/>
      </c>
      <c r="P1024" s="208">
        <f>MIN(1,MAX(0,(nr_MEndPm1-$G1024+0.5)/$C$994))-MIN(1,MAX(0,(nr_MStartPm1-1-$G1024+0.5)/$C$994))</f>
        <v/>
      </c>
      <c r="Q1024" s="208">
        <f>MIN(1,MAX(0,(nr_MEndP-$G1024+0.5)/$C$994))-MIN(1,MAX(0,(nr_MStartP-1-$G1024+0.5)/$C$994))</f>
        <v/>
      </c>
      <c r="R1024" s="208">
        <f>MIN(1,MAX(0,(nr_MEndP1-$G1024+0.5)/$C$994))-MIN(1,MAX(0,(nr_MStartP1-1-$G1024+0.5)/$C$994))</f>
        <v/>
      </c>
      <c r="S1024" s="208">
        <f>IF($L$994,$N1024*IF($O$994=1,$O1024/$F$994,1),"")</f>
        <v/>
      </c>
      <c r="T1024" s="208">
        <f>IF(NOT($L$994),"",IF($G1024&lt;nr_MStartP,$S1024,$T1012*(1+IF($G1024&lt;nr_MStartP1,$M$994,$N$994))))</f>
        <v/>
      </c>
      <c r="U1024" s="208">
        <f>IF($L$994,$T1024,$N1024)</f>
        <v/>
      </c>
    </row>
    <row r="1025">
      <c r="A1025" s="145" t="n">
        <v>29</v>
      </c>
      <c r="B1025" s="204">
        <f>EDATE($B1024,1)</f>
        <v/>
      </c>
      <c r="C1025" s="205">
        <f>EOMONTH($B1025,0)</f>
        <v/>
      </c>
      <c r="D1025" s="201">
        <f>$C1025-$B1025+1</f>
        <v/>
      </c>
      <c r="E1025" s="201">
        <f>MONTH($B1025)</f>
        <v/>
      </c>
      <c r="F1025" s="235">
        <f>($B1025+$C1025+1)/2</f>
        <v/>
      </c>
      <c r="G1025" s="201">
        <f>YEAR($B1025)*12+MONTH($B1025)-1</f>
        <v/>
      </c>
      <c r="H1025" s="207">
        <f>IF(OR(nr_SeasonOn="OFF",$D$994=0,$E$994=0),1,12*INDEX(se_block,$D$994,$E1025)/$E$994)</f>
        <v/>
      </c>
      <c r="I1025" s="208">
        <f>EXP(SUMPRODUCT((rl_eff&lt;$B1025)*(rl_key=$A$994)*rl_ln1p))</f>
        <v/>
      </c>
      <c r="J1025" s="208">
        <f>EXP(SUMPRODUCT((rl_eff&lt;=$C1025)*(rl_key=$A$994)*rl_ln1p))</f>
        <v/>
      </c>
      <c r="K1025" s="201">
        <f>COUNTIFS(rl_key,$A$994,rl_eff,"&gt;="&amp;$B1025,rl_eff,"&lt;="&amp;$C1025)</f>
        <v/>
      </c>
      <c r="L1025" s="201">
        <f>SUMIFS(rl_daysafter,rl_key,$A$994,rl_effmonth,$B1025,rl_first,1)</f>
        <v/>
      </c>
      <c r="M1025" s="209">
        <f>IF($K1025=0,0,MIN(1,$L1025/$D1025))</f>
        <v/>
      </c>
      <c r="N1025" s="208">
        <f>IF($K1025=0,$J1025,(1-$M1025)*$I1025+$M1025*$J1025)</f>
        <v/>
      </c>
      <c r="O1025" s="209">
        <f>IF($F1025&lt;$B$995,$E$995+$I$995*($F1025-$A$995),IF($F1025&lt;$C$995,$F$995+$J$995*($F1025-$B$995),$G$995+$K$995*($F1025-$C$995)))</f>
        <v/>
      </c>
      <c r="P1025" s="208">
        <f>MIN(1,MAX(0,(nr_MEndPm1-$G1025+0.5)/$C$994))-MIN(1,MAX(0,(nr_MStartPm1-1-$G1025+0.5)/$C$994))</f>
        <v/>
      </c>
      <c r="Q1025" s="208">
        <f>MIN(1,MAX(0,(nr_MEndP-$G1025+0.5)/$C$994))-MIN(1,MAX(0,(nr_MStartP-1-$G1025+0.5)/$C$994))</f>
        <v/>
      </c>
      <c r="R1025" s="208">
        <f>MIN(1,MAX(0,(nr_MEndP1-$G1025+0.5)/$C$994))-MIN(1,MAX(0,(nr_MStartP1-1-$G1025+0.5)/$C$994))</f>
        <v/>
      </c>
      <c r="S1025" s="208">
        <f>IF($L$994,$N1025*IF($O$994=1,$O1025/$F$994,1),"")</f>
        <v/>
      </c>
      <c r="T1025" s="208">
        <f>IF(NOT($L$994),"",IF($G1025&lt;nr_MStartP,$S1025,$T1013*(1+IF($G1025&lt;nr_MStartP1,$M$994,$N$994))))</f>
        <v/>
      </c>
      <c r="U1025" s="208">
        <f>IF($L$994,$T1025,$N1025)</f>
        <v/>
      </c>
    </row>
    <row r="1026">
      <c r="A1026" s="145" t="n">
        <v>30</v>
      </c>
      <c r="B1026" s="204">
        <f>EDATE($B1025,1)</f>
        <v/>
      </c>
      <c r="C1026" s="205">
        <f>EOMONTH($B1026,0)</f>
        <v/>
      </c>
      <c r="D1026" s="201">
        <f>$C1026-$B1026+1</f>
        <v/>
      </c>
      <c r="E1026" s="201">
        <f>MONTH($B1026)</f>
        <v/>
      </c>
      <c r="F1026" s="235">
        <f>($B1026+$C1026+1)/2</f>
        <v/>
      </c>
      <c r="G1026" s="201">
        <f>YEAR($B1026)*12+MONTH($B1026)-1</f>
        <v/>
      </c>
      <c r="H1026" s="207">
        <f>IF(OR(nr_SeasonOn="OFF",$D$994=0,$E$994=0),1,12*INDEX(se_block,$D$994,$E1026)/$E$994)</f>
        <v/>
      </c>
      <c r="I1026" s="208">
        <f>EXP(SUMPRODUCT((rl_eff&lt;$B1026)*(rl_key=$A$994)*rl_ln1p))</f>
        <v/>
      </c>
      <c r="J1026" s="208">
        <f>EXP(SUMPRODUCT((rl_eff&lt;=$C1026)*(rl_key=$A$994)*rl_ln1p))</f>
        <v/>
      </c>
      <c r="K1026" s="201">
        <f>COUNTIFS(rl_key,$A$994,rl_eff,"&gt;="&amp;$B1026,rl_eff,"&lt;="&amp;$C1026)</f>
        <v/>
      </c>
      <c r="L1026" s="201">
        <f>SUMIFS(rl_daysafter,rl_key,$A$994,rl_effmonth,$B1026,rl_first,1)</f>
        <v/>
      </c>
      <c r="M1026" s="209">
        <f>IF($K1026=0,0,MIN(1,$L1026/$D1026))</f>
        <v/>
      </c>
      <c r="N1026" s="208">
        <f>IF($K1026=0,$J1026,(1-$M1026)*$I1026+$M1026*$J1026)</f>
        <v/>
      </c>
      <c r="O1026" s="209">
        <f>IF($F1026&lt;$B$995,$E$995+$I$995*($F1026-$A$995),IF($F1026&lt;$C$995,$F$995+$J$995*($F1026-$B$995),$G$995+$K$995*($F1026-$C$995)))</f>
        <v/>
      </c>
      <c r="P1026" s="208">
        <f>MIN(1,MAX(0,(nr_MEndPm1-$G1026+0.5)/$C$994))-MIN(1,MAX(0,(nr_MStartPm1-1-$G1026+0.5)/$C$994))</f>
        <v/>
      </c>
      <c r="Q1026" s="208">
        <f>MIN(1,MAX(0,(nr_MEndP-$G1026+0.5)/$C$994))-MIN(1,MAX(0,(nr_MStartP-1-$G1026+0.5)/$C$994))</f>
        <v/>
      </c>
      <c r="R1026" s="208">
        <f>MIN(1,MAX(0,(nr_MEndP1-$G1026+0.5)/$C$994))-MIN(1,MAX(0,(nr_MStartP1-1-$G1026+0.5)/$C$994))</f>
        <v/>
      </c>
      <c r="S1026" s="208">
        <f>IF($L$994,$N1026*IF($O$994=1,$O1026/$F$994,1),"")</f>
        <v/>
      </c>
      <c r="T1026" s="208">
        <f>IF(NOT($L$994),"",IF($G1026&lt;nr_MStartP,$S1026,$T1014*(1+IF($G1026&lt;nr_MStartP1,$M$994,$N$994))))</f>
        <v/>
      </c>
      <c r="U1026" s="208">
        <f>IF($L$994,$T1026,$N1026)</f>
        <v/>
      </c>
    </row>
    <row r="1027">
      <c r="A1027" s="145" t="n">
        <v>31</v>
      </c>
      <c r="B1027" s="204">
        <f>EDATE($B1026,1)</f>
        <v/>
      </c>
      <c r="C1027" s="205">
        <f>EOMONTH($B1027,0)</f>
        <v/>
      </c>
      <c r="D1027" s="201">
        <f>$C1027-$B1027+1</f>
        <v/>
      </c>
      <c r="E1027" s="201">
        <f>MONTH($B1027)</f>
        <v/>
      </c>
      <c r="F1027" s="235">
        <f>($B1027+$C1027+1)/2</f>
        <v/>
      </c>
      <c r="G1027" s="201">
        <f>YEAR($B1027)*12+MONTH($B1027)-1</f>
        <v/>
      </c>
      <c r="H1027" s="207">
        <f>IF(OR(nr_SeasonOn="OFF",$D$994=0,$E$994=0),1,12*INDEX(se_block,$D$994,$E1027)/$E$994)</f>
        <v/>
      </c>
      <c r="I1027" s="208">
        <f>EXP(SUMPRODUCT((rl_eff&lt;$B1027)*(rl_key=$A$994)*rl_ln1p))</f>
        <v/>
      </c>
      <c r="J1027" s="208">
        <f>EXP(SUMPRODUCT((rl_eff&lt;=$C1027)*(rl_key=$A$994)*rl_ln1p))</f>
        <v/>
      </c>
      <c r="K1027" s="201">
        <f>COUNTIFS(rl_key,$A$994,rl_eff,"&gt;="&amp;$B1027,rl_eff,"&lt;="&amp;$C1027)</f>
        <v/>
      </c>
      <c r="L1027" s="201">
        <f>SUMIFS(rl_daysafter,rl_key,$A$994,rl_effmonth,$B1027,rl_first,1)</f>
        <v/>
      </c>
      <c r="M1027" s="209">
        <f>IF($K1027=0,0,MIN(1,$L1027/$D1027))</f>
        <v/>
      </c>
      <c r="N1027" s="208">
        <f>IF($K1027=0,$J1027,(1-$M1027)*$I1027+$M1027*$J1027)</f>
        <v/>
      </c>
      <c r="O1027" s="209">
        <f>IF($F1027&lt;$B$995,$E$995+$I$995*($F1027-$A$995),IF($F1027&lt;$C$995,$F$995+$J$995*($F1027-$B$995),$G$995+$K$995*($F1027-$C$995)))</f>
        <v/>
      </c>
      <c r="P1027" s="208">
        <f>MIN(1,MAX(0,(nr_MEndPm1-$G1027+0.5)/$C$994))-MIN(1,MAX(0,(nr_MStartPm1-1-$G1027+0.5)/$C$994))</f>
        <v/>
      </c>
      <c r="Q1027" s="208">
        <f>MIN(1,MAX(0,(nr_MEndP-$G1027+0.5)/$C$994))-MIN(1,MAX(0,(nr_MStartP-1-$G1027+0.5)/$C$994))</f>
        <v/>
      </c>
      <c r="R1027" s="208">
        <f>MIN(1,MAX(0,(nr_MEndP1-$G1027+0.5)/$C$994))-MIN(1,MAX(0,(nr_MStartP1-1-$G1027+0.5)/$C$994))</f>
        <v/>
      </c>
      <c r="S1027" s="208">
        <f>IF($L$994,$N1027*IF($O$994=1,$O1027/$F$994,1),"")</f>
        <v/>
      </c>
      <c r="T1027" s="208">
        <f>IF(NOT($L$994),"",IF($G1027&lt;nr_MStartP,$S1027,$T1015*(1+IF($G1027&lt;nr_MStartP1,$M$994,$N$994))))</f>
        <v/>
      </c>
      <c r="U1027" s="208">
        <f>IF($L$994,$T1027,$N1027)</f>
        <v/>
      </c>
    </row>
    <row r="1028">
      <c r="A1028" s="145" t="n">
        <v>32</v>
      </c>
      <c r="B1028" s="204">
        <f>EDATE($B1027,1)</f>
        <v/>
      </c>
      <c r="C1028" s="205">
        <f>EOMONTH($B1028,0)</f>
        <v/>
      </c>
      <c r="D1028" s="201">
        <f>$C1028-$B1028+1</f>
        <v/>
      </c>
      <c r="E1028" s="201">
        <f>MONTH($B1028)</f>
        <v/>
      </c>
      <c r="F1028" s="235">
        <f>($B1028+$C1028+1)/2</f>
        <v/>
      </c>
      <c r="G1028" s="201">
        <f>YEAR($B1028)*12+MONTH($B1028)-1</f>
        <v/>
      </c>
      <c r="H1028" s="207">
        <f>IF(OR(nr_SeasonOn="OFF",$D$994=0,$E$994=0),1,12*INDEX(se_block,$D$994,$E1028)/$E$994)</f>
        <v/>
      </c>
      <c r="I1028" s="208">
        <f>EXP(SUMPRODUCT((rl_eff&lt;$B1028)*(rl_key=$A$994)*rl_ln1p))</f>
        <v/>
      </c>
      <c r="J1028" s="208">
        <f>EXP(SUMPRODUCT((rl_eff&lt;=$C1028)*(rl_key=$A$994)*rl_ln1p))</f>
        <v/>
      </c>
      <c r="K1028" s="201">
        <f>COUNTIFS(rl_key,$A$994,rl_eff,"&gt;="&amp;$B1028,rl_eff,"&lt;="&amp;$C1028)</f>
        <v/>
      </c>
      <c r="L1028" s="201">
        <f>SUMIFS(rl_daysafter,rl_key,$A$994,rl_effmonth,$B1028,rl_first,1)</f>
        <v/>
      </c>
      <c r="M1028" s="209">
        <f>IF($K1028=0,0,MIN(1,$L1028/$D1028))</f>
        <v/>
      </c>
      <c r="N1028" s="208">
        <f>IF($K1028=0,$J1028,(1-$M1028)*$I1028+$M1028*$J1028)</f>
        <v/>
      </c>
      <c r="O1028" s="209">
        <f>IF($F1028&lt;$B$995,$E$995+$I$995*($F1028-$A$995),IF($F1028&lt;$C$995,$F$995+$J$995*($F1028-$B$995),$G$995+$K$995*($F1028-$C$995)))</f>
        <v/>
      </c>
      <c r="P1028" s="208">
        <f>MIN(1,MAX(0,(nr_MEndPm1-$G1028+0.5)/$C$994))-MIN(1,MAX(0,(nr_MStartPm1-1-$G1028+0.5)/$C$994))</f>
        <v/>
      </c>
      <c r="Q1028" s="208">
        <f>MIN(1,MAX(0,(nr_MEndP-$G1028+0.5)/$C$994))-MIN(1,MAX(0,(nr_MStartP-1-$G1028+0.5)/$C$994))</f>
        <v/>
      </c>
      <c r="R1028" s="208">
        <f>MIN(1,MAX(0,(nr_MEndP1-$G1028+0.5)/$C$994))-MIN(1,MAX(0,(nr_MStartP1-1-$G1028+0.5)/$C$994))</f>
        <v/>
      </c>
      <c r="S1028" s="208">
        <f>IF($L$994,$N1028*IF($O$994=1,$O1028/$F$994,1),"")</f>
        <v/>
      </c>
      <c r="T1028" s="208">
        <f>IF(NOT($L$994),"",IF($G1028&lt;nr_MStartP,$S1028,$T1016*(1+IF($G1028&lt;nr_MStartP1,$M$994,$N$994))))</f>
        <v/>
      </c>
      <c r="U1028" s="208">
        <f>IF($L$994,$T1028,$N1028)</f>
        <v/>
      </c>
    </row>
    <row r="1029">
      <c r="A1029" s="145" t="n">
        <v>33</v>
      </c>
      <c r="B1029" s="204">
        <f>EDATE($B1028,1)</f>
        <v/>
      </c>
      <c r="C1029" s="205">
        <f>EOMONTH($B1029,0)</f>
        <v/>
      </c>
      <c r="D1029" s="201">
        <f>$C1029-$B1029+1</f>
        <v/>
      </c>
      <c r="E1029" s="201">
        <f>MONTH($B1029)</f>
        <v/>
      </c>
      <c r="F1029" s="235">
        <f>($B1029+$C1029+1)/2</f>
        <v/>
      </c>
      <c r="G1029" s="201">
        <f>YEAR($B1029)*12+MONTH($B1029)-1</f>
        <v/>
      </c>
      <c r="H1029" s="207">
        <f>IF(OR(nr_SeasonOn="OFF",$D$994=0,$E$994=0),1,12*INDEX(se_block,$D$994,$E1029)/$E$994)</f>
        <v/>
      </c>
      <c r="I1029" s="208">
        <f>EXP(SUMPRODUCT((rl_eff&lt;$B1029)*(rl_key=$A$994)*rl_ln1p))</f>
        <v/>
      </c>
      <c r="J1029" s="208">
        <f>EXP(SUMPRODUCT((rl_eff&lt;=$C1029)*(rl_key=$A$994)*rl_ln1p))</f>
        <v/>
      </c>
      <c r="K1029" s="201">
        <f>COUNTIFS(rl_key,$A$994,rl_eff,"&gt;="&amp;$B1029,rl_eff,"&lt;="&amp;$C1029)</f>
        <v/>
      </c>
      <c r="L1029" s="201">
        <f>SUMIFS(rl_daysafter,rl_key,$A$994,rl_effmonth,$B1029,rl_first,1)</f>
        <v/>
      </c>
      <c r="M1029" s="209">
        <f>IF($K1029=0,0,MIN(1,$L1029/$D1029))</f>
        <v/>
      </c>
      <c r="N1029" s="208">
        <f>IF($K1029=0,$J1029,(1-$M1029)*$I1029+$M1029*$J1029)</f>
        <v/>
      </c>
      <c r="O1029" s="209">
        <f>IF($F1029&lt;$B$995,$E$995+$I$995*($F1029-$A$995),IF($F1029&lt;$C$995,$F$995+$J$995*($F1029-$B$995),$G$995+$K$995*($F1029-$C$995)))</f>
        <v/>
      </c>
      <c r="P1029" s="208">
        <f>MIN(1,MAX(0,(nr_MEndPm1-$G1029+0.5)/$C$994))-MIN(1,MAX(0,(nr_MStartPm1-1-$G1029+0.5)/$C$994))</f>
        <v/>
      </c>
      <c r="Q1029" s="208">
        <f>MIN(1,MAX(0,(nr_MEndP-$G1029+0.5)/$C$994))-MIN(1,MAX(0,(nr_MStartP-1-$G1029+0.5)/$C$994))</f>
        <v/>
      </c>
      <c r="R1029" s="208">
        <f>MIN(1,MAX(0,(nr_MEndP1-$G1029+0.5)/$C$994))-MIN(1,MAX(0,(nr_MStartP1-1-$G1029+0.5)/$C$994))</f>
        <v/>
      </c>
      <c r="S1029" s="208">
        <f>IF($L$994,$N1029*IF($O$994=1,$O1029/$F$994,1),"")</f>
        <v/>
      </c>
      <c r="T1029" s="208">
        <f>IF(NOT($L$994),"",IF($G1029&lt;nr_MStartP,$S1029,$T1017*(1+IF($G1029&lt;nr_MStartP1,$M$994,$N$994))))</f>
        <v/>
      </c>
      <c r="U1029" s="208">
        <f>IF($L$994,$T1029,$N1029)</f>
        <v/>
      </c>
    </row>
    <row r="1030">
      <c r="A1030" s="145" t="n">
        <v>34</v>
      </c>
      <c r="B1030" s="204">
        <f>EDATE($B1029,1)</f>
        <v/>
      </c>
      <c r="C1030" s="205">
        <f>EOMONTH($B1030,0)</f>
        <v/>
      </c>
      <c r="D1030" s="201">
        <f>$C1030-$B1030+1</f>
        <v/>
      </c>
      <c r="E1030" s="201">
        <f>MONTH($B1030)</f>
        <v/>
      </c>
      <c r="F1030" s="235">
        <f>($B1030+$C1030+1)/2</f>
        <v/>
      </c>
      <c r="G1030" s="201">
        <f>YEAR($B1030)*12+MONTH($B1030)-1</f>
        <v/>
      </c>
      <c r="H1030" s="207">
        <f>IF(OR(nr_SeasonOn="OFF",$D$994=0,$E$994=0),1,12*INDEX(se_block,$D$994,$E1030)/$E$994)</f>
        <v/>
      </c>
      <c r="I1030" s="208">
        <f>EXP(SUMPRODUCT((rl_eff&lt;$B1030)*(rl_key=$A$994)*rl_ln1p))</f>
        <v/>
      </c>
      <c r="J1030" s="208">
        <f>EXP(SUMPRODUCT((rl_eff&lt;=$C1030)*(rl_key=$A$994)*rl_ln1p))</f>
        <v/>
      </c>
      <c r="K1030" s="201">
        <f>COUNTIFS(rl_key,$A$994,rl_eff,"&gt;="&amp;$B1030,rl_eff,"&lt;="&amp;$C1030)</f>
        <v/>
      </c>
      <c r="L1030" s="201">
        <f>SUMIFS(rl_daysafter,rl_key,$A$994,rl_effmonth,$B1030,rl_first,1)</f>
        <v/>
      </c>
      <c r="M1030" s="209">
        <f>IF($K1030=0,0,MIN(1,$L1030/$D1030))</f>
        <v/>
      </c>
      <c r="N1030" s="208">
        <f>IF($K1030=0,$J1030,(1-$M1030)*$I1030+$M1030*$J1030)</f>
        <v/>
      </c>
      <c r="O1030" s="209">
        <f>IF($F1030&lt;$B$995,$E$995+$I$995*($F1030-$A$995),IF($F1030&lt;$C$995,$F$995+$J$995*($F1030-$B$995),$G$995+$K$995*($F1030-$C$995)))</f>
        <v/>
      </c>
      <c r="P1030" s="208">
        <f>MIN(1,MAX(0,(nr_MEndPm1-$G1030+0.5)/$C$994))-MIN(1,MAX(0,(nr_MStartPm1-1-$G1030+0.5)/$C$994))</f>
        <v/>
      </c>
      <c r="Q1030" s="208">
        <f>MIN(1,MAX(0,(nr_MEndP-$G1030+0.5)/$C$994))-MIN(1,MAX(0,(nr_MStartP-1-$G1030+0.5)/$C$994))</f>
        <v/>
      </c>
      <c r="R1030" s="208">
        <f>MIN(1,MAX(0,(nr_MEndP1-$G1030+0.5)/$C$994))-MIN(1,MAX(0,(nr_MStartP1-1-$G1030+0.5)/$C$994))</f>
        <v/>
      </c>
      <c r="S1030" s="208">
        <f>IF($L$994,$N1030*IF($O$994=1,$O1030/$F$994,1),"")</f>
        <v/>
      </c>
      <c r="T1030" s="208">
        <f>IF(NOT($L$994),"",IF($G1030&lt;nr_MStartP,$S1030,$T1018*(1+IF($G1030&lt;nr_MStartP1,$M$994,$N$994))))</f>
        <v/>
      </c>
      <c r="U1030" s="208">
        <f>IF($L$994,$T1030,$N1030)</f>
        <v/>
      </c>
    </row>
    <row r="1031">
      <c r="A1031" s="145" t="n">
        <v>35</v>
      </c>
      <c r="B1031" s="204">
        <f>EDATE($B1030,1)</f>
        <v/>
      </c>
      <c r="C1031" s="205">
        <f>EOMONTH($B1031,0)</f>
        <v/>
      </c>
      <c r="D1031" s="201">
        <f>$C1031-$B1031+1</f>
        <v/>
      </c>
      <c r="E1031" s="201">
        <f>MONTH($B1031)</f>
        <v/>
      </c>
      <c r="F1031" s="235">
        <f>($B1031+$C1031+1)/2</f>
        <v/>
      </c>
      <c r="G1031" s="201">
        <f>YEAR($B1031)*12+MONTH($B1031)-1</f>
        <v/>
      </c>
      <c r="H1031" s="207">
        <f>IF(OR(nr_SeasonOn="OFF",$D$994=0,$E$994=0),1,12*INDEX(se_block,$D$994,$E1031)/$E$994)</f>
        <v/>
      </c>
      <c r="I1031" s="208">
        <f>EXP(SUMPRODUCT((rl_eff&lt;$B1031)*(rl_key=$A$994)*rl_ln1p))</f>
        <v/>
      </c>
      <c r="J1031" s="208">
        <f>EXP(SUMPRODUCT((rl_eff&lt;=$C1031)*(rl_key=$A$994)*rl_ln1p))</f>
        <v/>
      </c>
      <c r="K1031" s="201">
        <f>COUNTIFS(rl_key,$A$994,rl_eff,"&gt;="&amp;$B1031,rl_eff,"&lt;="&amp;$C1031)</f>
        <v/>
      </c>
      <c r="L1031" s="201">
        <f>SUMIFS(rl_daysafter,rl_key,$A$994,rl_effmonth,$B1031,rl_first,1)</f>
        <v/>
      </c>
      <c r="M1031" s="209">
        <f>IF($K1031=0,0,MIN(1,$L1031/$D1031))</f>
        <v/>
      </c>
      <c r="N1031" s="208">
        <f>IF($K1031=0,$J1031,(1-$M1031)*$I1031+$M1031*$J1031)</f>
        <v/>
      </c>
      <c r="O1031" s="209">
        <f>IF($F1031&lt;$B$995,$E$995+$I$995*($F1031-$A$995),IF($F1031&lt;$C$995,$F$995+$J$995*($F1031-$B$995),$G$995+$K$995*($F1031-$C$995)))</f>
        <v/>
      </c>
      <c r="P1031" s="208">
        <f>MIN(1,MAX(0,(nr_MEndPm1-$G1031+0.5)/$C$994))-MIN(1,MAX(0,(nr_MStartPm1-1-$G1031+0.5)/$C$994))</f>
        <v/>
      </c>
      <c r="Q1031" s="208">
        <f>MIN(1,MAX(0,(nr_MEndP-$G1031+0.5)/$C$994))-MIN(1,MAX(0,(nr_MStartP-1-$G1031+0.5)/$C$994))</f>
        <v/>
      </c>
      <c r="R1031" s="208">
        <f>MIN(1,MAX(0,(nr_MEndP1-$G1031+0.5)/$C$994))-MIN(1,MAX(0,(nr_MStartP1-1-$G1031+0.5)/$C$994))</f>
        <v/>
      </c>
      <c r="S1031" s="208">
        <f>IF($L$994,$N1031*IF($O$994=1,$O1031/$F$994,1),"")</f>
        <v/>
      </c>
      <c r="T1031" s="208">
        <f>IF(NOT($L$994),"",IF($G1031&lt;nr_MStartP,$S1031,$T1019*(1+IF($G1031&lt;nr_MStartP1,$M$994,$N$994))))</f>
        <v/>
      </c>
      <c r="U1031" s="208">
        <f>IF($L$994,$T1031,$N1031)</f>
        <v/>
      </c>
    </row>
    <row r="1032">
      <c r="A1032" s="145" t="n">
        <v>36</v>
      </c>
      <c r="B1032" s="204">
        <f>EDATE($B1031,1)</f>
        <v/>
      </c>
      <c r="C1032" s="205">
        <f>EOMONTH($B1032,0)</f>
        <v/>
      </c>
      <c r="D1032" s="201">
        <f>$C1032-$B1032+1</f>
        <v/>
      </c>
      <c r="E1032" s="201">
        <f>MONTH($B1032)</f>
        <v/>
      </c>
      <c r="F1032" s="235">
        <f>($B1032+$C1032+1)/2</f>
        <v/>
      </c>
      <c r="G1032" s="201">
        <f>YEAR($B1032)*12+MONTH($B1032)-1</f>
        <v/>
      </c>
      <c r="H1032" s="207">
        <f>IF(OR(nr_SeasonOn="OFF",$D$994=0,$E$994=0),1,12*INDEX(se_block,$D$994,$E1032)/$E$994)</f>
        <v/>
      </c>
      <c r="I1032" s="208">
        <f>EXP(SUMPRODUCT((rl_eff&lt;$B1032)*(rl_key=$A$994)*rl_ln1p))</f>
        <v/>
      </c>
      <c r="J1032" s="208">
        <f>EXP(SUMPRODUCT((rl_eff&lt;=$C1032)*(rl_key=$A$994)*rl_ln1p))</f>
        <v/>
      </c>
      <c r="K1032" s="201">
        <f>COUNTIFS(rl_key,$A$994,rl_eff,"&gt;="&amp;$B1032,rl_eff,"&lt;="&amp;$C1032)</f>
        <v/>
      </c>
      <c r="L1032" s="201">
        <f>SUMIFS(rl_daysafter,rl_key,$A$994,rl_effmonth,$B1032,rl_first,1)</f>
        <v/>
      </c>
      <c r="M1032" s="209">
        <f>IF($K1032=0,0,MIN(1,$L1032/$D1032))</f>
        <v/>
      </c>
      <c r="N1032" s="208">
        <f>IF($K1032=0,$J1032,(1-$M1032)*$I1032+$M1032*$J1032)</f>
        <v/>
      </c>
      <c r="O1032" s="209">
        <f>IF($F1032&lt;$B$995,$E$995+$I$995*($F1032-$A$995),IF($F1032&lt;$C$995,$F$995+$J$995*($F1032-$B$995),$G$995+$K$995*($F1032-$C$995)))</f>
        <v/>
      </c>
      <c r="P1032" s="208">
        <f>MIN(1,MAX(0,(nr_MEndPm1-$G1032+0.5)/$C$994))-MIN(1,MAX(0,(nr_MStartPm1-1-$G1032+0.5)/$C$994))</f>
        <v/>
      </c>
      <c r="Q1032" s="208">
        <f>MIN(1,MAX(0,(nr_MEndP-$G1032+0.5)/$C$994))-MIN(1,MAX(0,(nr_MStartP-1-$G1032+0.5)/$C$994))</f>
        <v/>
      </c>
      <c r="R1032" s="208">
        <f>MIN(1,MAX(0,(nr_MEndP1-$G1032+0.5)/$C$994))-MIN(1,MAX(0,(nr_MStartP1-1-$G1032+0.5)/$C$994))</f>
        <v/>
      </c>
      <c r="S1032" s="208">
        <f>IF($L$994,$N1032*IF($O$994=1,$O1032/$F$994,1),"")</f>
        <v/>
      </c>
      <c r="T1032" s="208">
        <f>IF(NOT($L$994),"",IF($G1032&lt;nr_MStartP,$S1032,$T1020*(1+IF($G1032&lt;nr_MStartP1,$M$994,$N$994))))</f>
        <v/>
      </c>
      <c r="U1032" s="208">
        <f>IF($L$994,$T1032,$N1032)</f>
        <v/>
      </c>
    </row>
    <row r="1033">
      <c r="A1033" s="145" t="n">
        <v>37</v>
      </c>
      <c r="B1033" s="204">
        <f>EDATE($B1032,1)</f>
        <v/>
      </c>
      <c r="C1033" s="205">
        <f>EOMONTH($B1033,0)</f>
        <v/>
      </c>
      <c r="D1033" s="201">
        <f>$C1033-$B1033+1</f>
        <v/>
      </c>
      <c r="E1033" s="201">
        <f>MONTH($B1033)</f>
        <v/>
      </c>
      <c r="F1033" s="235">
        <f>($B1033+$C1033+1)/2</f>
        <v/>
      </c>
      <c r="G1033" s="201">
        <f>YEAR($B1033)*12+MONTH($B1033)-1</f>
        <v/>
      </c>
      <c r="H1033" s="207">
        <f>IF(OR(nr_SeasonOn="OFF",$D$994=0,$E$994=0),1,12*INDEX(se_block,$D$994,$E1033)/$E$994)</f>
        <v/>
      </c>
      <c r="I1033" s="208">
        <f>EXP(SUMPRODUCT((rl_eff&lt;$B1033)*(rl_key=$A$994)*rl_ln1p))</f>
        <v/>
      </c>
      <c r="J1033" s="208">
        <f>EXP(SUMPRODUCT((rl_eff&lt;=$C1033)*(rl_key=$A$994)*rl_ln1p))</f>
        <v/>
      </c>
      <c r="K1033" s="201">
        <f>COUNTIFS(rl_key,$A$994,rl_eff,"&gt;="&amp;$B1033,rl_eff,"&lt;="&amp;$C1033)</f>
        <v/>
      </c>
      <c r="L1033" s="201">
        <f>SUMIFS(rl_daysafter,rl_key,$A$994,rl_effmonth,$B1033,rl_first,1)</f>
        <v/>
      </c>
      <c r="M1033" s="209">
        <f>IF($K1033=0,0,MIN(1,$L1033/$D1033))</f>
        <v/>
      </c>
      <c r="N1033" s="208">
        <f>IF($K1033=0,$J1033,(1-$M1033)*$I1033+$M1033*$J1033)</f>
        <v/>
      </c>
      <c r="O1033" s="209">
        <f>IF($F1033&lt;$B$995,$E$995+$I$995*($F1033-$A$995),IF($F1033&lt;$C$995,$F$995+$J$995*($F1033-$B$995),$G$995+$K$995*($F1033-$C$995)))</f>
        <v/>
      </c>
      <c r="P1033" s="208">
        <f>MIN(1,MAX(0,(nr_MEndPm1-$G1033+0.5)/$C$994))-MIN(1,MAX(0,(nr_MStartPm1-1-$G1033+0.5)/$C$994))</f>
        <v/>
      </c>
      <c r="Q1033" s="208">
        <f>MIN(1,MAX(0,(nr_MEndP-$G1033+0.5)/$C$994))-MIN(1,MAX(0,(nr_MStartP-1-$G1033+0.5)/$C$994))</f>
        <v/>
      </c>
      <c r="R1033" s="208">
        <f>MIN(1,MAX(0,(nr_MEndP1-$G1033+0.5)/$C$994))-MIN(1,MAX(0,(nr_MStartP1-1-$G1033+0.5)/$C$994))</f>
        <v/>
      </c>
      <c r="S1033" s="208">
        <f>IF($L$994,$N1033*IF($O$994=1,$O1033/$F$994,1),"")</f>
        <v/>
      </c>
      <c r="T1033" s="208">
        <f>IF(NOT($L$994),"",IF($G1033&lt;nr_MStartP,$S1033,$T1021*(1+IF($G1033&lt;nr_MStartP1,$M$994,$N$994))))</f>
        <v/>
      </c>
      <c r="U1033" s="208">
        <f>IF($L$994,$T1033,$N1033)</f>
        <v/>
      </c>
    </row>
    <row r="1034">
      <c r="A1034" s="145" t="n">
        <v>38</v>
      </c>
      <c r="B1034" s="204">
        <f>EDATE($B1033,1)</f>
        <v/>
      </c>
      <c r="C1034" s="205">
        <f>EOMONTH($B1034,0)</f>
        <v/>
      </c>
      <c r="D1034" s="201">
        <f>$C1034-$B1034+1</f>
        <v/>
      </c>
      <c r="E1034" s="201">
        <f>MONTH($B1034)</f>
        <v/>
      </c>
      <c r="F1034" s="235">
        <f>($B1034+$C1034+1)/2</f>
        <v/>
      </c>
      <c r="G1034" s="201">
        <f>YEAR($B1034)*12+MONTH($B1034)-1</f>
        <v/>
      </c>
      <c r="H1034" s="207">
        <f>IF(OR(nr_SeasonOn="OFF",$D$994=0,$E$994=0),1,12*INDEX(se_block,$D$994,$E1034)/$E$994)</f>
        <v/>
      </c>
      <c r="I1034" s="208">
        <f>EXP(SUMPRODUCT((rl_eff&lt;$B1034)*(rl_key=$A$994)*rl_ln1p))</f>
        <v/>
      </c>
      <c r="J1034" s="208">
        <f>EXP(SUMPRODUCT((rl_eff&lt;=$C1034)*(rl_key=$A$994)*rl_ln1p))</f>
        <v/>
      </c>
      <c r="K1034" s="201">
        <f>COUNTIFS(rl_key,$A$994,rl_eff,"&gt;="&amp;$B1034,rl_eff,"&lt;="&amp;$C1034)</f>
        <v/>
      </c>
      <c r="L1034" s="201">
        <f>SUMIFS(rl_daysafter,rl_key,$A$994,rl_effmonth,$B1034,rl_first,1)</f>
        <v/>
      </c>
      <c r="M1034" s="209">
        <f>IF($K1034=0,0,MIN(1,$L1034/$D1034))</f>
        <v/>
      </c>
      <c r="N1034" s="208">
        <f>IF($K1034=0,$J1034,(1-$M1034)*$I1034+$M1034*$J1034)</f>
        <v/>
      </c>
      <c r="O1034" s="209">
        <f>IF($F1034&lt;$B$995,$E$995+$I$995*($F1034-$A$995),IF($F1034&lt;$C$995,$F$995+$J$995*($F1034-$B$995),$G$995+$K$995*($F1034-$C$995)))</f>
        <v/>
      </c>
      <c r="P1034" s="208">
        <f>MIN(1,MAX(0,(nr_MEndPm1-$G1034+0.5)/$C$994))-MIN(1,MAX(0,(nr_MStartPm1-1-$G1034+0.5)/$C$994))</f>
        <v/>
      </c>
      <c r="Q1034" s="208">
        <f>MIN(1,MAX(0,(nr_MEndP-$G1034+0.5)/$C$994))-MIN(1,MAX(0,(nr_MStartP-1-$G1034+0.5)/$C$994))</f>
        <v/>
      </c>
      <c r="R1034" s="208">
        <f>MIN(1,MAX(0,(nr_MEndP1-$G1034+0.5)/$C$994))-MIN(1,MAX(0,(nr_MStartP1-1-$G1034+0.5)/$C$994))</f>
        <v/>
      </c>
      <c r="S1034" s="208">
        <f>IF($L$994,$N1034*IF($O$994=1,$O1034/$F$994,1),"")</f>
        <v/>
      </c>
      <c r="T1034" s="208">
        <f>IF(NOT($L$994),"",IF($G1034&lt;nr_MStartP,$S1034,$T1022*(1+IF($G1034&lt;nr_MStartP1,$M$994,$N$994))))</f>
        <v/>
      </c>
      <c r="U1034" s="208">
        <f>IF($L$994,$T1034,$N1034)</f>
        <v/>
      </c>
    </row>
    <row r="1035">
      <c r="A1035" s="145" t="n">
        <v>39</v>
      </c>
      <c r="B1035" s="204">
        <f>EDATE($B1034,1)</f>
        <v/>
      </c>
      <c r="C1035" s="205">
        <f>EOMONTH($B1035,0)</f>
        <v/>
      </c>
      <c r="D1035" s="201">
        <f>$C1035-$B1035+1</f>
        <v/>
      </c>
      <c r="E1035" s="201">
        <f>MONTH($B1035)</f>
        <v/>
      </c>
      <c r="F1035" s="235">
        <f>($B1035+$C1035+1)/2</f>
        <v/>
      </c>
      <c r="G1035" s="201">
        <f>YEAR($B1035)*12+MONTH($B1035)-1</f>
        <v/>
      </c>
      <c r="H1035" s="207">
        <f>IF(OR(nr_SeasonOn="OFF",$D$994=0,$E$994=0),1,12*INDEX(se_block,$D$994,$E1035)/$E$994)</f>
        <v/>
      </c>
      <c r="I1035" s="208">
        <f>EXP(SUMPRODUCT((rl_eff&lt;$B1035)*(rl_key=$A$994)*rl_ln1p))</f>
        <v/>
      </c>
      <c r="J1035" s="208">
        <f>EXP(SUMPRODUCT((rl_eff&lt;=$C1035)*(rl_key=$A$994)*rl_ln1p))</f>
        <v/>
      </c>
      <c r="K1035" s="201">
        <f>COUNTIFS(rl_key,$A$994,rl_eff,"&gt;="&amp;$B1035,rl_eff,"&lt;="&amp;$C1035)</f>
        <v/>
      </c>
      <c r="L1035" s="201">
        <f>SUMIFS(rl_daysafter,rl_key,$A$994,rl_effmonth,$B1035,rl_first,1)</f>
        <v/>
      </c>
      <c r="M1035" s="209">
        <f>IF($K1035=0,0,MIN(1,$L1035/$D1035))</f>
        <v/>
      </c>
      <c r="N1035" s="208">
        <f>IF($K1035=0,$J1035,(1-$M1035)*$I1035+$M1035*$J1035)</f>
        <v/>
      </c>
      <c r="O1035" s="209">
        <f>IF($F1035&lt;$B$995,$E$995+$I$995*($F1035-$A$995),IF($F1035&lt;$C$995,$F$995+$J$995*($F1035-$B$995),$G$995+$K$995*($F1035-$C$995)))</f>
        <v/>
      </c>
      <c r="P1035" s="208">
        <f>MIN(1,MAX(0,(nr_MEndPm1-$G1035+0.5)/$C$994))-MIN(1,MAX(0,(nr_MStartPm1-1-$G1035+0.5)/$C$994))</f>
        <v/>
      </c>
      <c r="Q1035" s="208">
        <f>MIN(1,MAX(0,(nr_MEndP-$G1035+0.5)/$C$994))-MIN(1,MAX(0,(nr_MStartP-1-$G1035+0.5)/$C$994))</f>
        <v/>
      </c>
      <c r="R1035" s="208">
        <f>MIN(1,MAX(0,(nr_MEndP1-$G1035+0.5)/$C$994))-MIN(1,MAX(0,(nr_MStartP1-1-$G1035+0.5)/$C$994))</f>
        <v/>
      </c>
      <c r="S1035" s="208">
        <f>IF($L$994,$N1035*IF($O$994=1,$O1035/$F$994,1),"")</f>
        <v/>
      </c>
      <c r="T1035" s="208">
        <f>IF(NOT($L$994),"",IF($G1035&lt;nr_MStartP,$S1035,$T1023*(1+IF($G1035&lt;nr_MStartP1,$M$994,$N$994))))</f>
        <v/>
      </c>
      <c r="U1035" s="208">
        <f>IF($L$994,$T1035,$N1035)</f>
        <v/>
      </c>
    </row>
    <row r="1036">
      <c r="A1036" s="145" t="n">
        <v>40</v>
      </c>
      <c r="B1036" s="204">
        <f>EDATE($B1035,1)</f>
        <v/>
      </c>
      <c r="C1036" s="205">
        <f>EOMONTH($B1036,0)</f>
        <v/>
      </c>
      <c r="D1036" s="201">
        <f>$C1036-$B1036+1</f>
        <v/>
      </c>
      <c r="E1036" s="201">
        <f>MONTH($B1036)</f>
        <v/>
      </c>
      <c r="F1036" s="235">
        <f>($B1036+$C1036+1)/2</f>
        <v/>
      </c>
      <c r="G1036" s="201">
        <f>YEAR($B1036)*12+MONTH($B1036)-1</f>
        <v/>
      </c>
      <c r="H1036" s="207">
        <f>IF(OR(nr_SeasonOn="OFF",$D$994=0,$E$994=0),1,12*INDEX(se_block,$D$994,$E1036)/$E$994)</f>
        <v/>
      </c>
      <c r="I1036" s="208">
        <f>EXP(SUMPRODUCT((rl_eff&lt;$B1036)*(rl_key=$A$994)*rl_ln1p))</f>
        <v/>
      </c>
      <c r="J1036" s="208">
        <f>EXP(SUMPRODUCT((rl_eff&lt;=$C1036)*(rl_key=$A$994)*rl_ln1p))</f>
        <v/>
      </c>
      <c r="K1036" s="201">
        <f>COUNTIFS(rl_key,$A$994,rl_eff,"&gt;="&amp;$B1036,rl_eff,"&lt;="&amp;$C1036)</f>
        <v/>
      </c>
      <c r="L1036" s="201">
        <f>SUMIFS(rl_daysafter,rl_key,$A$994,rl_effmonth,$B1036,rl_first,1)</f>
        <v/>
      </c>
      <c r="M1036" s="209">
        <f>IF($K1036=0,0,MIN(1,$L1036/$D1036))</f>
        <v/>
      </c>
      <c r="N1036" s="208">
        <f>IF($K1036=0,$J1036,(1-$M1036)*$I1036+$M1036*$J1036)</f>
        <v/>
      </c>
      <c r="O1036" s="209">
        <f>IF($F1036&lt;$B$995,$E$995+$I$995*($F1036-$A$995),IF($F1036&lt;$C$995,$F$995+$J$995*($F1036-$B$995),$G$995+$K$995*($F1036-$C$995)))</f>
        <v/>
      </c>
      <c r="P1036" s="208">
        <f>MIN(1,MAX(0,(nr_MEndPm1-$G1036+0.5)/$C$994))-MIN(1,MAX(0,(nr_MStartPm1-1-$G1036+0.5)/$C$994))</f>
        <v/>
      </c>
      <c r="Q1036" s="208">
        <f>MIN(1,MAX(0,(nr_MEndP-$G1036+0.5)/$C$994))-MIN(1,MAX(0,(nr_MStartP-1-$G1036+0.5)/$C$994))</f>
        <v/>
      </c>
      <c r="R1036" s="208">
        <f>MIN(1,MAX(0,(nr_MEndP1-$G1036+0.5)/$C$994))-MIN(1,MAX(0,(nr_MStartP1-1-$G1036+0.5)/$C$994))</f>
        <v/>
      </c>
      <c r="S1036" s="208">
        <f>IF($L$994,$N1036*IF($O$994=1,$O1036/$F$994,1),"")</f>
        <v/>
      </c>
      <c r="T1036" s="208">
        <f>IF(NOT($L$994),"",IF($G1036&lt;nr_MStartP,$S1036,$T1024*(1+IF($G1036&lt;nr_MStartP1,$M$994,$N$994))))</f>
        <v/>
      </c>
      <c r="U1036" s="208">
        <f>IF($L$994,$T1036,$N1036)</f>
        <v/>
      </c>
    </row>
    <row r="1037">
      <c r="A1037" s="145" t="n">
        <v>41</v>
      </c>
      <c r="B1037" s="204">
        <f>EDATE($B1036,1)</f>
        <v/>
      </c>
      <c r="C1037" s="205">
        <f>EOMONTH($B1037,0)</f>
        <v/>
      </c>
      <c r="D1037" s="201">
        <f>$C1037-$B1037+1</f>
        <v/>
      </c>
      <c r="E1037" s="201">
        <f>MONTH($B1037)</f>
        <v/>
      </c>
      <c r="F1037" s="235">
        <f>($B1037+$C1037+1)/2</f>
        <v/>
      </c>
      <c r="G1037" s="201">
        <f>YEAR($B1037)*12+MONTH($B1037)-1</f>
        <v/>
      </c>
      <c r="H1037" s="207">
        <f>IF(OR(nr_SeasonOn="OFF",$D$994=0,$E$994=0),1,12*INDEX(se_block,$D$994,$E1037)/$E$994)</f>
        <v/>
      </c>
      <c r="I1037" s="208">
        <f>EXP(SUMPRODUCT((rl_eff&lt;$B1037)*(rl_key=$A$994)*rl_ln1p))</f>
        <v/>
      </c>
      <c r="J1037" s="208">
        <f>EXP(SUMPRODUCT((rl_eff&lt;=$C1037)*(rl_key=$A$994)*rl_ln1p))</f>
        <v/>
      </c>
      <c r="K1037" s="201">
        <f>COUNTIFS(rl_key,$A$994,rl_eff,"&gt;="&amp;$B1037,rl_eff,"&lt;="&amp;$C1037)</f>
        <v/>
      </c>
      <c r="L1037" s="201">
        <f>SUMIFS(rl_daysafter,rl_key,$A$994,rl_effmonth,$B1037,rl_first,1)</f>
        <v/>
      </c>
      <c r="M1037" s="209">
        <f>IF($K1037=0,0,MIN(1,$L1037/$D1037))</f>
        <v/>
      </c>
      <c r="N1037" s="208">
        <f>IF($K1037=0,$J1037,(1-$M1037)*$I1037+$M1037*$J1037)</f>
        <v/>
      </c>
      <c r="O1037" s="209">
        <f>IF($F1037&lt;$B$995,$E$995+$I$995*($F1037-$A$995),IF($F1037&lt;$C$995,$F$995+$J$995*($F1037-$B$995),$G$995+$K$995*($F1037-$C$995)))</f>
        <v/>
      </c>
      <c r="P1037" s="208">
        <f>MIN(1,MAX(0,(nr_MEndPm1-$G1037+0.5)/$C$994))-MIN(1,MAX(0,(nr_MStartPm1-1-$G1037+0.5)/$C$994))</f>
        <v/>
      </c>
      <c r="Q1037" s="208">
        <f>MIN(1,MAX(0,(nr_MEndP-$G1037+0.5)/$C$994))-MIN(1,MAX(0,(nr_MStartP-1-$G1037+0.5)/$C$994))</f>
        <v/>
      </c>
      <c r="R1037" s="208">
        <f>MIN(1,MAX(0,(nr_MEndP1-$G1037+0.5)/$C$994))-MIN(1,MAX(0,(nr_MStartP1-1-$G1037+0.5)/$C$994))</f>
        <v/>
      </c>
      <c r="S1037" s="208">
        <f>IF($L$994,$N1037*IF($O$994=1,$O1037/$F$994,1),"")</f>
        <v/>
      </c>
      <c r="T1037" s="208">
        <f>IF(NOT($L$994),"",IF($G1037&lt;nr_MStartP,$S1037,$T1025*(1+IF($G1037&lt;nr_MStartP1,$M$994,$N$994))))</f>
        <v/>
      </c>
      <c r="U1037" s="208">
        <f>IF($L$994,$T1037,$N1037)</f>
        <v/>
      </c>
    </row>
    <row r="1038">
      <c r="A1038" s="145" t="n">
        <v>42</v>
      </c>
      <c r="B1038" s="204">
        <f>EDATE($B1037,1)</f>
        <v/>
      </c>
      <c r="C1038" s="205">
        <f>EOMONTH($B1038,0)</f>
        <v/>
      </c>
      <c r="D1038" s="201">
        <f>$C1038-$B1038+1</f>
        <v/>
      </c>
      <c r="E1038" s="201">
        <f>MONTH($B1038)</f>
        <v/>
      </c>
      <c r="F1038" s="235">
        <f>($B1038+$C1038+1)/2</f>
        <v/>
      </c>
      <c r="G1038" s="201">
        <f>YEAR($B1038)*12+MONTH($B1038)-1</f>
        <v/>
      </c>
      <c r="H1038" s="207">
        <f>IF(OR(nr_SeasonOn="OFF",$D$994=0,$E$994=0),1,12*INDEX(se_block,$D$994,$E1038)/$E$994)</f>
        <v/>
      </c>
      <c r="I1038" s="208">
        <f>EXP(SUMPRODUCT((rl_eff&lt;$B1038)*(rl_key=$A$994)*rl_ln1p))</f>
        <v/>
      </c>
      <c r="J1038" s="208">
        <f>EXP(SUMPRODUCT((rl_eff&lt;=$C1038)*(rl_key=$A$994)*rl_ln1p))</f>
        <v/>
      </c>
      <c r="K1038" s="201">
        <f>COUNTIFS(rl_key,$A$994,rl_eff,"&gt;="&amp;$B1038,rl_eff,"&lt;="&amp;$C1038)</f>
        <v/>
      </c>
      <c r="L1038" s="201">
        <f>SUMIFS(rl_daysafter,rl_key,$A$994,rl_effmonth,$B1038,rl_first,1)</f>
        <v/>
      </c>
      <c r="M1038" s="209">
        <f>IF($K1038=0,0,MIN(1,$L1038/$D1038))</f>
        <v/>
      </c>
      <c r="N1038" s="208">
        <f>IF($K1038=0,$J1038,(1-$M1038)*$I1038+$M1038*$J1038)</f>
        <v/>
      </c>
      <c r="O1038" s="209">
        <f>IF($F1038&lt;$B$995,$E$995+$I$995*($F1038-$A$995),IF($F1038&lt;$C$995,$F$995+$J$995*($F1038-$B$995),$G$995+$K$995*($F1038-$C$995)))</f>
        <v/>
      </c>
      <c r="P1038" s="208">
        <f>MIN(1,MAX(0,(nr_MEndPm1-$G1038+0.5)/$C$994))-MIN(1,MAX(0,(nr_MStartPm1-1-$G1038+0.5)/$C$994))</f>
        <v/>
      </c>
      <c r="Q1038" s="208">
        <f>MIN(1,MAX(0,(nr_MEndP-$G1038+0.5)/$C$994))-MIN(1,MAX(0,(nr_MStartP-1-$G1038+0.5)/$C$994))</f>
        <v/>
      </c>
      <c r="R1038" s="208">
        <f>MIN(1,MAX(0,(nr_MEndP1-$G1038+0.5)/$C$994))-MIN(1,MAX(0,(nr_MStartP1-1-$G1038+0.5)/$C$994))</f>
        <v/>
      </c>
      <c r="S1038" s="208">
        <f>IF($L$994,$N1038*IF($O$994=1,$O1038/$F$994,1),"")</f>
        <v/>
      </c>
      <c r="T1038" s="208">
        <f>IF(NOT($L$994),"",IF($G1038&lt;nr_MStartP,$S1038,$T1026*(1+IF($G1038&lt;nr_MStartP1,$M$994,$N$994))))</f>
        <v/>
      </c>
      <c r="U1038" s="208">
        <f>IF($L$994,$T1038,$N1038)</f>
        <v/>
      </c>
    </row>
    <row r="1039">
      <c r="A1039" s="145" t="n">
        <v>43</v>
      </c>
      <c r="B1039" s="204">
        <f>EDATE($B1038,1)</f>
        <v/>
      </c>
      <c r="C1039" s="205">
        <f>EOMONTH($B1039,0)</f>
        <v/>
      </c>
      <c r="D1039" s="201">
        <f>$C1039-$B1039+1</f>
        <v/>
      </c>
      <c r="E1039" s="201">
        <f>MONTH($B1039)</f>
        <v/>
      </c>
      <c r="F1039" s="235">
        <f>($B1039+$C1039+1)/2</f>
        <v/>
      </c>
      <c r="G1039" s="201">
        <f>YEAR($B1039)*12+MONTH($B1039)-1</f>
        <v/>
      </c>
      <c r="H1039" s="207">
        <f>IF(OR(nr_SeasonOn="OFF",$D$994=0,$E$994=0),1,12*INDEX(se_block,$D$994,$E1039)/$E$994)</f>
        <v/>
      </c>
      <c r="I1039" s="208">
        <f>EXP(SUMPRODUCT((rl_eff&lt;$B1039)*(rl_key=$A$994)*rl_ln1p))</f>
        <v/>
      </c>
      <c r="J1039" s="208">
        <f>EXP(SUMPRODUCT((rl_eff&lt;=$C1039)*(rl_key=$A$994)*rl_ln1p))</f>
        <v/>
      </c>
      <c r="K1039" s="201">
        <f>COUNTIFS(rl_key,$A$994,rl_eff,"&gt;="&amp;$B1039,rl_eff,"&lt;="&amp;$C1039)</f>
        <v/>
      </c>
      <c r="L1039" s="201">
        <f>SUMIFS(rl_daysafter,rl_key,$A$994,rl_effmonth,$B1039,rl_first,1)</f>
        <v/>
      </c>
      <c r="M1039" s="209">
        <f>IF($K1039=0,0,MIN(1,$L1039/$D1039))</f>
        <v/>
      </c>
      <c r="N1039" s="208">
        <f>IF($K1039=0,$J1039,(1-$M1039)*$I1039+$M1039*$J1039)</f>
        <v/>
      </c>
      <c r="O1039" s="209">
        <f>IF($F1039&lt;$B$995,$E$995+$I$995*($F1039-$A$995),IF($F1039&lt;$C$995,$F$995+$J$995*($F1039-$B$995),$G$995+$K$995*($F1039-$C$995)))</f>
        <v/>
      </c>
      <c r="P1039" s="208">
        <f>MIN(1,MAX(0,(nr_MEndPm1-$G1039+0.5)/$C$994))-MIN(1,MAX(0,(nr_MStartPm1-1-$G1039+0.5)/$C$994))</f>
        <v/>
      </c>
      <c r="Q1039" s="208">
        <f>MIN(1,MAX(0,(nr_MEndP-$G1039+0.5)/$C$994))-MIN(1,MAX(0,(nr_MStartP-1-$G1039+0.5)/$C$994))</f>
        <v/>
      </c>
      <c r="R1039" s="208">
        <f>MIN(1,MAX(0,(nr_MEndP1-$G1039+0.5)/$C$994))-MIN(1,MAX(0,(nr_MStartP1-1-$G1039+0.5)/$C$994))</f>
        <v/>
      </c>
      <c r="S1039" s="208">
        <f>IF($L$994,$N1039*IF($O$994=1,$O1039/$F$994,1),"")</f>
        <v/>
      </c>
      <c r="T1039" s="208">
        <f>IF(NOT($L$994),"",IF($G1039&lt;nr_MStartP,$S1039,$T1027*(1+IF($G1039&lt;nr_MStartP1,$M$994,$N$994))))</f>
        <v/>
      </c>
      <c r="U1039" s="208">
        <f>IF($L$994,$T1039,$N1039)</f>
        <v/>
      </c>
    </row>
    <row r="1040">
      <c r="A1040" s="145" t="n">
        <v>44</v>
      </c>
      <c r="B1040" s="204">
        <f>EDATE($B1039,1)</f>
        <v/>
      </c>
      <c r="C1040" s="205">
        <f>EOMONTH($B1040,0)</f>
        <v/>
      </c>
      <c r="D1040" s="201">
        <f>$C1040-$B1040+1</f>
        <v/>
      </c>
      <c r="E1040" s="201">
        <f>MONTH($B1040)</f>
        <v/>
      </c>
      <c r="F1040" s="235">
        <f>($B1040+$C1040+1)/2</f>
        <v/>
      </c>
      <c r="G1040" s="201">
        <f>YEAR($B1040)*12+MONTH($B1040)-1</f>
        <v/>
      </c>
      <c r="H1040" s="207">
        <f>IF(OR(nr_SeasonOn="OFF",$D$994=0,$E$994=0),1,12*INDEX(se_block,$D$994,$E1040)/$E$994)</f>
        <v/>
      </c>
      <c r="I1040" s="208">
        <f>EXP(SUMPRODUCT((rl_eff&lt;$B1040)*(rl_key=$A$994)*rl_ln1p))</f>
        <v/>
      </c>
      <c r="J1040" s="208">
        <f>EXP(SUMPRODUCT((rl_eff&lt;=$C1040)*(rl_key=$A$994)*rl_ln1p))</f>
        <v/>
      </c>
      <c r="K1040" s="201">
        <f>COUNTIFS(rl_key,$A$994,rl_eff,"&gt;="&amp;$B1040,rl_eff,"&lt;="&amp;$C1040)</f>
        <v/>
      </c>
      <c r="L1040" s="201">
        <f>SUMIFS(rl_daysafter,rl_key,$A$994,rl_effmonth,$B1040,rl_first,1)</f>
        <v/>
      </c>
      <c r="M1040" s="209">
        <f>IF($K1040=0,0,MIN(1,$L1040/$D1040))</f>
        <v/>
      </c>
      <c r="N1040" s="208">
        <f>IF($K1040=0,$J1040,(1-$M1040)*$I1040+$M1040*$J1040)</f>
        <v/>
      </c>
      <c r="O1040" s="209">
        <f>IF($F1040&lt;$B$995,$E$995+$I$995*($F1040-$A$995),IF($F1040&lt;$C$995,$F$995+$J$995*($F1040-$B$995),$G$995+$K$995*($F1040-$C$995)))</f>
        <v/>
      </c>
      <c r="P1040" s="208">
        <f>MIN(1,MAX(0,(nr_MEndPm1-$G1040+0.5)/$C$994))-MIN(1,MAX(0,(nr_MStartPm1-1-$G1040+0.5)/$C$994))</f>
        <v/>
      </c>
      <c r="Q1040" s="208">
        <f>MIN(1,MAX(0,(nr_MEndP-$G1040+0.5)/$C$994))-MIN(1,MAX(0,(nr_MStartP-1-$G1040+0.5)/$C$994))</f>
        <v/>
      </c>
      <c r="R1040" s="208">
        <f>MIN(1,MAX(0,(nr_MEndP1-$G1040+0.5)/$C$994))-MIN(1,MAX(0,(nr_MStartP1-1-$G1040+0.5)/$C$994))</f>
        <v/>
      </c>
      <c r="S1040" s="208">
        <f>IF($L$994,$N1040*IF($O$994=1,$O1040/$F$994,1),"")</f>
        <v/>
      </c>
      <c r="T1040" s="208">
        <f>IF(NOT($L$994),"",IF($G1040&lt;nr_MStartP,$S1040,$T1028*(1+IF($G1040&lt;nr_MStartP1,$M$994,$N$994))))</f>
        <v/>
      </c>
      <c r="U1040" s="208">
        <f>IF($L$994,$T1040,$N1040)</f>
        <v/>
      </c>
    </row>
    <row r="1041">
      <c r="A1041" s="145" t="n">
        <v>45</v>
      </c>
      <c r="B1041" s="204">
        <f>EDATE($B1040,1)</f>
        <v/>
      </c>
      <c r="C1041" s="205">
        <f>EOMONTH($B1041,0)</f>
        <v/>
      </c>
      <c r="D1041" s="201">
        <f>$C1041-$B1041+1</f>
        <v/>
      </c>
      <c r="E1041" s="201">
        <f>MONTH($B1041)</f>
        <v/>
      </c>
      <c r="F1041" s="235">
        <f>($B1041+$C1041+1)/2</f>
        <v/>
      </c>
      <c r="G1041" s="201">
        <f>YEAR($B1041)*12+MONTH($B1041)-1</f>
        <v/>
      </c>
      <c r="H1041" s="207">
        <f>IF(OR(nr_SeasonOn="OFF",$D$994=0,$E$994=0),1,12*INDEX(se_block,$D$994,$E1041)/$E$994)</f>
        <v/>
      </c>
      <c r="I1041" s="208">
        <f>EXP(SUMPRODUCT((rl_eff&lt;$B1041)*(rl_key=$A$994)*rl_ln1p))</f>
        <v/>
      </c>
      <c r="J1041" s="208">
        <f>EXP(SUMPRODUCT((rl_eff&lt;=$C1041)*(rl_key=$A$994)*rl_ln1p))</f>
        <v/>
      </c>
      <c r="K1041" s="201">
        <f>COUNTIFS(rl_key,$A$994,rl_eff,"&gt;="&amp;$B1041,rl_eff,"&lt;="&amp;$C1041)</f>
        <v/>
      </c>
      <c r="L1041" s="201">
        <f>SUMIFS(rl_daysafter,rl_key,$A$994,rl_effmonth,$B1041,rl_first,1)</f>
        <v/>
      </c>
      <c r="M1041" s="209">
        <f>IF($K1041=0,0,MIN(1,$L1041/$D1041))</f>
        <v/>
      </c>
      <c r="N1041" s="208">
        <f>IF($K1041=0,$J1041,(1-$M1041)*$I1041+$M1041*$J1041)</f>
        <v/>
      </c>
      <c r="O1041" s="209">
        <f>IF($F1041&lt;$B$995,$E$995+$I$995*($F1041-$A$995),IF($F1041&lt;$C$995,$F$995+$J$995*($F1041-$B$995),$G$995+$K$995*($F1041-$C$995)))</f>
        <v/>
      </c>
      <c r="P1041" s="208">
        <f>MIN(1,MAX(0,(nr_MEndPm1-$G1041+0.5)/$C$994))-MIN(1,MAX(0,(nr_MStartPm1-1-$G1041+0.5)/$C$994))</f>
        <v/>
      </c>
      <c r="Q1041" s="208">
        <f>MIN(1,MAX(0,(nr_MEndP-$G1041+0.5)/$C$994))-MIN(1,MAX(0,(nr_MStartP-1-$G1041+0.5)/$C$994))</f>
        <v/>
      </c>
      <c r="R1041" s="208">
        <f>MIN(1,MAX(0,(nr_MEndP1-$G1041+0.5)/$C$994))-MIN(1,MAX(0,(nr_MStartP1-1-$G1041+0.5)/$C$994))</f>
        <v/>
      </c>
      <c r="S1041" s="208">
        <f>IF($L$994,$N1041*IF($O$994=1,$O1041/$F$994,1),"")</f>
        <v/>
      </c>
      <c r="T1041" s="208">
        <f>IF(NOT($L$994),"",IF($G1041&lt;nr_MStartP,$S1041,$T1029*(1+IF($G1041&lt;nr_MStartP1,$M$994,$N$994))))</f>
        <v/>
      </c>
      <c r="U1041" s="208">
        <f>IF($L$994,$T1041,$N1041)</f>
        <v/>
      </c>
    </row>
    <row r="1042">
      <c r="A1042" s="145" t="n">
        <v>46</v>
      </c>
      <c r="B1042" s="204">
        <f>EDATE($B1041,1)</f>
        <v/>
      </c>
      <c r="C1042" s="205">
        <f>EOMONTH($B1042,0)</f>
        <v/>
      </c>
      <c r="D1042" s="201">
        <f>$C1042-$B1042+1</f>
        <v/>
      </c>
      <c r="E1042" s="201">
        <f>MONTH($B1042)</f>
        <v/>
      </c>
      <c r="F1042" s="235">
        <f>($B1042+$C1042+1)/2</f>
        <v/>
      </c>
      <c r="G1042" s="201">
        <f>YEAR($B1042)*12+MONTH($B1042)-1</f>
        <v/>
      </c>
      <c r="H1042" s="207">
        <f>IF(OR(nr_SeasonOn="OFF",$D$994=0,$E$994=0),1,12*INDEX(se_block,$D$994,$E1042)/$E$994)</f>
        <v/>
      </c>
      <c r="I1042" s="208">
        <f>EXP(SUMPRODUCT((rl_eff&lt;$B1042)*(rl_key=$A$994)*rl_ln1p))</f>
        <v/>
      </c>
      <c r="J1042" s="208">
        <f>EXP(SUMPRODUCT((rl_eff&lt;=$C1042)*(rl_key=$A$994)*rl_ln1p))</f>
        <v/>
      </c>
      <c r="K1042" s="201">
        <f>COUNTIFS(rl_key,$A$994,rl_eff,"&gt;="&amp;$B1042,rl_eff,"&lt;="&amp;$C1042)</f>
        <v/>
      </c>
      <c r="L1042" s="201">
        <f>SUMIFS(rl_daysafter,rl_key,$A$994,rl_effmonth,$B1042,rl_first,1)</f>
        <v/>
      </c>
      <c r="M1042" s="209">
        <f>IF($K1042=0,0,MIN(1,$L1042/$D1042))</f>
        <v/>
      </c>
      <c r="N1042" s="208">
        <f>IF($K1042=0,$J1042,(1-$M1042)*$I1042+$M1042*$J1042)</f>
        <v/>
      </c>
      <c r="O1042" s="209">
        <f>IF($F1042&lt;$B$995,$E$995+$I$995*($F1042-$A$995),IF($F1042&lt;$C$995,$F$995+$J$995*($F1042-$B$995),$G$995+$K$995*($F1042-$C$995)))</f>
        <v/>
      </c>
      <c r="P1042" s="208">
        <f>MIN(1,MAX(0,(nr_MEndPm1-$G1042+0.5)/$C$994))-MIN(1,MAX(0,(nr_MStartPm1-1-$G1042+0.5)/$C$994))</f>
        <v/>
      </c>
      <c r="Q1042" s="208">
        <f>MIN(1,MAX(0,(nr_MEndP-$G1042+0.5)/$C$994))-MIN(1,MAX(0,(nr_MStartP-1-$G1042+0.5)/$C$994))</f>
        <v/>
      </c>
      <c r="R1042" s="208">
        <f>MIN(1,MAX(0,(nr_MEndP1-$G1042+0.5)/$C$994))-MIN(1,MAX(0,(nr_MStartP1-1-$G1042+0.5)/$C$994))</f>
        <v/>
      </c>
      <c r="S1042" s="208">
        <f>IF($L$994,$N1042*IF($O$994=1,$O1042/$F$994,1),"")</f>
        <v/>
      </c>
      <c r="T1042" s="208">
        <f>IF(NOT($L$994),"",IF($G1042&lt;nr_MStartP,$S1042,$T1030*(1+IF($G1042&lt;nr_MStartP1,$M$994,$N$994))))</f>
        <v/>
      </c>
      <c r="U1042" s="208">
        <f>IF($L$994,$T1042,$N1042)</f>
        <v/>
      </c>
    </row>
    <row r="1043">
      <c r="A1043" s="145" t="n">
        <v>47</v>
      </c>
      <c r="B1043" s="204">
        <f>EDATE($B1042,1)</f>
        <v/>
      </c>
      <c r="C1043" s="205">
        <f>EOMONTH($B1043,0)</f>
        <v/>
      </c>
      <c r="D1043" s="201">
        <f>$C1043-$B1043+1</f>
        <v/>
      </c>
      <c r="E1043" s="201">
        <f>MONTH($B1043)</f>
        <v/>
      </c>
      <c r="F1043" s="235">
        <f>($B1043+$C1043+1)/2</f>
        <v/>
      </c>
      <c r="G1043" s="201">
        <f>YEAR($B1043)*12+MONTH($B1043)-1</f>
        <v/>
      </c>
      <c r="H1043" s="207">
        <f>IF(OR(nr_SeasonOn="OFF",$D$994=0,$E$994=0),1,12*INDEX(se_block,$D$994,$E1043)/$E$994)</f>
        <v/>
      </c>
      <c r="I1043" s="208">
        <f>EXP(SUMPRODUCT((rl_eff&lt;$B1043)*(rl_key=$A$994)*rl_ln1p))</f>
        <v/>
      </c>
      <c r="J1043" s="208">
        <f>EXP(SUMPRODUCT((rl_eff&lt;=$C1043)*(rl_key=$A$994)*rl_ln1p))</f>
        <v/>
      </c>
      <c r="K1043" s="201">
        <f>COUNTIFS(rl_key,$A$994,rl_eff,"&gt;="&amp;$B1043,rl_eff,"&lt;="&amp;$C1043)</f>
        <v/>
      </c>
      <c r="L1043" s="201">
        <f>SUMIFS(rl_daysafter,rl_key,$A$994,rl_effmonth,$B1043,rl_first,1)</f>
        <v/>
      </c>
      <c r="M1043" s="209">
        <f>IF($K1043=0,0,MIN(1,$L1043/$D1043))</f>
        <v/>
      </c>
      <c r="N1043" s="208">
        <f>IF($K1043=0,$J1043,(1-$M1043)*$I1043+$M1043*$J1043)</f>
        <v/>
      </c>
      <c r="O1043" s="209">
        <f>IF($F1043&lt;$B$995,$E$995+$I$995*($F1043-$A$995),IF($F1043&lt;$C$995,$F$995+$J$995*($F1043-$B$995),$G$995+$K$995*($F1043-$C$995)))</f>
        <v/>
      </c>
      <c r="P1043" s="208">
        <f>MIN(1,MAX(0,(nr_MEndPm1-$G1043+0.5)/$C$994))-MIN(1,MAX(0,(nr_MStartPm1-1-$G1043+0.5)/$C$994))</f>
        <v/>
      </c>
      <c r="Q1043" s="208">
        <f>MIN(1,MAX(0,(nr_MEndP-$G1043+0.5)/$C$994))-MIN(1,MAX(0,(nr_MStartP-1-$G1043+0.5)/$C$994))</f>
        <v/>
      </c>
      <c r="R1043" s="208">
        <f>MIN(1,MAX(0,(nr_MEndP1-$G1043+0.5)/$C$994))-MIN(1,MAX(0,(nr_MStartP1-1-$G1043+0.5)/$C$994))</f>
        <v/>
      </c>
      <c r="S1043" s="208">
        <f>IF($L$994,$N1043*IF($O$994=1,$O1043/$F$994,1),"")</f>
        <v/>
      </c>
      <c r="T1043" s="208">
        <f>IF(NOT($L$994),"",IF($G1043&lt;nr_MStartP,$S1043,$T1031*(1+IF($G1043&lt;nr_MStartP1,$M$994,$N$994))))</f>
        <v/>
      </c>
      <c r="U1043" s="208">
        <f>IF($L$994,$T1043,$N1043)</f>
        <v/>
      </c>
    </row>
    <row r="1044">
      <c r="A1044" s="145" t="n">
        <v>48</v>
      </c>
      <c r="B1044" s="204">
        <f>EDATE($B1043,1)</f>
        <v/>
      </c>
      <c r="C1044" s="205">
        <f>EOMONTH($B1044,0)</f>
        <v/>
      </c>
      <c r="D1044" s="201">
        <f>$C1044-$B1044+1</f>
        <v/>
      </c>
      <c r="E1044" s="201">
        <f>MONTH($B1044)</f>
        <v/>
      </c>
      <c r="F1044" s="235">
        <f>($B1044+$C1044+1)/2</f>
        <v/>
      </c>
      <c r="G1044" s="201">
        <f>YEAR($B1044)*12+MONTH($B1044)-1</f>
        <v/>
      </c>
      <c r="H1044" s="207">
        <f>IF(OR(nr_SeasonOn="OFF",$D$994=0,$E$994=0),1,12*INDEX(se_block,$D$994,$E1044)/$E$994)</f>
        <v/>
      </c>
      <c r="I1044" s="208">
        <f>EXP(SUMPRODUCT((rl_eff&lt;$B1044)*(rl_key=$A$994)*rl_ln1p))</f>
        <v/>
      </c>
      <c r="J1044" s="208">
        <f>EXP(SUMPRODUCT((rl_eff&lt;=$C1044)*(rl_key=$A$994)*rl_ln1p))</f>
        <v/>
      </c>
      <c r="K1044" s="201">
        <f>COUNTIFS(rl_key,$A$994,rl_eff,"&gt;="&amp;$B1044,rl_eff,"&lt;="&amp;$C1044)</f>
        <v/>
      </c>
      <c r="L1044" s="201">
        <f>SUMIFS(rl_daysafter,rl_key,$A$994,rl_effmonth,$B1044,rl_first,1)</f>
        <v/>
      </c>
      <c r="M1044" s="209">
        <f>IF($K1044=0,0,MIN(1,$L1044/$D1044))</f>
        <v/>
      </c>
      <c r="N1044" s="208">
        <f>IF($K1044=0,$J1044,(1-$M1044)*$I1044+$M1044*$J1044)</f>
        <v/>
      </c>
      <c r="O1044" s="209">
        <f>IF($F1044&lt;$B$995,$E$995+$I$995*($F1044-$A$995),IF($F1044&lt;$C$995,$F$995+$J$995*($F1044-$B$995),$G$995+$K$995*($F1044-$C$995)))</f>
        <v/>
      </c>
      <c r="P1044" s="208">
        <f>MIN(1,MAX(0,(nr_MEndPm1-$G1044+0.5)/$C$994))-MIN(1,MAX(0,(nr_MStartPm1-1-$G1044+0.5)/$C$994))</f>
        <v/>
      </c>
      <c r="Q1044" s="208">
        <f>MIN(1,MAX(0,(nr_MEndP-$G1044+0.5)/$C$994))-MIN(1,MAX(0,(nr_MStartP-1-$G1044+0.5)/$C$994))</f>
        <v/>
      </c>
      <c r="R1044" s="208">
        <f>MIN(1,MAX(0,(nr_MEndP1-$G1044+0.5)/$C$994))-MIN(1,MAX(0,(nr_MStartP1-1-$G1044+0.5)/$C$994))</f>
        <v/>
      </c>
      <c r="S1044" s="208">
        <f>IF($L$994,$N1044*IF($O$994=1,$O1044/$F$994,1),"")</f>
        <v/>
      </c>
      <c r="T1044" s="208">
        <f>IF(NOT($L$994),"",IF($G1044&lt;nr_MStartP,$S1044,$T1032*(1+IF($G1044&lt;nr_MStartP1,$M$994,$N$994))))</f>
        <v/>
      </c>
      <c r="U1044" s="208">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184">
        <f>SUMPRODUCT($H$997:$H$1044,$Q$997:$Q$1044,$O$997:$O$1044)/SUMPRODUCT($H$997:$H$1044,$Q$997:$Q$1044)</f>
        <v/>
      </c>
      <c r="G1045" s="184">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184">
        <f>IF(N(INDEX(lr_mind,19))=0,1,INDEX(lr_mind,19))</f>
        <v/>
      </c>
      <c r="G1048" s="184">
        <f>IF(N(INDEX(lr_m0,19))=0,1,INDEX(lr_m0,19))</f>
        <v/>
      </c>
      <c r="H1048" s="73">
        <f>IF(N(INDEX(lr_m0asof,19))=0,DATE(nr_PlanYear-1,10,1),INDEX(lr_m0asof,19))</f>
        <v/>
      </c>
      <c r="I1048" s="184">
        <f>IF(N(INDEX(lr_m1,19))=0,1,INDEX(lr_m1,19))</f>
        <v/>
      </c>
      <c r="J1048" s="184">
        <f>INDEX(lr_mprior,19)</f>
        <v/>
      </c>
      <c r="K1048" s="184">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145" t="n">
        <v>1</v>
      </c>
      <c r="B1051" s="204">
        <f>DATE(nr_PlanYear-2,1,1)</f>
        <v/>
      </c>
      <c r="C1051" s="205">
        <f>EOMONTH($B1051,0)</f>
        <v/>
      </c>
      <c r="D1051" s="201">
        <f>$C1051-$B1051+1</f>
        <v/>
      </c>
      <c r="E1051" s="201">
        <f>MONTH($B1051)</f>
        <v/>
      </c>
      <c r="F1051" s="235">
        <f>($B1051+$C1051+1)/2</f>
        <v/>
      </c>
      <c r="G1051" s="201">
        <f>YEAR($B1051)*12+MONTH($B1051)-1</f>
        <v/>
      </c>
      <c r="H1051" s="207">
        <f>IF(OR(nr_SeasonOn="OFF",$D$1048=0,$E$1048=0),1,12*INDEX(se_block,$D$1048,$E1051)/$E$1048)</f>
        <v/>
      </c>
      <c r="I1051" s="208">
        <f>EXP(SUMPRODUCT((rl_eff&lt;$B1051)*(rl_key=$A$1048)*rl_ln1p))</f>
        <v/>
      </c>
      <c r="J1051" s="208">
        <f>EXP(SUMPRODUCT((rl_eff&lt;=$C1051)*(rl_key=$A$1048)*rl_ln1p))</f>
        <v/>
      </c>
      <c r="K1051" s="201">
        <f>COUNTIFS(rl_key,$A$1048,rl_eff,"&gt;="&amp;$B1051,rl_eff,"&lt;="&amp;$C1051)</f>
        <v/>
      </c>
      <c r="L1051" s="201">
        <f>SUMIFS(rl_daysafter,rl_key,$A$1048,rl_effmonth,$B1051,rl_first,1)</f>
        <v/>
      </c>
      <c r="M1051" s="209">
        <f>IF($K1051=0,0,MIN(1,$L1051/$D1051))</f>
        <v/>
      </c>
      <c r="N1051" s="208">
        <f>IF($K1051=0,$J1051,(1-$M1051)*$I1051+$M1051*$J1051)</f>
        <v/>
      </c>
      <c r="O1051" s="209">
        <f>IF($F1051&lt;$B$1049,$E$1049+$I$1049*($F1051-$A$1049),IF($F1051&lt;$C$1049,$F$1049+$J$1049*($F1051-$B$1049),$G$1049+$K$1049*($F1051-$C$1049)))</f>
        <v/>
      </c>
      <c r="P1051" s="208">
        <f>MIN(1,MAX(0,(nr_MEndPm1-$G1051+0.5)/$C$1048))-MIN(1,MAX(0,(nr_MStartPm1-1-$G1051+0.5)/$C$1048))</f>
        <v/>
      </c>
      <c r="Q1051" s="208">
        <f>MIN(1,MAX(0,(nr_MEndP-$G1051+0.5)/$C$1048))-MIN(1,MAX(0,(nr_MStartP-1-$G1051+0.5)/$C$1048))</f>
        <v/>
      </c>
      <c r="R1051" s="208">
        <f>MIN(1,MAX(0,(nr_MEndP1-$G1051+0.5)/$C$1048))-MIN(1,MAX(0,(nr_MStartP1-1-$G1051+0.5)/$C$1048))</f>
        <v/>
      </c>
      <c r="S1051" s="208">
        <f>IF($L$1048,$N1051*IF($O$1048=1,$O1051/$F$1048,1),"")</f>
        <v/>
      </c>
      <c r="T1051" s="208">
        <f>IF(NOT($L$1048),"",IF($G1051&lt;nr_MStartP,$S1051,$T1039*(1+IF($G1051&lt;nr_MStartP1,$M$1048,$N$1048))))</f>
        <v/>
      </c>
      <c r="U1051" s="208">
        <f>IF($L$1048,$T1051,$N1051)</f>
        <v/>
      </c>
    </row>
    <row r="1052">
      <c r="A1052" s="145" t="n">
        <v>2</v>
      </c>
      <c r="B1052" s="204">
        <f>EDATE($B1051,1)</f>
        <v/>
      </c>
      <c r="C1052" s="205">
        <f>EOMONTH($B1052,0)</f>
        <v/>
      </c>
      <c r="D1052" s="201">
        <f>$C1052-$B1052+1</f>
        <v/>
      </c>
      <c r="E1052" s="201">
        <f>MONTH($B1052)</f>
        <v/>
      </c>
      <c r="F1052" s="235">
        <f>($B1052+$C1052+1)/2</f>
        <v/>
      </c>
      <c r="G1052" s="201">
        <f>YEAR($B1052)*12+MONTH($B1052)-1</f>
        <v/>
      </c>
      <c r="H1052" s="207">
        <f>IF(OR(nr_SeasonOn="OFF",$D$1048=0,$E$1048=0),1,12*INDEX(se_block,$D$1048,$E1052)/$E$1048)</f>
        <v/>
      </c>
      <c r="I1052" s="208">
        <f>EXP(SUMPRODUCT((rl_eff&lt;$B1052)*(rl_key=$A$1048)*rl_ln1p))</f>
        <v/>
      </c>
      <c r="J1052" s="208">
        <f>EXP(SUMPRODUCT((rl_eff&lt;=$C1052)*(rl_key=$A$1048)*rl_ln1p))</f>
        <v/>
      </c>
      <c r="K1052" s="201">
        <f>COUNTIFS(rl_key,$A$1048,rl_eff,"&gt;="&amp;$B1052,rl_eff,"&lt;="&amp;$C1052)</f>
        <v/>
      </c>
      <c r="L1052" s="201">
        <f>SUMIFS(rl_daysafter,rl_key,$A$1048,rl_effmonth,$B1052,rl_first,1)</f>
        <v/>
      </c>
      <c r="M1052" s="209">
        <f>IF($K1052=0,0,MIN(1,$L1052/$D1052))</f>
        <v/>
      </c>
      <c r="N1052" s="208">
        <f>IF($K1052=0,$J1052,(1-$M1052)*$I1052+$M1052*$J1052)</f>
        <v/>
      </c>
      <c r="O1052" s="209">
        <f>IF($F1052&lt;$B$1049,$E$1049+$I$1049*($F1052-$A$1049),IF($F1052&lt;$C$1049,$F$1049+$J$1049*($F1052-$B$1049),$G$1049+$K$1049*($F1052-$C$1049)))</f>
        <v/>
      </c>
      <c r="P1052" s="208">
        <f>MIN(1,MAX(0,(nr_MEndPm1-$G1052+0.5)/$C$1048))-MIN(1,MAX(0,(nr_MStartPm1-1-$G1052+0.5)/$C$1048))</f>
        <v/>
      </c>
      <c r="Q1052" s="208">
        <f>MIN(1,MAX(0,(nr_MEndP-$G1052+0.5)/$C$1048))-MIN(1,MAX(0,(nr_MStartP-1-$G1052+0.5)/$C$1048))</f>
        <v/>
      </c>
      <c r="R1052" s="208">
        <f>MIN(1,MAX(0,(nr_MEndP1-$G1052+0.5)/$C$1048))-MIN(1,MAX(0,(nr_MStartP1-1-$G1052+0.5)/$C$1048))</f>
        <v/>
      </c>
      <c r="S1052" s="208">
        <f>IF($L$1048,$N1052*IF($O$1048=1,$O1052/$F$1048,1),"")</f>
        <v/>
      </c>
      <c r="T1052" s="208">
        <f>IF(NOT($L$1048),"",IF($G1052&lt;nr_MStartP,$S1052,$T1040*(1+IF($G1052&lt;nr_MStartP1,$M$1048,$N$1048))))</f>
        <v/>
      </c>
      <c r="U1052" s="208">
        <f>IF($L$1048,$T1052,$N1052)</f>
        <v/>
      </c>
    </row>
    <row r="1053">
      <c r="A1053" s="145" t="n">
        <v>3</v>
      </c>
      <c r="B1053" s="204">
        <f>EDATE($B1052,1)</f>
        <v/>
      </c>
      <c r="C1053" s="205">
        <f>EOMONTH($B1053,0)</f>
        <v/>
      </c>
      <c r="D1053" s="201">
        <f>$C1053-$B1053+1</f>
        <v/>
      </c>
      <c r="E1053" s="201">
        <f>MONTH($B1053)</f>
        <v/>
      </c>
      <c r="F1053" s="235">
        <f>($B1053+$C1053+1)/2</f>
        <v/>
      </c>
      <c r="G1053" s="201">
        <f>YEAR($B1053)*12+MONTH($B1053)-1</f>
        <v/>
      </c>
      <c r="H1053" s="207">
        <f>IF(OR(nr_SeasonOn="OFF",$D$1048=0,$E$1048=0),1,12*INDEX(se_block,$D$1048,$E1053)/$E$1048)</f>
        <v/>
      </c>
      <c r="I1053" s="208">
        <f>EXP(SUMPRODUCT((rl_eff&lt;$B1053)*(rl_key=$A$1048)*rl_ln1p))</f>
        <v/>
      </c>
      <c r="J1053" s="208">
        <f>EXP(SUMPRODUCT((rl_eff&lt;=$C1053)*(rl_key=$A$1048)*rl_ln1p))</f>
        <v/>
      </c>
      <c r="K1053" s="201">
        <f>COUNTIFS(rl_key,$A$1048,rl_eff,"&gt;="&amp;$B1053,rl_eff,"&lt;="&amp;$C1053)</f>
        <v/>
      </c>
      <c r="L1053" s="201">
        <f>SUMIFS(rl_daysafter,rl_key,$A$1048,rl_effmonth,$B1053,rl_first,1)</f>
        <v/>
      </c>
      <c r="M1053" s="209">
        <f>IF($K1053=0,0,MIN(1,$L1053/$D1053))</f>
        <v/>
      </c>
      <c r="N1053" s="208">
        <f>IF($K1053=0,$J1053,(1-$M1053)*$I1053+$M1053*$J1053)</f>
        <v/>
      </c>
      <c r="O1053" s="209">
        <f>IF($F1053&lt;$B$1049,$E$1049+$I$1049*($F1053-$A$1049),IF($F1053&lt;$C$1049,$F$1049+$J$1049*($F1053-$B$1049),$G$1049+$K$1049*($F1053-$C$1049)))</f>
        <v/>
      </c>
      <c r="P1053" s="208">
        <f>MIN(1,MAX(0,(nr_MEndPm1-$G1053+0.5)/$C$1048))-MIN(1,MAX(0,(nr_MStartPm1-1-$G1053+0.5)/$C$1048))</f>
        <v/>
      </c>
      <c r="Q1053" s="208">
        <f>MIN(1,MAX(0,(nr_MEndP-$G1053+0.5)/$C$1048))-MIN(1,MAX(0,(nr_MStartP-1-$G1053+0.5)/$C$1048))</f>
        <v/>
      </c>
      <c r="R1053" s="208">
        <f>MIN(1,MAX(0,(nr_MEndP1-$G1053+0.5)/$C$1048))-MIN(1,MAX(0,(nr_MStartP1-1-$G1053+0.5)/$C$1048))</f>
        <v/>
      </c>
      <c r="S1053" s="208">
        <f>IF($L$1048,$N1053*IF($O$1048=1,$O1053/$F$1048,1),"")</f>
        <v/>
      </c>
      <c r="T1053" s="208">
        <f>IF(NOT($L$1048),"",IF($G1053&lt;nr_MStartP,$S1053,$T1041*(1+IF($G1053&lt;nr_MStartP1,$M$1048,$N$1048))))</f>
        <v/>
      </c>
      <c r="U1053" s="208">
        <f>IF($L$1048,$T1053,$N1053)</f>
        <v/>
      </c>
    </row>
    <row r="1054">
      <c r="A1054" s="145" t="n">
        <v>4</v>
      </c>
      <c r="B1054" s="204">
        <f>EDATE($B1053,1)</f>
        <v/>
      </c>
      <c r="C1054" s="205">
        <f>EOMONTH($B1054,0)</f>
        <v/>
      </c>
      <c r="D1054" s="201">
        <f>$C1054-$B1054+1</f>
        <v/>
      </c>
      <c r="E1054" s="201">
        <f>MONTH($B1054)</f>
        <v/>
      </c>
      <c r="F1054" s="235">
        <f>($B1054+$C1054+1)/2</f>
        <v/>
      </c>
      <c r="G1054" s="201">
        <f>YEAR($B1054)*12+MONTH($B1054)-1</f>
        <v/>
      </c>
      <c r="H1054" s="207">
        <f>IF(OR(nr_SeasonOn="OFF",$D$1048=0,$E$1048=0),1,12*INDEX(se_block,$D$1048,$E1054)/$E$1048)</f>
        <v/>
      </c>
      <c r="I1054" s="208">
        <f>EXP(SUMPRODUCT((rl_eff&lt;$B1054)*(rl_key=$A$1048)*rl_ln1p))</f>
        <v/>
      </c>
      <c r="J1054" s="208">
        <f>EXP(SUMPRODUCT((rl_eff&lt;=$C1054)*(rl_key=$A$1048)*rl_ln1p))</f>
        <v/>
      </c>
      <c r="K1054" s="201">
        <f>COUNTIFS(rl_key,$A$1048,rl_eff,"&gt;="&amp;$B1054,rl_eff,"&lt;="&amp;$C1054)</f>
        <v/>
      </c>
      <c r="L1054" s="201">
        <f>SUMIFS(rl_daysafter,rl_key,$A$1048,rl_effmonth,$B1054,rl_first,1)</f>
        <v/>
      </c>
      <c r="M1054" s="209">
        <f>IF($K1054=0,0,MIN(1,$L1054/$D1054))</f>
        <v/>
      </c>
      <c r="N1054" s="208">
        <f>IF($K1054=0,$J1054,(1-$M1054)*$I1054+$M1054*$J1054)</f>
        <v/>
      </c>
      <c r="O1054" s="209">
        <f>IF($F1054&lt;$B$1049,$E$1049+$I$1049*($F1054-$A$1049),IF($F1054&lt;$C$1049,$F$1049+$J$1049*($F1054-$B$1049),$G$1049+$K$1049*($F1054-$C$1049)))</f>
        <v/>
      </c>
      <c r="P1054" s="208">
        <f>MIN(1,MAX(0,(nr_MEndPm1-$G1054+0.5)/$C$1048))-MIN(1,MAX(0,(nr_MStartPm1-1-$G1054+0.5)/$C$1048))</f>
        <v/>
      </c>
      <c r="Q1054" s="208">
        <f>MIN(1,MAX(0,(nr_MEndP-$G1054+0.5)/$C$1048))-MIN(1,MAX(0,(nr_MStartP-1-$G1054+0.5)/$C$1048))</f>
        <v/>
      </c>
      <c r="R1054" s="208">
        <f>MIN(1,MAX(0,(nr_MEndP1-$G1054+0.5)/$C$1048))-MIN(1,MAX(0,(nr_MStartP1-1-$G1054+0.5)/$C$1048))</f>
        <v/>
      </c>
      <c r="S1054" s="208">
        <f>IF($L$1048,$N1054*IF($O$1048=1,$O1054/$F$1048,1),"")</f>
        <v/>
      </c>
      <c r="T1054" s="208">
        <f>IF(NOT($L$1048),"",IF($G1054&lt;nr_MStartP,$S1054,$T1042*(1+IF($G1054&lt;nr_MStartP1,$M$1048,$N$1048))))</f>
        <v/>
      </c>
      <c r="U1054" s="208">
        <f>IF($L$1048,$T1054,$N1054)</f>
        <v/>
      </c>
    </row>
    <row r="1055">
      <c r="A1055" s="145" t="n">
        <v>5</v>
      </c>
      <c r="B1055" s="204">
        <f>EDATE($B1054,1)</f>
        <v/>
      </c>
      <c r="C1055" s="205">
        <f>EOMONTH($B1055,0)</f>
        <v/>
      </c>
      <c r="D1055" s="201">
        <f>$C1055-$B1055+1</f>
        <v/>
      </c>
      <c r="E1055" s="201">
        <f>MONTH($B1055)</f>
        <v/>
      </c>
      <c r="F1055" s="235">
        <f>($B1055+$C1055+1)/2</f>
        <v/>
      </c>
      <c r="G1055" s="201">
        <f>YEAR($B1055)*12+MONTH($B1055)-1</f>
        <v/>
      </c>
      <c r="H1055" s="207">
        <f>IF(OR(nr_SeasonOn="OFF",$D$1048=0,$E$1048=0),1,12*INDEX(se_block,$D$1048,$E1055)/$E$1048)</f>
        <v/>
      </c>
      <c r="I1055" s="208">
        <f>EXP(SUMPRODUCT((rl_eff&lt;$B1055)*(rl_key=$A$1048)*rl_ln1p))</f>
        <v/>
      </c>
      <c r="J1055" s="208">
        <f>EXP(SUMPRODUCT((rl_eff&lt;=$C1055)*(rl_key=$A$1048)*rl_ln1p))</f>
        <v/>
      </c>
      <c r="K1055" s="201">
        <f>COUNTIFS(rl_key,$A$1048,rl_eff,"&gt;="&amp;$B1055,rl_eff,"&lt;="&amp;$C1055)</f>
        <v/>
      </c>
      <c r="L1055" s="201">
        <f>SUMIFS(rl_daysafter,rl_key,$A$1048,rl_effmonth,$B1055,rl_first,1)</f>
        <v/>
      </c>
      <c r="M1055" s="209">
        <f>IF($K1055=0,0,MIN(1,$L1055/$D1055))</f>
        <v/>
      </c>
      <c r="N1055" s="208">
        <f>IF($K1055=0,$J1055,(1-$M1055)*$I1055+$M1055*$J1055)</f>
        <v/>
      </c>
      <c r="O1055" s="209">
        <f>IF($F1055&lt;$B$1049,$E$1049+$I$1049*($F1055-$A$1049),IF($F1055&lt;$C$1049,$F$1049+$J$1049*($F1055-$B$1049),$G$1049+$K$1049*($F1055-$C$1049)))</f>
        <v/>
      </c>
      <c r="P1055" s="208">
        <f>MIN(1,MAX(0,(nr_MEndPm1-$G1055+0.5)/$C$1048))-MIN(1,MAX(0,(nr_MStartPm1-1-$G1055+0.5)/$C$1048))</f>
        <v/>
      </c>
      <c r="Q1055" s="208">
        <f>MIN(1,MAX(0,(nr_MEndP-$G1055+0.5)/$C$1048))-MIN(1,MAX(0,(nr_MStartP-1-$G1055+0.5)/$C$1048))</f>
        <v/>
      </c>
      <c r="R1055" s="208">
        <f>MIN(1,MAX(0,(nr_MEndP1-$G1055+0.5)/$C$1048))-MIN(1,MAX(0,(nr_MStartP1-1-$G1055+0.5)/$C$1048))</f>
        <v/>
      </c>
      <c r="S1055" s="208">
        <f>IF($L$1048,$N1055*IF($O$1048=1,$O1055/$F$1048,1),"")</f>
        <v/>
      </c>
      <c r="T1055" s="208">
        <f>IF(NOT($L$1048),"",IF($G1055&lt;nr_MStartP,$S1055,$T1043*(1+IF($G1055&lt;nr_MStartP1,$M$1048,$N$1048))))</f>
        <v/>
      </c>
      <c r="U1055" s="208">
        <f>IF($L$1048,$T1055,$N1055)</f>
        <v/>
      </c>
    </row>
    <row r="1056">
      <c r="A1056" s="145" t="n">
        <v>6</v>
      </c>
      <c r="B1056" s="204">
        <f>EDATE($B1055,1)</f>
        <v/>
      </c>
      <c r="C1056" s="205">
        <f>EOMONTH($B1056,0)</f>
        <v/>
      </c>
      <c r="D1056" s="201">
        <f>$C1056-$B1056+1</f>
        <v/>
      </c>
      <c r="E1056" s="201">
        <f>MONTH($B1056)</f>
        <v/>
      </c>
      <c r="F1056" s="235">
        <f>($B1056+$C1056+1)/2</f>
        <v/>
      </c>
      <c r="G1056" s="201">
        <f>YEAR($B1056)*12+MONTH($B1056)-1</f>
        <v/>
      </c>
      <c r="H1056" s="207">
        <f>IF(OR(nr_SeasonOn="OFF",$D$1048=0,$E$1048=0),1,12*INDEX(se_block,$D$1048,$E1056)/$E$1048)</f>
        <v/>
      </c>
      <c r="I1056" s="208">
        <f>EXP(SUMPRODUCT((rl_eff&lt;$B1056)*(rl_key=$A$1048)*rl_ln1p))</f>
        <v/>
      </c>
      <c r="J1056" s="208">
        <f>EXP(SUMPRODUCT((rl_eff&lt;=$C1056)*(rl_key=$A$1048)*rl_ln1p))</f>
        <v/>
      </c>
      <c r="K1056" s="201">
        <f>COUNTIFS(rl_key,$A$1048,rl_eff,"&gt;="&amp;$B1056,rl_eff,"&lt;="&amp;$C1056)</f>
        <v/>
      </c>
      <c r="L1056" s="201">
        <f>SUMIFS(rl_daysafter,rl_key,$A$1048,rl_effmonth,$B1056,rl_first,1)</f>
        <v/>
      </c>
      <c r="M1056" s="209">
        <f>IF($K1056=0,0,MIN(1,$L1056/$D1056))</f>
        <v/>
      </c>
      <c r="N1056" s="208">
        <f>IF($K1056=0,$J1056,(1-$M1056)*$I1056+$M1056*$J1056)</f>
        <v/>
      </c>
      <c r="O1056" s="209">
        <f>IF($F1056&lt;$B$1049,$E$1049+$I$1049*($F1056-$A$1049),IF($F1056&lt;$C$1049,$F$1049+$J$1049*($F1056-$B$1049),$G$1049+$K$1049*($F1056-$C$1049)))</f>
        <v/>
      </c>
      <c r="P1056" s="208">
        <f>MIN(1,MAX(0,(nr_MEndPm1-$G1056+0.5)/$C$1048))-MIN(1,MAX(0,(nr_MStartPm1-1-$G1056+0.5)/$C$1048))</f>
        <v/>
      </c>
      <c r="Q1056" s="208">
        <f>MIN(1,MAX(0,(nr_MEndP-$G1056+0.5)/$C$1048))-MIN(1,MAX(0,(nr_MStartP-1-$G1056+0.5)/$C$1048))</f>
        <v/>
      </c>
      <c r="R1056" s="208">
        <f>MIN(1,MAX(0,(nr_MEndP1-$G1056+0.5)/$C$1048))-MIN(1,MAX(0,(nr_MStartP1-1-$G1056+0.5)/$C$1048))</f>
        <v/>
      </c>
      <c r="S1056" s="208">
        <f>IF($L$1048,$N1056*IF($O$1048=1,$O1056/$F$1048,1),"")</f>
        <v/>
      </c>
      <c r="T1056" s="208">
        <f>IF(NOT($L$1048),"",IF($G1056&lt;nr_MStartP,$S1056,$T1044*(1+IF($G1056&lt;nr_MStartP1,$M$1048,$N$1048))))</f>
        <v/>
      </c>
      <c r="U1056" s="208">
        <f>IF($L$1048,$T1056,$N1056)</f>
        <v/>
      </c>
    </row>
    <row r="1057">
      <c r="A1057" s="145" t="n">
        <v>7</v>
      </c>
      <c r="B1057" s="204">
        <f>EDATE($B1056,1)</f>
        <v/>
      </c>
      <c r="C1057" s="205">
        <f>EOMONTH($B1057,0)</f>
        <v/>
      </c>
      <c r="D1057" s="201">
        <f>$C1057-$B1057+1</f>
        <v/>
      </c>
      <c r="E1057" s="201">
        <f>MONTH($B1057)</f>
        <v/>
      </c>
      <c r="F1057" s="235">
        <f>($B1057+$C1057+1)/2</f>
        <v/>
      </c>
      <c r="G1057" s="201">
        <f>YEAR($B1057)*12+MONTH($B1057)-1</f>
        <v/>
      </c>
      <c r="H1057" s="207">
        <f>IF(OR(nr_SeasonOn="OFF",$D$1048=0,$E$1048=0),1,12*INDEX(se_block,$D$1048,$E1057)/$E$1048)</f>
        <v/>
      </c>
      <c r="I1057" s="208">
        <f>EXP(SUMPRODUCT((rl_eff&lt;$B1057)*(rl_key=$A$1048)*rl_ln1p))</f>
        <v/>
      </c>
      <c r="J1057" s="208">
        <f>EXP(SUMPRODUCT((rl_eff&lt;=$C1057)*(rl_key=$A$1048)*rl_ln1p))</f>
        <v/>
      </c>
      <c r="K1057" s="201">
        <f>COUNTIFS(rl_key,$A$1048,rl_eff,"&gt;="&amp;$B1057,rl_eff,"&lt;="&amp;$C1057)</f>
        <v/>
      </c>
      <c r="L1057" s="201">
        <f>SUMIFS(rl_daysafter,rl_key,$A$1048,rl_effmonth,$B1057,rl_first,1)</f>
        <v/>
      </c>
      <c r="M1057" s="209">
        <f>IF($K1057=0,0,MIN(1,$L1057/$D1057))</f>
        <v/>
      </c>
      <c r="N1057" s="208">
        <f>IF($K1057=0,$J1057,(1-$M1057)*$I1057+$M1057*$J1057)</f>
        <v/>
      </c>
      <c r="O1057" s="209">
        <f>IF($F1057&lt;$B$1049,$E$1049+$I$1049*($F1057-$A$1049),IF($F1057&lt;$C$1049,$F$1049+$J$1049*($F1057-$B$1049),$G$1049+$K$1049*($F1057-$C$1049)))</f>
        <v/>
      </c>
      <c r="P1057" s="208">
        <f>MIN(1,MAX(0,(nr_MEndPm1-$G1057+0.5)/$C$1048))-MIN(1,MAX(0,(nr_MStartPm1-1-$G1057+0.5)/$C$1048))</f>
        <v/>
      </c>
      <c r="Q1057" s="208">
        <f>MIN(1,MAX(0,(nr_MEndP-$G1057+0.5)/$C$1048))-MIN(1,MAX(0,(nr_MStartP-1-$G1057+0.5)/$C$1048))</f>
        <v/>
      </c>
      <c r="R1057" s="208">
        <f>MIN(1,MAX(0,(nr_MEndP1-$G1057+0.5)/$C$1048))-MIN(1,MAX(0,(nr_MStartP1-1-$G1057+0.5)/$C$1048))</f>
        <v/>
      </c>
      <c r="S1057" s="208">
        <f>IF($L$1048,$N1057*IF($O$1048=1,$O1057/$F$1048,1),"")</f>
        <v/>
      </c>
      <c r="T1057" s="208">
        <f>IF(NOT($L$1048),"",IF($G1057&lt;nr_MStartP,$S1057,$T1045*(1+IF($G1057&lt;nr_MStartP1,$M$1048,$N$1048))))</f>
        <v/>
      </c>
      <c r="U1057" s="208">
        <f>IF($L$1048,$T1057,$N1057)</f>
        <v/>
      </c>
    </row>
    <row r="1058">
      <c r="A1058" s="145" t="n">
        <v>8</v>
      </c>
      <c r="B1058" s="204">
        <f>EDATE($B1057,1)</f>
        <v/>
      </c>
      <c r="C1058" s="205">
        <f>EOMONTH($B1058,0)</f>
        <v/>
      </c>
      <c r="D1058" s="201">
        <f>$C1058-$B1058+1</f>
        <v/>
      </c>
      <c r="E1058" s="201">
        <f>MONTH($B1058)</f>
        <v/>
      </c>
      <c r="F1058" s="235">
        <f>($B1058+$C1058+1)/2</f>
        <v/>
      </c>
      <c r="G1058" s="201">
        <f>YEAR($B1058)*12+MONTH($B1058)-1</f>
        <v/>
      </c>
      <c r="H1058" s="207">
        <f>IF(OR(nr_SeasonOn="OFF",$D$1048=0,$E$1048=0),1,12*INDEX(se_block,$D$1048,$E1058)/$E$1048)</f>
        <v/>
      </c>
      <c r="I1058" s="208">
        <f>EXP(SUMPRODUCT((rl_eff&lt;$B1058)*(rl_key=$A$1048)*rl_ln1p))</f>
        <v/>
      </c>
      <c r="J1058" s="208">
        <f>EXP(SUMPRODUCT((rl_eff&lt;=$C1058)*(rl_key=$A$1048)*rl_ln1p))</f>
        <v/>
      </c>
      <c r="K1058" s="201">
        <f>COUNTIFS(rl_key,$A$1048,rl_eff,"&gt;="&amp;$B1058,rl_eff,"&lt;="&amp;$C1058)</f>
        <v/>
      </c>
      <c r="L1058" s="201">
        <f>SUMIFS(rl_daysafter,rl_key,$A$1048,rl_effmonth,$B1058,rl_first,1)</f>
        <v/>
      </c>
      <c r="M1058" s="209">
        <f>IF($K1058=0,0,MIN(1,$L1058/$D1058))</f>
        <v/>
      </c>
      <c r="N1058" s="208">
        <f>IF($K1058=0,$J1058,(1-$M1058)*$I1058+$M1058*$J1058)</f>
        <v/>
      </c>
      <c r="O1058" s="209">
        <f>IF($F1058&lt;$B$1049,$E$1049+$I$1049*($F1058-$A$1049),IF($F1058&lt;$C$1049,$F$1049+$J$1049*($F1058-$B$1049),$G$1049+$K$1049*($F1058-$C$1049)))</f>
        <v/>
      </c>
      <c r="P1058" s="208">
        <f>MIN(1,MAX(0,(nr_MEndPm1-$G1058+0.5)/$C$1048))-MIN(1,MAX(0,(nr_MStartPm1-1-$G1058+0.5)/$C$1048))</f>
        <v/>
      </c>
      <c r="Q1058" s="208">
        <f>MIN(1,MAX(0,(nr_MEndP-$G1058+0.5)/$C$1048))-MIN(1,MAX(0,(nr_MStartP-1-$G1058+0.5)/$C$1048))</f>
        <v/>
      </c>
      <c r="R1058" s="208">
        <f>MIN(1,MAX(0,(nr_MEndP1-$G1058+0.5)/$C$1048))-MIN(1,MAX(0,(nr_MStartP1-1-$G1058+0.5)/$C$1048))</f>
        <v/>
      </c>
      <c r="S1058" s="208">
        <f>IF($L$1048,$N1058*IF($O$1048=1,$O1058/$F$1048,1),"")</f>
        <v/>
      </c>
      <c r="T1058" s="208">
        <f>IF(NOT($L$1048),"",IF($G1058&lt;nr_MStartP,$S1058,$T1046*(1+IF($G1058&lt;nr_MStartP1,$M$1048,$N$1048))))</f>
        <v/>
      </c>
      <c r="U1058" s="208">
        <f>IF($L$1048,$T1058,$N1058)</f>
        <v/>
      </c>
    </row>
    <row r="1059">
      <c r="A1059" s="145" t="n">
        <v>9</v>
      </c>
      <c r="B1059" s="204">
        <f>EDATE($B1058,1)</f>
        <v/>
      </c>
      <c r="C1059" s="205">
        <f>EOMONTH($B1059,0)</f>
        <v/>
      </c>
      <c r="D1059" s="201">
        <f>$C1059-$B1059+1</f>
        <v/>
      </c>
      <c r="E1059" s="201">
        <f>MONTH($B1059)</f>
        <v/>
      </c>
      <c r="F1059" s="235">
        <f>($B1059+$C1059+1)/2</f>
        <v/>
      </c>
      <c r="G1059" s="201">
        <f>YEAR($B1059)*12+MONTH($B1059)-1</f>
        <v/>
      </c>
      <c r="H1059" s="207">
        <f>IF(OR(nr_SeasonOn="OFF",$D$1048=0,$E$1048=0),1,12*INDEX(se_block,$D$1048,$E1059)/$E$1048)</f>
        <v/>
      </c>
      <c r="I1059" s="208">
        <f>EXP(SUMPRODUCT((rl_eff&lt;$B1059)*(rl_key=$A$1048)*rl_ln1p))</f>
        <v/>
      </c>
      <c r="J1059" s="208">
        <f>EXP(SUMPRODUCT((rl_eff&lt;=$C1059)*(rl_key=$A$1048)*rl_ln1p))</f>
        <v/>
      </c>
      <c r="K1059" s="201">
        <f>COUNTIFS(rl_key,$A$1048,rl_eff,"&gt;="&amp;$B1059,rl_eff,"&lt;="&amp;$C1059)</f>
        <v/>
      </c>
      <c r="L1059" s="201">
        <f>SUMIFS(rl_daysafter,rl_key,$A$1048,rl_effmonth,$B1059,rl_first,1)</f>
        <v/>
      </c>
      <c r="M1059" s="209">
        <f>IF($K1059=0,0,MIN(1,$L1059/$D1059))</f>
        <v/>
      </c>
      <c r="N1059" s="208">
        <f>IF($K1059=0,$J1059,(1-$M1059)*$I1059+$M1059*$J1059)</f>
        <v/>
      </c>
      <c r="O1059" s="209">
        <f>IF($F1059&lt;$B$1049,$E$1049+$I$1049*($F1059-$A$1049),IF($F1059&lt;$C$1049,$F$1049+$J$1049*($F1059-$B$1049),$G$1049+$K$1049*($F1059-$C$1049)))</f>
        <v/>
      </c>
      <c r="P1059" s="208">
        <f>MIN(1,MAX(0,(nr_MEndPm1-$G1059+0.5)/$C$1048))-MIN(1,MAX(0,(nr_MStartPm1-1-$G1059+0.5)/$C$1048))</f>
        <v/>
      </c>
      <c r="Q1059" s="208">
        <f>MIN(1,MAX(0,(nr_MEndP-$G1059+0.5)/$C$1048))-MIN(1,MAX(0,(nr_MStartP-1-$G1059+0.5)/$C$1048))</f>
        <v/>
      </c>
      <c r="R1059" s="208">
        <f>MIN(1,MAX(0,(nr_MEndP1-$G1059+0.5)/$C$1048))-MIN(1,MAX(0,(nr_MStartP1-1-$G1059+0.5)/$C$1048))</f>
        <v/>
      </c>
      <c r="S1059" s="208">
        <f>IF($L$1048,$N1059*IF($O$1048=1,$O1059/$F$1048,1),"")</f>
        <v/>
      </c>
      <c r="T1059" s="208">
        <f>IF(NOT($L$1048),"",IF($G1059&lt;nr_MStartP,$S1059,$T1047*(1+IF($G1059&lt;nr_MStartP1,$M$1048,$N$1048))))</f>
        <v/>
      </c>
      <c r="U1059" s="208">
        <f>IF($L$1048,$T1059,$N1059)</f>
        <v/>
      </c>
    </row>
    <row r="1060">
      <c r="A1060" s="145" t="n">
        <v>10</v>
      </c>
      <c r="B1060" s="204">
        <f>EDATE($B1059,1)</f>
        <v/>
      </c>
      <c r="C1060" s="205">
        <f>EOMONTH($B1060,0)</f>
        <v/>
      </c>
      <c r="D1060" s="201">
        <f>$C1060-$B1060+1</f>
        <v/>
      </c>
      <c r="E1060" s="201">
        <f>MONTH($B1060)</f>
        <v/>
      </c>
      <c r="F1060" s="235">
        <f>($B1060+$C1060+1)/2</f>
        <v/>
      </c>
      <c r="G1060" s="201">
        <f>YEAR($B1060)*12+MONTH($B1060)-1</f>
        <v/>
      </c>
      <c r="H1060" s="207">
        <f>IF(OR(nr_SeasonOn="OFF",$D$1048=0,$E$1048=0),1,12*INDEX(se_block,$D$1048,$E1060)/$E$1048)</f>
        <v/>
      </c>
      <c r="I1060" s="208">
        <f>EXP(SUMPRODUCT((rl_eff&lt;$B1060)*(rl_key=$A$1048)*rl_ln1p))</f>
        <v/>
      </c>
      <c r="J1060" s="208">
        <f>EXP(SUMPRODUCT((rl_eff&lt;=$C1060)*(rl_key=$A$1048)*rl_ln1p))</f>
        <v/>
      </c>
      <c r="K1060" s="201">
        <f>COUNTIFS(rl_key,$A$1048,rl_eff,"&gt;="&amp;$B1060,rl_eff,"&lt;="&amp;$C1060)</f>
        <v/>
      </c>
      <c r="L1060" s="201">
        <f>SUMIFS(rl_daysafter,rl_key,$A$1048,rl_effmonth,$B1060,rl_first,1)</f>
        <v/>
      </c>
      <c r="M1060" s="209">
        <f>IF($K1060=0,0,MIN(1,$L1060/$D1060))</f>
        <v/>
      </c>
      <c r="N1060" s="208">
        <f>IF($K1060=0,$J1060,(1-$M1060)*$I1060+$M1060*$J1060)</f>
        <v/>
      </c>
      <c r="O1060" s="209">
        <f>IF($F1060&lt;$B$1049,$E$1049+$I$1049*($F1060-$A$1049),IF($F1060&lt;$C$1049,$F$1049+$J$1049*($F1060-$B$1049),$G$1049+$K$1049*($F1060-$C$1049)))</f>
        <v/>
      </c>
      <c r="P1060" s="208">
        <f>MIN(1,MAX(0,(nr_MEndPm1-$G1060+0.5)/$C$1048))-MIN(1,MAX(0,(nr_MStartPm1-1-$G1060+0.5)/$C$1048))</f>
        <v/>
      </c>
      <c r="Q1060" s="208">
        <f>MIN(1,MAX(0,(nr_MEndP-$G1060+0.5)/$C$1048))-MIN(1,MAX(0,(nr_MStartP-1-$G1060+0.5)/$C$1048))</f>
        <v/>
      </c>
      <c r="R1060" s="208">
        <f>MIN(1,MAX(0,(nr_MEndP1-$G1060+0.5)/$C$1048))-MIN(1,MAX(0,(nr_MStartP1-1-$G1060+0.5)/$C$1048))</f>
        <v/>
      </c>
      <c r="S1060" s="208">
        <f>IF($L$1048,$N1060*IF($O$1048=1,$O1060/$F$1048,1),"")</f>
        <v/>
      </c>
      <c r="T1060" s="208">
        <f>IF(NOT($L$1048),"",IF($G1060&lt;nr_MStartP,$S1060,$T1048*(1+IF($G1060&lt;nr_MStartP1,$M$1048,$N$1048))))</f>
        <v/>
      </c>
      <c r="U1060" s="208">
        <f>IF($L$1048,$T1060,$N1060)</f>
        <v/>
      </c>
    </row>
    <row r="1061">
      <c r="A1061" s="145" t="n">
        <v>11</v>
      </c>
      <c r="B1061" s="204">
        <f>EDATE($B1060,1)</f>
        <v/>
      </c>
      <c r="C1061" s="205">
        <f>EOMONTH($B1061,0)</f>
        <v/>
      </c>
      <c r="D1061" s="201">
        <f>$C1061-$B1061+1</f>
        <v/>
      </c>
      <c r="E1061" s="201">
        <f>MONTH($B1061)</f>
        <v/>
      </c>
      <c r="F1061" s="235">
        <f>($B1061+$C1061+1)/2</f>
        <v/>
      </c>
      <c r="G1061" s="201">
        <f>YEAR($B1061)*12+MONTH($B1061)-1</f>
        <v/>
      </c>
      <c r="H1061" s="207">
        <f>IF(OR(nr_SeasonOn="OFF",$D$1048=0,$E$1048=0),1,12*INDEX(se_block,$D$1048,$E1061)/$E$1048)</f>
        <v/>
      </c>
      <c r="I1061" s="208">
        <f>EXP(SUMPRODUCT((rl_eff&lt;$B1061)*(rl_key=$A$1048)*rl_ln1p))</f>
        <v/>
      </c>
      <c r="J1061" s="208">
        <f>EXP(SUMPRODUCT((rl_eff&lt;=$C1061)*(rl_key=$A$1048)*rl_ln1p))</f>
        <v/>
      </c>
      <c r="K1061" s="201">
        <f>COUNTIFS(rl_key,$A$1048,rl_eff,"&gt;="&amp;$B1061,rl_eff,"&lt;="&amp;$C1061)</f>
        <v/>
      </c>
      <c r="L1061" s="201">
        <f>SUMIFS(rl_daysafter,rl_key,$A$1048,rl_effmonth,$B1061,rl_first,1)</f>
        <v/>
      </c>
      <c r="M1061" s="209">
        <f>IF($K1061=0,0,MIN(1,$L1061/$D1061))</f>
        <v/>
      </c>
      <c r="N1061" s="208">
        <f>IF($K1061=0,$J1061,(1-$M1061)*$I1061+$M1061*$J1061)</f>
        <v/>
      </c>
      <c r="O1061" s="209">
        <f>IF($F1061&lt;$B$1049,$E$1049+$I$1049*($F1061-$A$1049),IF($F1061&lt;$C$1049,$F$1049+$J$1049*($F1061-$B$1049),$G$1049+$K$1049*($F1061-$C$1049)))</f>
        <v/>
      </c>
      <c r="P1061" s="208">
        <f>MIN(1,MAX(0,(nr_MEndPm1-$G1061+0.5)/$C$1048))-MIN(1,MAX(0,(nr_MStartPm1-1-$G1061+0.5)/$C$1048))</f>
        <v/>
      </c>
      <c r="Q1061" s="208">
        <f>MIN(1,MAX(0,(nr_MEndP-$G1061+0.5)/$C$1048))-MIN(1,MAX(0,(nr_MStartP-1-$G1061+0.5)/$C$1048))</f>
        <v/>
      </c>
      <c r="R1061" s="208">
        <f>MIN(1,MAX(0,(nr_MEndP1-$G1061+0.5)/$C$1048))-MIN(1,MAX(0,(nr_MStartP1-1-$G1061+0.5)/$C$1048))</f>
        <v/>
      </c>
      <c r="S1061" s="208">
        <f>IF($L$1048,$N1061*IF($O$1048=1,$O1061/$F$1048,1),"")</f>
        <v/>
      </c>
      <c r="T1061" s="208">
        <f>IF(NOT($L$1048),"",IF($G1061&lt;nr_MStartP,$S1061,$T1049*(1+IF($G1061&lt;nr_MStartP1,$M$1048,$N$1048))))</f>
        <v/>
      </c>
      <c r="U1061" s="208">
        <f>IF($L$1048,$T1061,$N1061)</f>
        <v/>
      </c>
    </row>
    <row r="1062">
      <c r="A1062" s="145" t="n">
        <v>12</v>
      </c>
      <c r="B1062" s="204">
        <f>EDATE($B1061,1)</f>
        <v/>
      </c>
      <c r="C1062" s="205">
        <f>EOMONTH($B1062,0)</f>
        <v/>
      </c>
      <c r="D1062" s="201">
        <f>$C1062-$B1062+1</f>
        <v/>
      </c>
      <c r="E1062" s="201">
        <f>MONTH($B1062)</f>
        <v/>
      </c>
      <c r="F1062" s="235">
        <f>($B1062+$C1062+1)/2</f>
        <v/>
      </c>
      <c r="G1062" s="201">
        <f>YEAR($B1062)*12+MONTH($B1062)-1</f>
        <v/>
      </c>
      <c r="H1062" s="207">
        <f>IF(OR(nr_SeasonOn="OFF",$D$1048=0,$E$1048=0),1,12*INDEX(se_block,$D$1048,$E1062)/$E$1048)</f>
        <v/>
      </c>
      <c r="I1062" s="208">
        <f>EXP(SUMPRODUCT((rl_eff&lt;$B1062)*(rl_key=$A$1048)*rl_ln1p))</f>
        <v/>
      </c>
      <c r="J1062" s="208">
        <f>EXP(SUMPRODUCT((rl_eff&lt;=$C1062)*(rl_key=$A$1048)*rl_ln1p))</f>
        <v/>
      </c>
      <c r="K1062" s="201">
        <f>COUNTIFS(rl_key,$A$1048,rl_eff,"&gt;="&amp;$B1062,rl_eff,"&lt;="&amp;$C1062)</f>
        <v/>
      </c>
      <c r="L1062" s="201">
        <f>SUMIFS(rl_daysafter,rl_key,$A$1048,rl_effmonth,$B1062,rl_first,1)</f>
        <v/>
      </c>
      <c r="M1062" s="209">
        <f>IF($K1062=0,0,MIN(1,$L1062/$D1062))</f>
        <v/>
      </c>
      <c r="N1062" s="208">
        <f>IF($K1062=0,$J1062,(1-$M1062)*$I1062+$M1062*$J1062)</f>
        <v/>
      </c>
      <c r="O1062" s="209">
        <f>IF($F1062&lt;$B$1049,$E$1049+$I$1049*($F1062-$A$1049),IF($F1062&lt;$C$1049,$F$1049+$J$1049*($F1062-$B$1049),$G$1049+$K$1049*($F1062-$C$1049)))</f>
        <v/>
      </c>
      <c r="P1062" s="208">
        <f>MIN(1,MAX(0,(nr_MEndPm1-$G1062+0.5)/$C$1048))-MIN(1,MAX(0,(nr_MStartPm1-1-$G1062+0.5)/$C$1048))</f>
        <v/>
      </c>
      <c r="Q1062" s="208">
        <f>MIN(1,MAX(0,(nr_MEndP-$G1062+0.5)/$C$1048))-MIN(1,MAX(0,(nr_MStartP-1-$G1062+0.5)/$C$1048))</f>
        <v/>
      </c>
      <c r="R1062" s="208">
        <f>MIN(1,MAX(0,(nr_MEndP1-$G1062+0.5)/$C$1048))-MIN(1,MAX(0,(nr_MStartP1-1-$G1062+0.5)/$C$1048))</f>
        <v/>
      </c>
      <c r="S1062" s="208">
        <f>IF($L$1048,$N1062*IF($O$1048=1,$O1062/$F$1048,1),"")</f>
        <v/>
      </c>
      <c r="T1062" s="208">
        <f>IF(NOT($L$1048),"",IF($G1062&lt;nr_MStartP,$S1062,$T1050*(1+IF($G1062&lt;nr_MStartP1,$M$1048,$N$1048))))</f>
        <v/>
      </c>
      <c r="U1062" s="208">
        <f>IF($L$1048,$T1062,$N1062)</f>
        <v/>
      </c>
    </row>
    <row r="1063">
      <c r="A1063" s="145" t="n">
        <v>13</v>
      </c>
      <c r="B1063" s="204">
        <f>EDATE($B1062,1)</f>
        <v/>
      </c>
      <c r="C1063" s="205">
        <f>EOMONTH($B1063,0)</f>
        <v/>
      </c>
      <c r="D1063" s="201">
        <f>$C1063-$B1063+1</f>
        <v/>
      </c>
      <c r="E1063" s="201">
        <f>MONTH($B1063)</f>
        <v/>
      </c>
      <c r="F1063" s="235">
        <f>($B1063+$C1063+1)/2</f>
        <v/>
      </c>
      <c r="G1063" s="201">
        <f>YEAR($B1063)*12+MONTH($B1063)-1</f>
        <v/>
      </c>
      <c r="H1063" s="207">
        <f>IF(OR(nr_SeasonOn="OFF",$D$1048=0,$E$1048=0),1,12*INDEX(se_block,$D$1048,$E1063)/$E$1048)</f>
        <v/>
      </c>
      <c r="I1063" s="208">
        <f>EXP(SUMPRODUCT((rl_eff&lt;$B1063)*(rl_key=$A$1048)*rl_ln1p))</f>
        <v/>
      </c>
      <c r="J1063" s="208">
        <f>EXP(SUMPRODUCT((rl_eff&lt;=$C1063)*(rl_key=$A$1048)*rl_ln1p))</f>
        <v/>
      </c>
      <c r="K1063" s="201">
        <f>COUNTIFS(rl_key,$A$1048,rl_eff,"&gt;="&amp;$B1063,rl_eff,"&lt;="&amp;$C1063)</f>
        <v/>
      </c>
      <c r="L1063" s="201">
        <f>SUMIFS(rl_daysafter,rl_key,$A$1048,rl_effmonth,$B1063,rl_first,1)</f>
        <v/>
      </c>
      <c r="M1063" s="209">
        <f>IF($K1063=0,0,MIN(1,$L1063/$D1063))</f>
        <v/>
      </c>
      <c r="N1063" s="208">
        <f>IF($K1063=0,$J1063,(1-$M1063)*$I1063+$M1063*$J1063)</f>
        <v/>
      </c>
      <c r="O1063" s="209">
        <f>IF($F1063&lt;$B$1049,$E$1049+$I$1049*($F1063-$A$1049),IF($F1063&lt;$C$1049,$F$1049+$J$1049*($F1063-$B$1049),$G$1049+$K$1049*($F1063-$C$1049)))</f>
        <v/>
      </c>
      <c r="P1063" s="208">
        <f>MIN(1,MAX(0,(nr_MEndPm1-$G1063+0.5)/$C$1048))-MIN(1,MAX(0,(nr_MStartPm1-1-$G1063+0.5)/$C$1048))</f>
        <v/>
      </c>
      <c r="Q1063" s="208">
        <f>MIN(1,MAX(0,(nr_MEndP-$G1063+0.5)/$C$1048))-MIN(1,MAX(0,(nr_MStartP-1-$G1063+0.5)/$C$1048))</f>
        <v/>
      </c>
      <c r="R1063" s="208">
        <f>MIN(1,MAX(0,(nr_MEndP1-$G1063+0.5)/$C$1048))-MIN(1,MAX(0,(nr_MStartP1-1-$G1063+0.5)/$C$1048))</f>
        <v/>
      </c>
      <c r="S1063" s="208">
        <f>IF($L$1048,$N1063*IF($O$1048=1,$O1063/$F$1048,1),"")</f>
        <v/>
      </c>
      <c r="T1063" s="208">
        <f>IF(NOT($L$1048),"",IF($G1063&lt;nr_MStartP,$S1063,$T1051*(1+IF($G1063&lt;nr_MStartP1,$M$1048,$N$1048))))</f>
        <v/>
      </c>
      <c r="U1063" s="208">
        <f>IF($L$1048,$T1063,$N1063)</f>
        <v/>
      </c>
    </row>
    <row r="1064">
      <c r="A1064" s="145" t="n">
        <v>14</v>
      </c>
      <c r="B1064" s="204">
        <f>EDATE($B1063,1)</f>
        <v/>
      </c>
      <c r="C1064" s="205">
        <f>EOMONTH($B1064,0)</f>
        <v/>
      </c>
      <c r="D1064" s="201">
        <f>$C1064-$B1064+1</f>
        <v/>
      </c>
      <c r="E1064" s="201">
        <f>MONTH($B1064)</f>
        <v/>
      </c>
      <c r="F1064" s="235">
        <f>($B1064+$C1064+1)/2</f>
        <v/>
      </c>
      <c r="G1064" s="201">
        <f>YEAR($B1064)*12+MONTH($B1064)-1</f>
        <v/>
      </c>
      <c r="H1064" s="207">
        <f>IF(OR(nr_SeasonOn="OFF",$D$1048=0,$E$1048=0),1,12*INDEX(se_block,$D$1048,$E1064)/$E$1048)</f>
        <v/>
      </c>
      <c r="I1064" s="208">
        <f>EXP(SUMPRODUCT((rl_eff&lt;$B1064)*(rl_key=$A$1048)*rl_ln1p))</f>
        <v/>
      </c>
      <c r="J1064" s="208">
        <f>EXP(SUMPRODUCT((rl_eff&lt;=$C1064)*(rl_key=$A$1048)*rl_ln1p))</f>
        <v/>
      </c>
      <c r="K1064" s="201">
        <f>COUNTIFS(rl_key,$A$1048,rl_eff,"&gt;="&amp;$B1064,rl_eff,"&lt;="&amp;$C1064)</f>
        <v/>
      </c>
      <c r="L1064" s="201">
        <f>SUMIFS(rl_daysafter,rl_key,$A$1048,rl_effmonth,$B1064,rl_first,1)</f>
        <v/>
      </c>
      <c r="M1064" s="209">
        <f>IF($K1064=0,0,MIN(1,$L1064/$D1064))</f>
        <v/>
      </c>
      <c r="N1064" s="208">
        <f>IF($K1064=0,$J1064,(1-$M1064)*$I1064+$M1064*$J1064)</f>
        <v/>
      </c>
      <c r="O1064" s="209">
        <f>IF($F1064&lt;$B$1049,$E$1049+$I$1049*($F1064-$A$1049),IF($F1064&lt;$C$1049,$F$1049+$J$1049*($F1064-$B$1049),$G$1049+$K$1049*($F1064-$C$1049)))</f>
        <v/>
      </c>
      <c r="P1064" s="208">
        <f>MIN(1,MAX(0,(nr_MEndPm1-$G1064+0.5)/$C$1048))-MIN(1,MAX(0,(nr_MStartPm1-1-$G1064+0.5)/$C$1048))</f>
        <v/>
      </c>
      <c r="Q1064" s="208">
        <f>MIN(1,MAX(0,(nr_MEndP-$G1064+0.5)/$C$1048))-MIN(1,MAX(0,(nr_MStartP-1-$G1064+0.5)/$C$1048))</f>
        <v/>
      </c>
      <c r="R1064" s="208">
        <f>MIN(1,MAX(0,(nr_MEndP1-$G1064+0.5)/$C$1048))-MIN(1,MAX(0,(nr_MStartP1-1-$G1064+0.5)/$C$1048))</f>
        <v/>
      </c>
      <c r="S1064" s="208">
        <f>IF($L$1048,$N1064*IF($O$1048=1,$O1064/$F$1048,1),"")</f>
        <v/>
      </c>
      <c r="T1064" s="208">
        <f>IF(NOT($L$1048),"",IF($G1064&lt;nr_MStartP,$S1064,$T1052*(1+IF($G1064&lt;nr_MStartP1,$M$1048,$N$1048))))</f>
        <v/>
      </c>
      <c r="U1064" s="208">
        <f>IF($L$1048,$T1064,$N1064)</f>
        <v/>
      </c>
    </row>
    <row r="1065">
      <c r="A1065" s="145" t="n">
        <v>15</v>
      </c>
      <c r="B1065" s="204">
        <f>EDATE($B1064,1)</f>
        <v/>
      </c>
      <c r="C1065" s="205">
        <f>EOMONTH($B1065,0)</f>
        <v/>
      </c>
      <c r="D1065" s="201">
        <f>$C1065-$B1065+1</f>
        <v/>
      </c>
      <c r="E1065" s="201">
        <f>MONTH($B1065)</f>
        <v/>
      </c>
      <c r="F1065" s="235">
        <f>($B1065+$C1065+1)/2</f>
        <v/>
      </c>
      <c r="G1065" s="201">
        <f>YEAR($B1065)*12+MONTH($B1065)-1</f>
        <v/>
      </c>
      <c r="H1065" s="207">
        <f>IF(OR(nr_SeasonOn="OFF",$D$1048=0,$E$1048=0),1,12*INDEX(se_block,$D$1048,$E1065)/$E$1048)</f>
        <v/>
      </c>
      <c r="I1065" s="208">
        <f>EXP(SUMPRODUCT((rl_eff&lt;$B1065)*(rl_key=$A$1048)*rl_ln1p))</f>
        <v/>
      </c>
      <c r="J1065" s="208">
        <f>EXP(SUMPRODUCT((rl_eff&lt;=$C1065)*(rl_key=$A$1048)*rl_ln1p))</f>
        <v/>
      </c>
      <c r="K1065" s="201">
        <f>COUNTIFS(rl_key,$A$1048,rl_eff,"&gt;="&amp;$B1065,rl_eff,"&lt;="&amp;$C1065)</f>
        <v/>
      </c>
      <c r="L1065" s="201">
        <f>SUMIFS(rl_daysafter,rl_key,$A$1048,rl_effmonth,$B1065,rl_first,1)</f>
        <v/>
      </c>
      <c r="M1065" s="209">
        <f>IF($K1065=0,0,MIN(1,$L1065/$D1065))</f>
        <v/>
      </c>
      <c r="N1065" s="208">
        <f>IF($K1065=0,$J1065,(1-$M1065)*$I1065+$M1065*$J1065)</f>
        <v/>
      </c>
      <c r="O1065" s="209">
        <f>IF($F1065&lt;$B$1049,$E$1049+$I$1049*($F1065-$A$1049),IF($F1065&lt;$C$1049,$F$1049+$J$1049*($F1065-$B$1049),$G$1049+$K$1049*($F1065-$C$1049)))</f>
        <v/>
      </c>
      <c r="P1065" s="208">
        <f>MIN(1,MAX(0,(nr_MEndPm1-$G1065+0.5)/$C$1048))-MIN(1,MAX(0,(nr_MStartPm1-1-$G1065+0.5)/$C$1048))</f>
        <v/>
      </c>
      <c r="Q1065" s="208">
        <f>MIN(1,MAX(0,(nr_MEndP-$G1065+0.5)/$C$1048))-MIN(1,MAX(0,(nr_MStartP-1-$G1065+0.5)/$C$1048))</f>
        <v/>
      </c>
      <c r="R1065" s="208">
        <f>MIN(1,MAX(0,(nr_MEndP1-$G1065+0.5)/$C$1048))-MIN(1,MAX(0,(nr_MStartP1-1-$G1065+0.5)/$C$1048))</f>
        <v/>
      </c>
      <c r="S1065" s="208">
        <f>IF($L$1048,$N1065*IF($O$1048=1,$O1065/$F$1048,1),"")</f>
        <v/>
      </c>
      <c r="T1065" s="208">
        <f>IF(NOT($L$1048),"",IF($G1065&lt;nr_MStartP,$S1065,$T1053*(1+IF($G1065&lt;nr_MStartP1,$M$1048,$N$1048))))</f>
        <v/>
      </c>
      <c r="U1065" s="208">
        <f>IF($L$1048,$T1065,$N1065)</f>
        <v/>
      </c>
    </row>
    <row r="1066">
      <c r="A1066" s="145" t="n">
        <v>16</v>
      </c>
      <c r="B1066" s="204">
        <f>EDATE($B1065,1)</f>
        <v/>
      </c>
      <c r="C1066" s="205">
        <f>EOMONTH($B1066,0)</f>
        <v/>
      </c>
      <c r="D1066" s="201">
        <f>$C1066-$B1066+1</f>
        <v/>
      </c>
      <c r="E1066" s="201">
        <f>MONTH($B1066)</f>
        <v/>
      </c>
      <c r="F1066" s="235">
        <f>($B1066+$C1066+1)/2</f>
        <v/>
      </c>
      <c r="G1066" s="201">
        <f>YEAR($B1066)*12+MONTH($B1066)-1</f>
        <v/>
      </c>
      <c r="H1066" s="207">
        <f>IF(OR(nr_SeasonOn="OFF",$D$1048=0,$E$1048=0),1,12*INDEX(se_block,$D$1048,$E1066)/$E$1048)</f>
        <v/>
      </c>
      <c r="I1066" s="208">
        <f>EXP(SUMPRODUCT((rl_eff&lt;$B1066)*(rl_key=$A$1048)*rl_ln1p))</f>
        <v/>
      </c>
      <c r="J1066" s="208">
        <f>EXP(SUMPRODUCT((rl_eff&lt;=$C1066)*(rl_key=$A$1048)*rl_ln1p))</f>
        <v/>
      </c>
      <c r="K1066" s="201">
        <f>COUNTIFS(rl_key,$A$1048,rl_eff,"&gt;="&amp;$B1066,rl_eff,"&lt;="&amp;$C1066)</f>
        <v/>
      </c>
      <c r="L1066" s="201">
        <f>SUMIFS(rl_daysafter,rl_key,$A$1048,rl_effmonth,$B1066,rl_first,1)</f>
        <v/>
      </c>
      <c r="M1066" s="209">
        <f>IF($K1066=0,0,MIN(1,$L1066/$D1066))</f>
        <v/>
      </c>
      <c r="N1066" s="208">
        <f>IF($K1066=0,$J1066,(1-$M1066)*$I1066+$M1066*$J1066)</f>
        <v/>
      </c>
      <c r="O1066" s="209">
        <f>IF($F1066&lt;$B$1049,$E$1049+$I$1049*($F1066-$A$1049),IF($F1066&lt;$C$1049,$F$1049+$J$1049*($F1066-$B$1049),$G$1049+$K$1049*($F1066-$C$1049)))</f>
        <v/>
      </c>
      <c r="P1066" s="208">
        <f>MIN(1,MAX(0,(nr_MEndPm1-$G1066+0.5)/$C$1048))-MIN(1,MAX(0,(nr_MStartPm1-1-$G1066+0.5)/$C$1048))</f>
        <v/>
      </c>
      <c r="Q1066" s="208">
        <f>MIN(1,MAX(0,(nr_MEndP-$G1066+0.5)/$C$1048))-MIN(1,MAX(0,(nr_MStartP-1-$G1066+0.5)/$C$1048))</f>
        <v/>
      </c>
      <c r="R1066" s="208">
        <f>MIN(1,MAX(0,(nr_MEndP1-$G1066+0.5)/$C$1048))-MIN(1,MAX(0,(nr_MStartP1-1-$G1066+0.5)/$C$1048))</f>
        <v/>
      </c>
      <c r="S1066" s="208">
        <f>IF($L$1048,$N1066*IF($O$1048=1,$O1066/$F$1048,1),"")</f>
        <v/>
      </c>
      <c r="T1066" s="208">
        <f>IF(NOT($L$1048),"",IF($G1066&lt;nr_MStartP,$S1066,$T1054*(1+IF($G1066&lt;nr_MStartP1,$M$1048,$N$1048))))</f>
        <v/>
      </c>
      <c r="U1066" s="208">
        <f>IF($L$1048,$T1066,$N1066)</f>
        <v/>
      </c>
    </row>
    <row r="1067">
      <c r="A1067" s="145" t="n">
        <v>17</v>
      </c>
      <c r="B1067" s="204">
        <f>EDATE($B1066,1)</f>
        <v/>
      </c>
      <c r="C1067" s="205">
        <f>EOMONTH($B1067,0)</f>
        <v/>
      </c>
      <c r="D1067" s="201">
        <f>$C1067-$B1067+1</f>
        <v/>
      </c>
      <c r="E1067" s="201">
        <f>MONTH($B1067)</f>
        <v/>
      </c>
      <c r="F1067" s="235">
        <f>($B1067+$C1067+1)/2</f>
        <v/>
      </c>
      <c r="G1067" s="201">
        <f>YEAR($B1067)*12+MONTH($B1067)-1</f>
        <v/>
      </c>
      <c r="H1067" s="207">
        <f>IF(OR(nr_SeasonOn="OFF",$D$1048=0,$E$1048=0),1,12*INDEX(se_block,$D$1048,$E1067)/$E$1048)</f>
        <v/>
      </c>
      <c r="I1067" s="208">
        <f>EXP(SUMPRODUCT((rl_eff&lt;$B1067)*(rl_key=$A$1048)*rl_ln1p))</f>
        <v/>
      </c>
      <c r="J1067" s="208">
        <f>EXP(SUMPRODUCT((rl_eff&lt;=$C1067)*(rl_key=$A$1048)*rl_ln1p))</f>
        <v/>
      </c>
      <c r="K1067" s="201">
        <f>COUNTIFS(rl_key,$A$1048,rl_eff,"&gt;="&amp;$B1067,rl_eff,"&lt;="&amp;$C1067)</f>
        <v/>
      </c>
      <c r="L1067" s="201">
        <f>SUMIFS(rl_daysafter,rl_key,$A$1048,rl_effmonth,$B1067,rl_first,1)</f>
        <v/>
      </c>
      <c r="M1067" s="209">
        <f>IF($K1067=0,0,MIN(1,$L1067/$D1067))</f>
        <v/>
      </c>
      <c r="N1067" s="208">
        <f>IF($K1067=0,$J1067,(1-$M1067)*$I1067+$M1067*$J1067)</f>
        <v/>
      </c>
      <c r="O1067" s="209">
        <f>IF($F1067&lt;$B$1049,$E$1049+$I$1049*($F1067-$A$1049),IF($F1067&lt;$C$1049,$F$1049+$J$1049*($F1067-$B$1049),$G$1049+$K$1049*($F1067-$C$1049)))</f>
        <v/>
      </c>
      <c r="P1067" s="208">
        <f>MIN(1,MAX(0,(nr_MEndPm1-$G1067+0.5)/$C$1048))-MIN(1,MAX(0,(nr_MStartPm1-1-$G1067+0.5)/$C$1048))</f>
        <v/>
      </c>
      <c r="Q1067" s="208">
        <f>MIN(1,MAX(0,(nr_MEndP-$G1067+0.5)/$C$1048))-MIN(1,MAX(0,(nr_MStartP-1-$G1067+0.5)/$C$1048))</f>
        <v/>
      </c>
      <c r="R1067" s="208">
        <f>MIN(1,MAX(0,(nr_MEndP1-$G1067+0.5)/$C$1048))-MIN(1,MAX(0,(nr_MStartP1-1-$G1067+0.5)/$C$1048))</f>
        <v/>
      </c>
      <c r="S1067" s="208">
        <f>IF($L$1048,$N1067*IF($O$1048=1,$O1067/$F$1048,1),"")</f>
        <v/>
      </c>
      <c r="T1067" s="208">
        <f>IF(NOT($L$1048),"",IF($G1067&lt;nr_MStartP,$S1067,$T1055*(1+IF($G1067&lt;nr_MStartP1,$M$1048,$N$1048))))</f>
        <v/>
      </c>
      <c r="U1067" s="208">
        <f>IF($L$1048,$T1067,$N1067)</f>
        <v/>
      </c>
    </row>
    <row r="1068">
      <c r="A1068" s="145" t="n">
        <v>18</v>
      </c>
      <c r="B1068" s="204">
        <f>EDATE($B1067,1)</f>
        <v/>
      </c>
      <c r="C1068" s="205">
        <f>EOMONTH($B1068,0)</f>
        <v/>
      </c>
      <c r="D1068" s="201">
        <f>$C1068-$B1068+1</f>
        <v/>
      </c>
      <c r="E1068" s="201">
        <f>MONTH($B1068)</f>
        <v/>
      </c>
      <c r="F1068" s="235">
        <f>($B1068+$C1068+1)/2</f>
        <v/>
      </c>
      <c r="G1068" s="201">
        <f>YEAR($B1068)*12+MONTH($B1068)-1</f>
        <v/>
      </c>
      <c r="H1068" s="207">
        <f>IF(OR(nr_SeasonOn="OFF",$D$1048=0,$E$1048=0),1,12*INDEX(se_block,$D$1048,$E1068)/$E$1048)</f>
        <v/>
      </c>
      <c r="I1068" s="208">
        <f>EXP(SUMPRODUCT((rl_eff&lt;$B1068)*(rl_key=$A$1048)*rl_ln1p))</f>
        <v/>
      </c>
      <c r="J1068" s="208">
        <f>EXP(SUMPRODUCT((rl_eff&lt;=$C1068)*(rl_key=$A$1048)*rl_ln1p))</f>
        <v/>
      </c>
      <c r="K1068" s="201">
        <f>COUNTIFS(rl_key,$A$1048,rl_eff,"&gt;="&amp;$B1068,rl_eff,"&lt;="&amp;$C1068)</f>
        <v/>
      </c>
      <c r="L1068" s="201">
        <f>SUMIFS(rl_daysafter,rl_key,$A$1048,rl_effmonth,$B1068,rl_first,1)</f>
        <v/>
      </c>
      <c r="M1068" s="209">
        <f>IF($K1068=0,0,MIN(1,$L1068/$D1068))</f>
        <v/>
      </c>
      <c r="N1068" s="208">
        <f>IF($K1068=0,$J1068,(1-$M1068)*$I1068+$M1068*$J1068)</f>
        <v/>
      </c>
      <c r="O1068" s="209">
        <f>IF($F1068&lt;$B$1049,$E$1049+$I$1049*($F1068-$A$1049),IF($F1068&lt;$C$1049,$F$1049+$J$1049*($F1068-$B$1049),$G$1049+$K$1049*($F1068-$C$1049)))</f>
        <v/>
      </c>
      <c r="P1068" s="208">
        <f>MIN(1,MAX(0,(nr_MEndPm1-$G1068+0.5)/$C$1048))-MIN(1,MAX(0,(nr_MStartPm1-1-$G1068+0.5)/$C$1048))</f>
        <v/>
      </c>
      <c r="Q1068" s="208">
        <f>MIN(1,MAX(0,(nr_MEndP-$G1068+0.5)/$C$1048))-MIN(1,MAX(0,(nr_MStartP-1-$G1068+0.5)/$C$1048))</f>
        <v/>
      </c>
      <c r="R1068" s="208">
        <f>MIN(1,MAX(0,(nr_MEndP1-$G1068+0.5)/$C$1048))-MIN(1,MAX(0,(nr_MStartP1-1-$G1068+0.5)/$C$1048))</f>
        <v/>
      </c>
      <c r="S1068" s="208">
        <f>IF($L$1048,$N1068*IF($O$1048=1,$O1068/$F$1048,1),"")</f>
        <v/>
      </c>
      <c r="T1068" s="208">
        <f>IF(NOT($L$1048),"",IF($G1068&lt;nr_MStartP,$S1068,$T1056*(1+IF($G1068&lt;nr_MStartP1,$M$1048,$N$1048))))</f>
        <v/>
      </c>
      <c r="U1068" s="208">
        <f>IF($L$1048,$T1068,$N1068)</f>
        <v/>
      </c>
    </row>
    <row r="1069">
      <c r="A1069" s="145" t="n">
        <v>19</v>
      </c>
      <c r="B1069" s="204">
        <f>EDATE($B1068,1)</f>
        <v/>
      </c>
      <c r="C1069" s="205">
        <f>EOMONTH($B1069,0)</f>
        <v/>
      </c>
      <c r="D1069" s="201">
        <f>$C1069-$B1069+1</f>
        <v/>
      </c>
      <c r="E1069" s="201">
        <f>MONTH($B1069)</f>
        <v/>
      </c>
      <c r="F1069" s="235">
        <f>($B1069+$C1069+1)/2</f>
        <v/>
      </c>
      <c r="G1069" s="201">
        <f>YEAR($B1069)*12+MONTH($B1069)-1</f>
        <v/>
      </c>
      <c r="H1069" s="207">
        <f>IF(OR(nr_SeasonOn="OFF",$D$1048=0,$E$1048=0),1,12*INDEX(se_block,$D$1048,$E1069)/$E$1048)</f>
        <v/>
      </c>
      <c r="I1069" s="208">
        <f>EXP(SUMPRODUCT((rl_eff&lt;$B1069)*(rl_key=$A$1048)*rl_ln1p))</f>
        <v/>
      </c>
      <c r="J1069" s="208">
        <f>EXP(SUMPRODUCT((rl_eff&lt;=$C1069)*(rl_key=$A$1048)*rl_ln1p))</f>
        <v/>
      </c>
      <c r="K1069" s="201">
        <f>COUNTIFS(rl_key,$A$1048,rl_eff,"&gt;="&amp;$B1069,rl_eff,"&lt;="&amp;$C1069)</f>
        <v/>
      </c>
      <c r="L1069" s="201">
        <f>SUMIFS(rl_daysafter,rl_key,$A$1048,rl_effmonth,$B1069,rl_first,1)</f>
        <v/>
      </c>
      <c r="M1069" s="209">
        <f>IF($K1069=0,0,MIN(1,$L1069/$D1069))</f>
        <v/>
      </c>
      <c r="N1069" s="208">
        <f>IF($K1069=0,$J1069,(1-$M1069)*$I1069+$M1069*$J1069)</f>
        <v/>
      </c>
      <c r="O1069" s="209">
        <f>IF($F1069&lt;$B$1049,$E$1049+$I$1049*($F1069-$A$1049),IF($F1069&lt;$C$1049,$F$1049+$J$1049*($F1069-$B$1049),$G$1049+$K$1049*($F1069-$C$1049)))</f>
        <v/>
      </c>
      <c r="P1069" s="208">
        <f>MIN(1,MAX(0,(nr_MEndPm1-$G1069+0.5)/$C$1048))-MIN(1,MAX(0,(nr_MStartPm1-1-$G1069+0.5)/$C$1048))</f>
        <v/>
      </c>
      <c r="Q1069" s="208">
        <f>MIN(1,MAX(0,(nr_MEndP-$G1069+0.5)/$C$1048))-MIN(1,MAX(0,(nr_MStartP-1-$G1069+0.5)/$C$1048))</f>
        <v/>
      </c>
      <c r="R1069" s="208">
        <f>MIN(1,MAX(0,(nr_MEndP1-$G1069+0.5)/$C$1048))-MIN(1,MAX(0,(nr_MStartP1-1-$G1069+0.5)/$C$1048))</f>
        <v/>
      </c>
      <c r="S1069" s="208">
        <f>IF($L$1048,$N1069*IF($O$1048=1,$O1069/$F$1048,1),"")</f>
        <v/>
      </c>
      <c r="T1069" s="208">
        <f>IF(NOT($L$1048),"",IF($G1069&lt;nr_MStartP,$S1069,$T1057*(1+IF($G1069&lt;nr_MStartP1,$M$1048,$N$1048))))</f>
        <v/>
      </c>
      <c r="U1069" s="208">
        <f>IF($L$1048,$T1069,$N1069)</f>
        <v/>
      </c>
    </row>
    <row r="1070">
      <c r="A1070" s="145" t="n">
        <v>20</v>
      </c>
      <c r="B1070" s="204">
        <f>EDATE($B1069,1)</f>
        <v/>
      </c>
      <c r="C1070" s="205">
        <f>EOMONTH($B1070,0)</f>
        <v/>
      </c>
      <c r="D1070" s="201">
        <f>$C1070-$B1070+1</f>
        <v/>
      </c>
      <c r="E1070" s="201">
        <f>MONTH($B1070)</f>
        <v/>
      </c>
      <c r="F1070" s="235">
        <f>($B1070+$C1070+1)/2</f>
        <v/>
      </c>
      <c r="G1070" s="201">
        <f>YEAR($B1070)*12+MONTH($B1070)-1</f>
        <v/>
      </c>
      <c r="H1070" s="207">
        <f>IF(OR(nr_SeasonOn="OFF",$D$1048=0,$E$1048=0),1,12*INDEX(se_block,$D$1048,$E1070)/$E$1048)</f>
        <v/>
      </c>
      <c r="I1070" s="208">
        <f>EXP(SUMPRODUCT((rl_eff&lt;$B1070)*(rl_key=$A$1048)*rl_ln1p))</f>
        <v/>
      </c>
      <c r="J1070" s="208">
        <f>EXP(SUMPRODUCT((rl_eff&lt;=$C1070)*(rl_key=$A$1048)*rl_ln1p))</f>
        <v/>
      </c>
      <c r="K1070" s="201">
        <f>COUNTIFS(rl_key,$A$1048,rl_eff,"&gt;="&amp;$B1070,rl_eff,"&lt;="&amp;$C1070)</f>
        <v/>
      </c>
      <c r="L1070" s="201">
        <f>SUMIFS(rl_daysafter,rl_key,$A$1048,rl_effmonth,$B1070,rl_first,1)</f>
        <v/>
      </c>
      <c r="M1070" s="209">
        <f>IF($K1070=0,0,MIN(1,$L1070/$D1070))</f>
        <v/>
      </c>
      <c r="N1070" s="208">
        <f>IF($K1070=0,$J1070,(1-$M1070)*$I1070+$M1070*$J1070)</f>
        <v/>
      </c>
      <c r="O1070" s="209">
        <f>IF($F1070&lt;$B$1049,$E$1049+$I$1049*($F1070-$A$1049),IF($F1070&lt;$C$1049,$F$1049+$J$1049*($F1070-$B$1049),$G$1049+$K$1049*($F1070-$C$1049)))</f>
        <v/>
      </c>
      <c r="P1070" s="208">
        <f>MIN(1,MAX(0,(nr_MEndPm1-$G1070+0.5)/$C$1048))-MIN(1,MAX(0,(nr_MStartPm1-1-$G1070+0.5)/$C$1048))</f>
        <v/>
      </c>
      <c r="Q1070" s="208">
        <f>MIN(1,MAX(0,(nr_MEndP-$G1070+0.5)/$C$1048))-MIN(1,MAX(0,(nr_MStartP-1-$G1070+0.5)/$C$1048))</f>
        <v/>
      </c>
      <c r="R1070" s="208">
        <f>MIN(1,MAX(0,(nr_MEndP1-$G1070+0.5)/$C$1048))-MIN(1,MAX(0,(nr_MStartP1-1-$G1070+0.5)/$C$1048))</f>
        <v/>
      </c>
      <c r="S1070" s="208">
        <f>IF($L$1048,$N1070*IF($O$1048=1,$O1070/$F$1048,1),"")</f>
        <v/>
      </c>
      <c r="T1070" s="208">
        <f>IF(NOT($L$1048),"",IF($G1070&lt;nr_MStartP,$S1070,$T1058*(1+IF($G1070&lt;nr_MStartP1,$M$1048,$N$1048))))</f>
        <v/>
      </c>
      <c r="U1070" s="208">
        <f>IF($L$1048,$T1070,$N1070)</f>
        <v/>
      </c>
    </row>
    <row r="1071">
      <c r="A1071" s="145" t="n">
        <v>21</v>
      </c>
      <c r="B1071" s="204">
        <f>EDATE($B1070,1)</f>
        <v/>
      </c>
      <c r="C1071" s="205">
        <f>EOMONTH($B1071,0)</f>
        <v/>
      </c>
      <c r="D1071" s="201">
        <f>$C1071-$B1071+1</f>
        <v/>
      </c>
      <c r="E1071" s="201">
        <f>MONTH($B1071)</f>
        <v/>
      </c>
      <c r="F1071" s="235">
        <f>($B1071+$C1071+1)/2</f>
        <v/>
      </c>
      <c r="G1071" s="201">
        <f>YEAR($B1071)*12+MONTH($B1071)-1</f>
        <v/>
      </c>
      <c r="H1071" s="207">
        <f>IF(OR(nr_SeasonOn="OFF",$D$1048=0,$E$1048=0),1,12*INDEX(se_block,$D$1048,$E1071)/$E$1048)</f>
        <v/>
      </c>
      <c r="I1071" s="208">
        <f>EXP(SUMPRODUCT((rl_eff&lt;$B1071)*(rl_key=$A$1048)*rl_ln1p))</f>
        <v/>
      </c>
      <c r="J1071" s="208">
        <f>EXP(SUMPRODUCT((rl_eff&lt;=$C1071)*(rl_key=$A$1048)*rl_ln1p))</f>
        <v/>
      </c>
      <c r="K1071" s="201">
        <f>COUNTIFS(rl_key,$A$1048,rl_eff,"&gt;="&amp;$B1071,rl_eff,"&lt;="&amp;$C1071)</f>
        <v/>
      </c>
      <c r="L1071" s="201">
        <f>SUMIFS(rl_daysafter,rl_key,$A$1048,rl_effmonth,$B1071,rl_first,1)</f>
        <v/>
      </c>
      <c r="M1071" s="209">
        <f>IF($K1071=0,0,MIN(1,$L1071/$D1071))</f>
        <v/>
      </c>
      <c r="N1071" s="208">
        <f>IF($K1071=0,$J1071,(1-$M1071)*$I1071+$M1071*$J1071)</f>
        <v/>
      </c>
      <c r="O1071" s="209">
        <f>IF($F1071&lt;$B$1049,$E$1049+$I$1049*($F1071-$A$1049),IF($F1071&lt;$C$1049,$F$1049+$J$1049*($F1071-$B$1049),$G$1049+$K$1049*($F1071-$C$1049)))</f>
        <v/>
      </c>
      <c r="P1071" s="208">
        <f>MIN(1,MAX(0,(nr_MEndPm1-$G1071+0.5)/$C$1048))-MIN(1,MAX(0,(nr_MStartPm1-1-$G1071+0.5)/$C$1048))</f>
        <v/>
      </c>
      <c r="Q1071" s="208">
        <f>MIN(1,MAX(0,(nr_MEndP-$G1071+0.5)/$C$1048))-MIN(1,MAX(0,(nr_MStartP-1-$G1071+0.5)/$C$1048))</f>
        <v/>
      </c>
      <c r="R1071" s="208">
        <f>MIN(1,MAX(0,(nr_MEndP1-$G1071+0.5)/$C$1048))-MIN(1,MAX(0,(nr_MStartP1-1-$G1071+0.5)/$C$1048))</f>
        <v/>
      </c>
      <c r="S1071" s="208">
        <f>IF($L$1048,$N1071*IF($O$1048=1,$O1071/$F$1048,1),"")</f>
        <v/>
      </c>
      <c r="T1071" s="208">
        <f>IF(NOT($L$1048),"",IF($G1071&lt;nr_MStartP,$S1071,$T1059*(1+IF($G1071&lt;nr_MStartP1,$M$1048,$N$1048))))</f>
        <v/>
      </c>
      <c r="U1071" s="208">
        <f>IF($L$1048,$T1071,$N1071)</f>
        <v/>
      </c>
    </row>
    <row r="1072">
      <c r="A1072" s="145" t="n">
        <v>22</v>
      </c>
      <c r="B1072" s="204">
        <f>EDATE($B1071,1)</f>
        <v/>
      </c>
      <c r="C1072" s="205">
        <f>EOMONTH($B1072,0)</f>
        <v/>
      </c>
      <c r="D1072" s="201">
        <f>$C1072-$B1072+1</f>
        <v/>
      </c>
      <c r="E1072" s="201">
        <f>MONTH($B1072)</f>
        <v/>
      </c>
      <c r="F1072" s="235">
        <f>($B1072+$C1072+1)/2</f>
        <v/>
      </c>
      <c r="G1072" s="201">
        <f>YEAR($B1072)*12+MONTH($B1072)-1</f>
        <v/>
      </c>
      <c r="H1072" s="207">
        <f>IF(OR(nr_SeasonOn="OFF",$D$1048=0,$E$1048=0),1,12*INDEX(se_block,$D$1048,$E1072)/$E$1048)</f>
        <v/>
      </c>
      <c r="I1072" s="208">
        <f>EXP(SUMPRODUCT((rl_eff&lt;$B1072)*(rl_key=$A$1048)*rl_ln1p))</f>
        <v/>
      </c>
      <c r="J1072" s="208">
        <f>EXP(SUMPRODUCT((rl_eff&lt;=$C1072)*(rl_key=$A$1048)*rl_ln1p))</f>
        <v/>
      </c>
      <c r="K1072" s="201">
        <f>COUNTIFS(rl_key,$A$1048,rl_eff,"&gt;="&amp;$B1072,rl_eff,"&lt;="&amp;$C1072)</f>
        <v/>
      </c>
      <c r="L1072" s="201">
        <f>SUMIFS(rl_daysafter,rl_key,$A$1048,rl_effmonth,$B1072,rl_first,1)</f>
        <v/>
      </c>
      <c r="M1072" s="209">
        <f>IF($K1072=0,0,MIN(1,$L1072/$D1072))</f>
        <v/>
      </c>
      <c r="N1072" s="208">
        <f>IF($K1072=0,$J1072,(1-$M1072)*$I1072+$M1072*$J1072)</f>
        <v/>
      </c>
      <c r="O1072" s="209">
        <f>IF($F1072&lt;$B$1049,$E$1049+$I$1049*($F1072-$A$1049),IF($F1072&lt;$C$1049,$F$1049+$J$1049*($F1072-$B$1049),$G$1049+$K$1049*($F1072-$C$1049)))</f>
        <v/>
      </c>
      <c r="P1072" s="208">
        <f>MIN(1,MAX(0,(nr_MEndPm1-$G1072+0.5)/$C$1048))-MIN(1,MAX(0,(nr_MStartPm1-1-$G1072+0.5)/$C$1048))</f>
        <v/>
      </c>
      <c r="Q1072" s="208">
        <f>MIN(1,MAX(0,(nr_MEndP-$G1072+0.5)/$C$1048))-MIN(1,MAX(0,(nr_MStartP-1-$G1072+0.5)/$C$1048))</f>
        <v/>
      </c>
      <c r="R1072" s="208">
        <f>MIN(1,MAX(0,(nr_MEndP1-$G1072+0.5)/$C$1048))-MIN(1,MAX(0,(nr_MStartP1-1-$G1072+0.5)/$C$1048))</f>
        <v/>
      </c>
      <c r="S1072" s="208">
        <f>IF($L$1048,$N1072*IF($O$1048=1,$O1072/$F$1048,1),"")</f>
        <v/>
      </c>
      <c r="T1072" s="208">
        <f>IF(NOT($L$1048),"",IF($G1072&lt;nr_MStartP,$S1072,$T1060*(1+IF($G1072&lt;nr_MStartP1,$M$1048,$N$1048))))</f>
        <v/>
      </c>
      <c r="U1072" s="208">
        <f>IF($L$1048,$T1072,$N1072)</f>
        <v/>
      </c>
    </row>
    <row r="1073">
      <c r="A1073" s="145" t="n">
        <v>23</v>
      </c>
      <c r="B1073" s="204">
        <f>EDATE($B1072,1)</f>
        <v/>
      </c>
      <c r="C1073" s="205">
        <f>EOMONTH($B1073,0)</f>
        <v/>
      </c>
      <c r="D1073" s="201">
        <f>$C1073-$B1073+1</f>
        <v/>
      </c>
      <c r="E1073" s="201">
        <f>MONTH($B1073)</f>
        <v/>
      </c>
      <c r="F1073" s="235">
        <f>($B1073+$C1073+1)/2</f>
        <v/>
      </c>
      <c r="G1073" s="201">
        <f>YEAR($B1073)*12+MONTH($B1073)-1</f>
        <v/>
      </c>
      <c r="H1073" s="207">
        <f>IF(OR(nr_SeasonOn="OFF",$D$1048=0,$E$1048=0),1,12*INDEX(se_block,$D$1048,$E1073)/$E$1048)</f>
        <v/>
      </c>
      <c r="I1073" s="208">
        <f>EXP(SUMPRODUCT((rl_eff&lt;$B1073)*(rl_key=$A$1048)*rl_ln1p))</f>
        <v/>
      </c>
      <c r="J1073" s="208">
        <f>EXP(SUMPRODUCT((rl_eff&lt;=$C1073)*(rl_key=$A$1048)*rl_ln1p))</f>
        <v/>
      </c>
      <c r="K1073" s="201">
        <f>COUNTIFS(rl_key,$A$1048,rl_eff,"&gt;="&amp;$B1073,rl_eff,"&lt;="&amp;$C1073)</f>
        <v/>
      </c>
      <c r="L1073" s="201">
        <f>SUMIFS(rl_daysafter,rl_key,$A$1048,rl_effmonth,$B1073,rl_first,1)</f>
        <v/>
      </c>
      <c r="M1073" s="209">
        <f>IF($K1073=0,0,MIN(1,$L1073/$D1073))</f>
        <v/>
      </c>
      <c r="N1073" s="208">
        <f>IF($K1073=0,$J1073,(1-$M1073)*$I1073+$M1073*$J1073)</f>
        <v/>
      </c>
      <c r="O1073" s="209">
        <f>IF($F1073&lt;$B$1049,$E$1049+$I$1049*($F1073-$A$1049),IF($F1073&lt;$C$1049,$F$1049+$J$1049*($F1073-$B$1049),$G$1049+$K$1049*($F1073-$C$1049)))</f>
        <v/>
      </c>
      <c r="P1073" s="208">
        <f>MIN(1,MAX(0,(nr_MEndPm1-$G1073+0.5)/$C$1048))-MIN(1,MAX(0,(nr_MStartPm1-1-$G1073+0.5)/$C$1048))</f>
        <v/>
      </c>
      <c r="Q1073" s="208">
        <f>MIN(1,MAX(0,(nr_MEndP-$G1073+0.5)/$C$1048))-MIN(1,MAX(0,(nr_MStartP-1-$G1073+0.5)/$C$1048))</f>
        <v/>
      </c>
      <c r="R1073" s="208">
        <f>MIN(1,MAX(0,(nr_MEndP1-$G1073+0.5)/$C$1048))-MIN(1,MAX(0,(nr_MStartP1-1-$G1073+0.5)/$C$1048))</f>
        <v/>
      </c>
      <c r="S1073" s="208">
        <f>IF($L$1048,$N1073*IF($O$1048=1,$O1073/$F$1048,1),"")</f>
        <v/>
      </c>
      <c r="T1073" s="208">
        <f>IF(NOT($L$1048),"",IF($G1073&lt;nr_MStartP,$S1073,$T1061*(1+IF($G1073&lt;nr_MStartP1,$M$1048,$N$1048))))</f>
        <v/>
      </c>
      <c r="U1073" s="208">
        <f>IF($L$1048,$T1073,$N1073)</f>
        <v/>
      </c>
    </row>
    <row r="1074">
      <c r="A1074" s="145" t="n">
        <v>24</v>
      </c>
      <c r="B1074" s="204">
        <f>EDATE($B1073,1)</f>
        <v/>
      </c>
      <c r="C1074" s="205">
        <f>EOMONTH($B1074,0)</f>
        <v/>
      </c>
      <c r="D1074" s="201">
        <f>$C1074-$B1074+1</f>
        <v/>
      </c>
      <c r="E1074" s="201">
        <f>MONTH($B1074)</f>
        <v/>
      </c>
      <c r="F1074" s="235">
        <f>($B1074+$C1074+1)/2</f>
        <v/>
      </c>
      <c r="G1074" s="201">
        <f>YEAR($B1074)*12+MONTH($B1074)-1</f>
        <v/>
      </c>
      <c r="H1074" s="207">
        <f>IF(OR(nr_SeasonOn="OFF",$D$1048=0,$E$1048=0),1,12*INDEX(se_block,$D$1048,$E1074)/$E$1048)</f>
        <v/>
      </c>
      <c r="I1074" s="208">
        <f>EXP(SUMPRODUCT((rl_eff&lt;$B1074)*(rl_key=$A$1048)*rl_ln1p))</f>
        <v/>
      </c>
      <c r="J1074" s="208">
        <f>EXP(SUMPRODUCT((rl_eff&lt;=$C1074)*(rl_key=$A$1048)*rl_ln1p))</f>
        <v/>
      </c>
      <c r="K1074" s="201">
        <f>COUNTIFS(rl_key,$A$1048,rl_eff,"&gt;="&amp;$B1074,rl_eff,"&lt;="&amp;$C1074)</f>
        <v/>
      </c>
      <c r="L1074" s="201">
        <f>SUMIFS(rl_daysafter,rl_key,$A$1048,rl_effmonth,$B1074,rl_first,1)</f>
        <v/>
      </c>
      <c r="M1074" s="209">
        <f>IF($K1074=0,0,MIN(1,$L1074/$D1074))</f>
        <v/>
      </c>
      <c r="N1074" s="208">
        <f>IF($K1074=0,$J1074,(1-$M1074)*$I1074+$M1074*$J1074)</f>
        <v/>
      </c>
      <c r="O1074" s="209">
        <f>IF($F1074&lt;$B$1049,$E$1049+$I$1049*($F1074-$A$1049),IF($F1074&lt;$C$1049,$F$1049+$J$1049*($F1074-$B$1049),$G$1049+$K$1049*($F1074-$C$1049)))</f>
        <v/>
      </c>
      <c r="P1074" s="208">
        <f>MIN(1,MAX(0,(nr_MEndPm1-$G1074+0.5)/$C$1048))-MIN(1,MAX(0,(nr_MStartPm1-1-$G1074+0.5)/$C$1048))</f>
        <v/>
      </c>
      <c r="Q1074" s="208">
        <f>MIN(1,MAX(0,(nr_MEndP-$G1074+0.5)/$C$1048))-MIN(1,MAX(0,(nr_MStartP-1-$G1074+0.5)/$C$1048))</f>
        <v/>
      </c>
      <c r="R1074" s="208">
        <f>MIN(1,MAX(0,(nr_MEndP1-$G1074+0.5)/$C$1048))-MIN(1,MAX(0,(nr_MStartP1-1-$G1074+0.5)/$C$1048))</f>
        <v/>
      </c>
      <c r="S1074" s="208">
        <f>IF($L$1048,$N1074*IF($O$1048=1,$O1074/$F$1048,1),"")</f>
        <v/>
      </c>
      <c r="T1074" s="208">
        <f>IF(NOT($L$1048),"",IF($G1074&lt;nr_MStartP,$S1074,$T1062*(1+IF($G1074&lt;nr_MStartP1,$M$1048,$N$1048))))</f>
        <v/>
      </c>
      <c r="U1074" s="208">
        <f>IF($L$1048,$T1074,$N1074)</f>
        <v/>
      </c>
    </row>
    <row r="1075">
      <c r="A1075" s="145" t="n">
        <v>25</v>
      </c>
      <c r="B1075" s="204">
        <f>EDATE($B1074,1)</f>
        <v/>
      </c>
      <c r="C1075" s="205">
        <f>EOMONTH($B1075,0)</f>
        <v/>
      </c>
      <c r="D1075" s="201">
        <f>$C1075-$B1075+1</f>
        <v/>
      </c>
      <c r="E1075" s="201">
        <f>MONTH($B1075)</f>
        <v/>
      </c>
      <c r="F1075" s="235">
        <f>($B1075+$C1075+1)/2</f>
        <v/>
      </c>
      <c r="G1075" s="201">
        <f>YEAR($B1075)*12+MONTH($B1075)-1</f>
        <v/>
      </c>
      <c r="H1075" s="207">
        <f>IF(OR(nr_SeasonOn="OFF",$D$1048=0,$E$1048=0),1,12*INDEX(se_block,$D$1048,$E1075)/$E$1048)</f>
        <v/>
      </c>
      <c r="I1075" s="208">
        <f>EXP(SUMPRODUCT((rl_eff&lt;$B1075)*(rl_key=$A$1048)*rl_ln1p))</f>
        <v/>
      </c>
      <c r="J1075" s="208">
        <f>EXP(SUMPRODUCT((rl_eff&lt;=$C1075)*(rl_key=$A$1048)*rl_ln1p))</f>
        <v/>
      </c>
      <c r="K1075" s="201">
        <f>COUNTIFS(rl_key,$A$1048,rl_eff,"&gt;="&amp;$B1075,rl_eff,"&lt;="&amp;$C1075)</f>
        <v/>
      </c>
      <c r="L1075" s="201">
        <f>SUMIFS(rl_daysafter,rl_key,$A$1048,rl_effmonth,$B1075,rl_first,1)</f>
        <v/>
      </c>
      <c r="M1075" s="209">
        <f>IF($K1075=0,0,MIN(1,$L1075/$D1075))</f>
        <v/>
      </c>
      <c r="N1075" s="208">
        <f>IF($K1075=0,$J1075,(1-$M1075)*$I1075+$M1075*$J1075)</f>
        <v/>
      </c>
      <c r="O1075" s="209">
        <f>IF($F1075&lt;$B$1049,$E$1049+$I$1049*($F1075-$A$1049),IF($F1075&lt;$C$1049,$F$1049+$J$1049*($F1075-$B$1049),$G$1049+$K$1049*($F1075-$C$1049)))</f>
        <v/>
      </c>
      <c r="P1075" s="208">
        <f>MIN(1,MAX(0,(nr_MEndPm1-$G1075+0.5)/$C$1048))-MIN(1,MAX(0,(nr_MStartPm1-1-$G1075+0.5)/$C$1048))</f>
        <v/>
      </c>
      <c r="Q1075" s="208">
        <f>MIN(1,MAX(0,(nr_MEndP-$G1075+0.5)/$C$1048))-MIN(1,MAX(0,(nr_MStartP-1-$G1075+0.5)/$C$1048))</f>
        <v/>
      </c>
      <c r="R1075" s="208">
        <f>MIN(1,MAX(0,(nr_MEndP1-$G1075+0.5)/$C$1048))-MIN(1,MAX(0,(nr_MStartP1-1-$G1075+0.5)/$C$1048))</f>
        <v/>
      </c>
      <c r="S1075" s="208">
        <f>IF($L$1048,$N1075*IF($O$1048=1,$O1075/$F$1048,1),"")</f>
        <v/>
      </c>
      <c r="T1075" s="208">
        <f>IF(NOT($L$1048),"",IF($G1075&lt;nr_MStartP,$S1075,$T1063*(1+IF($G1075&lt;nr_MStartP1,$M$1048,$N$1048))))</f>
        <v/>
      </c>
      <c r="U1075" s="208">
        <f>IF($L$1048,$T1075,$N1075)</f>
        <v/>
      </c>
    </row>
    <row r="1076">
      <c r="A1076" s="145" t="n">
        <v>26</v>
      </c>
      <c r="B1076" s="204">
        <f>EDATE($B1075,1)</f>
        <v/>
      </c>
      <c r="C1076" s="205">
        <f>EOMONTH($B1076,0)</f>
        <v/>
      </c>
      <c r="D1076" s="201">
        <f>$C1076-$B1076+1</f>
        <v/>
      </c>
      <c r="E1076" s="201">
        <f>MONTH($B1076)</f>
        <v/>
      </c>
      <c r="F1076" s="235">
        <f>($B1076+$C1076+1)/2</f>
        <v/>
      </c>
      <c r="G1076" s="201">
        <f>YEAR($B1076)*12+MONTH($B1076)-1</f>
        <v/>
      </c>
      <c r="H1076" s="207">
        <f>IF(OR(nr_SeasonOn="OFF",$D$1048=0,$E$1048=0),1,12*INDEX(se_block,$D$1048,$E1076)/$E$1048)</f>
        <v/>
      </c>
      <c r="I1076" s="208">
        <f>EXP(SUMPRODUCT((rl_eff&lt;$B1076)*(rl_key=$A$1048)*rl_ln1p))</f>
        <v/>
      </c>
      <c r="J1076" s="208">
        <f>EXP(SUMPRODUCT((rl_eff&lt;=$C1076)*(rl_key=$A$1048)*rl_ln1p))</f>
        <v/>
      </c>
      <c r="K1076" s="201">
        <f>COUNTIFS(rl_key,$A$1048,rl_eff,"&gt;="&amp;$B1076,rl_eff,"&lt;="&amp;$C1076)</f>
        <v/>
      </c>
      <c r="L1076" s="201">
        <f>SUMIFS(rl_daysafter,rl_key,$A$1048,rl_effmonth,$B1076,rl_first,1)</f>
        <v/>
      </c>
      <c r="M1076" s="209">
        <f>IF($K1076=0,0,MIN(1,$L1076/$D1076))</f>
        <v/>
      </c>
      <c r="N1076" s="208">
        <f>IF($K1076=0,$J1076,(1-$M1076)*$I1076+$M1076*$J1076)</f>
        <v/>
      </c>
      <c r="O1076" s="209">
        <f>IF($F1076&lt;$B$1049,$E$1049+$I$1049*($F1076-$A$1049),IF($F1076&lt;$C$1049,$F$1049+$J$1049*($F1076-$B$1049),$G$1049+$K$1049*($F1076-$C$1049)))</f>
        <v/>
      </c>
      <c r="P1076" s="208">
        <f>MIN(1,MAX(0,(nr_MEndPm1-$G1076+0.5)/$C$1048))-MIN(1,MAX(0,(nr_MStartPm1-1-$G1076+0.5)/$C$1048))</f>
        <v/>
      </c>
      <c r="Q1076" s="208">
        <f>MIN(1,MAX(0,(nr_MEndP-$G1076+0.5)/$C$1048))-MIN(1,MAX(0,(nr_MStartP-1-$G1076+0.5)/$C$1048))</f>
        <v/>
      </c>
      <c r="R1076" s="208">
        <f>MIN(1,MAX(0,(nr_MEndP1-$G1076+0.5)/$C$1048))-MIN(1,MAX(0,(nr_MStartP1-1-$G1076+0.5)/$C$1048))</f>
        <v/>
      </c>
      <c r="S1076" s="208">
        <f>IF($L$1048,$N1076*IF($O$1048=1,$O1076/$F$1048,1),"")</f>
        <v/>
      </c>
      <c r="T1076" s="208">
        <f>IF(NOT($L$1048),"",IF($G1076&lt;nr_MStartP,$S1076,$T1064*(1+IF($G1076&lt;nr_MStartP1,$M$1048,$N$1048))))</f>
        <v/>
      </c>
      <c r="U1076" s="208">
        <f>IF($L$1048,$T1076,$N1076)</f>
        <v/>
      </c>
    </row>
    <row r="1077">
      <c r="A1077" s="145" t="n">
        <v>27</v>
      </c>
      <c r="B1077" s="204">
        <f>EDATE($B1076,1)</f>
        <v/>
      </c>
      <c r="C1077" s="205">
        <f>EOMONTH($B1077,0)</f>
        <v/>
      </c>
      <c r="D1077" s="201">
        <f>$C1077-$B1077+1</f>
        <v/>
      </c>
      <c r="E1077" s="201">
        <f>MONTH($B1077)</f>
        <v/>
      </c>
      <c r="F1077" s="235">
        <f>($B1077+$C1077+1)/2</f>
        <v/>
      </c>
      <c r="G1077" s="201">
        <f>YEAR($B1077)*12+MONTH($B1077)-1</f>
        <v/>
      </c>
      <c r="H1077" s="207">
        <f>IF(OR(nr_SeasonOn="OFF",$D$1048=0,$E$1048=0),1,12*INDEX(se_block,$D$1048,$E1077)/$E$1048)</f>
        <v/>
      </c>
      <c r="I1077" s="208">
        <f>EXP(SUMPRODUCT((rl_eff&lt;$B1077)*(rl_key=$A$1048)*rl_ln1p))</f>
        <v/>
      </c>
      <c r="J1077" s="208">
        <f>EXP(SUMPRODUCT((rl_eff&lt;=$C1077)*(rl_key=$A$1048)*rl_ln1p))</f>
        <v/>
      </c>
      <c r="K1077" s="201">
        <f>COUNTIFS(rl_key,$A$1048,rl_eff,"&gt;="&amp;$B1077,rl_eff,"&lt;="&amp;$C1077)</f>
        <v/>
      </c>
      <c r="L1077" s="201">
        <f>SUMIFS(rl_daysafter,rl_key,$A$1048,rl_effmonth,$B1077,rl_first,1)</f>
        <v/>
      </c>
      <c r="M1077" s="209">
        <f>IF($K1077=0,0,MIN(1,$L1077/$D1077))</f>
        <v/>
      </c>
      <c r="N1077" s="208">
        <f>IF($K1077=0,$J1077,(1-$M1077)*$I1077+$M1077*$J1077)</f>
        <v/>
      </c>
      <c r="O1077" s="209">
        <f>IF($F1077&lt;$B$1049,$E$1049+$I$1049*($F1077-$A$1049),IF($F1077&lt;$C$1049,$F$1049+$J$1049*($F1077-$B$1049),$G$1049+$K$1049*($F1077-$C$1049)))</f>
        <v/>
      </c>
      <c r="P1077" s="208">
        <f>MIN(1,MAX(0,(nr_MEndPm1-$G1077+0.5)/$C$1048))-MIN(1,MAX(0,(nr_MStartPm1-1-$G1077+0.5)/$C$1048))</f>
        <v/>
      </c>
      <c r="Q1077" s="208">
        <f>MIN(1,MAX(0,(nr_MEndP-$G1077+0.5)/$C$1048))-MIN(1,MAX(0,(nr_MStartP-1-$G1077+0.5)/$C$1048))</f>
        <v/>
      </c>
      <c r="R1077" s="208">
        <f>MIN(1,MAX(0,(nr_MEndP1-$G1077+0.5)/$C$1048))-MIN(1,MAX(0,(nr_MStartP1-1-$G1077+0.5)/$C$1048))</f>
        <v/>
      </c>
      <c r="S1077" s="208">
        <f>IF($L$1048,$N1077*IF($O$1048=1,$O1077/$F$1048,1),"")</f>
        <v/>
      </c>
      <c r="T1077" s="208">
        <f>IF(NOT($L$1048),"",IF($G1077&lt;nr_MStartP,$S1077,$T1065*(1+IF($G1077&lt;nr_MStartP1,$M$1048,$N$1048))))</f>
        <v/>
      </c>
      <c r="U1077" s="208">
        <f>IF($L$1048,$T1077,$N1077)</f>
        <v/>
      </c>
    </row>
    <row r="1078">
      <c r="A1078" s="145" t="n">
        <v>28</v>
      </c>
      <c r="B1078" s="204">
        <f>EDATE($B1077,1)</f>
        <v/>
      </c>
      <c r="C1078" s="205">
        <f>EOMONTH($B1078,0)</f>
        <v/>
      </c>
      <c r="D1078" s="201">
        <f>$C1078-$B1078+1</f>
        <v/>
      </c>
      <c r="E1078" s="201">
        <f>MONTH($B1078)</f>
        <v/>
      </c>
      <c r="F1078" s="235">
        <f>($B1078+$C1078+1)/2</f>
        <v/>
      </c>
      <c r="G1078" s="201">
        <f>YEAR($B1078)*12+MONTH($B1078)-1</f>
        <v/>
      </c>
      <c r="H1078" s="207">
        <f>IF(OR(nr_SeasonOn="OFF",$D$1048=0,$E$1048=0),1,12*INDEX(se_block,$D$1048,$E1078)/$E$1048)</f>
        <v/>
      </c>
      <c r="I1078" s="208">
        <f>EXP(SUMPRODUCT((rl_eff&lt;$B1078)*(rl_key=$A$1048)*rl_ln1p))</f>
        <v/>
      </c>
      <c r="J1078" s="208">
        <f>EXP(SUMPRODUCT((rl_eff&lt;=$C1078)*(rl_key=$A$1048)*rl_ln1p))</f>
        <v/>
      </c>
      <c r="K1078" s="201">
        <f>COUNTIFS(rl_key,$A$1048,rl_eff,"&gt;="&amp;$B1078,rl_eff,"&lt;="&amp;$C1078)</f>
        <v/>
      </c>
      <c r="L1078" s="201">
        <f>SUMIFS(rl_daysafter,rl_key,$A$1048,rl_effmonth,$B1078,rl_first,1)</f>
        <v/>
      </c>
      <c r="M1078" s="209">
        <f>IF($K1078=0,0,MIN(1,$L1078/$D1078))</f>
        <v/>
      </c>
      <c r="N1078" s="208">
        <f>IF($K1078=0,$J1078,(1-$M1078)*$I1078+$M1078*$J1078)</f>
        <v/>
      </c>
      <c r="O1078" s="209">
        <f>IF($F1078&lt;$B$1049,$E$1049+$I$1049*($F1078-$A$1049),IF($F1078&lt;$C$1049,$F$1049+$J$1049*($F1078-$B$1049),$G$1049+$K$1049*($F1078-$C$1049)))</f>
        <v/>
      </c>
      <c r="P1078" s="208">
        <f>MIN(1,MAX(0,(nr_MEndPm1-$G1078+0.5)/$C$1048))-MIN(1,MAX(0,(nr_MStartPm1-1-$G1078+0.5)/$C$1048))</f>
        <v/>
      </c>
      <c r="Q1078" s="208">
        <f>MIN(1,MAX(0,(nr_MEndP-$G1078+0.5)/$C$1048))-MIN(1,MAX(0,(nr_MStartP-1-$G1078+0.5)/$C$1048))</f>
        <v/>
      </c>
      <c r="R1078" s="208">
        <f>MIN(1,MAX(0,(nr_MEndP1-$G1078+0.5)/$C$1048))-MIN(1,MAX(0,(nr_MStartP1-1-$G1078+0.5)/$C$1048))</f>
        <v/>
      </c>
      <c r="S1078" s="208">
        <f>IF($L$1048,$N1078*IF($O$1048=1,$O1078/$F$1048,1),"")</f>
        <v/>
      </c>
      <c r="T1078" s="208">
        <f>IF(NOT($L$1048),"",IF($G1078&lt;nr_MStartP,$S1078,$T1066*(1+IF($G1078&lt;nr_MStartP1,$M$1048,$N$1048))))</f>
        <v/>
      </c>
      <c r="U1078" s="208">
        <f>IF($L$1048,$T1078,$N1078)</f>
        <v/>
      </c>
    </row>
    <row r="1079">
      <c r="A1079" s="145" t="n">
        <v>29</v>
      </c>
      <c r="B1079" s="204">
        <f>EDATE($B1078,1)</f>
        <v/>
      </c>
      <c r="C1079" s="205">
        <f>EOMONTH($B1079,0)</f>
        <v/>
      </c>
      <c r="D1079" s="201">
        <f>$C1079-$B1079+1</f>
        <v/>
      </c>
      <c r="E1079" s="201">
        <f>MONTH($B1079)</f>
        <v/>
      </c>
      <c r="F1079" s="235">
        <f>($B1079+$C1079+1)/2</f>
        <v/>
      </c>
      <c r="G1079" s="201">
        <f>YEAR($B1079)*12+MONTH($B1079)-1</f>
        <v/>
      </c>
      <c r="H1079" s="207">
        <f>IF(OR(nr_SeasonOn="OFF",$D$1048=0,$E$1048=0),1,12*INDEX(se_block,$D$1048,$E1079)/$E$1048)</f>
        <v/>
      </c>
      <c r="I1079" s="208">
        <f>EXP(SUMPRODUCT((rl_eff&lt;$B1079)*(rl_key=$A$1048)*rl_ln1p))</f>
        <v/>
      </c>
      <c r="J1079" s="208">
        <f>EXP(SUMPRODUCT((rl_eff&lt;=$C1079)*(rl_key=$A$1048)*rl_ln1p))</f>
        <v/>
      </c>
      <c r="K1079" s="201">
        <f>COUNTIFS(rl_key,$A$1048,rl_eff,"&gt;="&amp;$B1079,rl_eff,"&lt;="&amp;$C1079)</f>
        <v/>
      </c>
      <c r="L1079" s="201">
        <f>SUMIFS(rl_daysafter,rl_key,$A$1048,rl_effmonth,$B1079,rl_first,1)</f>
        <v/>
      </c>
      <c r="M1079" s="209">
        <f>IF($K1079=0,0,MIN(1,$L1079/$D1079))</f>
        <v/>
      </c>
      <c r="N1079" s="208">
        <f>IF($K1079=0,$J1079,(1-$M1079)*$I1079+$M1079*$J1079)</f>
        <v/>
      </c>
      <c r="O1079" s="209">
        <f>IF($F1079&lt;$B$1049,$E$1049+$I$1049*($F1079-$A$1049),IF($F1079&lt;$C$1049,$F$1049+$J$1049*($F1079-$B$1049),$G$1049+$K$1049*($F1079-$C$1049)))</f>
        <v/>
      </c>
      <c r="P1079" s="208">
        <f>MIN(1,MAX(0,(nr_MEndPm1-$G1079+0.5)/$C$1048))-MIN(1,MAX(0,(nr_MStartPm1-1-$G1079+0.5)/$C$1048))</f>
        <v/>
      </c>
      <c r="Q1079" s="208">
        <f>MIN(1,MAX(0,(nr_MEndP-$G1079+0.5)/$C$1048))-MIN(1,MAX(0,(nr_MStartP-1-$G1079+0.5)/$C$1048))</f>
        <v/>
      </c>
      <c r="R1079" s="208">
        <f>MIN(1,MAX(0,(nr_MEndP1-$G1079+0.5)/$C$1048))-MIN(1,MAX(0,(nr_MStartP1-1-$G1079+0.5)/$C$1048))</f>
        <v/>
      </c>
      <c r="S1079" s="208">
        <f>IF($L$1048,$N1079*IF($O$1048=1,$O1079/$F$1048,1),"")</f>
        <v/>
      </c>
      <c r="T1079" s="208">
        <f>IF(NOT($L$1048),"",IF($G1079&lt;nr_MStartP,$S1079,$T1067*(1+IF($G1079&lt;nr_MStartP1,$M$1048,$N$1048))))</f>
        <v/>
      </c>
      <c r="U1079" s="208">
        <f>IF($L$1048,$T1079,$N1079)</f>
        <v/>
      </c>
    </row>
    <row r="1080">
      <c r="A1080" s="145" t="n">
        <v>30</v>
      </c>
      <c r="B1080" s="204">
        <f>EDATE($B1079,1)</f>
        <v/>
      </c>
      <c r="C1080" s="205">
        <f>EOMONTH($B1080,0)</f>
        <v/>
      </c>
      <c r="D1080" s="201">
        <f>$C1080-$B1080+1</f>
        <v/>
      </c>
      <c r="E1080" s="201">
        <f>MONTH($B1080)</f>
        <v/>
      </c>
      <c r="F1080" s="235">
        <f>($B1080+$C1080+1)/2</f>
        <v/>
      </c>
      <c r="G1080" s="201">
        <f>YEAR($B1080)*12+MONTH($B1080)-1</f>
        <v/>
      </c>
      <c r="H1080" s="207">
        <f>IF(OR(nr_SeasonOn="OFF",$D$1048=0,$E$1048=0),1,12*INDEX(se_block,$D$1048,$E1080)/$E$1048)</f>
        <v/>
      </c>
      <c r="I1080" s="208">
        <f>EXP(SUMPRODUCT((rl_eff&lt;$B1080)*(rl_key=$A$1048)*rl_ln1p))</f>
        <v/>
      </c>
      <c r="J1080" s="208">
        <f>EXP(SUMPRODUCT((rl_eff&lt;=$C1080)*(rl_key=$A$1048)*rl_ln1p))</f>
        <v/>
      </c>
      <c r="K1080" s="201">
        <f>COUNTIFS(rl_key,$A$1048,rl_eff,"&gt;="&amp;$B1080,rl_eff,"&lt;="&amp;$C1080)</f>
        <v/>
      </c>
      <c r="L1080" s="201">
        <f>SUMIFS(rl_daysafter,rl_key,$A$1048,rl_effmonth,$B1080,rl_first,1)</f>
        <v/>
      </c>
      <c r="M1080" s="209">
        <f>IF($K1080=0,0,MIN(1,$L1080/$D1080))</f>
        <v/>
      </c>
      <c r="N1080" s="208">
        <f>IF($K1080=0,$J1080,(1-$M1080)*$I1080+$M1080*$J1080)</f>
        <v/>
      </c>
      <c r="O1080" s="209">
        <f>IF($F1080&lt;$B$1049,$E$1049+$I$1049*($F1080-$A$1049),IF($F1080&lt;$C$1049,$F$1049+$J$1049*($F1080-$B$1049),$G$1049+$K$1049*($F1080-$C$1049)))</f>
        <v/>
      </c>
      <c r="P1080" s="208">
        <f>MIN(1,MAX(0,(nr_MEndPm1-$G1080+0.5)/$C$1048))-MIN(1,MAX(0,(nr_MStartPm1-1-$G1080+0.5)/$C$1048))</f>
        <v/>
      </c>
      <c r="Q1080" s="208">
        <f>MIN(1,MAX(0,(nr_MEndP-$G1080+0.5)/$C$1048))-MIN(1,MAX(0,(nr_MStartP-1-$G1080+0.5)/$C$1048))</f>
        <v/>
      </c>
      <c r="R1080" s="208">
        <f>MIN(1,MAX(0,(nr_MEndP1-$G1080+0.5)/$C$1048))-MIN(1,MAX(0,(nr_MStartP1-1-$G1080+0.5)/$C$1048))</f>
        <v/>
      </c>
      <c r="S1080" s="208">
        <f>IF($L$1048,$N1080*IF($O$1048=1,$O1080/$F$1048,1),"")</f>
        <v/>
      </c>
      <c r="T1080" s="208">
        <f>IF(NOT($L$1048),"",IF($G1080&lt;nr_MStartP,$S1080,$T1068*(1+IF($G1080&lt;nr_MStartP1,$M$1048,$N$1048))))</f>
        <v/>
      </c>
      <c r="U1080" s="208">
        <f>IF($L$1048,$T1080,$N1080)</f>
        <v/>
      </c>
    </row>
    <row r="1081">
      <c r="A1081" s="145" t="n">
        <v>31</v>
      </c>
      <c r="B1081" s="204">
        <f>EDATE($B1080,1)</f>
        <v/>
      </c>
      <c r="C1081" s="205">
        <f>EOMONTH($B1081,0)</f>
        <v/>
      </c>
      <c r="D1081" s="201">
        <f>$C1081-$B1081+1</f>
        <v/>
      </c>
      <c r="E1081" s="201">
        <f>MONTH($B1081)</f>
        <v/>
      </c>
      <c r="F1081" s="235">
        <f>($B1081+$C1081+1)/2</f>
        <v/>
      </c>
      <c r="G1081" s="201">
        <f>YEAR($B1081)*12+MONTH($B1081)-1</f>
        <v/>
      </c>
      <c r="H1081" s="207">
        <f>IF(OR(nr_SeasonOn="OFF",$D$1048=0,$E$1048=0),1,12*INDEX(se_block,$D$1048,$E1081)/$E$1048)</f>
        <v/>
      </c>
      <c r="I1081" s="208">
        <f>EXP(SUMPRODUCT((rl_eff&lt;$B1081)*(rl_key=$A$1048)*rl_ln1p))</f>
        <v/>
      </c>
      <c r="J1081" s="208">
        <f>EXP(SUMPRODUCT((rl_eff&lt;=$C1081)*(rl_key=$A$1048)*rl_ln1p))</f>
        <v/>
      </c>
      <c r="K1081" s="201">
        <f>COUNTIFS(rl_key,$A$1048,rl_eff,"&gt;="&amp;$B1081,rl_eff,"&lt;="&amp;$C1081)</f>
        <v/>
      </c>
      <c r="L1081" s="201">
        <f>SUMIFS(rl_daysafter,rl_key,$A$1048,rl_effmonth,$B1081,rl_first,1)</f>
        <v/>
      </c>
      <c r="M1081" s="209">
        <f>IF($K1081=0,0,MIN(1,$L1081/$D1081))</f>
        <v/>
      </c>
      <c r="N1081" s="208">
        <f>IF($K1081=0,$J1081,(1-$M1081)*$I1081+$M1081*$J1081)</f>
        <v/>
      </c>
      <c r="O1081" s="209">
        <f>IF($F1081&lt;$B$1049,$E$1049+$I$1049*($F1081-$A$1049),IF($F1081&lt;$C$1049,$F$1049+$J$1049*($F1081-$B$1049),$G$1049+$K$1049*($F1081-$C$1049)))</f>
        <v/>
      </c>
      <c r="P1081" s="208">
        <f>MIN(1,MAX(0,(nr_MEndPm1-$G1081+0.5)/$C$1048))-MIN(1,MAX(0,(nr_MStartPm1-1-$G1081+0.5)/$C$1048))</f>
        <v/>
      </c>
      <c r="Q1081" s="208">
        <f>MIN(1,MAX(0,(nr_MEndP-$G1081+0.5)/$C$1048))-MIN(1,MAX(0,(nr_MStartP-1-$G1081+0.5)/$C$1048))</f>
        <v/>
      </c>
      <c r="R1081" s="208">
        <f>MIN(1,MAX(0,(nr_MEndP1-$G1081+0.5)/$C$1048))-MIN(1,MAX(0,(nr_MStartP1-1-$G1081+0.5)/$C$1048))</f>
        <v/>
      </c>
      <c r="S1081" s="208">
        <f>IF($L$1048,$N1081*IF($O$1048=1,$O1081/$F$1048,1),"")</f>
        <v/>
      </c>
      <c r="T1081" s="208">
        <f>IF(NOT($L$1048),"",IF($G1081&lt;nr_MStartP,$S1081,$T1069*(1+IF($G1081&lt;nr_MStartP1,$M$1048,$N$1048))))</f>
        <v/>
      </c>
      <c r="U1081" s="208">
        <f>IF($L$1048,$T1081,$N1081)</f>
        <v/>
      </c>
    </row>
    <row r="1082">
      <c r="A1082" s="145" t="n">
        <v>32</v>
      </c>
      <c r="B1082" s="204">
        <f>EDATE($B1081,1)</f>
        <v/>
      </c>
      <c r="C1082" s="205">
        <f>EOMONTH($B1082,0)</f>
        <v/>
      </c>
      <c r="D1082" s="201">
        <f>$C1082-$B1082+1</f>
        <v/>
      </c>
      <c r="E1082" s="201">
        <f>MONTH($B1082)</f>
        <v/>
      </c>
      <c r="F1082" s="235">
        <f>($B1082+$C1082+1)/2</f>
        <v/>
      </c>
      <c r="G1082" s="201">
        <f>YEAR($B1082)*12+MONTH($B1082)-1</f>
        <v/>
      </c>
      <c r="H1082" s="207">
        <f>IF(OR(nr_SeasonOn="OFF",$D$1048=0,$E$1048=0),1,12*INDEX(se_block,$D$1048,$E1082)/$E$1048)</f>
        <v/>
      </c>
      <c r="I1082" s="208">
        <f>EXP(SUMPRODUCT((rl_eff&lt;$B1082)*(rl_key=$A$1048)*rl_ln1p))</f>
        <v/>
      </c>
      <c r="J1082" s="208">
        <f>EXP(SUMPRODUCT((rl_eff&lt;=$C1082)*(rl_key=$A$1048)*rl_ln1p))</f>
        <v/>
      </c>
      <c r="K1082" s="201">
        <f>COUNTIFS(rl_key,$A$1048,rl_eff,"&gt;="&amp;$B1082,rl_eff,"&lt;="&amp;$C1082)</f>
        <v/>
      </c>
      <c r="L1082" s="201">
        <f>SUMIFS(rl_daysafter,rl_key,$A$1048,rl_effmonth,$B1082,rl_first,1)</f>
        <v/>
      </c>
      <c r="M1082" s="209">
        <f>IF($K1082=0,0,MIN(1,$L1082/$D1082))</f>
        <v/>
      </c>
      <c r="N1082" s="208">
        <f>IF($K1082=0,$J1082,(1-$M1082)*$I1082+$M1082*$J1082)</f>
        <v/>
      </c>
      <c r="O1082" s="209">
        <f>IF($F1082&lt;$B$1049,$E$1049+$I$1049*($F1082-$A$1049),IF($F1082&lt;$C$1049,$F$1049+$J$1049*($F1082-$B$1049),$G$1049+$K$1049*($F1082-$C$1049)))</f>
        <v/>
      </c>
      <c r="P1082" s="208">
        <f>MIN(1,MAX(0,(nr_MEndPm1-$G1082+0.5)/$C$1048))-MIN(1,MAX(0,(nr_MStartPm1-1-$G1082+0.5)/$C$1048))</f>
        <v/>
      </c>
      <c r="Q1082" s="208">
        <f>MIN(1,MAX(0,(nr_MEndP-$G1082+0.5)/$C$1048))-MIN(1,MAX(0,(nr_MStartP-1-$G1082+0.5)/$C$1048))</f>
        <v/>
      </c>
      <c r="R1082" s="208">
        <f>MIN(1,MAX(0,(nr_MEndP1-$G1082+0.5)/$C$1048))-MIN(1,MAX(0,(nr_MStartP1-1-$G1082+0.5)/$C$1048))</f>
        <v/>
      </c>
      <c r="S1082" s="208">
        <f>IF($L$1048,$N1082*IF($O$1048=1,$O1082/$F$1048,1),"")</f>
        <v/>
      </c>
      <c r="T1082" s="208">
        <f>IF(NOT($L$1048),"",IF($G1082&lt;nr_MStartP,$S1082,$T1070*(1+IF($G1082&lt;nr_MStartP1,$M$1048,$N$1048))))</f>
        <v/>
      </c>
      <c r="U1082" s="208">
        <f>IF($L$1048,$T1082,$N1082)</f>
        <v/>
      </c>
    </row>
    <row r="1083">
      <c r="A1083" s="145" t="n">
        <v>33</v>
      </c>
      <c r="B1083" s="204">
        <f>EDATE($B1082,1)</f>
        <v/>
      </c>
      <c r="C1083" s="205">
        <f>EOMONTH($B1083,0)</f>
        <v/>
      </c>
      <c r="D1083" s="201">
        <f>$C1083-$B1083+1</f>
        <v/>
      </c>
      <c r="E1083" s="201">
        <f>MONTH($B1083)</f>
        <v/>
      </c>
      <c r="F1083" s="235">
        <f>($B1083+$C1083+1)/2</f>
        <v/>
      </c>
      <c r="G1083" s="201">
        <f>YEAR($B1083)*12+MONTH($B1083)-1</f>
        <v/>
      </c>
      <c r="H1083" s="207">
        <f>IF(OR(nr_SeasonOn="OFF",$D$1048=0,$E$1048=0),1,12*INDEX(se_block,$D$1048,$E1083)/$E$1048)</f>
        <v/>
      </c>
      <c r="I1083" s="208">
        <f>EXP(SUMPRODUCT((rl_eff&lt;$B1083)*(rl_key=$A$1048)*rl_ln1p))</f>
        <v/>
      </c>
      <c r="J1083" s="208">
        <f>EXP(SUMPRODUCT((rl_eff&lt;=$C1083)*(rl_key=$A$1048)*rl_ln1p))</f>
        <v/>
      </c>
      <c r="K1083" s="201">
        <f>COUNTIFS(rl_key,$A$1048,rl_eff,"&gt;="&amp;$B1083,rl_eff,"&lt;="&amp;$C1083)</f>
        <v/>
      </c>
      <c r="L1083" s="201">
        <f>SUMIFS(rl_daysafter,rl_key,$A$1048,rl_effmonth,$B1083,rl_first,1)</f>
        <v/>
      </c>
      <c r="M1083" s="209">
        <f>IF($K1083=0,0,MIN(1,$L1083/$D1083))</f>
        <v/>
      </c>
      <c r="N1083" s="208">
        <f>IF($K1083=0,$J1083,(1-$M1083)*$I1083+$M1083*$J1083)</f>
        <v/>
      </c>
      <c r="O1083" s="209">
        <f>IF($F1083&lt;$B$1049,$E$1049+$I$1049*($F1083-$A$1049),IF($F1083&lt;$C$1049,$F$1049+$J$1049*($F1083-$B$1049),$G$1049+$K$1049*($F1083-$C$1049)))</f>
        <v/>
      </c>
      <c r="P1083" s="208">
        <f>MIN(1,MAX(0,(nr_MEndPm1-$G1083+0.5)/$C$1048))-MIN(1,MAX(0,(nr_MStartPm1-1-$G1083+0.5)/$C$1048))</f>
        <v/>
      </c>
      <c r="Q1083" s="208">
        <f>MIN(1,MAX(0,(nr_MEndP-$G1083+0.5)/$C$1048))-MIN(1,MAX(0,(nr_MStartP-1-$G1083+0.5)/$C$1048))</f>
        <v/>
      </c>
      <c r="R1083" s="208">
        <f>MIN(1,MAX(0,(nr_MEndP1-$G1083+0.5)/$C$1048))-MIN(1,MAX(0,(nr_MStartP1-1-$G1083+0.5)/$C$1048))</f>
        <v/>
      </c>
      <c r="S1083" s="208">
        <f>IF($L$1048,$N1083*IF($O$1048=1,$O1083/$F$1048,1),"")</f>
        <v/>
      </c>
      <c r="T1083" s="208">
        <f>IF(NOT($L$1048),"",IF($G1083&lt;nr_MStartP,$S1083,$T1071*(1+IF($G1083&lt;nr_MStartP1,$M$1048,$N$1048))))</f>
        <v/>
      </c>
      <c r="U1083" s="208">
        <f>IF($L$1048,$T1083,$N1083)</f>
        <v/>
      </c>
    </row>
    <row r="1084">
      <c r="A1084" s="145" t="n">
        <v>34</v>
      </c>
      <c r="B1084" s="204">
        <f>EDATE($B1083,1)</f>
        <v/>
      </c>
      <c r="C1084" s="205">
        <f>EOMONTH($B1084,0)</f>
        <v/>
      </c>
      <c r="D1084" s="201">
        <f>$C1084-$B1084+1</f>
        <v/>
      </c>
      <c r="E1084" s="201">
        <f>MONTH($B1084)</f>
        <v/>
      </c>
      <c r="F1084" s="235">
        <f>($B1084+$C1084+1)/2</f>
        <v/>
      </c>
      <c r="G1084" s="201">
        <f>YEAR($B1084)*12+MONTH($B1084)-1</f>
        <v/>
      </c>
      <c r="H1084" s="207">
        <f>IF(OR(nr_SeasonOn="OFF",$D$1048=0,$E$1048=0),1,12*INDEX(se_block,$D$1048,$E1084)/$E$1048)</f>
        <v/>
      </c>
      <c r="I1084" s="208">
        <f>EXP(SUMPRODUCT((rl_eff&lt;$B1084)*(rl_key=$A$1048)*rl_ln1p))</f>
        <v/>
      </c>
      <c r="J1084" s="208">
        <f>EXP(SUMPRODUCT((rl_eff&lt;=$C1084)*(rl_key=$A$1048)*rl_ln1p))</f>
        <v/>
      </c>
      <c r="K1084" s="201">
        <f>COUNTIFS(rl_key,$A$1048,rl_eff,"&gt;="&amp;$B1084,rl_eff,"&lt;="&amp;$C1084)</f>
        <v/>
      </c>
      <c r="L1084" s="201">
        <f>SUMIFS(rl_daysafter,rl_key,$A$1048,rl_effmonth,$B1084,rl_first,1)</f>
        <v/>
      </c>
      <c r="M1084" s="209">
        <f>IF($K1084=0,0,MIN(1,$L1084/$D1084))</f>
        <v/>
      </c>
      <c r="N1084" s="208">
        <f>IF($K1084=0,$J1084,(1-$M1084)*$I1084+$M1084*$J1084)</f>
        <v/>
      </c>
      <c r="O1084" s="209">
        <f>IF($F1084&lt;$B$1049,$E$1049+$I$1049*($F1084-$A$1049),IF($F1084&lt;$C$1049,$F$1049+$J$1049*($F1084-$B$1049),$G$1049+$K$1049*($F1084-$C$1049)))</f>
        <v/>
      </c>
      <c r="P1084" s="208">
        <f>MIN(1,MAX(0,(nr_MEndPm1-$G1084+0.5)/$C$1048))-MIN(1,MAX(0,(nr_MStartPm1-1-$G1084+0.5)/$C$1048))</f>
        <v/>
      </c>
      <c r="Q1084" s="208">
        <f>MIN(1,MAX(0,(nr_MEndP-$G1084+0.5)/$C$1048))-MIN(1,MAX(0,(nr_MStartP-1-$G1084+0.5)/$C$1048))</f>
        <v/>
      </c>
      <c r="R1084" s="208">
        <f>MIN(1,MAX(0,(nr_MEndP1-$G1084+0.5)/$C$1048))-MIN(1,MAX(0,(nr_MStartP1-1-$G1084+0.5)/$C$1048))</f>
        <v/>
      </c>
      <c r="S1084" s="208">
        <f>IF($L$1048,$N1084*IF($O$1048=1,$O1084/$F$1048,1),"")</f>
        <v/>
      </c>
      <c r="T1084" s="208">
        <f>IF(NOT($L$1048),"",IF($G1084&lt;nr_MStartP,$S1084,$T1072*(1+IF($G1084&lt;nr_MStartP1,$M$1048,$N$1048))))</f>
        <v/>
      </c>
      <c r="U1084" s="208">
        <f>IF($L$1048,$T1084,$N1084)</f>
        <v/>
      </c>
    </row>
    <row r="1085">
      <c r="A1085" s="145" t="n">
        <v>35</v>
      </c>
      <c r="B1085" s="204">
        <f>EDATE($B1084,1)</f>
        <v/>
      </c>
      <c r="C1085" s="205">
        <f>EOMONTH($B1085,0)</f>
        <v/>
      </c>
      <c r="D1085" s="201">
        <f>$C1085-$B1085+1</f>
        <v/>
      </c>
      <c r="E1085" s="201">
        <f>MONTH($B1085)</f>
        <v/>
      </c>
      <c r="F1085" s="235">
        <f>($B1085+$C1085+1)/2</f>
        <v/>
      </c>
      <c r="G1085" s="201">
        <f>YEAR($B1085)*12+MONTH($B1085)-1</f>
        <v/>
      </c>
      <c r="H1085" s="207">
        <f>IF(OR(nr_SeasonOn="OFF",$D$1048=0,$E$1048=0),1,12*INDEX(se_block,$D$1048,$E1085)/$E$1048)</f>
        <v/>
      </c>
      <c r="I1085" s="208">
        <f>EXP(SUMPRODUCT((rl_eff&lt;$B1085)*(rl_key=$A$1048)*rl_ln1p))</f>
        <v/>
      </c>
      <c r="J1085" s="208">
        <f>EXP(SUMPRODUCT((rl_eff&lt;=$C1085)*(rl_key=$A$1048)*rl_ln1p))</f>
        <v/>
      </c>
      <c r="K1085" s="201">
        <f>COUNTIFS(rl_key,$A$1048,rl_eff,"&gt;="&amp;$B1085,rl_eff,"&lt;="&amp;$C1085)</f>
        <v/>
      </c>
      <c r="L1085" s="201">
        <f>SUMIFS(rl_daysafter,rl_key,$A$1048,rl_effmonth,$B1085,rl_first,1)</f>
        <v/>
      </c>
      <c r="M1085" s="209">
        <f>IF($K1085=0,0,MIN(1,$L1085/$D1085))</f>
        <v/>
      </c>
      <c r="N1085" s="208">
        <f>IF($K1085=0,$J1085,(1-$M1085)*$I1085+$M1085*$J1085)</f>
        <v/>
      </c>
      <c r="O1085" s="209">
        <f>IF($F1085&lt;$B$1049,$E$1049+$I$1049*($F1085-$A$1049),IF($F1085&lt;$C$1049,$F$1049+$J$1049*($F1085-$B$1049),$G$1049+$K$1049*($F1085-$C$1049)))</f>
        <v/>
      </c>
      <c r="P1085" s="208">
        <f>MIN(1,MAX(0,(nr_MEndPm1-$G1085+0.5)/$C$1048))-MIN(1,MAX(0,(nr_MStartPm1-1-$G1085+0.5)/$C$1048))</f>
        <v/>
      </c>
      <c r="Q1085" s="208">
        <f>MIN(1,MAX(0,(nr_MEndP-$G1085+0.5)/$C$1048))-MIN(1,MAX(0,(nr_MStartP-1-$G1085+0.5)/$C$1048))</f>
        <v/>
      </c>
      <c r="R1085" s="208">
        <f>MIN(1,MAX(0,(nr_MEndP1-$G1085+0.5)/$C$1048))-MIN(1,MAX(0,(nr_MStartP1-1-$G1085+0.5)/$C$1048))</f>
        <v/>
      </c>
      <c r="S1085" s="208">
        <f>IF($L$1048,$N1085*IF($O$1048=1,$O1085/$F$1048,1),"")</f>
        <v/>
      </c>
      <c r="T1085" s="208">
        <f>IF(NOT($L$1048),"",IF($G1085&lt;nr_MStartP,$S1085,$T1073*(1+IF($G1085&lt;nr_MStartP1,$M$1048,$N$1048))))</f>
        <v/>
      </c>
      <c r="U1085" s="208">
        <f>IF($L$1048,$T1085,$N1085)</f>
        <v/>
      </c>
    </row>
    <row r="1086">
      <c r="A1086" s="145" t="n">
        <v>36</v>
      </c>
      <c r="B1086" s="204">
        <f>EDATE($B1085,1)</f>
        <v/>
      </c>
      <c r="C1086" s="205">
        <f>EOMONTH($B1086,0)</f>
        <v/>
      </c>
      <c r="D1086" s="201">
        <f>$C1086-$B1086+1</f>
        <v/>
      </c>
      <c r="E1086" s="201">
        <f>MONTH($B1086)</f>
        <v/>
      </c>
      <c r="F1086" s="235">
        <f>($B1086+$C1086+1)/2</f>
        <v/>
      </c>
      <c r="G1086" s="201">
        <f>YEAR($B1086)*12+MONTH($B1086)-1</f>
        <v/>
      </c>
      <c r="H1086" s="207">
        <f>IF(OR(nr_SeasonOn="OFF",$D$1048=0,$E$1048=0),1,12*INDEX(se_block,$D$1048,$E1086)/$E$1048)</f>
        <v/>
      </c>
      <c r="I1086" s="208">
        <f>EXP(SUMPRODUCT((rl_eff&lt;$B1086)*(rl_key=$A$1048)*rl_ln1p))</f>
        <v/>
      </c>
      <c r="J1086" s="208">
        <f>EXP(SUMPRODUCT((rl_eff&lt;=$C1086)*(rl_key=$A$1048)*rl_ln1p))</f>
        <v/>
      </c>
      <c r="K1086" s="201">
        <f>COUNTIFS(rl_key,$A$1048,rl_eff,"&gt;="&amp;$B1086,rl_eff,"&lt;="&amp;$C1086)</f>
        <v/>
      </c>
      <c r="L1086" s="201">
        <f>SUMIFS(rl_daysafter,rl_key,$A$1048,rl_effmonth,$B1086,rl_first,1)</f>
        <v/>
      </c>
      <c r="M1086" s="209">
        <f>IF($K1086=0,0,MIN(1,$L1086/$D1086))</f>
        <v/>
      </c>
      <c r="N1086" s="208">
        <f>IF($K1086=0,$J1086,(1-$M1086)*$I1086+$M1086*$J1086)</f>
        <v/>
      </c>
      <c r="O1086" s="209">
        <f>IF($F1086&lt;$B$1049,$E$1049+$I$1049*($F1086-$A$1049),IF($F1086&lt;$C$1049,$F$1049+$J$1049*($F1086-$B$1049),$G$1049+$K$1049*($F1086-$C$1049)))</f>
        <v/>
      </c>
      <c r="P1086" s="208">
        <f>MIN(1,MAX(0,(nr_MEndPm1-$G1086+0.5)/$C$1048))-MIN(1,MAX(0,(nr_MStartPm1-1-$G1086+0.5)/$C$1048))</f>
        <v/>
      </c>
      <c r="Q1086" s="208">
        <f>MIN(1,MAX(0,(nr_MEndP-$G1086+0.5)/$C$1048))-MIN(1,MAX(0,(nr_MStartP-1-$G1086+0.5)/$C$1048))</f>
        <v/>
      </c>
      <c r="R1086" s="208">
        <f>MIN(1,MAX(0,(nr_MEndP1-$G1086+0.5)/$C$1048))-MIN(1,MAX(0,(nr_MStartP1-1-$G1086+0.5)/$C$1048))</f>
        <v/>
      </c>
      <c r="S1086" s="208">
        <f>IF($L$1048,$N1086*IF($O$1048=1,$O1086/$F$1048,1),"")</f>
        <v/>
      </c>
      <c r="T1086" s="208">
        <f>IF(NOT($L$1048),"",IF($G1086&lt;nr_MStartP,$S1086,$T1074*(1+IF($G1086&lt;nr_MStartP1,$M$1048,$N$1048))))</f>
        <v/>
      </c>
      <c r="U1086" s="208">
        <f>IF($L$1048,$T1086,$N1086)</f>
        <v/>
      </c>
    </row>
    <row r="1087">
      <c r="A1087" s="145" t="n">
        <v>37</v>
      </c>
      <c r="B1087" s="204">
        <f>EDATE($B1086,1)</f>
        <v/>
      </c>
      <c r="C1087" s="205">
        <f>EOMONTH($B1087,0)</f>
        <v/>
      </c>
      <c r="D1087" s="201">
        <f>$C1087-$B1087+1</f>
        <v/>
      </c>
      <c r="E1087" s="201">
        <f>MONTH($B1087)</f>
        <v/>
      </c>
      <c r="F1087" s="235">
        <f>($B1087+$C1087+1)/2</f>
        <v/>
      </c>
      <c r="G1087" s="201">
        <f>YEAR($B1087)*12+MONTH($B1087)-1</f>
        <v/>
      </c>
      <c r="H1087" s="207">
        <f>IF(OR(nr_SeasonOn="OFF",$D$1048=0,$E$1048=0),1,12*INDEX(se_block,$D$1048,$E1087)/$E$1048)</f>
        <v/>
      </c>
      <c r="I1087" s="208">
        <f>EXP(SUMPRODUCT((rl_eff&lt;$B1087)*(rl_key=$A$1048)*rl_ln1p))</f>
        <v/>
      </c>
      <c r="J1087" s="208">
        <f>EXP(SUMPRODUCT((rl_eff&lt;=$C1087)*(rl_key=$A$1048)*rl_ln1p))</f>
        <v/>
      </c>
      <c r="K1087" s="201">
        <f>COUNTIFS(rl_key,$A$1048,rl_eff,"&gt;="&amp;$B1087,rl_eff,"&lt;="&amp;$C1087)</f>
        <v/>
      </c>
      <c r="L1087" s="201">
        <f>SUMIFS(rl_daysafter,rl_key,$A$1048,rl_effmonth,$B1087,rl_first,1)</f>
        <v/>
      </c>
      <c r="M1087" s="209">
        <f>IF($K1087=0,0,MIN(1,$L1087/$D1087))</f>
        <v/>
      </c>
      <c r="N1087" s="208">
        <f>IF($K1087=0,$J1087,(1-$M1087)*$I1087+$M1087*$J1087)</f>
        <v/>
      </c>
      <c r="O1087" s="209">
        <f>IF($F1087&lt;$B$1049,$E$1049+$I$1049*($F1087-$A$1049),IF($F1087&lt;$C$1049,$F$1049+$J$1049*($F1087-$B$1049),$G$1049+$K$1049*($F1087-$C$1049)))</f>
        <v/>
      </c>
      <c r="P1087" s="208">
        <f>MIN(1,MAX(0,(nr_MEndPm1-$G1087+0.5)/$C$1048))-MIN(1,MAX(0,(nr_MStartPm1-1-$G1087+0.5)/$C$1048))</f>
        <v/>
      </c>
      <c r="Q1087" s="208">
        <f>MIN(1,MAX(0,(nr_MEndP-$G1087+0.5)/$C$1048))-MIN(1,MAX(0,(nr_MStartP-1-$G1087+0.5)/$C$1048))</f>
        <v/>
      </c>
      <c r="R1087" s="208">
        <f>MIN(1,MAX(0,(nr_MEndP1-$G1087+0.5)/$C$1048))-MIN(1,MAX(0,(nr_MStartP1-1-$G1087+0.5)/$C$1048))</f>
        <v/>
      </c>
      <c r="S1087" s="208">
        <f>IF($L$1048,$N1087*IF($O$1048=1,$O1087/$F$1048,1),"")</f>
        <v/>
      </c>
      <c r="T1087" s="208">
        <f>IF(NOT($L$1048),"",IF($G1087&lt;nr_MStartP,$S1087,$T1075*(1+IF($G1087&lt;nr_MStartP1,$M$1048,$N$1048))))</f>
        <v/>
      </c>
      <c r="U1087" s="208">
        <f>IF($L$1048,$T1087,$N1087)</f>
        <v/>
      </c>
    </row>
    <row r="1088">
      <c r="A1088" s="145" t="n">
        <v>38</v>
      </c>
      <c r="B1088" s="204">
        <f>EDATE($B1087,1)</f>
        <v/>
      </c>
      <c r="C1088" s="205">
        <f>EOMONTH($B1088,0)</f>
        <v/>
      </c>
      <c r="D1088" s="201">
        <f>$C1088-$B1088+1</f>
        <v/>
      </c>
      <c r="E1088" s="201">
        <f>MONTH($B1088)</f>
        <v/>
      </c>
      <c r="F1088" s="235">
        <f>($B1088+$C1088+1)/2</f>
        <v/>
      </c>
      <c r="G1088" s="201">
        <f>YEAR($B1088)*12+MONTH($B1088)-1</f>
        <v/>
      </c>
      <c r="H1088" s="207">
        <f>IF(OR(nr_SeasonOn="OFF",$D$1048=0,$E$1048=0),1,12*INDEX(se_block,$D$1048,$E1088)/$E$1048)</f>
        <v/>
      </c>
      <c r="I1088" s="208">
        <f>EXP(SUMPRODUCT((rl_eff&lt;$B1088)*(rl_key=$A$1048)*rl_ln1p))</f>
        <v/>
      </c>
      <c r="J1088" s="208">
        <f>EXP(SUMPRODUCT((rl_eff&lt;=$C1088)*(rl_key=$A$1048)*rl_ln1p))</f>
        <v/>
      </c>
      <c r="K1088" s="201">
        <f>COUNTIFS(rl_key,$A$1048,rl_eff,"&gt;="&amp;$B1088,rl_eff,"&lt;="&amp;$C1088)</f>
        <v/>
      </c>
      <c r="L1088" s="201">
        <f>SUMIFS(rl_daysafter,rl_key,$A$1048,rl_effmonth,$B1088,rl_first,1)</f>
        <v/>
      </c>
      <c r="M1088" s="209">
        <f>IF($K1088=0,0,MIN(1,$L1088/$D1088))</f>
        <v/>
      </c>
      <c r="N1088" s="208">
        <f>IF($K1088=0,$J1088,(1-$M1088)*$I1088+$M1088*$J1088)</f>
        <v/>
      </c>
      <c r="O1088" s="209">
        <f>IF($F1088&lt;$B$1049,$E$1049+$I$1049*($F1088-$A$1049),IF($F1088&lt;$C$1049,$F$1049+$J$1049*($F1088-$B$1049),$G$1049+$K$1049*($F1088-$C$1049)))</f>
        <v/>
      </c>
      <c r="P1088" s="208">
        <f>MIN(1,MAX(0,(nr_MEndPm1-$G1088+0.5)/$C$1048))-MIN(1,MAX(0,(nr_MStartPm1-1-$G1088+0.5)/$C$1048))</f>
        <v/>
      </c>
      <c r="Q1088" s="208">
        <f>MIN(1,MAX(0,(nr_MEndP-$G1088+0.5)/$C$1048))-MIN(1,MAX(0,(nr_MStartP-1-$G1088+0.5)/$C$1048))</f>
        <v/>
      </c>
      <c r="R1088" s="208">
        <f>MIN(1,MAX(0,(nr_MEndP1-$G1088+0.5)/$C$1048))-MIN(1,MAX(0,(nr_MStartP1-1-$G1088+0.5)/$C$1048))</f>
        <v/>
      </c>
      <c r="S1088" s="208">
        <f>IF($L$1048,$N1088*IF($O$1048=1,$O1088/$F$1048,1),"")</f>
        <v/>
      </c>
      <c r="T1088" s="208">
        <f>IF(NOT($L$1048),"",IF($G1088&lt;nr_MStartP,$S1088,$T1076*(1+IF($G1088&lt;nr_MStartP1,$M$1048,$N$1048))))</f>
        <v/>
      </c>
      <c r="U1088" s="208">
        <f>IF($L$1048,$T1088,$N1088)</f>
        <v/>
      </c>
    </row>
    <row r="1089">
      <c r="A1089" s="145" t="n">
        <v>39</v>
      </c>
      <c r="B1089" s="204">
        <f>EDATE($B1088,1)</f>
        <v/>
      </c>
      <c r="C1089" s="205">
        <f>EOMONTH($B1089,0)</f>
        <v/>
      </c>
      <c r="D1089" s="201">
        <f>$C1089-$B1089+1</f>
        <v/>
      </c>
      <c r="E1089" s="201">
        <f>MONTH($B1089)</f>
        <v/>
      </c>
      <c r="F1089" s="235">
        <f>($B1089+$C1089+1)/2</f>
        <v/>
      </c>
      <c r="G1089" s="201">
        <f>YEAR($B1089)*12+MONTH($B1089)-1</f>
        <v/>
      </c>
      <c r="H1089" s="207">
        <f>IF(OR(nr_SeasonOn="OFF",$D$1048=0,$E$1048=0),1,12*INDEX(se_block,$D$1048,$E1089)/$E$1048)</f>
        <v/>
      </c>
      <c r="I1089" s="208">
        <f>EXP(SUMPRODUCT((rl_eff&lt;$B1089)*(rl_key=$A$1048)*rl_ln1p))</f>
        <v/>
      </c>
      <c r="J1089" s="208">
        <f>EXP(SUMPRODUCT((rl_eff&lt;=$C1089)*(rl_key=$A$1048)*rl_ln1p))</f>
        <v/>
      </c>
      <c r="K1089" s="201">
        <f>COUNTIFS(rl_key,$A$1048,rl_eff,"&gt;="&amp;$B1089,rl_eff,"&lt;="&amp;$C1089)</f>
        <v/>
      </c>
      <c r="L1089" s="201">
        <f>SUMIFS(rl_daysafter,rl_key,$A$1048,rl_effmonth,$B1089,rl_first,1)</f>
        <v/>
      </c>
      <c r="M1089" s="209">
        <f>IF($K1089=0,0,MIN(1,$L1089/$D1089))</f>
        <v/>
      </c>
      <c r="N1089" s="208">
        <f>IF($K1089=0,$J1089,(1-$M1089)*$I1089+$M1089*$J1089)</f>
        <v/>
      </c>
      <c r="O1089" s="209">
        <f>IF($F1089&lt;$B$1049,$E$1049+$I$1049*($F1089-$A$1049),IF($F1089&lt;$C$1049,$F$1049+$J$1049*($F1089-$B$1049),$G$1049+$K$1049*($F1089-$C$1049)))</f>
        <v/>
      </c>
      <c r="P1089" s="208">
        <f>MIN(1,MAX(0,(nr_MEndPm1-$G1089+0.5)/$C$1048))-MIN(1,MAX(0,(nr_MStartPm1-1-$G1089+0.5)/$C$1048))</f>
        <v/>
      </c>
      <c r="Q1089" s="208">
        <f>MIN(1,MAX(0,(nr_MEndP-$G1089+0.5)/$C$1048))-MIN(1,MAX(0,(nr_MStartP-1-$G1089+0.5)/$C$1048))</f>
        <v/>
      </c>
      <c r="R1089" s="208">
        <f>MIN(1,MAX(0,(nr_MEndP1-$G1089+0.5)/$C$1048))-MIN(1,MAX(0,(nr_MStartP1-1-$G1089+0.5)/$C$1048))</f>
        <v/>
      </c>
      <c r="S1089" s="208">
        <f>IF($L$1048,$N1089*IF($O$1048=1,$O1089/$F$1048,1),"")</f>
        <v/>
      </c>
      <c r="T1089" s="208">
        <f>IF(NOT($L$1048),"",IF($G1089&lt;nr_MStartP,$S1089,$T1077*(1+IF($G1089&lt;nr_MStartP1,$M$1048,$N$1048))))</f>
        <v/>
      </c>
      <c r="U1089" s="208">
        <f>IF($L$1048,$T1089,$N1089)</f>
        <v/>
      </c>
    </row>
    <row r="1090">
      <c r="A1090" s="145" t="n">
        <v>40</v>
      </c>
      <c r="B1090" s="204">
        <f>EDATE($B1089,1)</f>
        <v/>
      </c>
      <c r="C1090" s="205">
        <f>EOMONTH($B1090,0)</f>
        <v/>
      </c>
      <c r="D1090" s="201">
        <f>$C1090-$B1090+1</f>
        <v/>
      </c>
      <c r="E1090" s="201">
        <f>MONTH($B1090)</f>
        <v/>
      </c>
      <c r="F1090" s="235">
        <f>($B1090+$C1090+1)/2</f>
        <v/>
      </c>
      <c r="G1090" s="201">
        <f>YEAR($B1090)*12+MONTH($B1090)-1</f>
        <v/>
      </c>
      <c r="H1090" s="207">
        <f>IF(OR(nr_SeasonOn="OFF",$D$1048=0,$E$1048=0),1,12*INDEX(se_block,$D$1048,$E1090)/$E$1048)</f>
        <v/>
      </c>
      <c r="I1090" s="208">
        <f>EXP(SUMPRODUCT((rl_eff&lt;$B1090)*(rl_key=$A$1048)*rl_ln1p))</f>
        <v/>
      </c>
      <c r="J1090" s="208">
        <f>EXP(SUMPRODUCT((rl_eff&lt;=$C1090)*(rl_key=$A$1048)*rl_ln1p))</f>
        <v/>
      </c>
      <c r="K1090" s="201">
        <f>COUNTIFS(rl_key,$A$1048,rl_eff,"&gt;="&amp;$B1090,rl_eff,"&lt;="&amp;$C1090)</f>
        <v/>
      </c>
      <c r="L1090" s="201">
        <f>SUMIFS(rl_daysafter,rl_key,$A$1048,rl_effmonth,$B1090,rl_first,1)</f>
        <v/>
      </c>
      <c r="M1090" s="209">
        <f>IF($K1090=0,0,MIN(1,$L1090/$D1090))</f>
        <v/>
      </c>
      <c r="N1090" s="208">
        <f>IF($K1090=0,$J1090,(1-$M1090)*$I1090+$M1090*$J1090)</f>
        <v/>
      </c>
      <c r="O1090" s="209">
        <f>IF($F1090&lt;$B$1049,$E$1049+$I$1049*($F1090-$A$1049),IF($F1090&lt;$C$1049,$F$1049+$J$1049*($F1090-$B$1049),$G$1049+$K$1049*($F1090-$C$1049)))</f>
        <v/>
      </c>
      <c r="P1090" s="208">
        <f>MIN(1,MAX(0,(nr_MEndPm1-$G1090+0.5)/$C$1048))-MIN(1,MAX(0,(nr_MStartPm1-1-$G1090+0.5)/$C$1048))</f>
        <v/>
      </c>
      <c r="Q1090" s="208">
        <f>MIN(1,MAX(0,(nr_MEndP-$G1090+0.5)/$C$1048))-MIN(1,MAX(0,(nr_MStartP-1-$G1090+0.5)/$C$1048))</f>
        <v/>
      </c>
      <c r="R1090" s="208">
        <f>MIN(1,MAX(0,(nr_MEndP1-$G1090+0.5)/$C$1048))-MIN(1,MAX(0,(nr_MStartP1-1-$G1090+0.5)/$C$1048))</f>
        <v/>
      </c>
      <c r="S1090" s="208">
        <f>IF($L$1048,$N1090*IF($O$1048=1,$O1090/$F$1048,1),"")</f>
        <v/>
      </c>
      <c r="T1090" s="208">
        <f>IF(NOT($L$1048),"",IF($G1090&lt;nr_MStartP,$S1090,$T1078*(1+IF($G1090&lt;nr_MStartP1,$M$1048,$N$1048))))</f>
        <v/>
      </c>
      <c r="U1090" s="208">
        <f>IF($L$1048,$T1090,$N1090)</f>
        <v/>
      </c>
    </row>
    <row r="1091">
      <c r="A1091" s="145" t="n">
        <v>41</v>
      </c>
      <c r="B1091" s="204">
        <f>EDATE($B1090,1)</f>
        <v/>
      </c>
      <c r="C1091" s="205">
        <f>EOMONTH($B1091,0)</f>
        <v/>
      </c>
      <c r="D1091" s="201">
        <f>$C1091-$B1091+1</f>
        <v/>
      </c>
      <c r="E1091" s="201">
        <f>MONTH($B1091)</f>
        <v/>
      </c>
      <c r="F1091" s="235">
        <f>($B1091+$C1091+1)/2</f>
        <v/>
      </c>
      <c r="G1091" s="201">
        <f>YEAR($B1091)*12+MONTH($B1091)-1</f>
        <v/>
      </c>
      <c r="H1091" s="207">
        <f>IF(OR(nr_SeasonOn="OFF",$D$1048=0,$E$1048=0),1,12*INDEX(se_block,$D$1048,$E1091)/$E$1048)</f>
        <v/>
      </c>
      <c r="I1091" s="208">
        <f>EXP(SUMPRODUCT((rl_eff&lt;$B1091)*(rl_key=$A$1048)*rl_ln1p))</f>
        <v/>
      </c>
      <c r="J1091" s="208">
        <f>EXP(SUMPRODUCT((rl_eff&lt;=$C1091)*(rl_key=$A$1048)*rl_ln1p))</f>
        <v/>
      </c>
      <c r="K1091" s="201">
        <f>COUNTIFS(rl_key,$A$1048,rl_eff,"&gt;="&amp;$B1091,rl_eff,"&lt;="&amp;$C1091)</f>
        <v/>
      </c>
      <c r="L1091" s="201">
        <f>SUMIFS(rl_daysafter,rl_key,$A$1048,rl_effmonth,$B1091,rl_first,1)</f>
        <v/>
      </c>
      <c r="M1091" s="209">
        <f>IF($K1091=0,0,MIN(1,$L1091/$D1091))</f>
        <v/>
      </c>
      <c r="N1091" s="208">
        <f>IF($K1091=0,$J1091,(1-$M1091)*$I1091+$M1091*$J1091)</f>
        <v/>
      </c>
      <c r="O1091" s="209">
        <f>IF($F1091&lt;$B$1049,$E$1049+$I$1049*($F1091-$A$1049),IF($F1091&lt;$C$1049,$F$1049+$J$1049*($F1091-$B$1049),$G$1049+$K$1049*($F1091-$C$1049)))</f>
        <v/>
      </c>
      <c r="P1091" s="208">
        <f>MIN(1,MAX(0,(nr_MEndPm1-$G1091+0.5)/$C$1048))-MIN(1,MAX(0,(nr_MStartPm1-1-$G1091+0.5)/$C$1048))</f>
        <v/>
      </c>
      <c r="Q1091" s="208">
        <f>MIN(1,MAX(0,(nr_MEndP-$G1091+0.5)/$C$1048))-MIN(1,MAX(0,(nr_MStartP-1-$G1091+0.5)/$C$1048))</f>
        <v/>
      </c>
      <c r="R1091" s="208">
        <f>MIN(1,MAX(0,(nr_MEndP1-$G1091+0.5)/$C$1048))-MIN(1,MAX(0,(nr_MStartP1-1-$G1091+0.5)/$C$1048))</f>
        <v/>
      </c>
      <c r="S1091" s="208">
        <f>IF($L$1048,$N1091*IF($O$1048=1,$O1091/$F$1048,1),"")</f>
        <v/>
      </c>
      <c r="T1091" s="208">
        <f>IF(NOT($L$1048),"",IF($G1091&lt;nr_MStartP,$S1091,$T1079*(1+IF($G1091&lt;nr_MStartP1,$M$1048,$N$1048))))</f>
        <v/>
      </c>
      <c r="U1091" s="208">
        <f>IF($L$1048,$T1091,$N1091)</f>
        <v/>
      </c>
    </row>
    <row r="1092">
      <c r="A1092" s="145" t="n">
        <v>42</v>
      </c>
      <c r="B1092" s="204">
        <f>EDATE($B1091,1)</f>
        <v/>
      </c>
      <c r="C1092" s="205">
        <f>EOMONTH($B1092,0)</f>
        <v/>
      </c>
      <c r="D1092" s="201">
        <f>$C1092-$B1092+1</f>
        <v/>
      </c>
      <c r="E1092" s="201">
        <f>MONTH($B1092)</f>
        <v/>
      </c>
      <c r="F1092" s="235">
        <f>($B1092+$C1092+1)/2</f>
        <v/>
      </c>
      <c r="G1092" s="201">
        <f>YEAR($B1092)*12+MONTH($B1092)-1</f>
        <v/>
      </c>
      <c r="H1092" s="207">
        <f>IF(OR(nr_SeasonOn="OFF",$D$1048=0,$E$1048=0),1,12*INDEX(se_block,$D$1048,$E1092)/$E$1048)</f>
        <v/>
      </c>
      <c r="I1092" s="208">
        <f>EXP(SUMPRODUCT((rl_eff&lt;$B1092)*(rl_key=$A$1048)*rl_ln1p))</f>
        <v/>
      </c>
      <c r="J1092" s="208">
        <f>EXP(SUMPRODUCT((rl_eff&lt;=$C1092)*(rl_key=$A$1048)*rl_ln1p))</f>
        <v/>
      </c>
      <c r="K1092" s="201">
        <f>COUNTIFS(rl_key,$A$1048,rl_eff,"&gt;="&amp;$B1092,rl_eff,"&lt;="&amp;$C1092)</f>
        <v/>
      </c>
      <c r="L1092" s="201">
        <f>SUMIFS(rl_daysafter,rl_key,$A$1048,rl_effmonth,$B1092,rl_first,1)</f>
        <v/>
      </c>
      <c r="M1092" s="209">
        <f>IF($K1092=0,0,MIN(1,$L1092/$D1092))</f>
        <v/>
      </c>
      <c r="N1092" s="208">
        <f>IF($K1092=0,$J1092,(1-$M1092)*$I1092+$M1092*$J1092)</f>
        <v/>
      </c>
      <c r="O1092" s="209">
        <f>IF($F1092&lt;$B$1049,$E$1049+$I$1049*($F1092-$A$1049),IF($F1092&lt;$C$1049,$F$1049+$J$1049*($F1092-$B$1049),$G$1049+$K$1049*($F1092-$C$1049)))</f>
        <v/>
      </c>
      <c r="P1092" s="208">
        <f>MIN(1,MAX(0,(nr_MEndPm1-$G1092+0.5)/$C$1048))-MIN(1,MAX(0,(nr_MStartPm1-1-$G1092+0.5)/$C$1048))</f>
        <v/>
      </c>
      <c r="Q1092" s="208">
        <f>MIN(1,MAX(0,(nr_MEndP-$G1092+0.5)/$C$1048))-MIN(1,MAX(0,(nr_MStartP-1-$G1092+0.5)/$C$1048))</f>
        <v/>
      </c>
      <c r="R1092" s="208">
        <f>MIN(1,MAX(0,(nr_MEndP1-$G1092+0.5)/$C$1048))-MIN(1,MAX(0,(nr_MStartP1-1-$G1092+0.5)/$C$1048))</f>
        <v/>
      </c>
      <c r="S1092" s="208">
        <f>IF($L$1048,$N1092*IF($O$1048=1,$O1092/$F$1048,1),"")</f>
        <v/>
      </c>
      <c r="T1092" s="208">
        <f>IF(NOT($L$1048),"",IF($G1092&lt;nr_MStartP,$S1092,$T1080*(1+IF($G1092&lt;nr_MStartP1,$M$1048,$N$1048))))</f>
        <v/>
      </c>
      <c r="U1092" s="208">
        <f>IF($L$1048,$T1092,$N1092)</f>
        <v/>
      </c>
    </row>
    <row r="1093">
      <c r="A1093" s="145" t="n">
        <v>43</v>
      </c>
      <c r="B1093" s="204">
        <f>EDATE($B1092,1)</f>
        <v/>
      </c>
      <c r="C1093" s="205">
        <f>EOMONTH($B1093,0)</f>
        <v/>
      </c>
      <c r="D1093" s="201">
        <f>$C1093-$B1093+1</f>
        <v/>
      </c>
      <c r="E1093" s="201">
        <f>MONTH($B1093)</f>
        <v/>
      </c>
      <c r="F1093" s="235">
        <f>($B1093+$C1093+1)/2</f>
        <v/>
      </c>
      <c r="G1093" s="201">
        <f>YEAR($B1093)*12+MONTH($B1093)-1</f>
        <v/>
      </c>
      <c r="H1093" s="207">
        <f>IF(OR(nr_SeasonOn="OFF",$D$1048=0,$E$1048=0),1,12*INDEX(se_block,$D$1048,$E1093)/$E$1048)</f>
        <v/>
      </c>
      <c r="I1093" s="208">
        <f>EXP(SUMPRODUCT((rl_eff&lt;$B1093)*(rl_key=$A$1048)*rl_ln1p))</f>
        <v/>
      </c>
      <c r="J1093" s="208">
        <f>EXP(SUMPRODUCT((rl_eff&lt;=$C1093)*(rl_key=$A$1048)*rl_ln1p))</f>
        <v/>
      </c>
      <c r="K1093" s="201">
        <f>COUNTIFS(rl_key,$A$1048,rl_eff,"&gt;="&amp;$B1093,rl_eff,"&lt;="&amp;$C1093)</f>
        <v/>
      </c>
      <c r="L1093" s="201">
        <f>SUMIFS(rl_daysafter,rl_key,$A$1048,rl_effmonth,$B1093,rl_first,1)</f>
        <v/>
      </c>
      <c r="M1093" s="209">
        <f>IF($K1093=0,0,MIN(1,$L1093/$D1093))</f>
        <v/>
      </c>
      <c r="N1093" s="208">
        <f>IF($K1093=0,$J1093,(1-$M1093)*$I1093+$M1093*$J1093)</f>
        <v/>
      </c>
      <c r="O1093" s="209">
        <f>IF($F1093&lt;$B$1049,$E$1049+$I$1049*($F1093-$A$1049),IF($F1093&lt;$C$1049,$F$1049+$J$1049*($F1093-$B$1049),$G$1049+$K$1049*($F1093-$C$1049)))</f>
        <v/>
      </c>
      <c r="P1093" s="208">
        <f>MIN(1,MAX(0,(nr_MEndPm1-$G1093+0.5)/$C$1048))-MIN(1,MAX(0,(nr_MStartPm1-1-$G1093+0.5)/$C$1048))</f>
        <v/>
      </c>
      <c r="Q1093" s="208">
        <f>MIN(1,MAX(0,(nr_MEndP-$G1093+0.5)/$C$1048))-MIN(1,MAX(0,(nr_MStartP-1-$G1093+0.5)/$C$1048))</f>
        <v/>
      </c>
      <c r="R1093" s="208">
        <f>MIN(1,MAX(0,(nr_MEndP1-$G1093+0.5)/$C$1048))-MIN(1,MAX(0,(nr_MStartP1-1-$G1093+0.5)/$C$1048))</f>
        <v/>
      </c>
      <c r="S1093" s="208">
        <f>IF($L$1048,$N1093*IF($O$1048=1,$O1093/$F$1048,1),"")</f>
        <v/>
      </c>
      <c r="T1093" s="208">
        <f>IF(NOT($L$1048),"",IF($G1093&lt;nr_MStartP,$S1093,$T1081*(1+IF($G1093&lt;nr_MStartP1,$M$1048,$N$1048))))</f>
        <v/>
      </c>
      <c r="U1093" s="208">
        <f>IF($L$1048,$T1093,$N1093)</f>
        <v/>
      </c>
    </row>
    <row r="1094">
      <c r="A1094" s="145" t="n">
        <v>44</v>
      </c>
      <c r="B1094" s="204">
        <f>EDATE($B1093,1)</f>
        <v/>
      </c>
      <c r="C1094" s="205">
        <f>EOMONTH($B1094,0)</f>
        <v/>
      </c>
      <c r="D1094" s="201">
        <f>$C1094-$B1094+1</f>
        <v/>
      </c>
      <c r="E1094" s="201">
        <f>MONTH($B1094)</f>
        <v/>
      </c>
      <c r="F1094" s="235">
        <f>($B1094+$C1094+1)/2</f>
        <v/>
      </c>
      <c r="G1094" s="201">
        <f>YEAR($B1094)*12+MONTH($B1094)-1</f>
        <v/>
      </c>
      <c r="H1094" s="207">
        <f>IF(OR(nr_SeasonOn="OFF",$D$1048=0,$E$1048=0),1,12*INDEX(se_block,$D$1048,$E1094)/$E$1048)</f>
        <v/>
      </c>
      <c r="I1094" s="208">
        <f>EXP(SUMPRODUCT((rl_eff&lt;$B1094)*(rl_key=$A$1048)*rl_ln1p))</f>
        <v/>
      </c>
      <c r="J1094" s="208">
        <f>EXP(SUMPRODUCT((rl_eff&lt;=$C1094)*(rl_key=$A$1048)*rl_ln1p))</f>
        <v/>
      </c>
      <c r="K1094" s="201">
        <f>COUNTIFS(rl_key,$A$1048,rl_eff,"&gt;="&amp;$B1094,rl_eff,"&lt;="&amp;$C1094)</f>
        <v/>
      </c>
      <c r="L1094" s="201">
        <f>SUMIFS(rl_daysafter,rl_key,$A$1048,rl_effmonth,$B1094,rl_first,1)</f>
        <v/>
      </c>
      <c r="M1094" s="209">
        <f>IF($K1094=0,0,MIN(1,$L1094/$D1094))</f>
        <v/>
      </c>
      <c r="N1094" s="208">
        <f>IF($K1094=0,$J1094,(1-$M1094)*$I1094+$M1094*$J1094)</f>
        <v/>
      </c>
      <c r="O1094" s="209">
        <f>IF($F1094&lt;$B$1049,$E$1049+$I$1049*($F1094-$A$1049),IF($F1094&lt;$C$1049,$F$1049+$J$1049*($F1094-$B$1049),$G$1049+$K$1049*($F1094-$C$1049)))</f>
        <v/>
      </c>
      <c r="P1094" s="208">
        <f>MIN(1,MAX(0,(nr_MEndPm1-$G1094+0.5)/$C$1048))-MIN(1,MAX(0,(nr_MStartPm1-1-$G1094+0.5)/$C$1048))</f>
        <v/>
      </c>
      <c r="Q1094" s="208">
        <f>MIN(1,MAX(0,(nr_MEndP-$G1094+0.5)/$C$1048))-MIN(1,MAX(0,(nr_MStartP-1-$G1094+0.5)/$C$1048))</f>
        <v/>
      </c>
      <c r="R1094" s="208">
        <f>MIN(1,MAX(0,(nr_MEndP1-$G1094+0.5)/$C$1048))-MIN(1,MAX(0,(nr_MStartP1-1-$G1094+0.5)/$C$1048))</f>
        <v/>
      </c>
      <c r="S1094" s="208">
        <f>IF($L$1048,$N1094*IF($O$1048=1,$O1094/$F$1048,1),"")</f>
        <v/>
      </c>
      <c r="T1094" s="208">
        <f>IF(NOT($L$1048),"",IF($G1094&lt;nr_MStartP,$S1094,$T1082*(1+IF($G1094&lt;nr_MStartP1,$M$1048,$N$1048))))</f>
        <v/>
      </c>
      <c r="U1094" s="208">
        <f>IF($L$1048,$T1094,$N1094)</f>
        <v/>
      </c>
    </row>
    <row r="1095">
      <c r="A1095" s="145" t="n">
        <v>45</v>
      </c>
      <c r="B1095" s="204">
        <f>EDATE($B1094,1)</f>
        <v/>
      </c>
      <c r="C1095" s="205">
        <f>EOMONTH($B1095,0)</f>
        <v/>
      </c>
      <c r="D1095" s="201">
        <f>$C1095-$B1095+1</f>
        <v/>
      </c>
      <c r="E1095" s="201">
        <f>MONTH($B1095)</f>
        <v/>
      </c>
      <c r="F1095" s="235">
        <f>($B1095+$C1095+1)/2</f>
        <v/>
      </c>
      <c r="G1095" s="201">
        <f>YEAR($B1095)*12+MONTH($B1095)-1</f>
        <v/>
      </c>
      <c r="H1095" s="207">
        <f>IF(OR(nr_SeasonOn="OFF",$D$1048=0,$E$1048=0),1,12*INDEX(se_block,$D$1048,$E1095)/$E$1048)</f>
        <v/>
      </c>
      <c r="I1095" s="208">
        <f>EXP(SUMPRODUCT((rl_eff&lt;$B1095)*(rl_key=$A$1048)*rl_ln1p))</f>
        <v/>
      </c>
      <c r="J1095" s="208">
        <f>EXP(SUMPRODUCT((rl_eff&lt;=$C1095)*(rl_key=$A$1048)*rl_ln1p))</f>
        <v/>
      </c>
      <c r="K1095" s="201">
        <f>COUNTIFS(rl_key,$A$1048,rl_eff,"&gt;="&amp;$B1095,rl_eff,"&lt;="&amp;$C1095)</f>
        <v/>
      </c>
      <c r="L1095" s="201">
        <f>SUMIFS(rl_daysafter,rl_key,$A$1048,rl_effmonth,$B1095,rl_first,1)</f>
        <v/>
      </c>
      <c r="M1095" s="209">
        <f>IF($K1095=0,0,MIN(1,$L1095/$D1095))</f>
        <v/>
      </c>
      <c r="N1095" s="208">
        <f>IF($K1095=0,$J1095,(1-$M1095)*$I1095+$M1095*$J1095)</f>
        <v/>
      </c>
      <c r="O1095" s="209">
        <f>IF($F1095&lt;$B$1049,$E$1049+$I$1049*($F1095-$A$1049),IF($F1095&lt;$C$1049,$F$1049+$J$1049*($F1095-$B$1049),$G$1049+$K$1049*($F1095-$C$1049)))</f>
        <v/>
      </c>
      <c r="P1095" s="208">
        <f>MIN(1,MAX(0,(nr_MEndPm1-$G1095+0.5)/$C$1048))-MIN(1,MAX(0,(nr_MStartPm1-1-$G1095+0.5)/$C$1048))</f>
        <v/>
      </c>
      <c r="Q1095" s="208">
        <f>MIN(1,MAX(0,(nr_MEndP-$G1095+0.5)/$C$1048))-MIN(1,MAX(0,(nr_MStartP-1-$G1095+0.5)/$C$1048))</f>
        <v/>
      </c>
      <c r="R1095" s="208">
        <f>MIN(1,MAX(0,(nr_MEndP1-$G1095+0.5)/$C$1048))-MIN(1,MAX(0,(nr_MStartP1-1-$G1095+0.5)/$C$1048))</f>
        <v/>
      </c>
      <c r="S1095" s="208">
        <f>IF($L$1048,$N1095*IF($O$1048=1,$O1095/$F$1048,1),"")</f>
        <v/>
      </c>
      <c r="T1095" s="208">
        <f>IF(NOT($L$1048),"",IF($G1095&lt;nr_MStartP,$S1095,$T1083*(1+IF($G1095&lt;nr_MStartP1,$M$1048,$N$1048))))</f>
        <v/>
      </c>
      <c r="U1095" s="208">
        <f>IF($L$1048,$T1095,$N1095)</f>
        <v/>
      </c>
    </row>
    <row r="1096">
      <c r="A1096" s="145" t="n">
        <v>46</v>
      </c>
      <c r="B1096" s="204">
        <f>EDATE($B1095,1)</f>
        <v/>
      </c>
      <c r="C1096" s="205">
        <f>EOMONTH($B1096,0)</f>
        <v/>
      </c>
      <c r="D1096" s="201">
        <f>$C1096-$B1096+1</f>
        <v/>
      </c>
      <c r="E1096" s="201">
        <f>MONTH($B1096)</f>
        <v/>
      </c>
      <c r="F1096" s="235">
        <f>($B1096+$C1096+1)/2</f>
        <v/>
      </c>
      <c r="G1096" s="201">
        <f>YEAR($B1096)*12+MONTH($B1096)-1</f>
        <v/>
      </c>
      <c r="H1096" s="207">
        <f>IF(OR(nr_SeasonOn="OFF",$D$1048=0,$E$1048=0),1,12*INDEX(se_block,$D$1048,$E1096)/$E$1048)</f>
        <v/>
      </c>
      <c r="I1096" s="208">
        <f>EXP(SUMPRODUCT((rl_eff&lt;$B1096)*(rl_key=$A$1048)*rl_ln1p))</f>
        <v/>
      </c>
      <c r="J1096" s="208">
        <f>EXP(SUMPRODUCT((rl_eff&lt;=$C1096)*(rl_key=$A$1048)*rl_ln1p))</f>
        <v/>
      </c>
      <c r="K1096" s="201">
        <f>COUNTIFS(rl_key,$A$1048,rl_eff,"&gt;="&amp;$B1096,rl_eff,"&lt;="&amp;$C1096)</f>
        <v/>
      </c>
      <c r="L1096" s="201">
        <f>SUMIFS(rl_daysafter,rl_key,$A$1048,rl_effmonth,$B1096,rl_first,1)</f>
        <v/>
      </c>
      <c r="M1096" s="209">
        <f>IF($K1096=0,0,MIN(1,$L1096/$D1096))</f>
        <v/>
      </c>
      <c r="N1096" s="208">
        <f>IF($K1096=0,$J1096,(1-$M1096)*$I1096+$M1096*$J1096)</f>
        <v/>
      </c>
      <c r="O1096" s="209">
        <f>IF($F1096&lt;$B$1049,$E$1049+$I$1049*($F1096-$A$1049),IF($F1096&lt;$C$1049,$F$1049+$J$1049*($F1096-$B$1049),$G$1049+$K$1049*($F1096-$C$1049)))</f>
        <v/>
      </c>
      <c r="P1096" s="208">
        <f>MIN(1,MAX(0,(nr_MEndPm1-$G1096+0.5)/$C$1048))-MIN(1,MAX(0,(nr_MStartPm1-1-$G1096+0.5)/$C$1048))</f>
        <v/>
      </c>
      <c r="Q1096" s="208">
        <f>MIN(1,MAX(0,(nr_MEndP-$G1096+0.5)/$C$1048))-MIN(1,MAX(0,(nr_MStartP-1-$G1096+0.5)/$C$1048))</f>
        <v/>
      </c>
      <c r="R1096" s="208">
        <f>MIN(1,MAX(0,(nr_MEndP1-$G1096+0.5)/$C$1048))-MIN(1,MAX(0,(nr_MStartP1-1-$G1096+0.5)/$C$1048))</f>
        <v/>
      </c>
      <c r="S1096" s="208">
        <f>IF($L$1048,$N1096*IF($O$1048=1,$O1096/$F$1048,1),"")</f>
        <v/>
      </c>
      <c r="T1096" s="208">
        <f>IF(NOT($L$1048),"",IF($G1096&lt;nr_MStartP,$S1096,$T1084*(1+IF($G1096&lt;nr_MStartP1,$M$1048,$N$1048))))</f>
        <v/>
      </c>
      <c r="U1096" s="208">
        <f>IF($L$1048,$T1096,$N1096)</f>
        <v/>
      </c>
    </row>
    <row r="1097">
      <c r="A1097" s="145" t="n">
        <v>47</v>
      </c>
      <c r="B1097" s="204">
        <f>EDATE($B1096,1)</f>
        <v/>
      </c>
      <c r="C1097" s="205">
        <f>EOMONTH($B1097,0)</f>
        <v/>
      </c>
      <c r="D1097" s="201">
        <f>$C1097-$B1097+1</f>
        <v/>
      </c>
      <c r="E1097" s="201">
        <f>MONTH($B1097)</f>
        <v/>
      </c>
      <c r="F1097" s="235">
        <f>($B1097+$C1097+1)/2</f>
        <v/>
      </c>
      <c r="G1097" s="201">
        <f>YEAR($B1097)*12+MONTH($B1097)-1</f>
        <v/>
      </c>
      <c r="H1097" s="207">
        <f>IF(OR(nr_SeasonOn="OFF",$D$1048=0,$E$1048=0),1,12*INDEX(se_block,$D$1048,$E1097)/$E$1048)</f>
        <v/>
      </c>
      <c r="I1097" s="208">
        <f>EXP(SUMPRODUCT((rl_eff&lt;$B1097)*(rl_key=$A$1048)*rl_ln1p))</f>
        <v/>
      </c>
      <c r="J1097" s="208">
        <f>EXP(SUMPRODUCT((rl_eff&lt;=$C1097)*(rl_key=$A$1048)*rl_ln1p))</f>
        <v/>
      </c>
      <c r="K1097" s="201">
        <f>COUNTIFS(rl_key,$A$1048,rl_eff,"&gt;="&amp;$B1097,rl_eff,"&lt;="&amp;$C1097)</f>
        <v/>
      </c>
      <c r="L1097" s="201">
        <f>SUMIFS(rl_daysafter,rl_key,$A$1048,rl_effmonth,$B1097,rl_first,1)</f>
        <v/>
      </c>
      <c r="M1097" s="209">
        <f>IF($K1097=0,0,MIN(1,$L1097/$D1097))</f>
        <v/>
      </c>
      <c r="N1097" s="208">
        <f>IF($K1097=0,$J1097,(1-$M1097)*$I1097+$M1097*$J1097)</f>
        <v/>
      </c>
      <c r="O1097" s="209">
        <f>IF($F1097&lt;$B$1049,$E$1049+$I$1049*($F1097-$A$1049),IF($F1097&lt;$C$1049,$F$1049+$J$1049*($F1097-$B$1049),$G$1049+$K$1049*($F1097-$C$1049)))</f>
        <v/>
      </c>
      <c r="P1097" s="208">
        <f>MIN(1,MAX(0,(nr_MEndPm1-$G1097+0.5)/$C$1048))-MIN(1,MAX(0,(nr_MStartPm1-1-$G1097+0.5)/$C$1048))</f>
        <v/>
      </c>
      <c r="Q1097" s="208">
        <f>MIN(1,MAX(0,(nr_MEndP-$G1097+0.5)/$C$1048))-MIN(1,MAX(0,(nr_MStartP-1-$G1097+0.5)/$C$1048))</f>
        <v/>
      </c>
      <c r="R1097" s="208">
        <f>MIN(1,MAX(0,(nr_MEndP1-$G1097+0.5)/$C$1048))-MIN(1,MAX(0,(nr_MStartP1-1-$G1097+0.5)/$C$1048))</f>
        <v/>
      </c>
      <c r="S1097" s="208">
        <f>IF($L$1048,$N1097*IF($O$1048=1,$O1097/$F$1048,1),"")</f>
        <v/>
      </c>
      <c r="T1097" s="208">
        <f>IF(NOT($L$1048),"",IF($G1097&lt;nr_MStartP,$S1097,$T1085*(1+IF($G1097&lt;nr_MStartP1,$M$1048,$N$1048))))</f>
        <v/>
      </c>
      <c r="U1097" s="208">
        <f>IF($L$1048,$T1097,$N1097)</f>
        <v/>
      </c>
    </row>
    <row r="1098">
      <c r="A1098" s="145" t="n">
        <v>48</v>
      </c>
      <c r="B1098" s="204">
        <f>EDATE($B1097,1)</f>
        <v/>
      </c>
      <c r="C1098" s="205">
        <f>EOMONTH($B1098,0)</f>
        <v/>
      </c>
      <c r="D1098" s="201">
        <f>$C1098-$B1098+1</f>
        <v/>
      </c>
      <c r="E1098" s="201">
        <f>MONTH($B1098)</f>
        <v/>
      </c>
      <c r="F1098" s="235">
        <f>($B1098+$C1098+1)/2</f>
        <v/>
      </c>
      <c r="G1098" s="201">
        <f>YEAR($B1098)*12+MONTH($B1098)-1</f>
        <v/>
      </c>
      <c r="H1098" s="207">
        <f>IF(OR(nr_SeasonOn="OFF",$D$1048=0,$E$1048=0),1,12*INDEX(se_block,$D$1048,$E1098)/$E$1048)</f>
        <v/>
      </c>
      <c r="I1098" s="208">
        <f>EXP(SUMPRODUCT((rl_eff&lt;$B1098)*(rl_key=$A$1048)*rl_ln1p))</f>
        <v/>
      </c>
      <c r="J1098" s="208">
        <f>EXP(SUMPRODUCT((rl_eff&lt;=$C1098)*(rl_key=$A$1048)*rl_ln1p))</f>
        <v/>
      </c>
      <c r="K1098" s="201">
        <f>COUNTIFS(rl_key,$A$1048,rl_eff,"&gt;="&amp;$B1098,rl_eff,"&lt;="&amp;$C1098)</f>
        <v/>
      </c>
      <c r="L1098" s="201">
        <f>SUMIFS(rl_daysafter,rl_key,$A$1048,rl_effmonth,$B1098,rl_first,1)</f>
        <v/>
      </c>
      <c r="M1098" s="209">
        <f>IF($K1098=0,0,MIN(1,$L1098/$D1098))</f>
        <v/>
      </c>
      <c r="N1098" s="208">
        <f>IF($K1098=0,$J1098,(1-$M1098)*$I1098+$M1098*$J1098)</f>
        <v/>
      </c>
      <c r="O1098" s="209">
        <f>IF($F1098&lt;$B$1049,$E$1049+$I$1049*($F1098-$A$1049),IF($F1098&lt;$C$1049,$F$1049+$J$1049*($F1098-$B$1049),$G$1049+$K$1049*($F1098-$C$1049)))</f>
        <v/>
      </c>
      <c r="P1098" s="208">
        <f>MIN(1,MAX(0,(nr_MEndPm1-$G1098+0.5)/$C$1048))-MIN(1,MAX(0,(nr_MStartPm1-1-$G1098+0.5)/$C$1048))</f>
        <v/>
      </c>
      <c r="Q1098" s="208">
        <f>MIN(1,MAX(0,(nr_MEndP-$G1098+0.5)/$C$1048))-MIN(1,MAX(0,(nr_MStartP-1-$G1098+0.5)/$C$1048))</f>
        <v/>
      </c>
      <c r="R1098" s="208">
        <f>MIN(1,MAX(0,(nr_MEndP1-$G1098+0.5)/$C$1048))-MIN(1,MAX(0,(nr_MStartP1-1-$G1098+0.5)/$C$1048))</f>
        <v/>
      </c>
      <c r="S1098" s="208">
        <f>IF($L$1048,$N1098*IF($O$1048=1,$O1098/$F$1048,1),"")</f>
        <v/>
      </c>
      <c r="T1098" s="208">
        <f>IF(NOT($L$1048),"",IF($G1098&lt;nr_MStartP,$S1098,$T1086*(1+IF($G1098&lt;nr_MStartP1,$M$1048,$N$1048))))</f>
        <v/>
      </c>
      <c r="U1098" s="208">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184">
        <f>SUMPRODUCT($H$1051:$H$1098,$Q$1051:$Q$1098,$O$1051:$O$1098)/SUMPRODUCT($H$1051:$H$1098,$Q$1051:$Q$1098)</f>
        <v/>
      </c>
      <c r="G1099" s="184">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184">
        <f>IF(N(INDEX(lr_mind,20))=0,1,INDEX(lr_mind,20))</f>
        <v/>
      </c>
      <c r="G1102" s="184">
        <f>IF(N(INDEX(lr_m0,20))=0,1,INDEX(lr_m0,20))</f>
        <v/>
      </c>
      <c r="H1102" s="73">
        <f>IF(N(INDEX(lr_m0asof,20))=0,DATE(nr_PlanYear-1,10,1),INDEX(lr_m0asof,20))</f>
        <v/>
      </c>
      <c r="I1102" s="184">
        <f>IF(N(INDEX(lr_m1,20))=0,1,INDEX(lr_m1,20))</f>
        <v/>
      </c>
      <c r="J1102" s="184">
        <f>INDEX(lr_mprior,20)</f>
        <v/>
      </c>
      <c r="K1102" s="184">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145" t="n">
        <v>1</v>
      </c>
      <c r="B1105" s="204">
        <f>DATE(nr_PlanYear-2,1,1)</f>
        <v/>
      </c>
      <c r="C1105" s="205">
        <f>EOMONTH($B1105,0)</f>
        <v/>
      </c>
      <c r="D1105" s="201">
        <f>$C1105-$B1105+1</f>
        <v/>
      </c>
      <c r="E1105" s="201">
        <f>MONTH($B1105)</f>
        <v/>
      </c>
      <c r="F1105" s="235">
        <f>($B1105+$C1105+1)/2</f>
        <v/>
      </c>
      <c r="G1105" s="201">
        <f>YEAR($B1105)*12+MONTH($B1105)-1</f>
        <v/>
      </c>
      <c r="H1105" s="207">
        <f>IF(OR(nr_SeasonOn="OFF",$D$1102=0,$E$1102=0),1,12*INDEX(se_block,$D$1102,$E1105)/$E$1102)</f>
        <v/>
      </c>
      <c r="I1105" s="208">
        <f>EXP(SUMPRODUCT((rl_eff&lt;$B1105)*(rl_key=$A$1102)*rl_ln1p))</f>
        <v/>
      </c>
      <c r="J1105" s="208">
        <f>EXP(SUMPRODUCT((rl_eff&lt;=$C1105)*(rl_key=$A$1102)*rl_ln1p))</f>
        <v/>
      </c>
      <c r="K1105" s="201">
        <f>COUNTIFS(rl_key,$A$1102,rl_eff,"&gt;="&amp;$B1105,rl_eff,"&lt;="&amp;$C1105)</f>
        <v/>
      </c>
      <c r="L1105" s="201">
        <f>SUMIFS(rl_daysafter,rl_key,$A$1102,rl_effmonth,$B1105,rl_first,1)</f>
        <v/>
      </c>
      <c r="M1105" s="209">
        <f>IF($K1105=0,0,MIN(1,$L1105/$D1105))</f>
        <v/>
      </c>
      <c r="N1105" s="208">
        <f>IF($K1105=0,$J1105,(1-$M1105)*$I1105+$M1105*$J1105)</f>
        <v/>
      </c>
      <c r="O1105" s="209">
        <f>IF($F1105&lt;$B$1103,$E$1103+$I$1103*($F1105-$A$1103),IF($F1105&lt;$C$1103,$F$1103+$J$1103*($F1105-$B$1103),$G$1103+$K$1103*($F1105-$C$1103)))</f>
        <v/>
      </c>
      <c r="P1105" s="208">
        <f>MIN(1,MAX(0,(nr_MEndPm1-$G1105+0.5)/$C$1102))-MIN(1,MAX(0,(nr_MStartPm1-1-$G1105+0.5)/$C$1102))</f>
        <v/>
      </c>
      <c r="Q1105" s="208">
        <f>MIN(1,MAX(0,(nr_MEndP-$G1105+0.5)/$C$1102))-MIN(1,MAX(0,(nr_MStartP-1-$G1105+0.5)/$C$1102))</f>
        <v/>
      </c>
      <c r="R1105" s="208">
        <f>MIN(1,MAX(0,(nr_MEndP1-$G1105+0.5)/$C$1102))-MIN(1,MAX(0,(nr_MStartP1-1-$G1105+0.5)/$C$1102))</f>
        <v/>
      </c>
      <c r="S1105" s="208">
        <f>IF($L$1102,$N1105*IF($O$1102=1,$O1105/$F$1102,1),"")</f>
        <v/>
      </c>
      <c r="T1105" s="208">
        <f>IF(NOT($L$1102),"",IF($G1105&lt;nr_MStartP,$S1105,$T1093*(1+IF($G1105&lt;nr_MStartP1,$M$1102,$N$1102))))</f>
        <v/>
      </c>
      <c r="U1105" s="208">
        <f>IF($L$1102,$T1105,$N1105)</f>
        <v/>
      </c>
    </row>
    <row r="1106">
      <c r="A1106" s="145" t="n">
        <v>2</v>
      </c>
      <c r="B1106" s="204">
        <f>EDATE($B1105,1)</f>
        <v/>
      </c>
      <c r="C1106" s="205">
        <f>EOMONTH($B1106,0)</f>
        <v/>
      </c>
      <c r="D1106" s="201">
        <f>$C1106-$B1106+1</f>
        <v/>
      </c>
      <c r="E1106" s="201">
        <f>MONTH($B1106)</f>
        <v/>
      </c>
      <c r="F1106" s="235">
        <f>($B1106+$C1106+1)/2</f>
        <v/>
      </c>
      <c r="G1106" s="201">
        <f>YEAR($B1106)*12+MONTH($B1106)-1</f>
        <v/>
      </c>
      <c r="H1106" s="207">
        <f>IF(OR(nr_SeasonOn="OFF",$D$1102=0,$E$1102=0),1,12*INDEX(se_block,$D$1102,$E1106)/$E$1102)</f>
        <v/>
      </c>
      <c r="I1106" s="208">
        <f>EXP(SUMPRODUCT((rl_eff&lt;$B1106)*(rl_key=$A$1102)*rl_ln1p))</f>
        <v/>
      </c>
      <c r="J1106" s="208">
        <f>EXP(SUMPRODUCT((rl_eff&lt;=$C1106)*(rl_key=$A$1102)*rl_ln1p))</f>
        <v/>
      </c>
      <c r="K1106" s="201">
        <f>COUNTIFS(rl_key,$A$1102,rl_eff,"&gt;="&amp;$B1106,rl_eff,"&lt;="&amp;$C1106)</f>
        <v/>
      </c>
      <c r="L1106" s="201">
        <f>SUMIFS(rl_daysafter,rl_key,$A$1102,rl_effmonth,$B1106,rl_first,1)</f>
        <v/>
      </c>
      <c r="M1106" s="209">
        <f>IF($K1106=0,0,MIN(1,$L1106/$D1106))</f>
        <v/>
      </c>
      <c r="N1106" s="208">
        <f>IF($K1106=0,$J1106,(1-$M1106)*$I1106+$M1106*$J1106)</f>
        <v/>
      </c>
      <c r="O1106" s="209">
        <f>IF($F1106&lt;$B$1103,$E$1103+$I$1103*($F1106-$A$1103),IF($F1106&lt;$C$1103,$F$1103+$J$1103*($F1106-$B$1103),$G$1103+$K$1103*($F1106-$C$1103)))</f>
        <v/>
      </c>
      <c r="P1106" s="208">
        <f>MIN(1,MAX(0,(nr_MEndPm1-$G1106+0.5)/$C$1102))-MIN(1,MAX(0,(nr_MStartPm1-1-$G1106+0.5)/$C$1102))</f>
        <v/>
      </c>
      <c r="Q1106" s="208">
        <f>MIN(1,MAX(0,(nr_MEndP-$G1106+0.5)/$C$1102))-MIN(1,MAX(0,(nr_MStartP-1-$G1106+0.5)/$C$1102))</f>
        <v/>
      </c>
      <c r="R1106" s="208">
        <f>MIN(1,MAX(0,(nr_MEndP1-$G1106+0.5)/$C$1102))-MIN(1,MAX(0,(nr_MStartP1-1-$G1106+0.5)/$C$1102))</f>
        <v/>
      </c>
      <c r="S1106" s="208">
        <f>IF($L$1102,$N1106*IF($O$1102=1,$O1106/$F$1102,1),"")</f>
        <v/>
      </c>
      <c r="T1106" s="208">
        <f>IF(NOT($L$1102),"",IF($G1106&lt;nr_MStartP,$S1106,$T1094*(1+IF($G1106&lt;nr_MStartP1,$M$1102,$N$1102))))</f>
        <v/>
      </c>
      <c r="U1106" s="208">
        <f>IF($L$1102,$T1106,$N1106)</f>
        <v/>
      </c>
    </row>
    <row r="1107">
      <c r="A1107" s="145" t="n">
        <v>3</v>
      </c>
      <c r="B1107" s="204">
        <f>EDATE($B1106,1)</f>
        <v/>
      </c>
      <c r="C1107" s="205">
        <f>EOMONTH($B1107,0)</f>
        <v/>
      </c>
      <c r="D1107" s="201">
        <f>$C1107-$B1107+1</f>
        <v/>
      </c>
      <c r="E1107" s="201">
        <f>MONTH($B1107)</f>
        <v/>
      </c>
      <c r="F1107" s="235">
        <f>($B1107+$C1107+1)/2</f>
        <v/>
      </c>
      <c r="G1107" s="201">
        <f>YEAR($B1107)*12+MONTH($B1107)-1</f>
        <v/>
      </c>
      <c r="H1107" s="207">
        <f>IF(OR(nr_SeasonOn="OFF",$D$1102=0,$E$1102=0),1,12*INDEX(se_block,$D$1102,$E1107)/$E$1102)</f>
        <v/>
      </c>
      <c r="I1107" s="208">
        <f>EXP(SUMPRODUCT((rl_eff&lt;$B1107)*(rl_key=$A$1102)*rl_ln1p))</f>
        <v/>
      </c>
      <c r="J1107" s="208">
        <f>EXP(SUMPRODUCT((rl_eff&lt;=$C1107)*(rl_key=$A$1102)*rl_ln1p))</f>
        <v/>
      </c>
      <c r="K1107" s="201">
        <f>COUNTIFS(rl_key,$A$1102,rl_eff,"&gt;="&amp;$B1107,rl_eff,"&lt;="&amp;$C1107)</f>
        <v/>
      </c>
      <c r="L1107" s="201">
        <f>SUMIFS(rl_daysafter,rl_key,$A$1102,rl_effmonth,$B1107,rl_first,1)</f>
        <v/>
      </c>
      <c r="M1107" s="209">
        <f>IF($K1107=0,0,MIN(1,$L1107/$D1107))</f>
        <v/>
      </c>
      <c r="N1107" s="208">
        <f>IF($K1107=0,$J1107,(1-$M1107)*$I1107+$M1107*$J1107)</f>
        <v/>
      </c>
      <c r="O1107" s="209">
        <f>IF($F1107&lt;$B$1103,$E$1103+$I$1103*($F1107-$A$1103),IF($F1107&lt;$C$1103,$F$1103+$J$1103*($F1107-$B$1103),$G$1103+$K$1103*($F1107-$C$1103)))</f>
        <v/>
      </c>
      <c r="P1107" s="208">
        <f>MIN(1,MAX(0,(nr_MEndPm1-$G1107+0.5)/$C$1102))-MIN(1,MAX(0,(nr_MStartPm1-1-$G1107+0.5)/$C$1102))</f>
        <v/>
      </c>
      <c r="Q1107" s="208">
        <f>MIN(1,MAX(0,(nr_MEndP-$G1107+0.5)/$C$1102))-MIN(1,MAX(0,(nr_MStartP-1-$G1107+0.5)/$C$1102))</f>
        <v/>
      </c>
      <c r="R1107" s="208">
        <f>MIN(1,MAX(0,(nr_MEndP1-$G1107+0.5)/$C$1102))-MIN(1,MAX(0,(nr_MStartP1-1-$G1107+0.5)/$C$1102))</f>
        <v/>
      </c>
      <c r="S1107" s="208">
        <f>IF($L$1102,$N1107*IF($O$1102=1,$O1107/$F$1102,1),"")</f>
        <v/>
      </c>
      <c r="T1107" s="208">
        <f>IF(NOT($L$1102),"",IF($G1107&lt;nr_MStartP,$S1107,$T1095*(1+IF($G1107&lt;nr_MStartP1,$M$1102,$N$1102))))</f>
        <v/>
      </c>
      <c r="U1107" s="208">
        <f>IF($L$1102,$T1107,$N1107)</f>
        <v/>
      </c>
    </row>
    <row r="1108">
      <c r="A1108" s="145" t="n">
        <v>4</v>
      </c>
      <c r="B1108" s="204">
        <f>EDATE($B1107,1)</f>
        <v/>
      </c>
      <c r="C1108" s="205">
        <f>EOMONTH($B1108,0)</f>
        <v/>
      </c>
      <c r="D1108" s="201">
        <f>$C1108-$B1108+1</f>
        <v/>
      </c>
      <c r="E1108" s="201">
        <f>MONTH($B1108)</f>
        <v/>
      </c>
      <c r="F1108" s="235">
        <f>($B1108+$C1108+1)/2</f>
        <v/>
      </c>
      <c r="G1108" s="201">
        <f>YEAR($B1108)*12+MONTH($B1108)-1</f>
        <v/>
      </c>
      <c r="H1108" s="207">
        <f>IF(OR(nr_SeasonOn="OFF",$D$1102=0,$E$1102=0),1,12*INDEX(se_block,$D$1102,$E1108)/$E$1102)</f>
        <v/>
      </c>
      <c r="I1108" s="208">
        <f>EXP(SUMPRODUCT((rl_eff&lt;$B1108)*(rl_key=$A$1102)*rl_ln1p))</f>
        <v/>
      </c>
      <c r="J1108" s="208">
        <f>EXP(SUMPRODUCT((rl_eff&lt;=$C1108)*(rl_key=$A$1102)*rl_ln1p))</f>
        <v/>
      </c>
      <c r="K1108" s="201">
        <f>COUNTIFS(rl_key,$A$1102,rl_eff,"&gt;="&amp;$B1108,rl_eff,"&lt;="&amp;$C1108)</f>
        <v/>
      </c>
      <c r="L1108" s="201">
        <f>SUMIFS(rl_daysafter,rl_key,$A$1102,rl_effmonth,$B1108,rl_first,1)</f>
        <v/>
      </c>
      <c r="M1108" s="209">
        <f>IF($K1108=0,0,MIN(1,$L1108/$D1108))</f>
        <v/>
      </c>
      <c r="N1108" s="208">
        <f>IF($K1108=0,$J1108,(1-$M1108)*$I1108+$M1108*$J1108)</f>
        <v/>
      </c>
      <c r="O1108" s="209">
        <f>IF($F1108&lt;$B$1103,$E$1103+$I$1103*($F1108-$A$1103),IF($F1108&lt;$C$1103,$F$1103+$J$1103*($F1108-$B$1103),$G$1103+$K$1103*($F1108-$C$1103)))</f>
        <v/>
      </c>
      <c r="P1108" s="208">
        <f>MIN(1,MAX(0,(nr_MEndPm1-$G1108+0.5)/$C$1102))-MIN(1,MAX(0,(nr_MStartPm1-1-$G1108+0.5)/$C$1102))</f>
        <v/>
      </c>
      <c r="Q1108" s="208">
        <f>MIN(1,MAX(0,(nr_MEndP-$G1108+0.5)/$C$1102))-MIN(1,MAX(0,(nr_MStartP-1-$G1108+0.5)/$C$1102))</f>
        <v/>
      </c>
      <c r="R1108" s="208">
        <f>MIN(1,MAX(0,(nr_MEndP1-$G1108+0.5)/$C$1102))-MIN(1,MAX(0,(nr_MStartP1-1-$G1108+0.5)/$C$1102))</f>
        <v/>
      </c>
      <c r="S1108" s="208">
        <f>IF($L$1102,$N1108*IF($O$1102=1,$O1108/$F$1102,1),"")</f>
        <v/>
      </c>
      <c r="T1108" s="208">
        <f>IF(NOT($L$1102),"",IF($G1108&lt;nr_MStartP,$S1108,$T1096*(1+IF($G1108&lt;nr_MStartP1,$M$1102,$N$1102))))</f>
        <v/>
      </c>
      <c r="U1108" s="208">
        <f>IF($L$1102,$T1108,$N1108)</f>
        <v/>
      </c>
    </row>
    <row r="1109">
      <c r="A1109" s="145" t="n">
        <v>5</v>
      </c>
      <c r="B1109" s="204">
        <f>EDATE($B1108,1)</f>
        <v/>
      </c>
      <c r="C1109" s="205">
        <f>EOMONTH($B1109,0)</f>
        <v/>
      </c>
      <c r="D1109" s="201">
        <f>$C1109-$B1109+1</f>
        <v/>
      </c>
      <c r="E1109" s="201">
        <f>MONTH($B1109)</f>
        <v/>
      </c>
      <c r="F1109" s="235">
        <f>($B1109+$C1109+1)/2</f>
        <v/>
      </c>
      <c r="G1109" s="201">
        <f>YEAR($B1109)*12+MONTH($B1109)-1</f>
        <v/>
      </c>
      <c r="H1109" s="207">
        <f>IF(OR(nr_SeasonOn="OFF",$D$1102=0,$E$1102=0),1,12*INDEX(se_block,$D$1102,$E1109)/$E$1102)</f>
        <v/>
      </c>
      <c r="I1109" s="208">
        <f>EXP(SUMPRODUCT((rl_eff&lt;$B1109)*(rl_key=$A$1102)*rl_ln1p))</f>
        <v/>
      </c>
      <c r="J1109" s="208">
        <f>EXP(SUMPRODUCT((rl_eff&lt;=$C1109)*(rl_key=$A$1102)*rl_ln1p))</f>
        <v/>
      </c>
      <c r="K1109" s="201">
        <f>COUNTIFS(rl_key,$A$1102,rl_eff,"&gt;="&amp;$B1109,rl_eff,"&lt;="&amp;$C1109)</f>
        <v/>
      </c>
      <c r="L1109" s="201">
        <f>SUMIFS(rl_daysafter,rl_key,$A$1102,rl_effmonth,$B1109,rl_first,1)</f>
        <v/>
      </c>
      <c r="M1109" s="209">
        <f>IF($K1109=0,0,MIN(1,$L1109/$D1109))</f>
        <v/>
      </c>
      <c r="N1109" s="208">
        <f>IF($K1109=0,$J1109,(1-$M1109)*$I1109+$M1109*$J1109)</f>
        <v/>
      </c>
      <c r="O1109" s="209">
        <f>IF($F1109&lt;$B$1103,$E$1103+$I$1103*($F1109-$A$1103),IF($F1109&lt;$C$1103,$F$1103+$J$1103*($F1109-$B$1103),$G$1103+$K$1103*($F1109-$C$1103)))</f>
        <v/>
      </c>
      <c r="P1109" s="208">
        <f>MIN(1,MAX(0,(nr_MEndPm1-$G1109+0.5)/$C$1102))-MIN(1,MAX(0,(nr_MStartPm1-1-$G1109+0.5)/$C$1102))</f>
        <v/>
      </c>
      <c r="Q1109" s="208">
        <f>MIN(1,MAX(0,(nr_MEndP-$G1109+0.5)/$C$1102))-MIN(1,MAX(0,(nr_MStartP-1-$G1109+0.5)/$C$1102))</f>
        <v/>
      </c>
      <c r="R1109" s="208">
        <f>MIN(1,MAX(0,(nr_MEndP1-$G1109+0.5)/$C$1102))-MIN(1,MAX(0,(nr_MStartP1-1-$G1109+0.5)/$C$1102))</f>
        <v/>
      </c>
      <c r="S1109" s="208">
        <f>IF($L$1102,$N1109*IF($O$1102=1,$O1109/$F$1102,1),"")</f>
        <v/>
      </c>
      <c r="T1109" s="208">
        <f>IF(NOT($L$1102),"",IF($G1109&lt;nr_MStartP,$S1109,$T1097*(1+IF($G1109&lt;nr_MStartP1,$M$1102,$N$1102))))</f>
        <v/>
      </c>
      <c r="U1109" s="208">
        <f>IF($L$1102,$T1109,$N1109)</f>
        <v/>
      </c>
    </row>
    <row r="1110">
      <c r="A1110" s="145" t="n">
        <v>6</v>
      </c>
      <c r="B1110" s="204">
        <f>EDATE($B1109,1)</f>
        <v/>
      </c>
      <c r="C1110" s="205">
        <f>EOMONTH($B1110,0)</f>
        <v/>
      </c>
      <c r="D1110" s="201">
        <f>$C1110-$B1110+1</f>
        <v/>
      </c>
      <c r="E1110" s="201">
        <f>MONTH($B1110)</f>
        <v/>
      </c>
      <c r="F1110" s="235">
        <f>($B1110+$C1110+1)/2</f>
        <v/>
      </c>
      <c r="G1110" s="201">
        <f>YEAR($B1110)*12+MONTH($B1110)-1</f>
        <v/>
      </c>
      <c r="H1110" s="207">
        <f>IF(OR(nr_SeasonOn="OFF",$D$1102=0,$E$1102=0),1,12*INDEX(se_block,$D$1102,$E1110)/$E$1102)</f>
        <v/>
      </c>
      <c r="I1110" s="208">
        <f>EXP(SUMPRODUCT((rl_eff&lt;$B1110)*(rl_key=$A$1102)*rl_ln1p))</f>
        <v/>
      </c>
      <c r="J1110" s="208">
        <f>EXP(SUMPRODUCT((rl_eff&lt;=$C1110)*(rl_key=$A$1102)*rl_ln1p))</f>
        <v/>
      </c>
      <c r="K1110" s="201">
        <f>COUNTIFS(rl_key,$A$1102,rl_eff,"&gt;="&amp;$B1110,rl_eff,"&lt;="&amp;$C1110)</f>
        <v/>
      </c>
      <c r="L1110" s="201">
        <f>SUMIFS(rl_daysafter,rl_key,$A$1102,rl_effmonth,$B1110,rl_first,1)</f>
        <v/>
      </c>
      <c r="M1110" s="209">
        <f>IF($K1110=0,0,MIN(1,$L1110/$D1110))</f>
        <v/>
      </c>
      <c r="N1110" s="208">
        <f>IF($K1110=0,$J1110,(1-$M1110)*$I1110+$M1110*$J1110)</f>
        <v/>
      </c>
      <c r="O1110" s="209">
        <f>IF($F1110&lt;$B$1103,$E$1103+$I$1103*($F1110-$A$1103),IF($F1110&lt;$C$1103,$F$1103+$J$1103*($F1110-$B$1103),$G$1103+$K$1103*($F1110-$C$1103)))</f>
        <v/>
      </c>
      <c r="P1110" s="208">
        <f>MIN(1,MAX(0,(nr_MEndPm1-$G1110+0.5)/$C$1102))-MIN(1,MAX(0,(nr_MStartPm1-1-$G1110+0.5)/$C$1102))</f>
        <v/>
      </c>
      <c r="Q1110" s="208">
        <f>MIN(1,MAX(0,(nr_MEndP-$G1110+0.5)/$C$1102))-MIN(1,MAX(0,(nr_MStartP-1-$G1110+0.5)/$C$1102))</f>
        <v/>
      </c>
      <c r="R1110" s="208">
        <f>MIN(1,MAX(0,(nr_MEndP1-$G1110+0.5)/$C$1102))-MIN(1,MAX(0,(nr_MStartP1-1-$G1110+0.5)/$C$1102))</f>
        <v/>
      </c>
      <c r="S1110" s="208">
        <f>IF($L$1102,$N1110*IF($O$1102=1,$O1110/$F$1102,1),"")</f>
        <v/>
      </c>
      <c r="T1110" s="208">
        <f>IF(NOT($L$1102),"",IF($G1110&lt;nr_MStartP,$S1110,$T1098*(1+IF($G1110&lt;nr_MStartP1,$M$1102,$N$1102))))</f>
        <v/>
      </c>
      <c r="U1110" s="208">
        <f>IF($L$1102,$T1110,$N1110)</f>
        <v/>
      </c>
    </row>
    <row r="1111">
      <c r="A1111" s="145" t="n">
        <v>7</v>
      </c>
      <c r="B1111" s="204">
        <f>EDATE($B1110,1)</f>
        <v/>
      </c>
      <c r="C1111" s="205">
        <f>EOMONTH($B1111,0)</f>
        <v/>
      </c>
      <c r="D1111" s="201">
        <f>$C1111-$B1111+1</f>
        <v/>
      </c>
      <c r="E1111" s="201">
        <f>MONTH($B1111)</f>
        <v/>
      </c>
      <c r="F1111" s="235">
        <f>($B1111+$C1111+1)/2</f>
        <v/>
      </c>
      <c r="G1111" s="201">
        <f>YEAR($B1111)*12+MONTH($B1111)-1</f>
        <v/>
      </c>
      <c r="H1111" s="207">
        <f>IF(OR(nr_SeasonOn="OFF",$D$1102=0,$E$1102=0),1,12*INDEX(se_block,$D$1102,$E1111)/$E$1102)</f>
        <v/>
      </c>
      <c r="I1111" s="208">
        <f>EXP(SUMPRODUCT((rl_eff&lt;$B1111)*(rl_key=$A$1102)*rl_ln1p))</f>
        <v/>
      </c>
      <c r="J1111" s="208">
        <f>EXP(SUMPRODUCT((rl_eff&lt;=$C1111)*(rl_key=$A$1102)*rl_ln1p))</f>
        <v/>
      </c>
      <c r="K1111" s="201">
        <f>COUNTIFS(rl_key,$A$1102,rl_eff,"&gt;="&amp;$B1111,rl_eff,"&lt;="&amp;$C1111)</f>
        <v/>
      </c>
      <c r="L1111" s="201">
        <f>SUMIFS(rl_daysafter,rl_key,$A$1102,rl_effmonth,$B1111,rl_first,1)</f>
        <v/>
      </c>
      <c r="M1111" s="209">
        <f>IF($K1111=0,0,MIN(1,$L1111/$D1111))</f>
        <v/>
      </c>
      <c r="N1111" s="208">
        <f>IF($K1111=0,$J1111,(1-$M1111)*$I1111+$M1111*$J1111)</f>
        <v/>
      </c>
      <c r="O1111" s="209">
        <f>IF($F1111&lt;$B$1103,$E$1103+$I$1103*($F1111-$A$1103),IF($F1111&lt;$C$1103,$F$1103+$J$1103*($F1111-$B$1103),$G$1103+$K$1103*($F1111-$C$1103)))</f>
        <v/>
      </c>
      <c r="P1111" s="208">
        <f>MIN(1,MAX(0,(nr_MEndPm1-$G1111+0.5)/$C$1102))-MIN(1,MAX(0,(nr_MStartPm1-1-$G1111+0.5)/$C$1102))</f>
        <v/>
      </c>
      <c r="Q1111" s="208">
        <f>MIN(1,MAX(0,(nr_MEndP-$G1111+0.5)/$C$1102))-MIN(1,MAX(0,(nr_MStartP-1-$G1111+0.5)/$C$1102))</f>
        <v/>
      </c>
      <c r="R1111" s="208">
        <f>MIN(1,MAX(0,(nr_MEndP1-$G1111+0.5)/$C$1102))-MIN(1,MAX(0,(nr_MStartP1-1-$G1111+0.5)/$C$1102))</f>
        <v/>
      </c>
      <c r="S1111" s="208">
        <f>IF($L$1102,$N1111*IF($O$1102=1,$O1111/$F$1102,1),"")</f>
        <v/>
      </c>
      <c r="T1111" s="208">
        <f>IF(NOT($L$1102),"",IF($G1111&lt;nr_MStartP,$S1111,$T1099*(1+IF($G1111&lt;nr_MStartP1,$M$1102,$N$1102))))</f>
        <v/>
      </c>
      <c r="U1111" s="208">
        <f>IF($L$1102,$T1111,$N1111)</f>
        <v/>
      </c>
    </row>
    <row r="1112">
      <c r="A1112" s="145" t="n">
        <v>8</v>
      </c>
      <c r="B1112" s="204">
        <f>EDATE($B1111,1)</f>
        <v/>
      </c>
      <c r="C1112" s="205">
        <f>EOMONTH($B1112,0)</f>
        <v/>
      </c>
      <c r="D1112" s="201">
        <f>$C1112-$B1112+1</f>
        <v/>
      </c>
      <c r="E1112" s="201">
        <f>MONTH($B1112)</f>
        <v/>
      </c>
      <c r="F1112" s="235">
        <f>($B1112+$C1112+1)/2</f>
        <v/>
      </c>
      <c r="G1112" s="201">
        <f>YEAR($B1112)*12+MONTH($B1112)-1</f>
        <v/>
      </c>
      <c r="H1112" s="207">
        <f>IF(OR(nr_SeasonOn="OFF",$D$1102=0,$E$1102=0),1,12*INDEX(se_block,$D$1102,$E1112)/$E$1102)</f>
        <v/>
      </c>
      <c r="I1112" s="208">
        <f>EXP(SUMPRODUCT((rl_eff&lt;$B1112)*(rl_key=$A$1102)*rl_ln1p))</f>
        <v/>
      </c>
      <c r="J1112" s="208">
        <f>EXP(SUMPRODUCT((rl_eff&lt;=$C1112)*(rl_key=$A$1102)*rl_ln1p))</f>
        <v/>
      </c>
      <c r="K1112" s="201">
        <f>COUNTIFS(rl_key,$A$1102,rl_eff,"&gt;="&amp;$B1112,rl_eff,"&lt;="&amp;$C1112)</f>
        <v/>
      </c>
      <c r="L1112" s="201">
        <f>SUMIFS(rl_daysafter,rl_key,$A$1102,rl_effmonth,$B1112,rl_first,1)</f>
        <v/>
      </c>
      <c r="M1112" s="209">
        <f>IF($K1112=0,0,MIN(1,$L1112/$D1112))</f>
        <v/>
      </c>
      <c r="N1112" s="208">
        <f>IF($K1112=0,$J1112,(1-$M1112)*$I1112+$M1112*$J1112)</f>
        <v/>
      </c>
      <c r="O1112" s="209">
        <f>IF($F1112&lt;$B$1103,$E$1103+$I$1103*($F1112-$A$1103),IF($F1112&lt;$C$1103,$F$1103+$J$1103*($F1112-$B$1103),$G$1103+$K$1103*($F1112-$C$1103)))</f>
        <v/>
      </c>
      <c r="P1112" s="208">
        <f>MIN(1,MAX(0,(nr_MEndPm1-$G1112+0.5)/$C$1102))-MIN(1,MAX(0,(nr_MStartPm1-1-$G1112+0.5)/$C$1102))</f>
        <v/>
      </c>
      <c r="Q1112" s="208">
        <f>MIN(1,MAX(0,(nr_MEndP-$G1112+0.5)/$C$1102))-MIN(1,MAX(0,(nr_MStartP-1-$G1112+0.5)/$C$1102))</f>
        <v/>
      </c>
      <c r="R1112" s="208">
        <f>MIN(1,MAX(0,(nr_MEndP1-$G1112+0.5)/$C$1102))-MIN(1,MAX(0,(nr_MStartP1-1-$G1112+0.5)/$C$1102))</f>
        <v/>
      </c>
      <c r="S1112" s="208">
        <f>IF($L$1102,$N1112*IF($O$1102=1,$O1112/$F$1102,1),"")</f>
        <v/>
      </c>
      <c r="T1112" s="208">
        <f>IF(NOT($L$1102),"",IF($G1112&lt;nr_MStartP,$S1112,$T1100*(1+IF($G1112&lt;nr_MStartP1,$M$1102,$N$1102))))</f>
        <v/>
      </c>
      <c r="U1112" s="208">
        <f>IF($L$1102,$T1112,$N1112)</f>
        <v/>
      </c>
    </row>
    <row r="1113">
      <c r="A1113" s="145" t="n">
        <v>9</v>
      </c>
      <c r="B1113" s="204">
        <f>EDATE($B1112,1)</f>
        <v/>
      </c>
      <c r="C1113" s="205">
        <f>EOMONTH($B1113,0)</f>
        <v/>
      </c>
      <c r="D1113" s="201">
        <f>$C1113-$B1113+1</f>
        <v/>
      </c>
      <c r="E1113" s="201">
        <f>MONTH($B1113)</f>
        <v/>
      </c>
      <c r="F1113" s="235">
        <f>($B1113+$C1113+1)/2</f>
        <v/>
      </c>
      <c r="G1113" s="201">
        <f>YEAR($B1113)*12+MONTH($B1113)-1</f>
        <v/>
      </c>
      <c r="H1113" s="207">
        <f>IF(OR(nr_SeasonOn="OFF",$D$1102=0,$E$1102=0),1,12*INDEX(se_block,$D$1102,$E1113)/$E$1102)</f>
        <v/>
      </c>
      <c r="I1113" s="208">
        <f>EXP(SUMPRODUCT((rl_eff&lt;$B1113)*(rl_key=$A$1102)*rl_ln1p))</f>
        <v/>
      </c>
      <c r="J1113" s="208">
        <f>EXP(SUMPRODUCT((rl_eff&lt;=$C1113)*(rl_key=$A$1102)*rl_ln1p))</f>
        <v/>
      </c>
      <c r="K1113" s="201">
        <f>COUNTIFS(rl_key,$A$1102,rl_eff,"&gt;="&amp;$B1113,rl_eff,"&lt;="&amp;$C1113)</f>
        <v/>
      </c>
      <c r="L1113" s="201">
        <f>SUMIFS(rl_daysafter,rl_key,$A$1102,rl_effmonth,$B1113,rl_first,1)</f>
        <v/>
      </c>
      <c r="M1113" s="209">
        <f>IF($K1113=0,0,MIN(1,$L1113/$D1113))</f>
        <v/>
      </c>
      <c r="N1113" s="208">
        <f>IF($K1113=0,$J1113,(1-$M1113)*$I1113+$M1113*$J1113)</f>
        <v/>
      </c>
      <c r="O1113" s="209">
        <f>IF($F1113&lt;$B$1103,$E$1103+$I$1103*($F1113-$A$1103),IF($F1113&lt;$C$1103,$F$1103+$J$1103*($F1113-$B$1103),$G$1103+$K$1103*($F1113-$C$1103)))</f>
        <v/>
      </c>
      <c r="P1113" s="208">
        <f>MIN(1,MAX(0,(nr_MEndPm1-$G1113+0.5)/$C$1102))-MIN(1,MAX(0,(nr_MStartPm1-1-$G1113+0.5)/$C$1102))</f>
        <v/>
      </c>
      <c r="Q1113" s="208">
        <f>MIN(1,MAX(0,(nr_MEndP-$G1113+0.5)/$C$1102))-MIN(1,MAX(0,(nr_MStartP-1-$G1113+0.5)/$C$1102))</f>
        <v/>
      </c>
      <c r="R1113" s="208">
        <f>MIN(1,MAX(0,(nr_MEndP1-$G1113+0.5)/$C$1102))-MIN(1,MAX(0,(nr_MStartP1-1-$G1113+0.5)/$C$1102))</f>
        <v/>
      </c>
      <c r="S1113" s="208">
        <f>IF($L$1102,$N1113*IF($O$1102=1,$O1113/$F$1102,1),"")</f>
        <v/>
      </c>
      <c r="T1113" s="208">
        <f>IF(NOT($L$1102),"",IF($G1113&lt;nr_MStartP,$S1113,$T1101*(1+IF($G1113&lt;nr_MStartP1,$M$1102,$N$1102))))</f>
        <v/>
      </c>
      <c r="U1113" s="208">
        <f>IF($L$1102,$T1113,$N1113)</f>
        <v/>
      </c>
    </row>
    <row r="1114">
      <c r="A1114" s="145" t="n">
        <v>10</v>
      </c>
      <c r="B1114" s="204">
        <f>EDATE($B1113,1)</f>
        <v/>
      </c>
      <c r="C1114" s="205">
        <f>EOMONTH($B1114,0)</f>
        <v/>
      </c>
      <c r="D1114" s="201">
        <f>$C1114-$B1114+1</f>
        <v/>
      </c>
      <c r="E1114" s="201">
        <f>MONTH($B1114)</f>
        <v/>
      </c>
      <c r="F1114" s="235">
        <f>($B1114+$C1114+1)/2</f>
        <v/>
      </c>
      <c r="G1114" s="201">
        <f>YEAR($B1114)*12+MONTH($B1114)-1</f>
        <v/>
      </c>
      <c r="H1114" s="207">
        <f>IF(OR(nr_SeasonOn="OFF",$D$1102=0,$E$1102=0),1,12*INDEX(se_block,$D$1102,$E1114)/$E$1102)</f>
        <v/>
      </c>
      <c r="I1114" s="208">
        <f>EXP(SUMPRODUCT((rl_eff&lt;$B1114)*(rl_key=$A$1102)*rl_ln1p))</f>
        <v/>
      </c>
      <c r="J1114" s="208">
        <f>EXP(SUMPRODUCT((rl_eff&lt;=$C1114)*(rl_key=$A$1102)*rl_ln1p))</f>
        <v/>
      </c>
      <c r="K1114" s="201">
        <f>COUNTIFS(rl_key,$A$1102,rl_eff,"&gt;="&amp;$B1114,rl_eff,"&lt;="&amp;$C1114)</f>
        <v/>
      </c>
      <c r="L1114" s="201">
        <f>SUMIFS(rl_daysafter,rl_key,$A$1102,rl_effmonth,$B1114,rl_first,1)</f>
        <v/>
      </c>
      <c r="M1114" s="209">
        <f>IF($K1114=0,0,MIN(1,$L1114/$D1114))</f>
        <v/>
      </c>
      <c r="N1114" s="208">
        <f>IF($K1114=0,$J1114,(1-$M1114)*$I1114+$M1114*$J1114)</f>
        <v/>
      </c>
      <c r="O1114" s="209">
        <f>IF($F1114&lt;$B$1103,$E$1103+$I$1103*($F1114-$A$1103),IF($F1114&lt;$C$1103,$F$1103+$J$1103*($F1114-$B$1103),$G$1103+$K$1103*($F1114-$C$1103)))</f>
        <v/>
      </c>
      <c r="P1114" s="208">
        <f>MIN(1,MAX(0,(nr_MEndPm1-$G1114+0.5)/$C$1102))-MIN(1,MAX(0,(nr_MStartPm1-1-$G1114+0.5)/$C$1102))</f>
        <v/>
      </c>
      <c r="Q1114" s="208">
        <f>MIN(1,MAX(0,(nr_MEndP-$G1114+0.5)/$C$1102))-MIN(1,MAX(0,(nr_MStartP-1-$G1114+0.5)/$C$1102))</f>
        <v/>
      </c>
      <c r="R1114" s="208">
        <f>MIN(1,MAX(0,(nr_MEndP1-$G1114+0.5)/$C$1102))-MIN(1,MAX(0,(nr_MStartP1-1-$G1114+0.5)/$C$1102))</f>
        <v/>
      </c>
      <c r="S1114" s="208">
        <f>IF($L$1102,$N1114*IF($O$1102=1,$O1114/$F$1102,1),"")</f>
        <v/>
      </c>
      <c r="T1114" s="208">
        <f>IF(NOT($L$1102),"",IF($G1114&lt;nr_MStartP,$S1114,$T1102*(1+IF($G1114&lt;nr_MStartP1,$M$1102,$N$1102))))</f>
        <v/>
      </c>
      <c r="U1114" s="208">
        <f>IF($L$1102,$T1114,$N1114)</f>
        <v/>
      </c>
    </row>
    <row r="1115">
      <c r="A1115" s="145" t="n">
        <v>11</v>
      </c>
      <c r="B1115" s="204">
        <f>EDATE($B1114,1)</f>
        <v/>
      </c>
      <c r="C1115" s="205">
        <f>EOMONTH($B1115,0)</f>
        <v/>
      </c>
      <c r="D1115" s="201">
        <f>$C1115-$B1115+1</f>
        <v/>
      </c>
      <c r="E1115" s="201">
        <f>MONTH($B1115)</f>
        <v/>
      </c>
      <c r="F1115" s="235">
        <f>($B1115+$C1115+1)/2</f>
        <v/>
      </c>
      <c r="G1115" s="201">
        <f>YEAR($B1115)*12+MONTH($B1115)-1</f>
        <v/>
      </c>
      <c r="H1115" s="207">
        <f>IF(OR(nr_SeasonOn="OFF",$D$1102=0,$E$1102=0),1,12*INDEX(se_block,$D$1102,$E1115)/$E$1102)</f>
        <v/>
      </c>
      <c r="I1115" s="208">
        <f>EXP(SUMPRODUCT((rl_eff&lt;$B1115)*(rl_key=$A$1102)*rl_ln1p))</f>
        <v/>
      </c>
      <c r="J1115" s="208">
        <f>EXP(SUMPRODUCT((rl_eff&lt;=$C1115)*(rl_key=$A$1102)*rl_ln1p))</f>
        <v/>
      </c>
      <c r="K1115" s="201">
        <f>COUNTIFS(rl_key,$A$1102,rl_eff,"&gt;="&amp;$B1115,rl_eff,"&lt;="&amp;$C1115)</f>
        <v/>
      </c>
      <c r="L1115" s="201">
        <f>SUMIFS(rl_daysafter,rl_key,$A$1102,rl_effmonth,$B1115,rl_first,1)</f>
        <v/>
      </c>
      <c r="M1115" s="209">
        <f>IF($K1115=0,0,MIN(1,$L1115/$D1115))</f>
        <v/>
      </c>
      <c r="N1115" s="208">
        <f>IF($K1115=0,$J1115,(1-$M1115)*$I1115+$M1115*$J1115)</f>
        <v/>
      </c>
      <c r="O1115" s="209">
        <f>IF($F1115&lt;$B$1103,$E$1103+$I$1103*($F1115-$A$1103),IF($F1115&lt;$C$1103,$F$1103+$J$1103*($F1115-$B$1103),$G$1103+$K$1103*($F1115-$C$1103)))</f>
        <v/>
      </c>
      <c r="P1115" s="208">
        <f>MIN(1,MAX(0,(nr_MEndPm1-$G1115+0.5)/$C$1102))-MIN(1,MAX(0,(nr_MStartPm1-1-$G1115+0.5)/$C$1102))</f>
        <v/>
      </c>
      <c r="Q1115" s="208">
        <f>MIN(1,MAX(0,(nr_MEndP-$G1115+0.5)/$C$1102))-MIN(1,MAX(0,(nr_MStartP-1-$G1115+0.5)/$C$1102))</f>
        <v/>
      </c>
      <c r="R1115" s="208">
        <f>MIN(1,MAX(0,(nr_MEndP1-$G1115+0.5)/$C$1102))-MIN(1,MAX(0,(nr_MStartP1-1-$G1115+0.5)/$C$1102))</f>
        <v/>
      </c>
      <c r="S1115" s="208">
        <f>IF($L$1102,$N1115*IF($O$1102=1,$O1115/$F$1102,1),"")</f>
        <v/>
      </c>
      <c r="T1115" s="208">
        <f>IF(NOT($L$1102),"",IF($G1115&lt;nr_MStartP,$S1115,$T1103*(1+IF($G1115&lt;nr_MStartP1,$M$1102,$N$1102))))</f>
        <v/>
      </c>
      <c r="U1115" s="208">
        <f>IF($L$1102,$T1115,$N1115)</f>
        <v/>
      </c>
    </row>
    <row r="1116">
      <c r="A1116" s="145" t="n">
        <v>12</v>
      </c>
      <c r="B1116" s="204">
        <f>EDATE($B1115,1)</f>
        <v/>
      </c>
      <c r="C1116" s="205">
        <f>EOMONTH($B1116,0)</f>
        <v/>
      </c>
      <c r="D1116" s="201">
        <f>$C1116-$B1116+1</f>
        <v/>
      </c>
      <c r="E1116" s="201">
        <f>MONTH($B1116)</f>
        <v/>
      </c>
      <c r="F1116" s="235">
        <f>($B1116+$C1116+1)/2</f>
        <v/>
      </c>
      <c r="G1116" s="201">
        <f>YEAR($B1116)*12+MONTH($B1116)-1</f>
        <v/>
      </c>
      <c r="H1116" s="207">
        <f>IF(OR(nr_SeasonOn="OFF",$D$1102=0,$E$1102=0),1,12*INDEX(se_block,$D$1102,$E1116)/$E$1102)</f>
        <v/>
      </c>
      <c r="I1116" s="208">
        <f>EXP(SUMPRODUCT((rl_eff&lt;$B1116)*(rl_key=$A$1102)*rl_ln1p))</f>
        <v/>
      </c>
      <c r="J1116" s="208">
        <f>EXP(SUMPRODUCT((rl_eff&lt;=$C1116)*(rl_key=$A$1102)*rl_ln1p))</f>
        <v/>
      </c>
      <c r="K1116" s="201">
        <f>COUNTIFS(rl_key,$A$1102,rl_eff,"&gt;="&amp;$B1116,rl_eff,"&lt;="&amp;$C1116)</f>
        <v/>
      </c>
      <c r="L1116" s="201">
        <f>SUMIFS(rl_daysafter,rl_key,$A$1102,rl_effmonth,$B1116,rl_first,1)</f>
        <v/>
      </c>
      <c r="M1116" s="209">
        <f>IF($K1116=0,0,MIN(1,$L1116/$D1116))</f>
        <v/>
      </c>
      <c r="N1116" s="208">
        <f>IF($K1116=0,$J1116,(1-$M1116)*$I1116+$M1116*$J1116)</f>
        <v/>
      </c>
      <c r="O1116" s="209">
        <f>IF($F1116&lt;$B$1103,$E$1103+$I$1103*($F1116-$A$1103),IF($F1116&lt;$C$1103,$F$1103+$J$1103*($F1116-$B$1103),$G$1103+$K$1103*($F1116-$C$1103)))</f>
        <v/>
      </c>
      <c r="P1116" s="208">
        <f>MIN(1,MAX(0,(nr_MEndPm1-$G1116+0.5)/$C$1102))-MIN(1,MAX(0,(nr_MStartPm1-1-$G1116+0.5)/$C$1102))</f>
        <v/>
      </c>
      <c r="Q1116" s="208">
        <f>MIN(1,MAX(0,(nr_MEndP-$G1116+0.5)/$C$1102))-MIN(1,MAX(0,(nr_MStartP-1-$G1116+0.5)/$C$1102))</f>
        <v/>
      </c>
      <c r="R1116" s="208">
        <f>MIN(1,MAX(0,(nr_MEndP1-$G1116+0.5)/$C$1102))-MIN(1,MAX(0,(nr_MStartP1-1-$G1116+0.5)/$C$1102))</f>
        <v/>
      </c>
      <c r="S1116" s="208">
        <f>IF($L$1102,$N1116*IF($O$1102=1,$O1116/$F$1102,1),"")</f>
        <v/>
      </c>
      <c r="T1116" s="208">
        <f>IF(NOT($L$1102),"",IF($G1116&lt;nr_MStartP,$S1116,$T1104*(1+IF($G1116&lt;nr_MStartP1,$M$1102,$N$1102))))</f>
        <v/>
      </c>
      <c r="U1116" s="208">
        <f>IF($L$1102,$T1116,$N1116)</f>
        <v/>
      </c>
    </row>
    <row r="1117">
      <c r="A1117" s="145" t="n">
        <v>13</v>
      </c>
      <c r="B1117" s="204">
        <f>EDATE($B1116,1)</f>
        <v/>
      </c>
      <c r="C1117" s="205">
        <f>EOMONTH($B1117,0)</f>
        <v/>
      </c>
      <c r="D1117" s="201">
        <f>$C1117-$B1117+1</f>
        <v/>
      </c>
      <c r="E1117" s="201">
        <f>MONTH($B1117)</f>
        <v/>
      </c>
      <c r="F1117" s="235">
        <f>($B1117+$C1117+1)/2</f>
        <v/>
      </c>
      <c r="G1117" s="201">
        <f>YEAR($B1117)*12+MONTH($B1117)-1</f>
        <v/>
      </c>
      <c r="H1117" s="207">
        <f>IF(OR(nr_SeasonOn="OFF",$D$1102=0,$E$1102=0),1,12*INDEX(se_block,$D$1102,$E1117)/$E$1102)</f>
        <v/>
      </c>
      <c r="I1117" s="208">
        <f>EXP(SUMPRODUCT((rl_eff&lt;$B1117)*(rl_key=$A$1102)*rl_ln1p))</f>
        <v/>
      </c>
      <c r="J1117" s="208">
        <f>EXP(SUMPRODUCT((rl_eff&lt;=$C1117)*(rl_key=$A$1102)*rl_ln1p))</f>
        <v/>
      </c>
      <c r="K1117" s="201">
        <f>COUNTIFS(rl_key,$A$1102,rl_eff,"&gt;="&amp;$B1117,rl_eff,"&lt;="&amp;$C1117)</f>
        <v/>
      </c>
      <c r="L1117" s="201">
        <f>SUMIFS(rl_daysafter,rl_key,$A$1102,rl_effmonth,$B1117,rl_first,1)</f>
        <v/>
      </c>
      <c r="M1117" s="209">
        <f>IF($K1117=0,0,MIN(1,$L1117/$D1117))</f>
        <v/>
      </c>
      <c r="N1117" s="208">
        <f>IF($K1117=0,$J1117,(1-$M1117)*$I1117+$M1117*$J1117)</f>
        <v/>
      </c>
      <c r="O1117" s="209">
        <f>IF($F1117&lt;$B$1103,$E$1103+$I$1103*($F1117-$A$1103),IF($F1117&lt;$C$1103,$F$1103+$J$1103*($F1117-$B$1103),$G$1103+$K$1103*($F1117-$C$1103)))</f>
        <v/>
      </c>
      <c r="P1117" s="208">
        <f>MIN(1,MAX(0,(nr_MEndPm1-$G1117+0.5)/$C$1102))-MIN(1,MAX(0,(nr_MStartPm1-1-$G1117+0.5)/$C$1102))</f>
        <v/>
      </c>
      <c r="Q1117" s="208">
        <f>MIN(1,MAX(0,(nr_MEndP-$G1117+0.5)/$C$1102))-MIN(1,MAX(0,(nr_MStartP-1-$G1117+0.5)/$C$1102))</f>
        <v/>
      </c>
      <c r="R1117" s="208">
        <f>MIN(1,MAX(0,(nr_MEndP1-$G1117+0.5)/$C$1102))-MIN(1,MAX(0,(nr_MStartP1-1-$G1117+0.5)/$C$1102))</f>
        <v/>
      </c>
      <c r="S1117" s="208">
        <f>IF($L$1102,$N1117*IF($O$1102=1,$O1117/$F$1102,1),"")</f>
        <v/>
      </c>
      <c r="T1117" s="208">
        <f>IF(NOT($L$1102),"",IF($G1117&lt;nr_MStartP,$S1117,$T1105*(1+IF($G1117&lt;nr_MStartP1,$M$1102,$N$1102))))</f>
        <v/>
      </c>
      <c r="U1117" s="208">
        <f>IF($L$1102,$T1117,$N1117)</f>
        <v/>
      </c>
    </row>
    <row r="1118">
      <c r="A1118" s="145" t="n">
        <v>14</v>
      </c>
      <c r="B1118" s="204">
        <f>EDATE($B1117,1)</f>
        <v/>
      </c>
      <c r="C1118" s="205">
        <f>EOMONTH($B1118,0)</f>
        <v/>
      </c>
      <c r="D1118" s="201">
        <f>$C1118-$B1118+1</f>
        <v/>
      </c>
      <c r="E1118" s="201">
        <f>MONTH($B1118)</f>
        <v/>
      </c>
      <c r="F1118" s="235">
        <f>($B1118+$C1118+1)/2</f>
        <v/>
      </c>
      <c r="G1118" s="201">
        <f>YEAR($B1118)*12+MONTH($B1118)-1</f>
        <v/>
      </c>
      <c r="H1118" s="207">
        <f>IF(OR(nr_SeasonOn="OFF",$D$1102=0,$E$1102=0),1,12*INDEX(se_block,$D$1102,$E1118)/$E$1102)</f>
        <v/>
      </c>
      <c r="I1118" s="208">
        <f>EXP(SUMPRODUCT((rl_eff&lt;$B1118)*(rl_key=$A$1102)*rl_ln1p))</f>
        <v/>
      </c>
      <c r="J1118" s="208">
        <f>EXP(SUMPRODUCT((rl_eff&lt;=$C1118)*(rl_key=$A$1102)*rl_ln1p))</f>
        <v/>
      </c>
      <c r="K1118" s="201">
        <f>COUNTIFS(rl_key,$A$1102,rl_eff,"&gt;="&amp;$B1118,rl_eff,"&lt;="&amp;$C1118)</f>
        <v/>
      </c>
      <c r="L1118" s="201">
        <f>SUMIFS(rl_daysafter,rl_key,$A$1102,rl_effmonth,$B1118,rl_first,1)</f>
        <v/>
      </c>
      <c r="M1118" s="209">
        <f>IF($K1118=0,0,MIN(1,$L1118/$D1118))</f>
        <v/>
      </c>
      <c r="N1118" s="208">
        <f>IF($K1118=0,$J1118,(1-$M1118)*$I1118+$M1118*$J1118)</f>
        <v/>
      </c>
      <c r="O1118" s="209">
        <f>IF($F1118&lt;$B$1103,$E$1103+$I$1103*($F1118-$A$1103),IF($F1118&lt;$C$1103,$F$1103+$J$1103*($F1118-$B$1103),$G$1103+$K$1103*($F1118-$C$1103)))</f>
        <v/>
      </c>
      <c r="P1118" s="208">
        <f>MIN(1,MAX(0,(nr_MEndPm1-$G1118+0.5)/$C$1102))-MIN(1,MAX(0,(nr_MStartPm1-1-$G1118+0.5)/$C$1102))</f>
        <v/>
      </c>
      <c r="Q1118" s="208">
        <f>MIN(1,MAX(0,(nr_MEndP-$G1118+0.5)/$C$1102))-MIN(1,MAX(0,(nr_MStartP-1-$G1118+0.5)/$C$1102))</f>
        <v/>
      </c>
      <c r="R1118" s="208">
        <f>MIN(1,MAX(0,(nr_MEndP1-$G1118+0.5)/$C$1102))-MIN(1,MAX(0,(nr_MStartP1-1-$G1118+0.5)/$C$1102))</f>
        <v/>
      </c>
      <c r="S1118" s="208">
        <f>IF($L$1102,$N1118*IF($O$1102=1,$O1118/$F$1102,1),"")</f>
        <v/>
      </c>
      <c r="T1118" s="208">
        <f>IF(NOT($L$1102),"",IF($G1118&lt;nr_MStartP,$S1118,$T1106*(1+IF($G1118&lt;nr_MStartP1,$M$1102,$N$1102))))</f>
        <v/>
      </c>
      <c r="U1118" s="208">
        <f>IF($L$1102,$T1118,$N1118)</f>
        <v/>
      </c>
    </row>
    <row r="1119">
      <c r="A1119" s="145" t="n">
        <v>15</v>
      </c>
      <c r="B1119" s="204">
        <f>EDATE($B1118,1)</f>
        <v/>
      </c>
      <c r="C1119" s="205">
        <f>EOMONTH($B1119,0)</f>
        <v/>
      </c>
      <c r="D1119" s="201">
        <f>$C1119-$B1119+1</f>
        <v/>
      </c>
      <c r="E1119" s="201">
        <f>MONTH($B1119)</f>
        <v/>
      </c>
      <c r="F1119" s="235">
        <f>($B1119+$C1119+1)/2</f>
        <v/>
      </c>
      <c r="G1119" s="201">
        <f>YEAR($B1119)*12+MONTH($B1119)-1</f>
        <v/>
      </c>
      <c r="H1119" s="207">
        <f>IF(OR(nr_SeasonOn="OFF",$D$1102=0,$E$1102=0),1,12*INDEX(se_block,$D$1102,$E1119)/$E$1102)</f>
        <v/>
      </c>
      <c r="I1119" s="208">
        <f>EXP(SUMPRODUCT((rl_eff&lt;$B1119)*(rl_key=$A$1102)*rl_ln1p))</f>
        <v/>
      </c>
      <c r="J1119" s="208">
        <f>EXP(SUMPRODUCT((rl_eff&lt;=$C1119)*(rl_key=$A$1102)*rl_ln1p))</f>
        <v/>
      </c>
      <c r="K1119" s="201">
        <f>COUNTIFS(rl_key,$A$1102,rl_eff,"&gt;="&amp;$B1119,rl_eff,"&lt;="&amp;$C1119)</f>
        <v/>
      </c>
      <c r="L1119" s="201">
        <f>SUMIFS(rl_daysafter,rl_key,$A$1102,rl_effmonth,$B1119,rl_first,1)</f>
        <v/>
      </c>
      <c r="M1119" s="209">
        <f>IF($K1119=0,0,MIN(1,$L1119/$D1119))</f>
        <v/>
      </c>
      <c r="N1119" s="208">
        <f>IF($K1119=0,$J1119,(1-$M1119)*$I1119+$M1119*$J1119)</f>
        <v/>
      </c>
      <c r="O1119" s="209">
        <f>IF($F1119&lt;$B$1103,$E$1103+$I$1103*($F1119-$A$1103),IF($F1119&lt;$C$1103,$F$1103+$J$1103*($F1119-$B$1103),$G$1103+$K$1103*($F1119-$C$1103)))</f>
        <v/>
      </c>
      <c r="P1119" s="208">
        <f>MIN(1,MAX(0,(nr_MEndPm1-$G1119+0.5)/$C$1102))-MIN(1,MAX(0,(nr_MStartPm1-1-$G1119+0.5)/$C$1102))</f>
        <v/>
      </c>
      <c r="Q1119" s="208">
        <f>MIN(1,MAX(0,(nr_MEndP-$G1119+0.5)/$C$1102))-MIN(1,MAX(0,(nr_MStartP-1-$G1119+0.5)/$C$1102))</f>
        <v/>
      </c>
      <c r="R1119" s="208">
        <f>MIN(1,MAX(0,(nr_MEndP1-$G1119+0.5)/$C$1102))-MIN(1,MAX(0,(nr_MStartP1-1-$G1119+0.5)/$C$1102))</f>
        <v/>
      </c>
      <c r="S1119" s="208">
        <f>IF($L$1102,$N1119*IF($O$1102=1,$O1119/$F$1102,1),"")</f>
        <v/>
      </c>
      <c r="T1119" s="208">
        <f>IF(NOT($L$1102),"",IF($G1119&lt;nr_MStartP,$S1119,$T1107*(1+IF($G1119&lt;nr_MStartP1,$M$1102,$N$1102))))</f>
        <v/>
      </c>
      <c r="U1119" s="208">
        <f>IF($L$1102,$T1119,$N1119)</f>
        <v/>
      </c>
    </row>
    <row r="1120">
      <c r="A1120" s="145" t="n">
        <v>16</v>
      </c>
      <c r="B1120" s="204">
        <f>EDATE($B1119,1)</f>
        <v/>
      </c>
      <c r="C1120" s="205">
        <f>EOMONTH($B1120,0)</f>
        <v/>
      </c>
      <c r="D1120" s="201">
        <f>$C1120-$B1120+1</f>
        <v/>
      </c>
      <c r="E1120" s="201">
        <f>MONTH($B1120)</f>
        <v/>
      </c>
      <c r="F1120" s="235">
        <f>($B1120+$C1120+1)/2</f>
        <v/>
      </c>
      <c r="G1120" s="201">
        <f>YEAR($B1120)*12+MONTH($B1120)-1</f>
        <v/>
      </c>
      <c r="H1120" s="207">
        <f>IF(OR(nr_SeasonOn="OFF",$D$1102=0,$E$1102=0),1,12*INDEX(se_block,$D$1102,$E1120)/$E$1102)</f>
        <v/>
      </c>
      <c r="I1120" s="208">
        <f>EXP(SUMPRODUCT((rl_eff&lt;$B1120)*(rl_key=$A$1102)*rl_ln1p))</f>
        <v/>
      </c>
      <c r="J1120" s="208">
        <f>EXP(SUMPRODUCT((rl_eff&lt;=$C1120)*(rl_key=$A$1102)*rl_ln1p))</f>
        <v/>
      </c>
      <c r="K1120" s="201">
        <f>COUNTIFS(rl_key,$A$1102,rl_eff,"&gt;="&amp;$B1120,rl_eff,"&lt;="&amp;$C1120)</f>
        <v/>
      </c>
      <c r="L1120" s="201">
        <f>SUMIFS(rl_daysafter,rl_key,$A$1102,rl_effmonth,$B1120,rl_first,1)</f>
        <v/>
      </c>
      <c r="M1120" s="209">
        <f>IF($K1120=0,0,MIN(1,$L1120/$D1120))</f>
        <v/>
      </c>
      <c r="N1120" s="208">
        <f>IF($K1120=0,$J1120,(1-$M1120)*$I1120+$M1120*$J1120)</f>
        <v/>
      </c>
      <c r="O1120" s="209">
        <f>IF($F1120&lt;$B$1103,$E$1103+$I$1103*($F1120-$A$1103),IF($F1120&lt;$C$1103,$F$1103+$J$1103*($F1120-$B$1103),$G$1103+$K$1103*($F1120-$C$1103)))</f>
        <v/>
      </c>
      <c r="P1120" s="208">
        <f>MIN(1,MAX(0,(nr_MEndPm1-$G1120+0.5)/$C$1102))-MIN(1,MAX(0,(nr_MStartPm1-1-$G1120+0.5)/$C$1102))</f>
        <v/>
      </c>
      <c r="Q1120" s="208">
        <f>MIN(1,MAX(0,(nr_MEndP-$G1120+0.5)/$C$1102))-MIN(1,MAX(0,(nr_MStartP-1-$G1120+0.5)/$C$1102))</f>
        <v/>
      </c>
      <c r="R1120" s="208">
        <f>MIN(1,MAX(0,(nr_MEndP1-$G1120+0.5)/$C$1102))-MIN(1,MAX(0,(nr_MStartP1-1-$G1120+0.5)/$C$1102))</f>
        <v/>
      </c>
      <c r="S1120" s="208">
        <f>IF($L$1102,$N1120*IF($O$1102=1,$O1120/$F$1102,1),"")</f>
        <v/>
      </c>
      <c r="T1120" s="208">
        <f>IF(NOT($L$1102),"",IF($G1120&lt;nr_MStartP,$S1120,$T1108*(1+IF($G1120&lt;nr_MStartP1,$M$1102,$N$1102))))</f>
        <v/>
      </c>
      <c r="U1120" s="208">
        <f>IF($L$1102,$T1120,$N1120)</f>
        <v/>
      </c>
    </row>
    <row r="1121">
      <c r="A1121" s="145" t="n">
        <v>17</v>
      </c>
      <c r="B1121" s="204">
        <f>EDATE($B1120,1)</f>
        <v/>
      </c>
      <c r="C1121" s="205">
        <f>EOMONTH($B1121,0)</f>
        <v/>
      </c>
      <c r="D1121" s="201">
        <f>$C1121-$B1121+1</f>
        <v/>
      </c>
      <c r="E1121" s="201">
        <f>MONTH($B1121)</f>
        <v/>
      </c>
      <c r="F1121" s="235">
        <f>($B1121+$C1121+1)/2</f>
        <v/>
      </c>
      <c r="G1121" s="201">
        <f>YEAR($B1121)*12+MONTH($B1121)-1</f>
        <v/>
      </c>
      <c r="H1121" s="207">
        <f>IF(OR(nr_SeasonOn="OFF",$D$1102=0,$E$1102=0),1,12*INDEX(se_block,$D$1102,$E1121)/$E$1102)</f>
        <v/>
      </c>
      <c r="I1121" s="208">
        <f>EXP(SUMPRODUCT((rl_eff&lt;$B1121)*(rl_key=$A$1102)*rl_ln1p))</f>
        <v/>
      </c>
      <c r="J1121" s="208">
        <f>EXP(SUMPRODUCT((rl_eff&lt;=$C1121)*(rl_key=$A$1102)*rl_ln1p))</f>
        <v/>
      </c>
      <c r="K1121" s="201">
        <f>COUNTIFS(rl_key,$A$1102,rl_eff,"&gt;="&amp;$B1121,rl_eff,"&lt;="&amp;$C1121)</f>
        <v/>
      </c>
      <c r="L1121" s="201">
        <f>SUMIFS(rl_daysafter,rl_key,$A$1102,rl_effmonth,$B1121,rl_first,1)</f>
        <v/>
      </c>
      <c r="M1121" s="209">
        <f>IF($K1121=0,0,MIN(1,$L1121/$D1121))</f>
        <v/>
      </c>
      <c r="N1121" s="208">
        <f>IF($K1121=0,$J1121,(1-$M1121)*$I1121+$M1121*$J1121)</f>
        <v/>
      </c>
      <c r="O1121" s="209">
        <f>IF($F1121&lt;$B$1103,$E$1103+$I$1103*($F1121-$A$1103),IF($F1121&lt;$C$1103,$F$1103+$J$1103*($F1121-$B$1103),$G$1103+$K$1103*($F1121-$C$1103)))</f>
        <v/>
      </c>
      <c r="P1121" s="208">
        <f>MIN(1,MAX(0,(nr_MEndPm1-$G1121+0.5)/$C$1102))-MIN(1,MAX(0,(nr_MStartPm1-1-$G1121+0.5)/$C$1102))</f>
        <v/>
      </c>
      <c r="Q1121" s="208">
        <f>MIN(1,MAX(0,(nr_MEndP-$G1121+0.5)/$C$1102))-MIN(1,MAX(0,(nr_MStartP-1-$G1121+0.5)/$C$1102))</f>
        <v/>
      </c>
      <c r="R1121" s="208">
        <f>MIN(1,MAX(0,(nr_MEndP1-$G1121+0.5)/$C$1102))-MIN(1,MAX(0,(nr_MStartP1-1-$G1121+0.5)/$C$1102))</f>
        <v/>
      </c>
      <c r="S1121" s="208">
        <f>IF($L$1102,$N1121*IF($O$1102=1,$O1121/$F$1102,1),"")</f>
        <v/>
      </c>
      <c r="T1121" s="208">
        <f>IF(NOT($L$1102),"",IF($G1121&lt;nr_MStartP,$S1121,$T1109*(1+IF($G1121&lt;nr_MStartP1,$M$1102,$N$1102))))</f>
        <v/>
      </c>
      <c r="U1121" s="208">
        <f>IF($L$1102,$T1121,$N1121)</f>
        <v/>
      </c>
    </row>
    <row r="1122">
      <c r="A1122" s="145" t="n">
        <v>18</v>
      </c>
      <c r="B1122" s="204">
        <f>EDATE($B1121,1)</f>
        <v/>
      </c>
      <c r="C1122" s="205">
        <f>EOMONTH($B1122,0)</f>
        <v/>
      </c>
      <c r="D1122" s="201">
        <f>$C1122-$B1122+1</f>
        <v/>
      </c>
      <c r="E1122" s="201">
        <f>MONTH($B1122)</f>
        <v/>
      </c>
      <c r="F1122" s="235">
        <f>($B1122+$C1122+1)/2</f>
        <v/>
      </c>
      <c r="G1122" s="201">
        <f>YEAR($B1122)*12+MONTH($B1122)-1</f>
        <v/>
      </c>
      <c r="H1122" s="207">
        <f>IF(OR(nr_SeasonOn="OFF",$D$1102=0,$E$1102=0),1,12*INDEX(se_block,$D$1102,$E1122)/$E$1102)</f>
        <v/>
      </c>
      <c r="I1122" s="208">
        <f>EXP(SUMPRODUCT((rl_eff&lt;$B1122)*(rl_key=$A$1102)*rl_ln1p))</f>
        <v/>
      </c>
      <c r="J1122" s="208">
        <f>EXP(SUMPRODUCT((rl_eff&lt;=$C1122)*(rl_key=$A$1102)*rl_ln1p))</f>
        <v/>
      </c>
      <c r="K1122" s="201">
        <f>COUNTIFS(rl_key,$A$1102,rl_eff,"&gt;="&amp;$B1122,rl_eff,"&lt;="&amp;$C1122)</f>
        <v/>
      </c>
      <c r="L1122" s="201">
        <f>SUMIFS(rl_daysafter,rl_key,$A$1102,rl_effmonth,$B1122,rl_first,1)</f>
        <v/>
      </c>
      <c r="M1122" s="209">
        <f>IF($K1122=0,0,MIN(1,$L1122/$D1122))</f>
        <v/>
      </c>
      <c r="N1122" s="208">
        <f>IF($K1122=0,$J1122,(1-$M1122)*$I1122+$M1122*$J1122)</f>
        <v/>
      </c>
      <c r="O1122" s="209">
        <f>IF($F1122&lt;$B$1103,$E$1103+$I$1103*($F1122-$A$1103),IF($F1122&lt;$C$1103,$F$1103+$J$1103*($F1122-$B$1103),$G$1103+$K$1103*($F1122-$C$1103)))</f>
        <v/>
      </c>
      <c r="P1122" s="208">
        <f>MIN(1,MAX(0,(nr_MEndPm1-$G1122+0.5)/$C$1102))-MIN(1,MAX(0,(nr_MStartPm1-1-$G1122+0.5)/$C$1102))</f>
        <v/>
      </c>
      <c r="Q1122" s="208">
        <f>MIN(1,MAX(0,(nr_MEndP-$G1122+0.5)/$C$1102))-MIN(1,MAX(0,(nr_MStartP-1-$G1122+0.5)/$C$1102))</f>
        <v/>
      </c>
      <c r="R1122" s="208">
        <f>MIN(1,MAX(0,(nr_MEndP1-$G1122+0.5)/$C$1102))-MIN(1,MAX(0,(nr_MStartP1-1-$G1122+0.5)/$C$1102))</f>
        <v/>
      </c>
      <c r="S1122" s="208">
        <f>IF($L$1102,$N1122*IF($O$1102=1,$O1122/$F$1102,1),"")</f>
        <v/>
      </c>
      <c r="T1122" s="208">
        <f>IF(NOT($L$1102),"",IF($G1122&lt;nr_MStartP,$S1122,$T1110*(1+IF($G1122&lt;nr_MStartP1,$M$1102,$N$1102))))</f>
        <v/>
      </c>
      <c r="U1122" s="208">
        <f>IF($L$1102,$T1122,$N1122)</f>
        <v/>
      </c>
    </row>
    <row r="1123">
      <c r="A1123" s="145" t="n">
        <v>19</v>
      </c>
      <c r="B1123" s="204">
        <f>EDATE($B1122,1)</f>
        <v/>
      </c>
      <c r="C1123" s="205">
        <f>EOMONTH($B1123,0)</f>
        <v/>
      </c>
      <c r="D1123" s="201">
        <f>$C1123-$B1123+1</f>
        <v/>
      </c>
      <c r="E1123" s="201">
        <f>MONTH($B1123)</f>
        <v/>
      </c>
      <c r="F1123" s="235">
        <f>($B1123+$C1123+1)/2</f>
        <v/>
      </c>
      <c r="G1123" s="201">
        <f>YEAR($B1123)*12+MONTH($B1123)-1</f>
        <v/>
      </c>
      <c r="H1123" s="207">
        <f>IF(OR(nr_SeasonOn="OFF",$D$1102=0,$E$1102=0),1,12*INDEX(se_block,$D$1102,$E1123)/$E$1102)</f>
        <v/>
      </c>
      <c r="I1123" s="208">
        <f>EXP(SUMPRODUCT((rl_eff&lt;$B1123)*(rl_key=$A$1102)*rl_ln1p))</f>
        <v/>
      </c>
      <c r="J1123" s="208">
        <f>EXP(SUMPRODUCT((rl_eff&lt;=$C1123)*(rl_key=$A$1102)*rl_ln1p))</f>
        <v/>
      </c>
      <c r="K1123" s="201">
        <f>COUNTIFS(rl_key,$A$1102,rl_eff,"&gt;="&amp;$B1123,rl_eff,"&lt;="&amp;$C1123)</f>
        <v/>
      </c>
      <c r="L1123" s="201">
        <f>SUMIFS(rl_daysafter,rl_key,$A$1102,rl_effmonth,$B1123,rl_first,1)</f>
        <v/>
      </c>
      <c r="M1123" s="209">
        <f>IF($K1123=0,0,MIN(1,$L1123/$D1123))</f>
        <v/>
      </c>
      <c r="N1123" s="208">
        <f>IF($K1123=0,$J1123,(1-$M1123)*$I1123+$M1123*$J1123)</f>
        <v/>
      </c>
      <c r="O1123" s="209">
        <f>IF($F1123&lt;$B$1103,$E$1103+$I$1103*($F1123-$A$1103),IF($F1123&lt;$C$1103,$F$1103+$J$1103*($F1123-$B$1103),$G$1103+$K$1103*($F1123-$C$1103)))</f>
        <v/>
      </c>
      <c r="P1123" s="208">
        <f>MIN(1,MAX(0,(nr_MEndPm1-$G1123+0.5)/$C$1102))-MIN(1,MAX(0,(nr_MStartPm1-1-$G1123+0.5)/$C$1102))</f>
        <v/>
      </c>
      <c r="Q1123" s="208">
        <f>MIN(1,MAX(0,(nr_MEndP-$G1123+0.5)/$C$1102))-MIN(1,MAX(0,(nr_MStartP-1-$G1123+0.5)/$C$1102))</f>
        <v/>
      </c>
      <c r="R1123" s="208">
        <f>MIN(1,MAX(0,(nr_MEndP1-$G1123+0.5)/$C$1102))-MIN(1,MAX(0,(nr_MStartP1-1-$G1123+0.5)/$C$1102))</f>
        <v/>
      </c>
      <c r="S1123" s="208">
        <f>IF($L$1102,$N1123*IF($O$1102=1,$O1123/$F$1102,1),"")</f>
        <v/>
      </c>
      <c r="T1123" s="208">
        <f>IF(NOT($L$1102),"",IF($G1123&lt;nr_MStartP,$S1123,$T1111*(1+IF($G1123&lt;nr_MStartP1,$M$1102,$N$1102))))</f>
        <v/>
      </c>
      <c r="U1123" s="208">
        <f>IF($L$1102,$T1123,$N1123)</f>
        <v/>
      </c>
    </row>
    <row r="1124">
      <c r="A1124" s="145" t="n">
        <v>20</v>
      </c>
      <c r="B1124" s="204">
        <f>EDATE($B1123,1)</f>
        <v/>
      </c>
      <c r="C1124" s="205">
        <f>EOMONTH($B1124,0)</f>
        <v/>
      </c>
      <c r="D1124" s="201">
        <f>$C1124-$B1124+1</f>
        <v/>
      </c>
      <c r="E1124" s="201">
        <f>MONTH($B1124)</f>
        <v/>
      </c>
      <c r="F1124" s="235">
        <f>($B1124+$C1124+1)/2</f>
        <v/>
      </c>
      <c r="G1124" s="201">
        <f>YEAR($B1124)*12+MONTH($B1124)-1</f>
        <v/>
      </c>
      <c r="H1124" s="207">
        <f>IF(OR(nr_SeasonOn="OFF",$D$1102=0,$E$1102=0),1,12*INDEX(se_block,$D$1102,$E1124)/$E$1102)</f>
        <v/>
      </c>
      <c r="I1124" s="208">
        <f>EXP(SUMPRODUCT((rl_eff&lt;$B1124)*(rl_key=$A$1102)*rl_ln1p))</f>
        <v/>
      </c>
      <c r="J1124" s="208">
        <f>EXP(SUMPRODUCT((rl_eff&lt;=$C1124)*(rl_key=$A$1102)*rl_ln1p))</f>
        <v/>
      </c>
      <c r="K1124" s="201">
        <f>COUNTIFS(rl_key,$A$1102,rl_eff,"&gt;="&amp;$B1124,rl_eff,"&lt;="&amp;$C1124)</f>
        <v/>
      </c>
      <c r="L1124" s="201">
        <f>SUMIFS(rl_daysafter,rl_key,$A$1102,rl_effmonth,$B1124,rl_first,1)</f>
        <v/>
      </c>
      <c r="M1124" s="209">
        <f>IF($K1124=0,0,MIN(1,$L1124/$D1124))</f>
        <v/>
      </c>
      <c r="N1124" s="208">
        <f>IF($K1124=0,$J1124,(1-$M1124)*$I1124+$M1124*$J1124)</f>
        <v/>
      </c>
      <c r="O1124" s="209">
        <f>IF($F1124&lt;$B$1103,$E$1103+$I$1103*($F1124-$A$1103),IF($F1124&lt;$C$1103,$F$1103+$J$1103*($F1124-$B$1103),$G$1103+$K$1103*($F1124-$C$1103)))</f>
        <v/>
      </c>
      <c r="P1124" s="208">
        <f>MIN(1,MAX(0,(nr_MEndPm1-$G1124+0.5)/$C$1102))-MIN(1,MAX(0,(nr_MStartPm1-1-$G1124+0.5)/$C$1102))</f>
        <v/>
      </c>
      <c r="Q1124" s="208">
        <f>MIN(1,MAX(0,(nr_MEndP-$G1124+0.5)/$C$1102))-MIN(1,MAX(0,(nr_MStartP-1-$G1124+0.5)/$C$1102))</f>
        <v/>
      </c>
      <c r="R1124" s="208">
        <f>MIN(1,MAX(0,(nr_MEndP1-$G1124+0.5)/$C$1102))-MIN(1,MAX(0,(nr_MStartP1-1-$G1124+0.5)/$C$1102))</f>
        <v/>
      </c>
      <c r="S1124" s="208">
        <f>IF($L$1102,$N1124*IF($O$1102=1,$O1124/$F$1102,1),"")</f>
        <v/>
      </c>
      <c r="T1124" s="208">
        <f>IF(NOT($L$1102),"",IF($G1124&lt;nr_MStartP,$S1124,$T1112*(1+IF($G1124&lt;nr_MStartP1,$M$1102,$N$1102))))</f>
        <v/>
      </c>
      <c r="U1124" s="208">
        <f>IF($L$1102,$T1124,$N1124)</f>
        <v/>
      </c>
    </row>
    <row r="1125">
      <c r="A1125" s="145" t="n">
        <v>21</v>
      </c>
      <c r="B1125" s="204">
        <f>EDATE($B1124,1)</f>
        <v/>
      </c>
      <c r="C1125" s="205">
        <f>EOMONTH($B1125,0)</f>
        <v/>
      </c>
      <c r="D1125" s="201">
        <f>$C1125-$B1125+1</f>
        <v/>
      </c>
      <c r="E1125" s="201">
        <f>MONTH($B1125)</f>
        <v/>
      </c>
      <c r="F1125" s="235">
        <f>($B1125+$C1125+1)/2</f>
        <v/>
      </c>
      <c r="G1125" s="201">
        <f>YEAR($B1125)*12+MONTH($B1125)-1</f>
        <v/>
      </c>
      <c r="H1125" s="207">
        <f>IF(OR(nr_SeasonOn="OFF",$D$1102=0,$E$1102=0),1,12*INDEX(se_block,$D$1102,$E1125)/$E$1102)</f>
        <v/>
      </c>
      <c r="I1125" s="208">
        <f>EXP(SUMPRODUCT((rl_eff&lt;$B1125)*(rl_key=$A$1102)*rl_ln1p))</f>
        <v/>
      </c>
      <c r="J1125" s="208">
        <f>EXP(SUMPRODUCT((rl_eff&lt;=$C1125)*(rl_key=$A$1102)*rl_ln1p))</f>
        <v/>
      </c>
      <c r="K1125" s="201">
        <f>COUNTIFS(rl_key,$A$1102,rl_eff,"&gt;="&amp;$B1125,rl_eff,"&lt;="&amp;$C1125)</f>
        <v/>
      </c>
      <c r="L1125" s="201">
        <f>SUMIFS(rl_daysafter,rl_key,$A$1102,rl_effmonth,$B1125,rl_first,1)</f>
        <v/>
      </c>
      <c r="M1125" s="209">
        <f>IF($K1125=0,0,MIN(1,$L1125/$D1125))</f>
        <v/>
      </c>
      <c r="N1125" s="208">
        <f>IF($K1125=0,$J1125,(1-$M1125)*$I1125+$M1125*$J1125)</f>
        <v/>
      </c>
      <c r="O1125" s="209">
        <f>IF($F1125&lt;$B$1103,$E$1103+$I$1103*($F1125-$A$1103),IF($F1125&lt;$C$1103,$F$1103+$J$1103*($F1125-$B$1103),$G$1103+$K$1103*($F1125-$C$1103)))</f>
        <v/>
      </c>
      <c r="P1125" s="208">
        <f>MIN(1,MAX(0,(nr_MEndPm1-$G1125+0.5)/$C$1102))-MIN(1,MAX(0,(nr_MStartPm1-1-$G1125+0.5)/$C$1102))</f>
        <v/>
      </c>
      <c r="Q1125" s="208">
        <f>MIN(1,MAX(0,(nr_MEndP-$G1125+0.5)/$C$1102))-MIN(1,MAX(0,(nr_MStartP-1-$G1125+0.5)/$C$1102))</f>
        <v/>
      </c>
      <c r="R1125" s="208">
        <f>MIN(1,MAX(0,(nr_MEndP1-$G1125+0.5)/$C$1102))-MIN(1,MAX(0,(nr_MStartP1-1-$G1125+0.5)/$C$1102))</f>
        <v/>
      </c>
      <c r="S1125" s="208">
        <f>IF($L$1102,$N1125*IF($O$1102=1,$O1125/$F$1102,1),"")</f>
        <v/>
      </c>
      <c r="T1125" s="208">
        <f>IF(NOT($L$1102),"",IF($G1125&lt;nr_MStartP,$S1125,$T1113*(1+IF($G1125&lt;nr_MStartP1,$M$1102,$N$1102))))</f>
        <v/>
      </c>
      <c r="U1125" s="208">
        <f>IF($L$1102,$T1125,$N1125)</f>
        <v/>
      </c>
    </row>
    <row r="1126">
      <c r="A1126" s="145" t="n">
        <v>22</v>
      </c>
      <c r="B1126" s="204">
        <f>EDATE($B1125,1)</f>
        <v/>
      </c>
      <c r="C1126" s="205">
        <f>EOMONTH($B1126,0)</f>
        <v/>
      </c>
      <c r="D1126" s="201">
        <f>$C1126-$B1126+1</f>
        <v/>
      </c>
      <c r="E1126" s="201">
        <f>MONTH($B1126)</f>
        <v/>
      </c>
      <c r="F1126" s="235">
        <f>($B1126+$C1126+1)/2</f>
        <v/>
      </c>
      <c r="G1126" s="201">
        <f>YEAR($B1126)*12+MONTH($B1126)-1</f>
        <v/>
      </c>
      <c r="H1126" s="207">
        <f>IF(OR(nr_SeasonOn="OFF",$D$1102=0,$E$1102=0),1,12*INDEX(se_block,$D$1102,$E1126)/$E$1102)</f>
        <v/>
      </c>
      <c r="I1126" s="208">
        <f>EXP(SUMPRODUCT((rl_eff&lt;$B1126)*(rl_key=$A$1102)*rl_ln1p))</f>
        <v/>
      </c>
      <c r="J1126" s="208">
        <f>EXP(SUMPRODUCT((rl_eff&lt;=$C1126)*(rl_key=$A$1102)*rl_ln1p))</f>
        <v/>
      </c>
      <c r="K1126" s="201">
        <f>COUNTIFS(rl_key,$A$1102,rl_eff,"&gt;="&amp;$B1126,rl_eff,"&lt;="&amp;$C1126)</f>
        <v/>
      </c>
      <c r="L1126" s="201">
        <f>SUMIFS(rl_daysafter,rl_key,$A$1102,rl_effmonth,$B1126,rl_first,1)</f>
        <v/>
      </c>
      <c r="M1126" s="209">
        <f>IF($K1126=0,0,MIN(1,$L1126/$D1126))</f>
        <v/>
      </c>
      <c r="N1126" s="208">
        <f>IF($K1126=0,$J1126,(1-$M1126)*$I1126+$M1126*$J1126)</f>
        <v/>
      </c>
      <c r="O1126" s="209">
        <f>IF($F1126&lt;$B$1103,$E$1103+$I$1103*($F1126-$A$1103),IF($F1126&lt;$C$1103,$F$1103+$J$1103*($F1126-$B$1103),$G$1103+$K$1103*($F1126-$C$1103)))</f>
        <v/>
      </c>
      <c r="P1126" s="208">
        <f>MIN(1,MAX(0,(nr_MEndPm1-$G1126+0.5)/$C$1102))-MIN(1,MAX(0,(nr_MStartPm1-1-$G1126+0.5)/$C$1102))</f>
        <v/>
      </c>
      <c r="Q1126" s="208">
        <f>MIN(1,MAX(0,(nr_MEndP-$G1126+0.5)/$C$1102))-MIN(1,MAX(0,(nr_MStartP-1-$G1126+0.5)/$C$1102))</f>
        <v/>
      </c>
      <c r="R1126" s="208">
        <f>MIN(1,MAX(0,(nr_MEndP1-$G1126+0.5)/$C$1102))-MIN(1,MAX(0,(nr_MStartP1-1-$G1126+0.5)/$C$1102))</f>
        <v/>
      </c>
      <c r="S1126" s="208">
        <f>IF($L$1102,$N1126*IF($O$1102=1,$O1126/$F$1102,1),"")</f>
        <v/>
      </c>
      <c r="T1126" s="208">
        <f>IF(NOT($L$1102),"",IF($G1126&lt;nr_MStartP,$S1126,$T1114*(1+IF($G1126&lt;nr_MStartP1,$M$1102,$N$1102))))</f>
        <v/>
      </c>
      <c r="U1126" s="208">
        <f>IF($L$1102,$T1126,$N1126)</f>
        <v/>
      </c>
    </row>
    <row r="1127">
      <c r="A1127" s="145" t="n">
        <v>23</v>
      </c>
      <c r="B1127" s="204">
        <f>EDATE($B1126,1)</f>
        <v/>
      </c>
      <c r="C1127" s="205">
        <f>EOMONTH($B1127,0)</f>
        <v/>
      </c>
      <c r="D1127" s="201">
        <f>$C1127-$B1127+1</f>
        <v/>
      </c>
      <c r="E1127" s="201">
        <f>MONTH($B1127)</f>
        <v/>
      </c>
      <c r="F1127" s="235">
        <f>($B1127+$C1127+1)/2</f>
        <v/>
      </c>
      <c r="G1127" s="201">
        <f>YEAR($B1127)*12+MONTH($B1127)-1</f>
        <v/>
      </c>
      <c r="H1127" s="207">
        <f>IF(OR(nr_SeasonOn="OFF",$D$1102=0,$E$1102=0),1,12*INDEX(se_block,$D$1102,$E1127)/$E$1102)</f>
        <v/>
      </c>
      <c r="I1127" s="208">
        <f>EXP(SUMPRODUCT((rl_eff&lt;$B1127)*(rl_key=$A$1102)*rl_ln1p))</f>
        <v/>
      </c>
      <c r="J1127" s="208">
        <f>EXP(SUMPRODUCT((rl_eff&lt;=$C1127)*(rl_key=$A$1102)*rl_ln1p))</f>
        <v/>
      </c>
      <c r="K1127" s="201">
        <f>COUNTIFS(rl_key,$A$1102,rl_eff,"&gt;="&amp;$B1127,rl_eff,"&lt;="&amp;$C1127)</f>
        <v/>
      </c>
      <c r="L1127" s="201">
        <f>SUMIFS(rl_daysafter,rl_key,$A$1102,rl_effmonth,$B1127,rl_first,1)</f>
        <v/>
      </c>
      <c r="M1127" s="209">
        <f>IF($K1127=0,0,MIN(1,$L1127/$D1127))</f>
        <v/>
      </c>
      <c r="N1127" s="208">
        <f>IF($K1127=0,$J1127,(1-$M1127)*$I1127+$M1127*$J1127)</f>
        <v/>
      </c>
      <c r="O1127" s="209">
        <f>IF($F1127&lt;$B$1103,$E$1103+$I$1103*($F1127-$A$1103),IF($F1127&lt;$C$1103,$F$1103+$J$1103*($F1127-$B$1103),$G$1103+$K$1103*($F1127-$C$1103)))</f>
        <v/>
      </c>
      <c r="P1127" s="208">
        <f>MIN(1,MAX(0,(nr_MEndPm1-$G1127+0.5)/$C$1102))-MIN(1,MAX(0,(nr_MStartPm1-1-$G1127+0.5)/$C$1102))</f>
        <v/>
      </c>
      <c r="Q1127" s="208">
        <f>MIN(1,MAX(0,(nr_MEndP-$G1127+0.5)/$C$1102))-MIN(1,MAX(0,(nr_MStartP-1-$G1127+0.5)/$C$1102))</f>
        <v/>
      </c>
      <c r="R1127" s="208">
        <f>MIN(1,MAX(0,(nr_MEndP1-$G1127+0.5)/$C$1102))-MIN(1,MAX(0,(nr_MStartP1-1-$G1127+0.5)/$C$1102))</f>
        <v/>
      </c>
      <c r="S1127" s="208">
        <f>IF($L$1102,$N1127*IF($O$1102=1,$O1127/$F$1102,1),"")</f>
        <v/>
      </c>
      <c r="T1127" s="208">
        <f>IF(NOT($L$1102),"",IF($G1127&lt;nr_MStartP,$S1127,$T1115*(1+IF($G1127&lt;nr_MStartP1,$M$1102,$N$1102))))</f>
        <v/>
      </c>
      <c r="U1127" s="208">
        <f>IF($L$1102,$T1127,$N1127)</f>
        <v/>
      </c>
    </row>
    <row r="1128">
      <c r="A1128" s="145" t="n">
        <v>24</v>
      </c>
      <c r="B1128" s="204">
        <f>EDATE($B1127,1)</f>
        <v/>
      </c>
      <c r="C1128" s="205">
        <f>EOMONTH($B1128,0)</f>
        <v/>
      </c>
      <c r="D1128" s="201">
        <f>$C1128-$B1128+1</f>
        <v/>
      </c>
      <c r="E1128" s="201">
        <f>MONTH($B1128)</f>
        <v/>
      </c>
      <c r="F1128" s="235">
        <f>($B1128+$C1128+1)/2</f>
        <v/>
      </c>
      <c r="G1128" s="201">
        <f>YEAR($B1128)*12+MONTH($B1128)-1</f>
        <v/>
      </c>
      <c r="H1128" s="207">
        <f>IF(OR(nr_SeasonOn="OFF",$D$1102=0,$E$1102=0),1,12*INDEX(se_block,$D$1102,$E1128)/$E$1102)</f>
        <v/>
      </c>
      <c r="I1128" s="208">
        <f>EXP(SUMPRODUCT((rl_eff&lt;$B1128)*(rl_key=$A$1102)*rl_ln1p))</f>
        <v/>
      </c>
      <c r="J1128" s="208">
        <f>EXP(SUMPRODUCT((rl_eff&lt;=$C1128)*(rl_key=$A$1102)*rl_ln1p))</f>
        <v/>
      </c>
      <c r="K1128" s="201">
        <f>COUNTIFS(rl_key,$A$1102,rl_eff,"&gt;="&amp;$B1128,rl_eff,"&lt;="&amp;$C1128)</f>
        <v/>
      </c>
      <c r="L1128" s="201">
        <f>SUMIFS(rl_daysafter,rl_key,$A$1102,rl_effmonth,$B1128,rl_first,1)</f>
        <v/>
      </c>
      <c r="M1128" s="209">
        <f>IF($K1128=0,0,MIN(1,$L1128/$D1128))</f>
        <v/>
      </c>
      <c r="N1128" s="208">
        <f>IF($K1128=0,$J1128,(1-$M1128)*$I1128+$M1128*$J1128)</f>
        <v/>
      </c>
      <c r="O1128" s="209">
        <f>IF($F1128&lt;$B$1103,$E$1103+$I$1103*($F1128-$A$1103),IF($F1128&lt;$C$1103,$F$1103+$J$1103*($F1128-$B$1103),$G$1103+$K$1103*($F1128-$C$1103)))</f>
        <v/>
      </c>
      <c r="P1128" s="208">
        <f>MIN(1,MAX(0,(nr_MEndPm1-$G1128+0.5)/$C$1102))-MIN(1,MAX(0,(nr_MStartPm1-1-$G1128+0.5)/$C$1102))</f>
        <v/>
      </c>
      <c r="Q1128" s="208">
        <f>MIN(1,MAX(0,(nr_MEndP-$G1128+0.5)/$C$1102))-MIN(1,MAX(0,(nr_MStartP-1-$G1128+0.5)/$C$1102))</f>
        <v/>
      </c>
      <c r="R1128" s="208">
        <f>MIN(1,MAX(0,(nr_MEndP1-$G1128+0.5)/$C$1102))-MIN(1,MAX(0,(nr_MStartP1-1-$G1128+0.5)/$C$1102))</f>
        <v/>
      </c>
      <c r="S1128" s="208">
        <f>IF($L$1102,$N1128*IF($O$1102=1,$O1128/$F$1102,1),"")</f>
        <v/>
      </c>
      <c r="T1128" s="208">
        <f>IF(NOT($L$1102),"",IF($G1128&lt;nr_MStartP,$S1128,$T1116*(1+IF($G1128&lt;nr_MStartP1,$M$1102,$N$1102))))</f>
        <v/>
      </c>
      <c r="U1128" s="208">
        <f>IF($L$1102,$T1128,$N1128)</f>
        <v/>
      </c>
    </row>
    <row r="1129">
      <c r="A1129" s="145" t="n">
        <v>25</v>
      </c>
      <c r="B1129" s="204">
        <f>EDATE($B1128,1)</f>
        <v/>
      </c>
      <c r="C1129" s="205">
        <f>EOMONTH($B1129,0)</f>
        <v/>
      </c>
      <c r="D1129" s="201">
        <f>$C1129-$B1129+1</f>
        <v/>
      </c>
      <c r="E1129" s="201">
        <f>MONTH($B1129)</f>
        <v/>
      </c>
      <c r="F1129" s="235">
        <f>($B1129+$C1129+1)/2</f>
        <v/>
      </c>
      <c r="G1129" s="201">
        <f>YEAR($B1129)*12+MONTH($B1129)-1</f>
        <v/>
      </c>
      <c r="H1129" s="207">
        <f>IF(OR(nr_SeasonOn="OFF",$D$1102=0,$E$1102=0),1,12*INDEX(se_block,$D$1102,$E1129)/$E$1102)</f>
        <v/>
      </c>
      <c r="I1129" s="208">
        <f>EXP(SUMPRODUCT((rl_eff&lt;$B1129)*(rl_key=$A$1102)*rl_ln1p))</f>
        <v/>
      </c>
      <c r="J1129" s="208">
        <f>EXP(SUMPRODUCT((rl_eff&lt;=$C1129)*(rl_key=$A$1102)*rl_ln1p))</f>
        <v/>
      </c>
      <c r="K1129" s="201">
        <f>COUNTIFS(rl_key,$A$1102,rl_eff,"&gt;="&amp;$B1129,rl_eff,"&lt;="&amp;$C1129)</f>
        <v/>
      </c>
      <c r="L1129" s="201">
        <f>SUMIFS(rl_daysafter,rl_key,$A$1102,rl_effmonth,$B1129,rl_first,1)</f>
        <v/>
      </c>
      <c r="M1129" s="209">
        <f>IF($K1129=0,0,MIN(1,$L1129/$D1129))</f>
        <v/>
      </c>
      <c r="N1129" s="208">
        <f>IF($K1129=0,$J1129,(1-$M1129)*$I1129+$M1129*$J1129)</f>
        <v/>
      </c>
      <c r="O1129" s="209">
        <f>IF($F1129&lt;$B$1103,$E$1103+$I$1103*($F1129-$A$1103),IF($F1129&lt;$C$1103,$F$1103+$J$1103*($F1129-$B$1103),$G$1103+$K$1103*($F1129-$C$1103)))</f>
        <v/>
      </c>
      <c r="P1129" s="208">
        <f>MIN(1,MAX(0,(nr_MEndPm1-$G1129+0.5)/$C$1102))-MIN(1,MAX(0,(nr_MStartPm1-1-$G1129+0.5)/$C$1102))</f>
        <v/>
      </c>
      <c r="Q1129" s="208">
        <f>MIN(1,MAX(0,(nr_MEndP-$G1129+0.5)/$C$1102))-MIN(1,MAX(0,(nr_MStartP-1-$G1129+0.5)/$C$1102))</f>
        <v/>
      </c>
      <c r="R1129" s="208">
        <f>MIN(1,MAX(0,(nr_MEndP1-$G1129+0.5)/$C$1102))-MIN(1,MAX(0,(nr_MStartP1-1-$G1129+0.5)/$C$1102))</f>
        <v/>
      </c>
      <c r="S1129" s="208">
        <f>IF($L$1102,$N1129*IF($O$1102=1,$O1129/$F$1102,1),"")</f>
        <v/>
      </c>
      <c r="T1129" s="208">
        <f>IF(NOT($L$1102),"",IF($G1129&lt;nr_MStartP,$S1129,$T1117*(1+IF($G1129&lt;nr_MStartP1,$M$1102,$N$1102))))</f>
        <v/>
      </c>
      <c r="U1129" s="208">
        <f>IF($L$1102,$T1129,$N1129)</f>
        <v/>
      </c>
    </row>
    <row r="1130">
      <c r="A1130" s="145" t="n">
        <v>26</v>
      </c>
      <c r="B1130" s="204">
        <f>EDATE($B1129,1)</f>
        <v/>
      </c>
      <c r="C1130" s="205">
        <f>EOMONTH($B1130,0)</f>
        <v/>
      </c>
      <c r="D1130" s="201">
        <f>$C1130-$B1130+1</f>
        <v/>
      </c>
      <c r="E1130" s="201">
        <f>MONTH($B1130)</f>
        <v/>
      </c>
      <c r="F1130" s="235">
        <f>($B1130+$C1130+1)/2</f>
        <v/>
      </c>
      <c r="G1130" s="201">
        <f>YEAR($B1130)*12+MONTH($B1130)-1</f>
        <v/>
      </c>
      <c r="H1130" s="207">
        <f>IF(OR(nr_SeasonOn="OFF",$D$1102=0,$E$1102=0),1,12*INDEX(se_block,$D$1102,$E1130)/$E$1102)</f>
        <v/>
      </c>
      <c r="I1130" s="208">
        <f>EXP(SUMPRODUCT((rl_eff&lt;$B1130)*(rl_key=$A$1102)*rl_ln1p))</f>
        <v/>
      </c>
      <c r="J1130" s="208">
        <f>EXP(SUMPRODUCT((rl_eff&lt;=$C1130)*(rl_key=$A$1102)*rl_ln1p))</f>
        <v/>
      </c>
      <c r="K1130" s="201">
        <f>COUNTIFS(rl_key,$A$1102,rl_eff,"&gt;="&amp;$B1130,rl_eff,"&lt;="&amp;$C1130)</f>
        <v/>
      </c>
      <c r="L1130" s="201">
        <f>SUMIFS(rl_daysafter,rl_key,$A$1102,rl_effmonth,$B1130,rl_first,1)</f>
        <v/>
      </c>
      <c r="M1130" s="209">
        <f>IF($K1130=0,0,MIN(1,$L1130/$D1130))</f>
        <v/>
      </c>
      <c r="N1130" s="208">
        <f>IF($K1130=0,$J1130,(1-$M1130)*$I1130+$M1130*$J1130)</f>
        <v/>
      </c>
      <c r="O1130" s="209">
        <f>IF($F1130&lt;$B$1103,$E$1103+$I$1103*($F1130-$A$1103),IF($F1130&lt;$C$1103,$F$1103+$J$1103*($F1130-$B$1103),$G$1103+$K$1103*($F1130-$C$1103)))</f>
        <v/>
      </c>
      <c r="P1130" s="208">
        <f>MIN(1,MAX(0,(nr_MEndPm1-$G1130+0.5)/$C$1102))-MIN(1,MAX(0,(nr_MStartPm1-1-$G1130+0.5)/$C$1102))</f>
        <v/>
      </c>
      <c r="Q1130" s="208">
        <f>MIN(1,MAX(0,(nr_MEndP-$G1130+0.5)/$C$1102))-MIN(1,MAX(0,(nr_MStartP-1-$G1130+0.5)/$C$1102))</f>
        <v/>
      </c>
      <c r="R1130" s="208">
        <f>MIN(1,MAX(0,(nr_MEndP1-$G1130+0.5)/$C$1102))-MIN(1,MAX(0,(nr_MStartP1-1-$G1130+0.5)/$C$1102))</f>
        <v/>
      </c>
      <c r="S1130" s="208">
        <f>IF($L$1102,$N1130*IF($O$1102=1,$O1130/$F$1102,1),"")</f>
        <v/>
      </c>
      <c r="T1130" s="208">
        <f>IF(NOT($L$1102),"",IF($G1130&lt;nr_MStartP,$S1130,$T1118*(1+IF($G1130&lt;nr_MStartP1,$M$1102,$N$1102))))</f>
        <v/>
      </c>
      <c r="U1130" s="208">
        <f>IF($L$1102,$T1130,$N1130)</f>
        <v/>
      </c>
    </row>
    <row r="1131">
      <c r="A1131" s="145" t="n">
        <v>27</v>
      </c>
      <c r="B1131" s="204">
        <f>EDATE($B1130,1)</f>
        <v/>
      </c>
      <c r="C1131" s="205">
        <f>EOMONTH($B1131,0)</f>
        <v/>
      </c>
      <c r="D1131" s="201">
        <f>$C1131-$B1131+1</f>
        <v/>
      </c>
      <c r="E1131" s="201">
        <f>MONTH($B1131)</f>
        <v/>
      </c>
      <c r="F1131" s="235">
        <f>($B1131+$C1131+1)/2</f>
        <v/>
      </c>
      <c r="G1131" s="201">
        <f>YEAR($B1131)*12+MONTH($B1131)-1</f>
        <v/>
      </c>
      <c r="H1131" s="207">
        <f>IF(OR(nr_SeasonOn="OFF",$D$1102=0,$E$1102=0),1,12*INDEX(se_block,$D$1102,$E1131)/$E$1102)</f>
        <v/>
      </c>
      <c r="I1131" s="208">
        <f>EXP(SUMPRODUCT((rl_eff&lt;$B1131)*(rl_key=$A$1102)*rl_ln1p))</f>
        <v/>
      </c>
      <c r="J1131" s="208">
        <f>EXP(SUMPRODUCT((rl_eff&lt;=$C1131)*(rl_key=$A$1102)*rl_ln1p))</f>
        <v/>
      </c>
      <c r="K1131" s="201">
        <f>COUNTIFS(rl_key,$A$1102,rl_eff,"&gt;="&amp;$B1131,rl_eff,"&lt;="&amp;$C1131)</f>
        <v/>
      </c>
      <c r="L1131" s="201">
        <f>SUMIFS(rl_daysafter,rl_key,$A$1102,rl_effmonth,$B1131,rl_first,1)</f>
        <v/>
      </c>
      <c r="M1131" s="209">
        <f>IF($K1131=0,0,MIN(1,$L1131/$D1131))</f>
        <v/>
      </c>
      <c r="N1131" s="208">
        <f>IF($K1131=0,$J1131,(1-$M1131)*$I1131+$M1131*$J1131)</f>
        <v/>
      </c>
      <c r="O1131" s="209">
        <f>IF($F1131&lt;$B$1103,$E$1103+$I$1103*($F1131-$A$1103),IF($F1131&lt;$C$1103,$F$1103+$J$1103*($F1131-$B$1103),$G$1103+$K$1103*($F1131-$C$1103)))</f>
        <v/>
      </c>
      <c r="P1131" s="208">
        <f>MIN(1,MAX(0,(nr_MEndPm1-$G1131+0.5)/$C$1102))-MIN(1,MAX(0,(nr_MStartPm1-1-$G1131+0.5)/$C$1102))</f>
        <v/>
      </c>
      <c r="Q1131" s="208">
        <f>MIN(1,MAX(0,(nr_MEndP-$G1131+0.5)/$C$1102))-MIN(1,MAX(0,(nr_MStartP-1-$G1131+0.5)/$C$1102))</f>
        <v/>
      </c>
      <c r="R1131" s="208">
        <f>MIN(1,MAX(0,(nr_MEndP1-$G1131+0.5)/$C$1102))-MIN(1,MAX(0,(nr_MStartP1-1-$G1131+0.5)/$C$1102))</f>
        <v/>
      </c>
      <c r="S1131" s="208">
        <f>IF($L$1102,$N1131*IF($O$1102=1,$O1131/$F$1102,1),"")</f>
        <v/>
      </c>
      <c r="T1131" s="208">
        <f>IF(NOT($L$1102),"",IF($G1131&lt;nr_MStartP,$S1131,$T1119*(1+IF($G1131&lt;nr_MStartP1,$M$1102,$N$1102))))</f>
        <v/>
      </c>
      <c r="U1131" s="208">
        <f>IF($L$1102,$T1131,$N1131)</f>
        <v/>
      </c>
    </row>
    <row r="1132">
      <c r="A1132" s="145" t="n">
        <v>28</v>
      </c>
      <c r="B1132" s="204">
        <f>EDATE($B1131,1)</f>
        <v/>
      </c>
      <c r="C1132" s="205">
        <f>EOMONTH($B1132,0)</f>
        <v/>
      </c>
      <c r="D1132" s="201">
        <f>$C1132-$B1132+1</f>
        <v/>
      </c>
      <c r="E1132" s="201">
        <f>MONTH($B1132)</f>
        <v/>
      </c>
      <c r="F1132" s="235">
        <f>($B1132+$C1132+1)/2</f>
        <v/>
      </c>
      <c r="G1132" s="201">
        <f>YEAR($B1132)*12+MONTH($B1132)-1</f>
        <v/>
      </c>
      <c r="H1132" s="207">
        <f>IF(OR(nr_SeasonOn="OFF",$D$1102=0,$E$1102=0),1,12*INDEX(se_block,$D$1102,$E1132)/$E$1102)</f>
        <v/>
      </c>
      <c r="I1132" s="208">
        <f>EXP(SUMPRODUCT((rl_eff&lt;$B1132)*(rl_key=$A$1102)*rl_ln1p))</f>
        <v/>
      </c>
      <c r="J1132" s="208">
        <f>EXP(SUMPRODUCT((rl_eff&lt;=$C1132)*(rl_key=$A$1102)*rl_ln1p))</f>
        <v/>
      </c>
      <c r="K1132" s="201">
        <f>COUNTIFS(rl_key,$A$1102,rl_eff,"&gt;="&amp;$B1132,rl_eff,"&lt;="&amp;$C1132)</f>
        <v/>
      </c>
      <c r="L1132" s="201">
        <f>SUMIFS(rl_daysafter,rl_key,$A$1102,rl_effmonth,$B1132,rl_first,1)</f>
        <v/>
      </c>
      <c r="M1132" s="209">
        <f>IF($K1132=0,0,MIN(1,$L1132/$D1132))</f>
        <v/>
      </c>
      <c r="N1132" s="208">
        <f>IF($K1132=0,$J1132,(1-$M1132)*$I1132+$M1132*$J1132)</f>
        <v/>
      </c>
      <c r="O1132" s="209">
        <f>IF($F1132&lt;$B$1103,$E$1103+$I$1103*($F1132-$A$1103),IF($F1132&lt;$C$1103,$F$1103+$J$1103*($F1132-$B$1103),$G$1103+$K$1103*($F1132-$C$1103)))</f>
        <v/>
      </c>
      <c r="P1132" s="208">
        <f>MIN(1,MAX(0,(nr_MEndPm1-$G1132+0.5)/$C$1102))-MIN(1,MAX(0,(nr_MStartPm1-1-$G1132+0.5)/$C$1102))</f>
        <v/>
      </c>
      <c r="Q1132" s="208">
        <f>MIN(1,MAX(0,(nr_MEndP-$G1132+0.5)/$C$1102))-MIN(1,MAX(0,(nr_MStartP-1-$G1132+0.5)/$C$1102))</f>
        <v/>
      </c>
      <c r="R1132" s="208">
        <f>MIN(1,MAX(0,(nr_MEndP1-$G1132+0.5)/$C$1102))-MIN(1,MAX(0,(nr_MStartP1-1-$G1132+0.5)/$C$1102))</f>
        <v/>
      </c>
      <c r="S1132" s="208">
        <f>IF($L$1102,$N1132*IF($O$1102=1,$O1132/$F$1102,1),"")</f>
        <v/>
      </c>
      <c r="T1132" s="208">
        <f>IF(NOT($L$1102),"",IF($G1132&lt;nr_MStartP,$S1132,$T1120*(1+IF($G1132&lt;nr_MStartP1,$M$1102,$N$1102))))</f>
        <v/>
      </c>
      <c r="U1132" s="208">
        <f>IF($L$1102,$T1132,$N1132)</f>
        <v/>
      </c>
    </row>
    <row r="1133">
      <c r="A1133" s="145" t="n">
        <v>29</v>
      </c>
      <c r="B1133" s="204">
        <f>EDATE($B1132,1)</f>
        <v/>
      </c>
      <c r="C1133" s="205">
        <f>EOMONTH($B1133,0)</f>
        <v/>
      </c>
      <c r="D1133" s="201">
        <f>$C1133-$B1133+1</f>
        <v/>
      </c>
      <c r="E1133" s="201">
        <f>MONTH($B1133)</f>
        <v/>
      </c>
      <c r="F1133" s="235">
        <f>($B1133+$C1133+1)/2</f>
        <v/>
      </c>
      <c r="G1133" s="201">
        <f>YEAR($B1133)*12+MONTH($B1133)-1</f>
        <v/>
      </c>
      <c r="H1133" s="207">
        <f>IF(OR(nr_SeasonOn="OFF",$D$1102=0,$E$1102=0),1,12*INDEX(se_block,$D$1102,$E1133)/$E$1102)</f>
        <v/>
      </c>
      <c r="I1133" s="208">
        <f>EXP(SUMPRODUCT((rl_eff&lt;$B1133)*(rl_key=$A$1102)*rl_ln1p))</f>
        <v/>
      </c>
      <c r="J1133" s="208">
        <f>EXP(SUMPRODUCT((rl_eff&lt;=$C1133)*(rl_key=$A$1102)*rl_ln1p))</f>
        <v/>
      </c>
      <c r="K1133" s="201">
        <f>COUNTIFS(rl_key,$A$1102,rl_eff,"&gt;="&amp;$B1133,rl_eff,"&lt;="&amp;$C1133)</f>
        <v/>
      </c>
      <c r="L1133" s="201">
        <f>SUMIFS(rl_daysafter,rl_key,$A$1102,rl_effmonth,$B1133,rl_first,1)</f>
        <v/>
      </c>
      <c r="M1133" s="209">
        <f>IF($K1133=0,0,MIN(1,$L1133/$D1133))</f>
        <v/>
      </c>
      <c r="N1133" s="208">
        <f>IF($K1133=0,$J1133,(1-$M1133)*$I1133+$M1133*$J1133)</f>
        <v/>
      </c>
      <c r="O1133" s="209">
        <f>IF($F1133&lt;$B$1103,$E$1103+$I$1103*($F1133-$A$1103),IF($F1133&lt;$C$1103,$F$1103+$J$1103*($F1133-$B$1103),$G$1103+$K$1103*($F1133-$C$1103)))</f>
        <v/>
      </c>
      <c r="P1133" s="208">
        <f>MIN(1,MAX(0,(nr_MEndPm1-$G1133+0.5)/$C$1102))-MIN(1,MAX(0,(nr_MStartPm1-1-$G1133+0.5)/$C$1102))</f>
        <v/>
      </c>
      <c r="Q1133" s="208">
        <f>MIN(1,MAX(0,(nr_MEndP-$G1133+0.5)/$C$1102))-MIN(1,MAX(0,(nr_MStartP-1-$G1133+0.5)/$C$1102))</f>
        <v/>
      </c>
      <c r="R1133" s="208">
        <f>MIN(1,MAX(0,(nr_MEndP1-$G1133+0.5)/$C$1102))-MIN(1,MAX(0,(nr_MStartP1-1-$G1133+0.5)/$C$1102))</f>
        <v/>
      </c>
      <c r="S1133" s="208">
        <f>IF($L$1102,$N1133*IF($O$1102=1,$O1133/$F$1102,1),"")</f>
        <v/>
      </c>
      <c r="T1133" s="208">
        <f>IF(NOT($L$1102),"",IF($G1133&lt;nr_MStartP,$S1133,$T1121*(1+IF($G1133&lt;nr_MStartP1,$M$1102,$N$1102))))</f>
        <v/>
      </c>
      <c r="U1133" s="208">
        <f>IF($L$1102,$T1133,$N1133)</f>
        <v/>
      </c>
    </row>
    <row r="1134">
      <c r="A1134" s="145" t="n">
        <v>30</v>
      </c>
      <c r="B1134" s="204">
        <f>EDATE($B1133,1)</f>
        <v/>
      </c>
      <c r="C1134" s="205">
        <f>EOMONTH($B1134,0)</f>
        <v/>
      </c>
      <c r="D1134" s="201">
        <f>$C1134-$B1134+1</f>
        <v/>
      </c>
      <c r="E1134" s="201">
        <f>MONTH($B1134)</f>
        <v/>
      </c>
      <c r="F1134" s="235">
        <f>($B1134+$C1134+1)/2</f>
        <v/>
      </c>
      <c r="G1134" s="201">
        <f>YEAR($B1134)*12+MONTH($B1134)-1</f>
        <v/>
      </c>
      <c r="H1134" s="207">
        <f>IF(OR(nr_SeasonOn="OFF",$D$1102=0,$E$1102=0),1,12*INDEX(se_block,$D$1102,$E1134)/$E$1102)</f>
        <v/>
      </c>
      <c r="I1134" s="208">
        <f>EXP(SUMPRODUCT((rl_eff&lt;$B1134)*(rl_key=$A$1102)*rl_ln1p))</f>
        <v/>
      </c>
      <c r="J1134" s="208">
        <f>EXP(SUMPRODUCT((rl_eff&lt;=$C1134)*(rl_key=$A$1102)*rl_ln1p))</f>
        <v/>
      </c>
      <c r="K1134" s="201">
        <f>COUNTIFS(rl_key,$A$1102,rl_eff,"&gt;="&amp;$B1134,rl_eff,"&lt;="&amp;$C1134)</f>
        <v/>
      </c>
      <c r="L1134" s="201">
        <f>SUMIFS(rl_daysafter,rl_key,$A$1102,rl_effmonth,$B1134,rl_first,1)</f>
        <v/>
      </c>
      <c r="M1134" s="209">
        <f>IF($K1134=0,0,MIN(1,$L1134/$D1134))</f>
        <v/>
      </c>
      <c r="N1134" s="208">
        <f>IF($K1134=0,$J1134,(1-$M1134)*$I1134+$M1134*$J1134)</f>
        <v/>
      </c>
      <c r="O1134" s="209">
        <f>IF($F1134&lt;$B$1103,$E$1103+$I$1103*($F1134-$A$1103),IF($F1134&lt;$C$1103,$F$1103+$J$1103*($F1134-$B$1103),$G$1103+$K$1103*($F1134-$C$1103)))</f>
        <v/>
      </c>
      <c r="P1134" s="208">
        <f>MIN(1,MAX(0,(nr_MEndPm1-$G1134+0.5)/$C$1102))-MIN(1,MAX(0,(nr_MStartPm1-1-$G1134+0.5)/$C$1102))</f>
        <v/>
      </c>
      <c r="Q1134" s="208">
        <f>MIN(1,MAX(0,(nr_MEndP-$G1134+0.5)/$C$1102))-MIN(1,MAX(0,(nr_MStartP-1-$G1134+0.5)/$C$1102))</f>
        <v/>
      </c>
      <c r="R1134" s="208">
        <f>MIN(1,MAX(0,(nr_MEndP1-$G1134+0.5)/$C$1102))-MIN(1,MAX(0,(nr_MStartP1-1-$G1134+0.5)/$C$1102))</f>
        <v/>
      </c>
      <c r="S1134" s="208">
        <f>IF($L$1102,$N1134*IF($O$1102=1,$O1134/$F$1102,1),"")</f>
        <v/>
      </c>
      <c r="T1134" s="208">
        <f>IF(NOT($L$1102),"",IF($G1134&lt;nr_MStartP,$S1134,$T1122*(1+IF($G1134&lt;nr_MStartP1,$M$1102,$N$1102))))</f>
        <v/>
      </c>
      <c r="U1134" s="208">
        <f>IF($L$1102,$T1134,$N1134)</f>
        <v/>
      </c>
    </row>
    <row r="1135">
      <c r="A1135" s="145" t="n">
        <v>31</v>
      </c>
      <c r="B1135" s="204">
        <f>EDATE($B1134,1)</f>
        <v/>
      </c>
      <c r="C1135" s="205">
        <f>EOMONTH($B1135,0)</f>
        <v/>
      </c>
      <c r="D1135" s="201">
        <f>$C1135-$B1135+1</f>
        <v/>
      </c>
      <c r="E1135" s="201">
        <f>MONTH($B1135)</f>
        <v/>
      </c>
      <c r="F1135" s="235">
        <f>($B1135+$C1135+1)/2</f>
        <v/>
      </c>
      <c r="G1135" s="201">
        <f>YEAR($B1135)*12+MONTH($B1135)-1</f>
        <v/>
      </c>
      <c r="H1135" s="207">
        <f>IF(OR(nr_SeasonOn="OFF",$D$1102=0,$E$1102=0),1,12*INDEX(se_block,$D$1102,$E1135)/$E$1102)</f>
        <v/>
      </c>
      <c r="I1135" s="208">
        <f>EXP(SUMPRODUCT((rl_eff&lt;$B1135)*(rl_key=$A$1102)*rl_ln1p))</f>
        <v/>
      </c>
      <c r="J1135" s="208">
        <f>EXP(SUMPRODUCT((rl_eff&lt;=$C1135)*(rl_key=$A$1102)*rl_ln1p))</f>
        <v/>
      </c>
      <c r="K1135" s="201">
        <f>COUNTIFS(rl_key,$A$1102,rl_eff,"&gt;="&amp;$B1135,rl_eff,"&lt;="&amp;$C1135)</f>
        <v/>
      </c>
      <c r="L1135" s="201">
        <f>SUMIFS(rl_daysafter,rl_key,$A$1102,rl_effmonth,$B1135,rl_first,1)</f>
        <v/>
      </c>
      <c r="M1135" s="209">
        <f>IF($K1135=0,0,MIN(1,$L1135/$D1135))</f>
        <v/>
      </c>
      <c r="N1135" s="208">
        <f>IF($K1135=0,$J1135,(1-$M1135)*$I1135+$M1135*$J1135)</f>
        <v/>
      </c>
      <c r="O1135" s="209">
        <f>IF($F1135&lt;$B$1103,$E$1103+$I$1103*($F1135-$A$1103),IF($F1135&lt;$C$1103,$F$1103+$J$1103*($F1135-$B$1103),$G$1103+$K$1103*($F1135-$C$1103)))</f>
        <v/>
      </c>
      <c r="P1135" s="208">
        <f>MIN(1,MAX(0,(nr_MEndPm1-$G1135+0.5)/$C$1102))-MIN(1,MAX(0,(nr_MStartPm1-1-$G1135+0.5)/$C$1102))</f>
        <v/>
      </c>
      <c r="Q1135" s="208">
        <f>MIN(1,MAX(0,(nr_MEndP-$G1135+0.5)/$C$1102))-MIN(1,MAX(0,(nr_MStartP-1-$G1135+0.5)/$C$1102))</f>
        <v/>
      </c>
      <c r="R1135" s="208">
        <f>MIN(1,MAX(0,(nr_MEndP1-$G1135+0.5)/$C$1102))-MIN(1,MAX(0,(nr_MStartP1-1-$G1135+0.5)/$C$1102))</f>
        <v/>
      </c>
      <c r="S1135" s="208">
        <f>IF($L$1102,$N1135*IF($O$1102=1,$O1135/$F$1102,1),"")</f>
        <v/>
      </c>
      <c r="T1135" s="208">
        <f>IF(NOT($L$1102),"",IF($G1135&lt;nr_MStartP,$S1135,$T1123*(1+IF($G1135&lt;nr_MStartP1,$M$1102,$N$1102))))</f>
        <v/>
      </c>
      <c r="U1135" s="208">
        <f>IF($L$1102,$T1135,$N1135)</f>
        <v/>
      </c>
    </row>
    <row r="1136">
      <c r="A1136" s="145" t="n">
        <v>32</v>
      </c>
      <c r="B1136" s="204">
        <f>EDATE($B1135,1)</f>
        <v/>
      </c>
      <c r="C1136" s="205">
        <f>EOMONTH($B1136,0)</f>
        <v/>
      </c>
      <c r="D1136" s="201">
        <f>$C1136-$B1136+1</f>
        <v/>
      </c>
      <c r="E1136" s="201">
        <f>MONTH($B1136)</f>
        <v/>
      </c>
      <c r="F1136" s="235">
        <f>($B1136+$C1136+1)/2</f>
        <v/>
      </c>
      <c r="G1136" s="201">
        <f>YEAR($B1136)*12+MONTH($B1136)-1</f>
        <v/>
      </c>
      <c r="H1136" s="207">
        <f>IF(OR(nr_SeasonOn="OFF",$D$1102=0,$E$1102=0),1,12*INDEX(se_block,$D$1102,$E1136)/$E$1102)</f>
        <v/>
      </c>
      <c r="I1136" s="208">
        <f>EXP(SUMPRODUCT((rl_eff&lt;$B1136)*(rl_key=$A$1102)*rl_ln1p))</f>
        <v/>
      </c>
      <c r="J1136" s="208">
        <f>EXP(SUMPRODUCT((rl_eff&lt;=$C1136)*(rl_key=$A$1102)*rl_ln1p))</f>
        <v/>
      </c>
      <c r="K1136" s="201">
        <f>COUNTIFS(rl_key,$A$1102,rl_eff,"&gt;="&amp;$B1136,rl_eff,"&lt;="&amp;$C1136)</f>
        <v/>
      </c>
      <c r="L1136" s="201">
        <f>SUMIFS(rl_daysafter,rl_key,$A$1102,rl_effmonth,$B1136,rl_first,1)</f>
        <v/>
      </c>
      <c r="M1136" s="209">
        <f>IF($K1136=0,0,MIN(1,$L1136/$D1136))</f>
        <v/>
      </c>
      <c r="N1136" s="208">
        <f>IF($K1136=0,$J1136,(1-$M1136)*$I1136+$M1136*$J1136)</f>
        <v/>
      </c>
      <c r="O1136" s="209">
        <f>IF($F1136&lt;$B$1103,$E$1103+$I$1103*($F1136-$A$1103),IF($F1136&lt;$C$1103,$F$1103+$J$1103*($F1136-$B$1103),$G$1103+$K$1103*($F1136-$C$1103)))</f>
        <v/>
      </c>
      <c r="P1136" s="208">
        <f>MIN(1,MAX(0,(nr_MEndPm1-$G1136+0.5)/$C$1102))-MIN(1,MAX(0,(nr_MStartPm1-1-$G1136+0.5)/$C$1102))</f>
        <v/>
      </c>
      <c r="Q1136" s="208">
        <f>MIN(1,MAX(0,(nr_MEndP-$G1136+0.5)/$C$1102))-MIN(1,MAX(0,(nr_MStartP-1-$G1136+0.5)/$C$1102))</f>
        <v/>
      </c>
      <c r="R1136" s="208">
        <f>MIN(1,MAX(0,(nr_MEndP1-$G1136+0.5)/$C$1102))-MIN(1,MAX(0,(nr_MStartP1-1-$G1136+0.5)/$C$1102))</f>
        <v/>
      </c>
      <c r="S1136" s="208">
        <f>IF($L$1102,$N1136*IF($O$1102=1,$O1136/$F$1102,1),"")</f>
        <v/>
      </c>
      <c r="T1136" s="208">
        <f>IF(NOT($L$1102),"",IF($G1136&lt;nr_MStartP,$S1136,$T1124*(1+IF($G1136&lt;nr_MStartP1,$M$1102,$N$1102))))</f>
        <v/>
      </c>
      <c r="U1136" s="208">
        <f>IF($L$1102,$T1136,$N1136)</f>
        <v/>
      </c>
    </row>
    <row r="1137">
      <c r="A1137" s="145" t="n">
        <v>33</v>
      </c>
      <c r="B1137" s="204">
        <f>EDATE($B1136,1)</f>
        <v/>
      </c>
      <c r="C1137" s="205">
        <f>EOMONTH($B1137,0)</f>
        <v/>
      </c>
      <c r="D1137" s="201">
        <f>$C1137-$B1137+1</f>
        <v/>
      </c>
      <c r="E1137" s="201">
        <f>MONTH($B1137)</f>
        <v/>
      </c>
      <c r="F1137" s="235">
        <f>($B1137+$C1137+1)/2</f>
        <v/>
      </c>
      <c r="G1137" s="201">
        <f>YEAR($B1137)*12+MONTH($B1137)-1</f>
        <v/>
      </c>
      <c r="H1137" s="207">
        <f>IF(OR(nr_SeasonOn="OFF",$D$1102=0,$E$1102=0),1,12*INDEX(se_block,$D$1102,$E1137)/$E$1102)</f>
        <v/>
      </c>
      <c r="I1137" s="208">
        <f>EXP(SUMPRODUCT((rl_eff&lt;$B1137)*(rl_key=$A$1102)*rl_ln1p))</f>
        <v/>
      </c>
      <c r="J1137" s="208">
        <f>EXP(SUMPRODUCT((rl_eff&lt;=$C1137)*(rl_key=$A$1102)*rl_ln1p))</f>
        <v/>
      </c>
      <c r="K1137" s="201">
        <f>COUNTIFS(rl_key,$A$1102,rl_eff,"&gt;="&amp;$B1137,rl_eff,"&lt;="&amp;$C1137)</f>
        <v/>
      </c>
      <c r="L1137" s="201">
        <f>SUMIFS(rl_daysafter,rl_key,$A$1102,rl_effmonth,$B1137,rl_first,1)</f>
        <v/>
      </c>
      <c r="M1137" s="209">
        <f>IF($K1137=0,0,MIN(1,$L1137/$D1137))</f>
        <v/>
      </c>
      <c r="N1137" s="208">
        <f>IF($K1137=0,$J1137,(1-$M1137)*$I1137+$M1137*$J1137)</f>
        <v/>
      </c>
      <c r="O1137" s="209">
        <f>IF($F1137&lt;$B$1103,$E$1103+$I$1103*($F1137-$A$1103),IF($F1137&lt;$C$1103,$F$1103+$J$1103*($F1137-$B$1103),$G$1103+$K$1103*($F1137-$C$1103)))</f>
        <v/>
      </c>
      <c r="P1137" s="208">
        <f>MIN(1,MAX(0,(nr_MEndPm1-$G1137+0.5)/$C$1102))-MIN(1,MAX(0,(nr_MStartPm1-1-$G1137+0.5)/$C$1102))</f>
        <v/>
      </c>
      <c r="Q1137" s="208">
        <f>MIN(1,MAX(0,(nr_MEndP-$G1137+0.5)/$C$1102))-MIN(1,MAX(0,(nr_MStartP-1-$G1137+0.5)/$C$1102))</f>
        <v/>
      </c>
      <c r="R1137" s="208">
        <f>MIN(1,MAX(0,(nr_MEndP1-$G1137+0.5)/$C$1102))-MIN(1,MAX(0,(nr_MStartP1-1-$G1137+0.5)/$C$1102))</f>
        <v/>
      </c>
      <c r="S1137" s="208">
        <f>IF($L$1102,$N1137*IF($O$1102=1,$O1137/$F$1102,1),"")</f>
        <v/>
      </c>
      <c r="T1137" s="208">
        <f>IF(NOT($L$1102),"",IF($G1137&lt;nr_MStartP,$S1137,$T1125*(1+IF($G1137&lt;nr_MStartP1,$M$1102,$N$1102))))</f>
        <v/>
      </c>
      <c r="U1137" s="208">
        <f>IF($L$1102,$T1137,$N1137)</f>
        <v/>
      </c>
    </row>
    <row r="1138">
      <c r="A1138" s="145" t="n">
        <v>34</v>
      </c>
      <c r="B1138" s="204">
        <f>EDATE($B1137,1)</f>
        <v/>
      </c>
      <c r="C1138" s="205">
        <f>EOMONTH($B1138,0)</f>
        <v/>
      </c>
      <c r="D1138" s="201">
        <f>$C1138-$B1138+1</f>
        <v/>
      </c>
      <c r="E1138" s="201">
        <f>MONTH($B1138)</f>
        <v/>
      </c>
      <c r="F1138" s="235">
        <f>($B1138+$C1138+1)/2</f>
        <v/>
      </c>
      <c r="G1138" s="201">
        <f>YEAR($B1138)*12+MONTH($B1138)-1</f>
        <v/>
      </c>
      <c r="H1138" s="207">
        <f>IF(OR(nr_SeasonOn="OFF",$D$1102=0,$E$1102=0),1,12*INDEX(se_block,$D$1102,$E1138)/$E$1102)</f>
        <v/>
      </c>
      <c r="I1138" s="208">
        <f>EXP(SUMPRODUCT((rl_eff&lt;$B1138)*(rl_key=$A$1102)*rl_ln1p))</f>
        <v/>
      </c>
      <c r="J1138" s="208">
        <f>EXP(SUMPRODUCT((rl_eff&lt;=$C1138)*(rl_key=$A$1102)*rl_ln1p))</f>
        <v/>
      </c>
      <c r="K1138" s="201">
        <f>COUNTIFS(rl_key,$A$1102,rl_eff,"&gt;="&amp;$B1138,rl_eff,"&lt;="&amp;$C1138)</f>
        <v/>
      </c>
      <c r="L1138" s="201">
        <f>SUMIFS(rl_daysafter,rl_key,$A$1102,rl_effmonth,$B1138,rl_first,1)</f>
        <v/>
      </c>
      <c r="M1138" s="209">
        <f>IF($K1138=0,0,MIN(1,$L1138/$D1138))</f>
        <v/>
      </c>
      <c r="N1138" s="208">
        <f>IF($K1138=0,$J1138,(1-$M1138)*$I1138+$M1138*$J1138)</f>
        <v/>
      </c>
      <c r="O1138" s="209">
        <f>IF($F1138&lt;$B$1103,$E$1103+$I$1103*($F1138-$A$1103),IF($F1138&lt;$C$1103,$F$1103+$J$1103*($F1138-$B$1103),$G$1103+$K$1103*($F1138-$C$1103)))</f>
        <v/>
      </c>
      <c r="P1138" s="208">
        <f>MIN(1,MAX(0,(nr_MEndPm1-$G1138+0.5)/$C$1102))-MIN(1,MAX(0,(nr_MStartPm1-1-$G1138+0.5)/$C$1102))</f>
        <v/>
      </c>
      <c r="Q1138" s="208">
        <f>MIN(1,MAX(0,(nr_MEndP-$G1138+0.5)/$C$1102))-MIN(1,MAX(0,(nr_MStartP-1-$G1138+0.5)/$C$1102))</f>
        <v/>
      </c>
      <c r="R1138" s="208">
        <f>MIN(1,MAX(0,(nr_MEndP1-$G1138+0.5)/$C$1102))-MIN(1,MAX(0,(nr_MStartP1-1-$G1138+0.5)/$C$1102))</f>
        <v/>
      </c>
      <c r="S1138" s="208">
        <f>IF($L$1102,$N1138*IF($O$1102=1,$O1138/$F$1102,1),"")</f>
        <v/>
      </c>
      <c r="T1138" s="208">
        <f>IF(NOT($L$1102),"",IF($G1138&lt;nr_MStartP,$S1138,$T1126*(1+IF($G1138&lt;nr_MStartP1,$M$1102,$N$1102))))</f>
        <v/>
      </c>
      <c r="U1138" s="208">
        <f>IF($L$1102,$T1138,$N1138)</f>
        <v/>
      </c>
    </row>
    <row r="1139">
      <c r="A1139" s="145" t="n">
        <v>35</v>
      </c>
      <c r="B1139" s="204">
        <f>EDATE($B1138,1)</f>
        <v/>
      </c>
      <c r="C1139" s="205">
        <f>EOMONTH($B1139,0)</f>
        <v/>
      </c>
      <c r="D1139" s="201">
        <f>$C1139-$B1139+1</f>
        <v/>
      </c>
      <c r="E1139" s="201">
        <f>MONTH($B1139)</f>
        <v/>
      </c>
      <c r="F1139" s="235">
        <f>($B1139+$C1139+1)/2</f>
        <v/>
      </c>
      <c r="G1139" s="201">
        <f>YEAR($B1139)*12+MONTH($B1139)-1</f>
        <v/>
      </c>
      <c r="H1139" s="207">
        <f>IF(OR(nr_SeasonOn="OFF",$D$1102=0,$E$1102=0),1,12*INDEX(se_block,$D$1102,$E1139)/$E$1102)</f>
        <v/>
      </c>
      <c r="I1139" s="208">
        <f>EXP(SUMPRODUCT((rl_eff&lt;$B1139)*(rl_key=$A$1102)*rl_ln1p))</f>
        <v/>
      </c>
      <c r="J1139" s="208">
        <f>EXP(SUMPRODUCT((rl_eff&lt;=$C1139)*(rl_key=$A$1102)*rl_ln1p))</f>
        <v/>
      </c>
      <c r="K1139" s="201">
        <f>COUNTIFS(rl_key,$A$1102,rl_eff,"&gt;="&amp;$B1139,rl_eff,"&lt;="&amp;$C1139)</f>
        <v/>
      </c>
      <c r="L1139" s="201">
        <f>SUMIFS(rl_daysafter,rl_key,$A$1102,rl_effmonth,$B1139,rl_first,1)</f>
        <v/>
      </c>
      <c r="M1139" s="209">
        <f>IF($K1139=0,0,MIN(1,$L1139/$D1139))</f>
        <v/>
      </c>
      <c r="N1139" s="208">
        <f>IF($K1139=0,$J1139,(1-$M1139)*$I1139+$M1139*$J1139)</f>
        <v/>
      </c>
      <c r="O1139" s="209">
        <f>IF($F1139&lt;$B$1103,$E$1103+$I$1103*($F1139-$A$1103),IF($F1139&lt;$C$1103,$F$1103+$J$1103*($F1139-$B$1103),$G$1103+$K$1103*($F1139-$C$1103)))</f>
        <v/>
      </c>
      <c r="P1139" s="208">
        <f>MIN(1,MAX(0,(nr_MEndPm1-$G1139+0.5)/$C$1102))-MIN(1,MAX(0,(nr_MStartPm1-1-$G1139+0.5)/$C$1102))</f>
        <v/>
      </c>
      <c r="Q1139" s="208">
        <f>MIN(1,MAX(0,(nr_MEndP-$G1139+0.5)/$C$1102))-MIN(1,MAX(0,(nr_MStartP-1-$G1139+0.5)/$C$1102))</f>
        <v/>
      </c>
      <c r="R1139" s="208">
        <f>MIN(1,MAX(0,(nr_MEndP1-$G1139+0.5)/$C$1102))-MIN(1,MAX(0,(nr_MStartP1-1-$G1139+0.5)/$C$1102))</f>
        <v/>
      </c>
      <c r="S1139" s="208">
        <f>IF($L$1102,$N1139*IF($O$1102=1,$O1139/$F$1102,1),"")</f>
        <v/>
      </c>
      <c r="T1139" s="208">
        <f>IF(NOT($L$1102),"",IF($G1139&lt;nr_MStartP,$S1139,$T1127*(1+IF($G1139&lt;nr_MStartP1,$M$1102,$N$1102))))</f>
        <v/>
      </c>
      <c r="U1139" s="208">
        <f>IF($L$1102,$T1139,$N1139)</f>
        <v/>
      </c>
    </row>
    <row r="1140">
      <c r="A1140" s="145" t="n">
        <v>36</v>
      </c>
      <c r="B1140" s="204">
        <f>EDATE($B1139,1)</f>
        <v/>
      </c>
      <c r="C1140" s="205">
        <f>EOMONTH($B1140,0)</f>
        <v/>
      </c>
      <c r="D1140" s="201">
        <f>$C1140-$B1140+1</f>
        <v/>
      </c>
      <c r="E1140" s="201">
        <f>MONTH($B1140)</f>
        <v/>
      </c>
      <c r="F1140" s="235">
        <f>($B1140+$C1140+1)/2</f>
        <v/>
      </c>
      <c r="G1140" s="201">
        <f>YEAR($B1140)*12+MONTH($B1140)-1</f>
        <v/>
      </c>
      <c r="H1140" s="207">
        <f>IF(OR(nr_SeasonOn="OFF",$D$1102=0,$E$1102=0),1,12*INDEX(se_block,$D$1102,$E1140)/$E$1102)</f>
        <v/>
      </c>
      <c r="I1140" s="208">
        <f>EXP(SUMPRODUCT((rl_eff&lt;$B1140)*(rl_key=$A$1102)*rl_ln1p))</f>
        <v/>
      </c>
      <c r="J1140" s="208">
        <f>EXP(SUMPRODUCT((rl_eff&lt;=$C1140)*(rl_key=$A$1102)*rl_ln1p))</f>
        <v/>
      </c>
      <c r="K1140" s="201">
        <f>COUNTIFS(rl_key,$A$1102,rl_eff,"&gt;="&amp;$B1140,rl_eff,"&lt;="&amp;$C1140)</f>
        <v/>
      </c>
      <c r="L1140" s="201">
        <f>SUMIFS(rl_daysafter,rl_key,$A$1102,rl_effmonth,$B1140,rl_first,1)</f>
        <v/>
      </c>
      <c r="M1140" s="209">
        <f>IF($K1140=0,0,MIN(1,$L1140/$D1140))</f>
        <v/>
      </c>
      <c r="N1140" s="208">
        <f>IF($K1140=0,$J1140,(1-$M1140)*$I1140+$M1140*$J1140)</f>
        <v/>
      </c>
      <c r="O1140" s="209">
        <f>IF($F1140&lt;$B$1103,$E$1103+$I$1103*($F1140-$A$1103),IF($F1140&lt;$C$1103,$F$1103+$J$1103*($F1140-$B$1103),$G$1103+$K$1103*($F1140-$C$1103)))</f>
        <v/>
      </c>
      <c r="P1140" s="208">
        <f>MIN(1,MAX(0,(nr_MEndPm1-$G1140+0.5)/$C$1102))-MIN(1,MAX(0,(nr_MStartPm1-1-$G1140+0.5)/$C$1102))</f>
        <v/>
      </c>
      <c r="Q1140" s="208">
        <f>MIN(1,MAX(0,(nr_MEndP-$G1140+0.5)/$C$1102))-MIN(1,MAX(0,(nr_MStartP-1-$G1140+0.5)/$C$1102))</f>
        <v/>
      </c>
      <c r="R1140" s="208">
        <f>MIN(1,MAX(0,(nr_MEndP1-$G1140+0.5)/$C$1102))-MIN(1,MAX(0,(nr_MStartP1-1-$G1140+0.5)/$C$1102))</f>
        <v/>
      </c>
      <c r="S1140" s="208">
        <f>IF($L$1102,$N1140*IF($O$1102=1,$O1140/$F$1102,1),"")</f>
        <v/>
      </c>
      <c r="T1140" s="208">
        <f>IF(NOT($L$1102),"",IF($G1140&lt;nr_MStartP,$S1140,$T1128*(1+IF($G1140&lt;nr_MStartP1,$M$1102,$N$1102))))</f>
        <v/>
      </c>
      <c r="U1140" s="208">
        <f>IF($L$1102,$T1140,$N1140)</f>
        <v/>
      </c>
    </row>
    <row r="1141">
      <c r="A1141" s="145" t="n">
        <v>37</v>
      </c>
      <c r="B1141" s="204">
        <f>EDATE($B1140,1)</f>
        <v/>
      </c>
      <c r="C1141" s="205">
        <f>EOMONTH($B1141,0)</f>
        <v/>
      </c>
      <c r="D1141" s="201">
        <f>$C1141-$B1141+1</f>
        <v/>
      </c>
      <c r="E1141" s="201">
        <f>MONTH($B1141)</f>
        <v/>
      </c>
      <c r="F1141" s="235">
        <f>($B1141+$C1141+1)/2</f>
        <v/>
      </c>
      <c r="G1141" s="201">
        <f>YEAR($B1141)*12+MONTH($B1141)-1</f>
        <v/>
      </c>
      <c r="H1141" s="207">
        <f>IF(OR(nr_SeasonOn="OFF",$D$1102=0,$E$1102=0),1,12*INDEX(se_block,$D$1102,$E1141)/$E$1102)</f>
        <v/>
      </c>
      <c r="I1141" s="208">
        <f>EXP(SUMPRODUCT((rl_eff&lt;$B1141)*(rl_key=$A$1102)*rl_ln1p))</f>
        <v/>
      </c>
      <c r="J1141" s="208">
        <f>EXP(SUMPRODUCT((rl_eff&lt;=$C1141)*(rl_key=$A$1102)*rl_ln1p))</f>
        <v/>
      </c>
      <c r="K1141" s="201">
        <f>COUNTIFS(rl_key,$A$1102,rl_eff,"&gt;="&amp;$B1141,rl_eff,"&lt;="&amp;$C1141)</f>
        <v/>
      </c>
      <c r="L1141" s="201">
        <f>SUMIFS(rl_daysafter,rl_key,$A$1102,rl_effmonth,$B1141,rl_first,1)</f>
        <v/>
      </c>
      <c r="M1141" s="209">
        <f>IF($K1141=0,0,MIN(1,$L1141/$D1141))</f>
        <v/>
      </c>
      <c r="N1141" s="208">
        <f>IF($K1141=0,$J1141,(1-$M1141)*$I1141+$M1141*$J1141)</f>
        <v/>
      </c>
      <c r="O1141" s="209">
        <f>IF($F1141&lt;$B$1103,$E$1103+$I$1103*($F1141-$A$1103),IF($F1141&lt;$C$1103,$F$1103+$J$1103*($F1141-$B$1103),$G$1103+$K$1103*($F1141-$C$1103)))</f>
        <v/>
      </c>
      <c r="P1141" s="208">
        <f>MIN(1,MAX(0,(nr_MEndPm1-$G1141+0.5)/$C$1102))-MIN(1,MAX(0,(nr_MStartPm1-1-$G1141+0.5)/$C$1102))</f>
        <v/>
      </c>
      <c r="Q1141" s="208">
        <f>MIN(1,MAX(0,(nr_MEndP-$G1141+0.5)/$C$1102))-MIN(1,MAX(0,(nr_MStartP-1-$G1141+0.5)/$C$1102))</f>
        <v/>
      </c>
      <c r="R1141" s="208">
        <f>MIN(1,MAX(0,(nr_MEndP1-$G1141+0.5)/$C$1102))-MIN(1,MAX(0,(nr_MStartP1-1-$G1141+0.5)/$C$1102))</f>
        <v/>
      </c>
      <c r="S1141" s="208">
        <f>IF($L$1102,$N1141*IF($O$1102=1,$O1141/$F$1102,1),"")</f>
        <v/>
      </c>
      <c r="T1141" s="208">
        <f>IF(NOT($L$1102),"",IF($G1141&lt;nr_MStartP,$S1141,$T1129*(1+IF($G1141&lt;nr_MStartP1,$M$1102,$N$1102))))</f>
        <v/>
      </c>
      <c r="U1141" s="208">
        <f>IF($L$1102,$T1141,$N1141)</f>
        <v/>
      </c>
    </row>
    <row r="1142">
      <c r="A1142" s="145" t="n">
        <v>38</v>
      </c>
      <c r="B1142" s="204">
        <f>EDATE($B1141,1)</f>
        <v/>
      </c>
      <c r="C1142" s="205">
        <f>EOMONTH($B1142,0)</f>
        <v/>
      </c>
      <c r="D1142" s="201">
        <f>$C1142-$B1142+1</f>
        <v/>
      </c>
      <c r="E1142" s="201">
        <f>MONTH($B1142)</f>
        <v/>
      </c>
      <c r="F1142" s="235">
        <f>($B1142+$C1142+1)/2</f>
        <v/>
      </c>
      <c r="G1142" s="201">
        <f>YEAR($B1142)*12+MONTH($B1142)-1</f>
        <v/>
      </c>
      <c r="H1142" s="207">
        <f>IF(OR(nr_SeasonOn="OFF",$D$1102=0,$E$1102=0),1,12*INDEX(se_block,$D$1102,$E1142)/$E$1102)</f>
        <v/>
      </c>
      <c r="I1142" s="208">
        <f>EXP(SUMPRODUCT((rl_eff&lt;$B1142)*(rl_key=$A$1102)*rl_ln1p))</f>
        <v/>
      </c>
      <c r="J1142" s="208">
        <f>EXP(SUMPRODUCT((rl_eff&lt;=$C1142)*(rl_key=$A$1102)*rl_ln1p))</f>
        <v/>
      </c>
      <c r="K1142" s="201">
        <f>COUNTIFS(rl_key,$A$1102,rl_eff,"&gt;="&amp;$B1142,rl_eff,"&lt;="&amp;$C1142)</f>
        <v/>
      </c>
      <c r="L1142" s="201">
        <f>SUMIFS(rl_daysafter,rl_key,$A$1102,rl_effmonth,$B1142,rl_first,1)</f>
        <v/>
      </c>
      <c r="M1142" s="209">
        <f>IF($K1142=0,0,MIN(1,$L1142/$D1142))</f>
        <v/>
      </c>
      <c r="N1142" s="208">
        <f>IF($K1142=0,$J1142,(1-$M1142)*$I1142+$M1142*$J1142)</f>
        <v/>
      </c>
      <c r="O1142" s="209">
        <f>IF($F1142&lt;$B$1103,$E$1103+$I$1103*($F1142-$A$1103),IF($F1142&lt;$C$1103,$F$1103+$J$1103*($F1142-$B$1103),$G$1103+$K$1103*($F1142-$C$1103)))</f>
        <v/>
      </c>
      <c r="P1142" s="208">
        <f>MIN(1,MAX(0,(nr_MEndPm1-$G1142+0.5)/$C$1102))-MIN(1,MAX(0,(nr_MStartPm1-1-$G1142+0.5)/$C$1102))</f>
        <v/>
      </c>
      <c r="Q1142" s="208">
        <f>MIN(1,MAX(0,(nr_MEndP-$G1142+0.5)/$C$1102))-MIN(1,MAX(0,(nr_MStartP-1-$G1142+0.5)/$C$1102))</f>
        <v/>
      </c>
      <c r="R1142" s="208">
        <f>MIN(1,MAX(0,(nr_MEndP1-$G1142+0.5)/$C$1102))-MIN(1,MAX(0,(nr_MStartP1-1-$G1142+0.5)/$C$1102))</f>
        <v/>
      </c>
      <c r="S1142" s="208">
        <f>IF($L$1102,$N1142*IF($O$1102=1,$O1142/$F$1102,1),"")</f>
        <v/>
      </c>
      <c r="T1142" s="208">
        <f>IF(NOT($L$1102),"",IF($G1142&lt;nr_MStartP,$S1142,$T1130*(1+IF($G1142&lt;nr_MStartP1,$M$1102,$N$1102))))</f>
        <v/>
      </c>
      <c r="U1142" s="208">
        <f>IF($L$1102,$T1142,$N1142)</f>
        <v/>
      </c>
    </row>
    <row r="1143">
      <c r="A1143" s="145" t="n">
        <v>39</v>
      </c>
      <c r="B1143" s="204">
        <f>EDATE($B1142,1)</f>
        <v/>
      </c>
      <c r="C1143" s="205">
        <f>EOMONTH($B1143,0)</f>
        <v/>
      </c>
      <c r="D1143" s="201">
        <f>$C1143-$B1143+1</f>
        <v/>
      </c>
      <c r="E1143" s="201">
        <f>MONTH($B1143)</f>
        <v/>
      </c>
      <c r="F1143" s="235">
        <f>($B1143+$C1143+1)/2</f>
        <v/>
      </c>
      <c r="G1143" s="201">
        <f>YEAR($B1143)*12+MONTH($B1143)-1</f>
        <v/>
      </c>
      <c r="H1143" s="207">
        <f>IF(OR(nr_SeasonOn="OFF",$D$1102=0,$E$1102=0),1,12*INDEX(se_block,$D$1102,$E1143)/$E$1102)</f>
        <v/>
      </c>
      <c r="I1143" s="208">
        <f>EXP(SUMPRODUCT((rl_eff&lt;$B1143)*(rl_key=$A$1102)*rl_ln1p))</f>
        <v/>
      </c>
      <c r="J1143" s="208">
        <f>EXP(SUMPRODUCT((rl_eff&lt;=$C1143)*(rl_key=$A$1102)*rl_ln1p))</f>
        <v/>
      </c>
      <c r="K1143" s="201">
        <f>COUNTIFS(rl_key,$A$1102,rl_eff,"&gt;="&amp;$B1143,rl_eff,"&lt;="&amp;$C1143)</f>
        <v/>
      </c>
      <c r="L1143" s="201">
        <f>SUMIFS(rl_daysafter,rl_key,$A$1102,rl_effmonth,$B1143,rl_first,1)</f>
        <v/>
      </c>
      <c r="M1143" s="209">
        <f>IF($K1143=0,0,MIN(1,$L1143/$D1143))</f>
        <v/>
      </c>
      <c r="N1143" s="208">
        <f>IF($K1143=0,$J1143,(1-$M1143)*$I1143+$M1143*$J1143)</f>
        <v/>
      </c>
      <c r="O1143" s="209">
        <f>IF($F1143&lt;$B$1103,$E$1103+$I$1103*($F1143-$A$1103),IF($F1143&lt;$C$1103,$F$1103+$J$1103*($F1143-$B$1103),$G$1103+$K$1103*($F1143-$C$1103)))</f>
        <v/>
      </c>
      <c r="P1143" s="208">
        <f>MIN(1,MAX(0,(nr_MEndPm1-$G1143+0.5)/$C$1102))-MIN(1,MAX(0,(nr_MStartPm1-1-$G1143+0.5)/$C$1102))</f>
        <v/>
      </c>
      <c r="Q1143" s="208">
        <f>MIN(1,MAX(0,(nr_MEndP-$G1143+0.5)/$C$1102))-MIN(1,MAX(0,(nr_MStartP-1-$G1143+0.5)/$C$1102))</f>
        <v/>
      </c>
      <c r="R1143" s="208">
        <f>MIN(1,MAX(0,(nr_MEndP1-$G1143+0.5)/$C$1102))-MIN(1,MAX(0,(nr_MStartP1-1-$G1143+0.5)/$C$1102))</f>
        <v/>
      </c>
      <c r="S1143" s="208">
        <f>IF($L$1102,$N1143*IF($O$1102=1,$O1143/$F$1102,1),"")</f>
        <v/>
      </c>
      <c r="T1143" s="208">
        <f>IF(NOT($L$1102),"",IF($G1143&lt;nr_MStartP,$S1143,$T1131*(1+IF($G1143&lt;nr_MStartP1,$M$1102,$N$1102))))</f>
        <v/>
      </c>
      <c r="U1143" s="208">
        <f>IF($L$1102,$T1143,$N1143)</f>
        <v/>
      </c>
    </row>
    <row r="1144">
      <c r="A1144" s="145" t="n">
        <v>40</v>
      </c>
      <c r="B1144" s="204">
        <f>EDATE($B1143,1)</f>
        <v/>
      </c>
      <c r="C1144" s="205">
        <f>EOMONTH($B1144,0)</f>
        <v/>
      </c>
      <c r="D1144" s="201">
        <f>$C1144-$B1144+1</f>
        <v/>
      </c>
      <c r="E1144" s="201">
        <f>MONTH($B1144)</f>
        <v/>
      </c>
      <c r="F1144" s="235">
        <f>($B1144+$C1144+1)/2</f>
        <v/>
      </c>
      <c r="G1144" s="201">
        <f>YEAR($B1144)*12+MONTH($B1144)-1</f>
        <v/>
      </c>
      <c r="H1144" s="207">
        <f>IF(OR(nr_SeasonOn="OFF",$D$1102=0,$E$1102=0),1,12*INDEX(se_block,$D$1102,$E1144)/$E$1102)</f>
        <v/>
      </c>
      <c r="I1144" s="208">
        <f>EXP(SUMPRODUCT((rl_eff&lt;$B1144)*(rl_key=$A$1102)*rl_ln1p))</f>
        <v/>
      </c>
      <c r="J1144" s="208">
        <f>EXP(SUMPRODUCT((rl_eff&lt;=$C1144)*(rl_key=$A$1102)*rl_ln1p))</f>
        <v/>
      </c>
      <c r="K1144" s="201">
        <f>COUNTIFS(rl_key,$A$1102,rl_eff,"&gt;="&amp;$B1144,rl_eff,"&lt;="&amp;$C1144)</f>
        <v/>
      </c>
      <c r="L1144" s="201">
        <f>SUMIFS(rl_daysafter,rl_key,$A$1102,rl_effmonth,$B1144,rl_first,1)</f>
        <v/>
      </c>
      <c r="M1144" s="209">
        <f>IF($K1144=0,0,MIN(1,$L1144/$D1144))</f>
        <v/>
      </c>
      <c r="N1144" s="208">
        <f>IF($K1144=0,$J1144,(1-$M1144)*$I1144+$M1144*$J1144)</f>
        <v/>
      </c>
      <c r="O1144" s="209">
        <f>IF($F1144&lt;$B$1103,$E$1103+$I$1103*($F1144-$A$1103),IF($F1144&lt;$C$1103,$F$1103+$J$1103*($F1144-$B$1103),$G$1103+$K$1103*($F1144-$C$1103)))</f>
        <v/>
      </c>
      <c r="P1144" s="208">
        <f>MIN(1,MAX(0,(nr_MEndPm1-$G1144+0.5)/$C$1102))-MIN(1,MAX(0,(nr_MStartPm1-1-$G1144+0.5)/$C$1102))</f>
        <v/>
      </c>
      <c r="Q1144" s="208">
        <f>MIN(1,MAX(0,(nr_MEndP-$G1144+0.5)/$C$1102))-MIN(1,MAX(0,(nr_MStartP-1-$G1144+0.5)/$C$1102))</f>
        <v/>
      </c>
      <c r="R1144" s="208">
        <f>MIN(1,MAX(0,(nr_MEndP1-$G1144+0.5)/$C$1102))-MIN(1,MAX(0,(nr_MStartP1-1-$G1144+0.5)/$C$1102))</f>
        <v/>
      </c>
      <c r="S1144" s="208">
        <f>IF($L$1102,$N1144*IF($O$1102=1,$O1144/$F$1102,1),"")</f>
        <v/>
      </c>
      <c r="T1144" s="208">
        <f>IF(NOT($L$1102),"",IF($G1144&lt;nr_MStartP,$S1144,$T1132*(1+IF($G1144&lt;nr_MStartP1,$M$1102,$N$1102))))</f>
        <v/>
      </c>
      <c r="U1144" s="208">
        <f>IF($L$1102,$T1144,$N1144)</f>
        <v/>
      </c>
    </row>
    <row r="1145">
      <c r="A1145" s="145" t="n">
        <v>41</v>
      </c>
      <c r="B1145" s="204">
        <f>EDATE($B1144,1)</f>
        <v/>
      </c>
      <c r="C1145" s="205">
        <f>EOMONTH($B1145,0)</f>
        <v/>
      </c>
      <c r="D1145" s="201">
        <f>$C1145-$B1145+1</f>
        <v/>
      </c>
      <c r="E1145" s="201">
        <f>MONTH($B1145)</f>
        <v/>
      </c>
      <c r="F1145" s="235">
        <f>($B1145+$C1145+1)/2</f>
        <v/>
      </c>
      <c r="G1145" s="201">
        <f>YEAR($B1145)*12+MONTH($B1145)-1</f>
        <v/>
      </c>
      <c r="H1145" s="207">
        <f>IF(OR(nr_SeasonOn="OFF",$D$1102=0,$E$1102=0),1,12*INDEX(se_block,$D$1102,$E1145)/$E$1102)</f>
        <v/>
      </c>
      <c r="I1145" s="208">
        <f>EXP(SUMPRODUCT((rl_eff&lt;$B1145)*(rl_key=$A$1102)*rl_ln1p))</f>
        <v/>
      </c>
      <c r="J1145" s="208">
        <f>EXP(SUMPRODUCT((rl_eff&lt;=$C1145)*(rl_key=$A$1102)*rl_ln1p))</f>
        <v/>
      </c>
      <c r="K1145" s="201">
        <f>COUNTIFS(rl_key,$A$1102,rl_eff,"&gt;="&amp;$B1145,rl_eff,"&lt;="&amp;$C1145)</f>
        <v/>
      </c>
      <c r="L1145" s="201">
        <f>SUMIFS(rl_daysafter,rl_key,$A$1102,rl_effmonth,$B1145,rl_first,1)</f>
        <v/>
      </c>
      <c r="M1145" s="209">
        <f>IF($K1145=0,0,MIN(1,$L1145/$D1145))</f>
        <v/>
      </c>
      <c r="N1145" s="208">
        <f>IF($K1145=0,$J1145,(1-$M1145)*$I1145+$M1145*$J1145)</f>
        <v/>
      </c>
      <c r="O1145" s="209">
        <f>IF($F1145&lt;$B$1103,$E$1103+$I$1103*($F1145-$A$1103),IF($F1145&lt;$C$1103,$F$1103+$J$1103*($F1145-$B$1103),$G$1103+$K$1103*($F1145-$C$1103)))</f>
        <v/>
      </c>
      <c r="P1145" s="208">
        <f>MIN(1,MAX(0,(nr_MEndPm1-$G1145+0.5)/$C$1102))-MIN(1,MAX(0,(nr_MStartPm1-1-$G1145+0.5)/$C$1102))</f>
        <v/>
      </c>
      <c r="Q1145" s="208">
        <f>MIN(1,MAX(0,(nr_MEndP-$G1145+0.5)/$C$1102))-MIN(1,MAX(0,(nr_MStartP-1-$G1145+0.5)/$C$1102))</f>
        <v/>
      </c>
      <c r="R1145" s="208">
        <f>MIN(1,MAX(0,(nr_MEndP1-$G1145+0.5)/$C$1102))-MIN(1,MAX(0,(nr_MStartP1-1-$G1145+0.5)/$C$1102))</f>
        <v/>
      </c>
      <c r="S1145" s="208">
        <f>IF($L$1102,$N1145*IF($O$1102=1,$O1145/$F$1102,1),"")</f>
        <v/>
      </c>
      <c r="T1145" s="208">
        <f>IF(NOT($L$1102),"",IF($G1145&lt;nr_MStartP,$S1145,$T1133*(1+IF($G1145&lt;nr_MStartP1,$M$1102,$N$1102))))</f>
        <v/>
      </c>
      <c r="U1145" s="208">
        <f>IF($L$1102,$T1145,$N1145)</f>
        <v/>
      </c>
    </row>
    <row r="1146">
      <c r="A1146" s="145" t="n">
        <v>42</v>
      </c>
      <c r="B1146" s="204">
        <f>EDATE($B1145,1)</f>
        <v/>
      </c>
      <c r="C1146" s="205">
        <f>EOMONTH($B1146,0)</f>
        <v/>
      </c>
      <c r="D1146" s="201">
        <f>$C1146-$B1146+1</f>
        <v/>
      </c>
      <c r="E1146" s="201">
        <f>MONTH($B1146)</f>
        <v/>
      </c>
      <c r="F1146" s="235">
        <f>($B1146+$C1146+1)/2</f>
        <v/>
      </c>
      <c r="G1146" s="201">
        <f>YEAR($B1146)*12+MONTH($B1146)-1</f>
        <v/>
      </c>
      <c r="H1146" s="207">
        <f>IF(OR(nr_SeasonOn="OFF",$D$1102=0,$E$1102=0),1,12*INDEX(se_block,$D$1102,$E1146)/$E$1102)</f>
        <v/>
      </c>
      <c r="I1146" s="208">
        <f>EXP(SUMPRODUCT((rl_eff&lt;$B1146)*(rl_key=$A$1102)*rl_ln1p))</f>
        <v/>
      </c>
      <c r="J1146" s="208">
        <f>EXP(SUMPRODUCT((rl_eff&lt;=$C1146)*(rl_key=$A$1102)*rl_ln1p))</f>
        <v/>
      </c>
      <c r="K1146" s="201">
        <f>COUNTIFS(rl_key,$A$1102,rl_eff,"&gt;="&amp;$B1146,rl_eff,"&lt;="&amp;$C1146)</f>
        <v/>
      </c>
      <c r="L1146" s="201">
        <f>SUMIFS(rl_daysafter,rl_key,$A$1102,rl_effmonth,$B1146,rl_first,1)</f>
        <v/>
      </c>
      <c r="M1146" s="209">
        <f>IF($K1146=0,0,MIN(1,$L1146/$D1146))</f>
        <v/>
      </c>
      <c r="N1146" s="208">
        <f>IF($K1146=0,$J1146,(1-$M1146)*$I1146+$M1146*$J1146)</f>
        <v/>
      </c>
      <c r="O1146" s="209">
        <f>IF($F1146&lt;$B$1103,$E$1103+$I$1103*($F1146-$A$1103),IF($F1146&lt;$C$1103,$F$1103+$J$1103*($F1146-$B$1103),$G$1103+$K$1103*($F1146-$C$1103)))</f>
        <v/>
      </c>
      <c r="P1146" s="208">
        <f>MIN(1,MAX(0,(nr_MEndPm1-$G1146+0.5)/$C$1102))-MIN(1,MAX(0,(nr_MStartPm1-1-$G1146+0.5)/$C$1102))</f>
        <v/>
      </c>
      <c r="Q1146" s="208">
        <f>MIN(1,MAX(0,(nr_MEndP-$G1146+0.5)/$C$1102))-MIN(1,MAX(0,(nr_MStartP-1-$G1146+0.5)/$C$1102))</f>
        <v/>
      </c>
      <c r="R1146" s="208">
        <f>MIN(1,MAX(0,(nr_MEndP1-$G1146+0.5)/$C$1102))-MIN(1,MAX(0,(nr_MStartP1-1-$G1146+0.5)/$C$1102))</f>
        <v/>
      </c>
      <c r="S1146" s="208">
        <f>IF($L$1102,$N1146*IF($O$1102=1,$O1146/$F$1102,1),"")</f>
        <v/>
      </c>
      <c r="T1146" s="208">
        <f>IF(NOT($L$1102),"",IF($G1146&lt;nr_MStartP,$S1146,$T1134*(1+IF($G1146&lt;nr_MStartP1,$M$1102,$N$1102))))</f>
        <v/>
      </c>
      <c r="U1146" s="208">
        <f>IF($L$1102,$T1146,$N1146)</f>
        <v/>
      </c>
    </row>
    <row r="1147">
      <c r="A1147" s="145" t="n">
        <v>43</v>
      </c>
      <c r="B1147" s="204">
        <f>EDATE($B1146,1)</f>
        <v/>
      </c>
      <c r="C1147" s="205">
        <f>EOMONTH($B1147,0)</f>
        <v/>
      </c>
      <c r="D1147" s="201">
        <f>$C1147-$B1147+1</f>
        <v/>
      </c>
      <c r="E1147" s="201">
        <f>MONTH($B1147)</f>
        <v/>
      </c>
      <c r="F1147" s="235">
        <f>($B1147+$C1147+1)/2</f>
        <v/>
      </c>
      <c r="G1147" s="201">
        <f>YEAR($B1147)*12+MONTH($B1147)-1</f>
        <v/>
      </c>
      <c r="H1147" s="207">
        <f>IF(OR(nr_SeasonOn="OFF",$D$1102=0,$E$1102=0),1,12*INDEX(se_block,$D$1102,$E1147)/$E$1102)</f>
        <v/>
      </c>
      <c r="I1147" s="208">
        <f>EXP(SUMPRODUCT((rl_eff&lt;$B1147)*(rl_key=$A$1102)*rl_ln1p))</f>
        <v/>
      </c>
      <c r="J1147" s="208">
        <f>EXP(SUMPRODUCT((rl_eff&lt;=$C1147)*(rl_key=$A$1102)*rl_ln1p))</f>
        <v/>
      </c>
      <c r="K1147" s="201">
        <f>COUNTIFS(rl_key,$A$1102,rl_eff,"&gt;="&amp;$B1147,rl_eff,"&lt;="&amp;$C1147)</f>
        <v/>
      </c>
      <c r="L1147" s="201">
        <f>SUMIFS(rl_daysafter,rl_key,$A$1102,rl_effmonth,$B1147,rl_first,1)</f>
        <v/>
      </c>
      <c r="M1147" s="209">
        <f>IF($K1147=0,0,MIN(1,$L1147/$D1147))</f>
        <v/>
      </c>
      <c r="N1147" s="208">
        <f>IF($K1147=0,$J1147,(1-$M1147)*$I1147+$M1147*$J1147)</f>
        <v/>
      </c>
      <c r="O1147" s="209">
        <f>IF($F1147&lt;$B$1103,$E$1103+$I$1103*($F1147-$A$1103),IF($F1147&lt;$C$1103,$F$1103+$J$1103*($F1147-$B$1103),$G$1103+$K$1103*($F1147-$C$1103)))</f>
        <v/>
      </c>
      <c r="P1147" s="208">
        <f>MIN(1,MAX(0,(nr_MEndPm1-$G1147+0.5)/$C$1102))-MIN(1,MAX(0,(nr_MStartPm1-1-$G1147+0.5)/$C$1102))</f>
        <v/>
      </c>
      <c r="Q1147" s="208">
        <f>MIN(1,MAX(0,(nr_MEndP-$G1147+0.5)/$C$1102))-MIN(1,MAX(0,(nr_MStartP-1-$G1147+0.5)/$C$1102))</f>
        <v/>
      </c>
      <c r="R1147" s="208">
        <f>MIN(1,MAX(0,(nr_MEndP1-$G1147+0.5)/$C$1102))-MIN(1,MAX(0,(nr_MStartP1-1-$G1147+0.5)/$C$1102))</f>
        <v/>
      </c>
      <c r="S1147" s="208">
        <f>IF($L$1102,$N1147*IF($O$1102=1,$O1147/$F$1102,1),"")</f>
        <v/>
      </c>
      <c r="T1147" s="208">
        <f>IF(NOT($L$1102),"",IF($G1147&lt;nr_MStartP,$S1147,$T1135*(1+IF($G1147&lt;nr_MStartP1,$M$1102,$N$1102))))</f>
        <v/>
      </c>
      <c r="U1147" s="208">
        <f>IF($L$1102,$T1147,$N1147)</f>
        <v/>
      </c>
    </row>
    <row r="1148">
      <c r="A1148" s="145" t="n">
        <v>44</v>
      </c>
      <c r="B1148" s="204">
        <f>EDATE($B1147,1)</f>
        <v/>
      </c>
      <c r="C1148" s="205">
        <f>EOMONTH($B1148,0)</f>
        <v/>
      </c>
      <c r="D1148" s="201">
        <f>$C1148-$B1148+1</f>
        <v/>
      </c>
      <c r="E1148" s="201">
        <f>MONTH($B1148)</f>
        <v/>
      </c>
      <c r="F1148" s="235">
        <f>($B1148+$C1148+1)/2</f>
        <v/>
      </c>
      <c r="G1148" s="201">
        <f>YEAR($B1148)*12+MONTH($B1148)-1</f>
        <v/>
      </c>
      <c r="H1148" s="207">
        <f>IF(OR(nr_SeasonOn="OFF",$D$1102=0,$E$1102=0),1,12*INDEX(se_block,$D$1102,$E1148)/$E$1102)</f>
        <v/>
      </c>
      <c r="I1148" s="208">
        <f>EXP(SUMPRODUCT((rl_eff&lt;$B1148)*(rl_key=$A$1102)*rl_ln1p))</f>
        <v/>
      </c>
      <c r="J1148" s="208">
        <f>EXP(SUMPRODUCT((rl_eff&lt;=$C1148)*(rl_key=$A$1102)*rl_ln1p))</f>
        <v/>
      </c>
      <c r="K1148" s="201">
        <f>COUNTIFS(rl_key,$A$1102,rl_eff,"&gt;="&amp;$B1148,rl_eff,"&lt;="&amp;$C1148)</f>
        <v/>
      </c>
      <c r="L1148" s="201">
        <f>SUMIFS(rl_daysafter,rl_key,$A$1102,rl_effmonth,$B1148,rl_first,1)</f>
        <v/>
      </c>
      <c r="M1148" s="209">
        <f>IF($K1148=0,0,MIN(1,$L1148/$D1148))</f>
        <v/>
      </c>
      <c r="N1148" s="208">
        <f>IF($K1148=0,$J1148,(1-$M1148)*$I1148+$M1148*$J1148)</f>
        <v/>
      </c>
      <c r="O1148" s="209">
        <f>IF($F1148&lt;$B$1103,$E$1103+$I$1103*($F1148-$A$1103),IF($F1148&lt;$C$1103,$F$1103+$J$1103*($F1148-$B$1103),$G$1103+$K$1103*($F1148-$C$1103)))</f>
        <v/>
      </c>
      <c r="P1148" s="208">
        <f>MIN(1,MAX(0,(nr_MEndPm1-$G1148+0.5)/$C$1102))-MIN(1,MAX(0,(nr_MStartPm1-1-$G1148+0.5)/$C$1102))</f>
        <v/>
      </c>
      <c r="Q1148" s="208">
        <f>MIN(1,MAX(0,(nr_MEndP-$G1148+0.5)/$C$1102))-MIN(1,MAX(0,(nr_MStartP-1-$G1148+0.5)/$C$1102))</f>
        <v/>
      </c>
      <c r="R1148" s="208">
        <f>MIN(1,MAX(0,(nr_MEndP1-$G1148+0.5)/$C$1102))-MIN(1,MAX(0,(nr_MStartP1-1-$G1148+0.5)/$C$1102))</f>
        <v/>
      </c>
      <c r="S1148" s="208">
        <f>IF($L$1102,$N1148*IF($O$1102=1,$O1148/$F$1102,1),"")</f>
        <v/>
      </c>
      <c r="T1148" s="208">
        <f>IF(NOT($L$1102),"",IF($G1148&lt;nr_MStartP,$S1148,$T1136*(1+IF($G1148&lt;nr_MStartP1,$M$1102,$N$1102))))</f>
        <v/>
      </c>
      <c r="U1148" s="208">
        <f>IF($L$1102,$T1148,$N1148)</f>
        <v/>
      </c>
    </row>
    <row r="1149">
      <c r="A1149" s="145" t="n">
        <v>45</v>
      </c>
      <c r="B1149" s="204">
        <f>EDATE($B1148,1)</f>
        <v/>
      </c>
      <c r="C1149" s="205">
        <f>EOMONTH($B1149,0)</f>
        <v/>
      </c>
      <c r="D1149" s="201">
        <f>$C1149-$B1149+1</f>
        <v/>
      </c>
      <c r="E1149" s="201">
        <f>MONTH($B1149)</f>
        <v/>
      </c>
      <c r="F1149" s="235">
        <f>($B1149+$C1149+1)/2</f>
        <v/>
      </c>
      <c r="G1149" s="201">
        <f>YEAR($B1149)*12+MONTH($B1149)-1</f>
        <v/>
      </c>
      <c r="H1149" s="207">
        <f>IF(OR(nr_SeasonOn="OFF",$D$1102=0,$E$1102=0),1,12*INDEX(se_block,$D$1102,$E1149)/$E$1102)</f>
        <v/>
      </c>
      <c r="I1149" s="208">
        <f>EXP(SUMPRODUCT((rl_eff&lt;$B1149)*(rl_key=$A$1102)*rl_ln1p))</f>
        <v/>
      </c>
      <c r="J1149" s="208">
        <f>EXP(SUMPRODUCT((rl_eff&lt;=$C1149)*(rl_key=$A$1102)*rl_ln1p))</f>
        <v/>
      </c>
      <c r="K1149" s="201">
        <f>COUNTIFS(rl_key,$A$1102,rl_eff,"&gt;="&amp;$B1149,rl_eff,"&lt;="&amp;$C1149)</f>
        <v/>
      </c>
      <c r="L1149" s="201">
        <f>SUMIFS(rl_daysafter,rl_key,$A$1102,rl_effmonth,$B1149,rl_first,1)</f>
        <v/>
      </c>
      <c r="M1149" s="209">
        <f>IF($K1149=0,0,MIN(1,$L1149/$D1149))</f>
        <v/>
      </c>
      <c r="N1149" s="208">
        <f>IF($K1149=0,$J1149,(1-$M1149)*$I1149+$M1149*$J1149)</f>
        <v/>
      </c>
      <c r="O1149" s="209">
        <f>IF($F1149&lt;$B$1103,$E$1103+$I$1103*($F1149-$A$1103),IF($F1149&lt;$C$1103,$F$1103+$J$1103*($F1149-$B$1103),$G$1103+$K$1103*($F1149-$C$1103)))</f>
        <v/>
      </c>
      <c r="P1149" s="208">
        <f>MIN(1,MAX(0,(nr_MEndPm1-$G1149+0.5)/$C$1102))-MIN(1,MAX(0,(nr_MStartPm1-1-$G1149+0.5)/$C$1102))</f>
        <v/>
      </c>
      <c r="Q1149" s="208">
        <f>MIN(1,MAX(0,(nr_MEndP-$G1149+0.5)/$C$1102))-MIN(1,MAX(0,(nr_MStartP-1-$G1149+0.5)/$C$1102))</f>
        <v/>
      </c>
      <c r="R1149" s="208">
        <f>MIN(1,MAX(0,(nr_MEndP1-$G1149+0.5)/$C$1102))-MIN(1,MAX(0,(nr_MStartP1-1-$G1149+0.5)/$C$1102))</f>
        <v/>
      </c>
      <c r="S1149" s="208">
        <f>IF($L$1102,$N1149*IF($O$1102=1,$O1149/$F$1102,1),"")</f>
        <v/>
      </c>
      <c r="T1149" s="208">
        <f>IF(NOT($L$1102),"",IF($G1149&lt;nr_MStartP,$S1149,$T1137*(1+IF($G1149&lt;nr_MStartP1,$M$1102,$N$1102))))</f>
        <v/>
      </c>
      <c r="U1149" s="208">
        <f>IF($L$1102,$T1149,$N1149)</f>
        <v/>
      </c>
    </row>
    <row r="1150">
      <c r="A1150" s="145" t="n">
        <v>46</v>
      </c>
      <c r="B1150" s="204">
        <f>EDATE($B1149,1)</f>
        <v/>
      </c>
      <c r="C1150" s="205">
        <f>EOMONTH($B1150,0)</f>
        <v/>
      </c>
      <c r="D1150" s="201">
        <f>$C1150-$B1150+1</f>
        <v/>
      </c>
      <c r="E1150" s="201">
        <f>MONTH($B1150)</f>
        <v/>
      </c>
      <c r="F1150" s="235">
        <f>($B1150+$C1150+1)/2</f>
        <v/>
      </c>
      <c r="G1150" s="201">
        <f>YEAR($B1150)*12+MONTH($B1150)-1</f>
        <v/>
      </c>
      <c r="H1150" s="207">
        <f>IF(OR(nr_SeasonOn="OFF",$D$1102=0,$E$1102=0),1,12*INDEX(se_block,$D$1102,$E1150)/$E$1102)</f>
        <v/>
      </c>
      <c r="I1150" s="208">
        <f>EXP(SUMPRODUCT((rl_eff&lt;$B1150)*(rl_key=$A$1102)*rl_ln1p))</f>
        <v/>
      </c>
      <c r="J1150" s="208">
        <f>EXP(SUMPRODUCT((rl_eff&lt;=$C1150)*(rl_key=$A$1102)*rl_ln1p))</f>
        <v/>
      </c>
      <c r="K1150" s="201">
        <f>COUNTIFS(rl_key,$A$1102,rl_eff,"&gt;="&amp;$B1150,rl_eff,"&lt;="&amp;$C1150)</f>
        <v/>
      </c>
      <c r="L1150" s="201">
        <f>SUMIFS(rl_daysafter,rl_key,$A$1102,rl_effmonth,$B1150,rl_first,1)</f>
        <v/>
      </c>
      <c r="M1150" s="209">
        <f>IF($K1150=0,0,MIN(1,$L1150/$D1150))</f>
        <v/>
      </c>
      <c r="N1150" s="208">
        <f>IF($K1150=0,$J1150,(1-$M1150)*$I1150+$M1150*$J1150)</f>
        <v/>
      </c>
      <c r="O1150" s="209">
        <f>IF($F1150&lt;$B$1103,$E$1103+$I$1103*($F1150-$A$1103),IF($F1150&lt;$C$1103,$F$1103+$J$1103*($F1150-$B$1103),$G$1103+$K$1103*($F1150-$C$1103)))</f>
        <v/>
      </c>
      <c r="P1150" s="208">
        <f>MIN(1,MAX(0,(nr_MEndPm1-$G1150+0.5)/$C$1102))-MIN(1,MAX(0,(nr_MStartPm1-1-$G1150+0.5)/$C$1102))</f>
        <v/>
      </c>
      <c r="Q1150" s="208">
        <f>MIN(1,MAX(0,(nr_MEndP-$G1150+0.5)/$C$1102))-MIN(1,MAX(0,(nr_MStartP-1-$G1150+0.5)/$C$1102))</f>
        <v/>
      </c>
      <c r="R1150" s="208">
        <f>MIN(1,MAX(0,(nr_MEndP1-$G1150+0.5)/$C$1102))-MIN(1,MAX(0,(nr_MStartP1-1-$G1150+0.5)/$C$1102))</f>
        <v/>
      </c>
      <c r="S1150" s="208">
        <f>IF($L$1102,$N1150*IF($O$1102=1,$O1150/$F$1102,1),"")</f>
        <v/>
      </c>
      <c r="T1150" s="208">
        <f>IF(NOT($L$1102),"",IF($G1150&lt;nr_MStartP,$S1150,$T1138*(1+IF($G1150&lt;nr_MStartP1,$M$1102,$N$1102))))</f>
        <v/>
      </c>
      <c r="U1150" s="208">
        <f>IF($L$1102,$T1150,$N1150)</f>
        <v/>
      </c>
    </row>
    <row r="1151">
      <c r="A1151" s="145" t="n">
        <v>47</v>
      </c>
      <c r="B1151" s="204">
        <f>EDATE($B1150,1)</f>
        <v/>
      </c>
      <c r="C1151" s="205">
        <f>EOMONTH($B1151,0)</f>
        <v/>
      </c>
      <c r="D1151" s="201">
        <f>$C1151-$B1151+1</f>
        <v/>
      </c>
      <c r="E1151" s="201">
        <f>MONTH($B1151)</f>
        <v/>
      </c>
      <c r="F1151" s="235">
        <f>($B1151+$C1151+1)/2</f>
        <v/>
      </c>
      <c r="G1151" s="201">
        <f>YEAR($B1151)*12+MONTH($B1151)-1</f>
        <v/>
      </c>
      <c r="H1151" s="207">
        <f>IF(OR(nr_SeasonOn="OFF",$D$1102=0,$E$1102=0),1,12*INDEX(se_block,$D$1102,$E1151)/$E$1102)</f>
        <v/>
      </c>
      <c r="I1151" s="208">
        <f>EXP(SUMPRODUCT((rl_eff&lt;$B1151)*(rl_key=$A$1102)*rl_ln1p))</f>
        <v/>
      </c>
      <c r="J1151" s="208">
        <f>EXP(SUMPRODUCT((rl_eff&lt;=$C1151)*(rl_key=$A$1102)*rl_ln1p))</f>
        <v/>
      </c>
      <c r="K1151" s="201">
        <f>COUNTIFS(rl_key,$A$1102,rl_eff,"&gt;="&amp;$B1151,rl_eff,"&lt;="&amp;$C1151)</f>
        <v/>
      </c>
      <c r="L1151" s="201">
        <f>SUMIFS(rl_daysafter,rl_key,$A$1102,rl_effmonth,$B1151,rl_first,1)</f>
        <v/>
      </c>
      <c r="M1151" s="209">
        <f>IF($K1151=0,0,MIN(1,$L1151/$D1151))</f>
        <v/>
      </c>
      <c r="N1151" s="208">
        <f>IF($K1151=0,$J1151,(1-$M1151)*$I1151+$M1151*$J1151)</f>
        <v/>
      </c>
      <c r="O1151" s="209">
        <f>IF($F1151&lt;$B$1103,$E$1103+$I$1103*($F1151-$A$1103),IF($F1151&lt;$C$1103,$F$1103+$J$1103*($F1151-$B$1103),$G$1103+$K$1103*($F1151-$C$1103)))</f>
        <v/>
      </c>
      <c r="P1151" s="208">
        <f>MIN(1,MAX(0,(nr_MEndPm1-$G1151+0.5)/$C$1102))-MIN(1,MAX(0,(nr_MStartPm1-1-$G1151+0.5)/$C$1102))</f>
        <v/>
      </c>
      <c r="Q1151" s="208">
        <f>MIN(1,MAX(0,(nr_MEndP-$G1151+0.5)/$C$1102))-MIN(1,MAX(0,(nr_MStartP-1-$G1151+0.5)/$C$1102))</f>
        <v/>
      </c>
      <c r="R1151" s="208">
        <f>MIN(1,MAX(0,(nr_MEndP1-$G1151+0.5)/$C$1102))-MIN(1,MAX(0,(nr_MStartP1-1-$G1151+0.5)/$C$1102))</f>
        <v/>
      </c>
      <c r="S1151" s="208">
        <f>IF($L$1102,$N1151*IF($O$1102=1,$O1151/$F$1102,1),"")</f>
        <v/>
      </c>
      <c r="T1151" s="208">
        <f>IF(NOT($L$1102),"",IF($G1151&lt;nr_MStartP,$S1151,$T1139*(1+IF($G1151&lt;nr_MStartP1,$M$1102,$N$1102))))</f>
        <v/>
      </c>
      <c r="U1151" s="208">
        <f>IF($L$1102,$T1151,$N1151)</f>
        <v/>
      </c>
    </row>
    <row r="1152">
      <c r="A1152" s="145" t="n">
        <v>48</v>
      </c>
      <c r="B1152" s="204">
        <f>EDATE($B1151,1)</f>
        <v/>
      </c>
      <c r="C1152" s="205">
        <f>EOMONTH($B1152,0)</f>
        <v/>
      </c>
      <c r="D1152" s="201">
        <f>$C1152-$B1152+1</f>
        <v/>
      </c>
      <c r="E1152" s="201">
        <f>MONTH($B1152)</f>
        <v/>
      </c>
      <c r="F1152" s="235">
        <f>($B1152+$C1152+1)/2</f>
        <v/>
      </c>
      <c r="G1152" s="201">
        <f>YEAR($B1152)*12+MONTH($B1152)-1</f>
        <v/>
      </c>
      <c r="H1152" s="207">
        <f>IF(OR(nr_SeasonOn="OFF",$D$1102=0,$E$1102=0),1,12*INDEX(se_block,$D$1102,$E1152)/$E$1102)</f>
        <v/>
      </c>
      <c r="I1152" s="208">
        <f>EXP(SUMPRODUCT((rl_eff&lt;$B1152)*(rl_key=$A$1102)*rl_ln1p))</f>
        <v/>
      </c>
      <c r="J1152" s="208">
        <f>EXP(SUMPRODUCT((rl_eff&lt;=$C1152)*(rl_key=$A$1102)*rl_ln1p))</f>
        <v/>
      </c>
      <c r="K1152" s="201">
        <f>COUNTIFS(rl_key,$A$1102,rl_eff,"&gt;="&amp;$B1152,rl_eff,"&lt;="&amp;$C1152)</f>
        <v/>
      </c>
      <c r="L1152" s="201">
        <f>SUMIFS(rl_daysafter,rl_key,$A$1102,rl_effmonth,$B1152,rl_first,1)</f>
        <v/>
      </c>
      <c r="M1152" s="209">
        <f>IF($K1152=0,0,MIN(1,$L1152/$D1152))</f>
        <v/>
      </c>
      <c r="N1152" s="208">
        <f>IF($K1152=0,$J1152,(1-$M1152)*$I1152+$M1152*$J1152)</f>
        <v/>
      </c>
      <c r="O1152" s="209">
        <f>IF($F1152&lt;$B$1103,$E$1103+$I$1103*($F1152-$A$1103),IF($F1152&lt;$C$1103,$F$1103+$J$1103*($F1152-$B$1103),$G$1103+$K$1103*($F1152-$C$1103)))</f>
        <v/>
      </c>
      <c r="P1152" s="208">
        <f>MIN(1,MAX(0,(nr_MEndPm1-$G1152+0.5)/$C$1102))-MIN(1,MAX(0,(nr_MStartPm1-1-$G1152+0.5)/$C$1102))</f>
        <v/>
      </c>
      <c r="Q1152" s="208">
        <f>MIN(1,MAX(0,(nr_MEndP-$G1152+0.5)/$C$1102))-MIN(1,MAX(0,(nr_MStartP-1-$G1152+0.5)/$C$1102))</f>
        <v/>
      </c>
      <c r="R1152" s="208">
        <f>MIN(1,MAX(0,(nr_MEndP1-$G1152+0.5)/$C$1102))-MIN(1,MAX(0,(nr_MStartP1-1-$G1152+0.5)/$C$1102))</f>
        <v/>
      </c>
      <c r="S1152" s="208">
        <f>IF($L$1102,$N1152*IF($O$1102=1,$O1152/$F$1102,1),"")</f>
        <v/>
      </c>
      <c r="T1152" s="208">
        <f>IF(NOT($L$1102),"",IF($G1152&lt;nr_MStartP,$S1152,$T1140*(1+IF($G1152&lt;nr_MStartP1,$M$1102,$N$1102))))</f>
        <v/>
      </c>
      <c r="U1152" s="208">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184">
        <f>SUMPRODUCT($H$1105:$H$1152,$Q$1105:$Q$1152,$O$1105:$O$1152)/SUMPRODUCT($H$1105:$H$1152,$Q$1105:$Q$1152)</f>
        <v/>
      </c>
      <c r="G1153" s="184">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184">
        <f>IF(N(INDEX(lr_mind,21))=0,1,INDEX(lr_mind,21))</f>
        <v/>
      </c>
      <c r="G1156" s="184">
        <f>IF(N(INDEX(lr_m0,21))=0,1,INDEX(lr_m0,21))</f>
        <v/>
      </c>
      <c r="H1156" s="73">
        <f>IF(N(INDEX(lr_m0asof,21))=0,DATE(nr_PlanYear-1,10,1),INDEX(lr_m0asof,21))</f>
        <v/>
      </c>
      <c r="I1156" s="184">
        <f>IF(N(INDEX(lr_m1,21))=0,1,INDEX(lr_m1,21))</f>
        <v/>
      </c>
      <c r="J1156" s="184">
        <f>INDEX(lr_mprior,21)</f>
        <v/>
      </c>
      <c r="K1156" s="184">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145" t="n">
        <v>1</v>
      </c>
      <c r="B1159" s="204">
        <f>DATE(nr_PlanYear-2,1,1)</f>
        <v/>
      </c>
      <c r="C1159" s="205">
        <f>EOMONTH($B1159,0)</f>
        <v/>
      </c>
      <c r="D1159" s="201">
        <f>$C1159-$B1159+1</f>
        <v/>
      </c>
      <c r="E1159" s="201">
        <f>MONTH($B1159)</f>
        <v/>
      </c>
      <c r="F1159" s="235">
        <f>($B1159+$C1159+1)/2</f>
        <v/>
      </c>
      <c r="G1159" s="201">
        <f>YEAR($B1159)*12+MONTH($B1159)-1</f>
        <v/>
      </c>
      <c r="H1159" s="207">
        <f>IF(OR(nr_SeasonOn="OFF",$D$1156=0,$E$1156=0),1,12*INDEX(se_block,$D$1156,$E1159)/$E$1156)</f>
        <v/>
      </c>
      <c r="I1159" s="208">
        <f>EXP(SUMPRODUCT((rl_eff&lt;$B1159)*(rl_key=$A$1156)*rl_ln1p))</f>
        <v/>
      </c>
      <c r="J1159" s="208">
        <f>EXP(SUMPRODUCT((rl_eff&lt;=$C1159)*(rl_key=$A$1156)*rl_ln1p))</f>
        <v/>
      </c>
      <c r="K1159" s="201">
        <f>COUNTIFS(rl_key,$A$1156,rl_eff,"&gt;="&amp;$B1159,rl_eff,"&lt;="&amp;$C1159)</f>
        <v/>
      </c>
      <c r="L1159" s="201">
        <f>SUMIFS(rl_daysafter,rl_key,$A$1156,rl_effmonth,$B1159,rl_first,1)</f>
        <v/>
      </c>
      <c r="M1159" s="209">
        <f>IF($K1159=0,0,MIN(1,$L1159/$D1159))</f>
        <v/>
      </c>
      <c r="N1159" s="208">
        <f>IF($K1159=0,$J1159,(1-$M1159)*$I1159+$M1159*$J1159)</f>
        <v/>
      </c>
      <c r="O1159" s="209">
        <f>IF($F1159&lt;$B$1157,$E$1157+$I$1157*($F1159-$A$1157),IF($F1159&lt;$C$1157,$F$1157+$J$1157*($F1159-$B$1157),$G$1157+$K$1157*($F1159-$C$1157)))</f>
        <v/>
      </c>
      <c r="P1159" s="208">
        <f>MIN(1,MAX(0,(nr_MEndPm1-$G1159+0.5)/$C$1156))-MIN(1,MAX(0,(nr_MStartPm1-1-$G1159+0.5)/$C$1156))</f>
        <v/>
      </c>
      <c r="Q1159" s="208">
        <f>MIN(1,MAX(0,(nr_MEndP-$G1159+0.5)/$C$1156))-MIN(1,MAX(0,(nr_MStartP-1-$G1159+0.5)/$C$1156))</f>
        <v/>
      </c>
      <c r="R1159" s="208">
        <f>MIN(1,MAX(0,(nr_MEndP1-$G1159+0.5)/$C$1156))-MIN(1,MAX(0,(nr_MStartP1-1-$G1159+0.5)/$C$1156))</f>
        <v/>
      </c>
      <c r="S1159" s="208">
        <f>IF($L$1156,$N1159*IF($O$1156=1,$O1159/$F$1156,1),"")</f>
        <v/>
      </c>
      <c r="T1159" s="208">
        <f>IF(NOT($L$1156),"",IF($G1159&lt;nr_MStartP,$S1159,$T1147*(1+IF($G1159&lt;nr_MStartP1,$M$1156,$N$1156))))</f>
        <v/>
      </c>
      <c r="U1159" s="208">
        <f>IF($L$1156,$T1159,$N1159)</f>
        <v/>
      </c>
    </row>
    <row r="1160">
      <c r="A1160" s="145" t="n">
        <v>2</v>
      </c>
      <c r="B1160" s="204">
        <f>EDATE($B1159,1)</f>
        <v/>
      </c>
      <c r="C1160" s="205">
        <f>EOMONTH($B1160,0)</f>
        <v/>
      </c>
      <c r="D1160" s="201">
        <f>$C1160-$B1160+1</f>
        <v/>
      </c>
      <c r="E1160" s="201">
        <f>MONTH($B1160)</f>
        <v/>
      </c>
      <c r="F1160" s="235">
        <f>($B1160+$C1160+1)/2</f>
        <v/>
      </c>
      <c r="G1160" s="201">
        <f>YEAR($B1160)*12+MONTH($B1160)-1</f>
        <v/>
      </c>
      <c r="H1160" s="207">
        <f>IF(OR(nr_SeasonOn="OFF",$D$1156=0,$E$1156=0),1,12*INDEX(se_block,$D$1156,$E1160)/$E$1156)</f>
        <v/>
      </c>
      <c r="I1160" s="208">
        <f>EXP(SUMPRODUCT((rl_eff&lt;$B1160)*(rl_key=$A$1156)*rl_ln1p))</f>
        <v/>
      </c>
      <c r="J1160" s="208">
        <f>EXP(SUMPRODUCT((rl_eff&lt;=$C1160)*(rl_key=$A$1156)*rl_ln1p))</f>
        <v/>
      </c>
      <c r="K1160" s="201">
        <f>COUNTIFS(rl_key,$A$1156,rl_eff,"&gt;="&amp;$B1160,rl_eff,"&lt;="&amp;$C1160)</f>
        <v/>
      </c>
      <c r="L1160" s="201">
        <f>SUMIFS(rl_daysafter,rl_key,$A$1156,rl_effmonth,$B1160,rl_first,1)</f>
        <v/>
      </c>
      <c r="M1160" s="209">
        <f>IF($K1160=0,0,MIN(1,$L1160/$D1160))</f>
        <v/>
      </c>
      <c r="N1160" s="208">
        <f>IF($K1160=0,$J1160,(1-$M1160)*$I1160+$M1160*$J1160)</f>
        <v/>
      </c>
      <c r="O1160" s="209">
        <f>IF($F1160&lt;$B$1157,$E$1157+$I$1157*($F1160-$A$1157),IF($F1160&lt;$C$1157,$F$1157+$J$1157*($F1160-$B$1157),$G$1157+$K$1157*($F1160-$C$1157)))</f>
        <v/>
      </c>
      <c r="P1160" s="208">
        <f>MIN(1,MAX(0,(nr_MEndPm1-$G1160+0.5)/$C$1156))-MIN(1,MAX(0,(nr_MStartPm1-1-$G1160+0.5)/$C$1156))</f>
        <v/>
      </c>
      <c r="Q1160" s="208">
        <f>MIN(1,MAX(0,(nr_MEndP-$G1160+0.5)/$C$1156))-MIN(1,MAX(0,(nr_MStartP-1-$G1160+0.5)/$C$1156))</f>
        <v/>
      </c>
      <c r="R1160" s="208">
        <f>MIN(1,MAX(0,(nr_MEndP1-$G1160+0.5)/$C$1156))-MIN(1,MAX(0,(nr_MStartP1-1-$G1160+0.5)/$C$1156))</f>
        <v/>
      </c>
      <c r="S1160" s="208">
        <f>IF($L$1156,$N1160*IF($O$1156=1,$O1160/$F$1156,1),"")</f>
        <v/>
      </c>
      <c r="T1160" s="208">
        <f>IF(NOT($L$1156),"",IF($G1160&lt;nr_MStartP,$S1160,$T1148*(1+IF($G1160&lt;nr_MStartP1,$M$1156,$N$1156))))</f>
        <v/>
      </c>
      <c r="U1160" s="208">
        <f>IF($L$1156,$T1160,$N1160)</f>
        <v/>
      </c>
    </row>
    <row r="1161">
      <c r="A1161" s="145" t="n">
        <v>3</v>
      </c>
      <c r="B1161" s="204">
        <f>EDATE($B1160,1)</f>
        <v/>
      </c>
      <c r="C1161" s="205">
        <f>EOMONTH($B1161,0)</f>
        <v/>
      </c>
      <c r="D1161" s="201">
        <f>$C1161-$B1161+1</f>
        <v/>
      </c>
      <c r="E1161" s="201">
        <f>MONTH($B1161)</f>
        <v/>
      </c>
      <c r="F1161" s="235">
        <f>($B1161+$C1161+1)/2</f>
        <v/>
      </c>
      <c r="G1161" s="201">
        <f>YEAR($B1161)*12+MONTH($B1161)-1</f>
        <v/>
      </c>
      <c r="H1161" s="207">
        <f>IF(OR(nr_SeasonOn="OFF",$D$1156=0,$E$1156=0),1,12*INDEX(se_block,$D$1156,$E1161)/$E$1156)</f>
        <v/>
      </c>
      <c r="I1161" s="208">
        <f>EXP(SUMPRODUCT((rl_eff&lt;$B1161)*(rl_key=$A$1156)*rl_ln1p))</f>
        <v/>
      </c>
      <c r="J1161" s="208">
        <f>EXP(SUMPRODUCT((rl_eff&lt;=$C1161)*(rl_key=$A$1156)*rl_ln1p))</f>
        <v/>
      </c>
      <c r="K1161" s="201">
        <f>COUNTIFS(rl_key,$A$1156,rl_eff,"&gt;="&amp;$B1161,rl_eff,"&lt;="&amp;$C1161)</f>
        <v/>
      </c>
      <c r="L1161" s="201">
        <f>SUMIFS(rl_daysafter,rl_key,$A$1156,rl_effmonth,$B1161,rl_first,1)</f>
        <v/>
      </c>
      <c r="M1161" s="209">
        <f>IF($K1161=0,0,MIN(1,$L1161/$D1161))</f>
        <v/>
      </c>
      <c r="N1161" s="208">
        <f>IF($K1161=0,$J1161,(1-$M1161)*$I1161+$M1161*$J1161)</f>
        <v/>
      </c>
      <c r="O1161" s="209">
        <f>IF($F1161&lt;$B$1157,$E$1157+$I$1157*($F1161-$A$1157),IF($F1161&lt;$C$1157,$F$1157+$J$1157*($F1161-$B$1157),$G$1157+$K$1157*($F1161-$C$1157)))</f>
        <v/>
      </c>
      <c r="P1161" s="208">
        <f>MIN(1,MAX(0,(nr_MEndPm1-$G1161+0.5)/$C$1156))-MIN(1,MAX(0,(nr_MStartPm1-1-$G1161+0.5)/$C$1156))</f>
        <v/>
      </c>
      <c r="Q1161" s="208">
        <f>MIN(1,MAX(0,(nr_MEndP-$G1161+0.5)/$C$1156))-MIN(1,MAX(0,(nr_MStartP-1-$G1161+0.5)/$C$1156))</f>
        <v/>
      </c>
      <c r="R1161" s="208">
        <f>MIN(1,MAX(0,(nr_MEndP1-$G1161+0.5)/$C$1156))-MIN(1,MAX(0,(nr_MStartP1-1-$G1161+0.5)/$C$1156))</f>
        <v/>
      </c>
      <c r="S1161" s="208">
        <f>IF($L$1156,$N1161*IF($O$1156=1,$O1161/$F$1156,1),"")</f>
        <v/>
      </c>
      <c r="T1161" s="208">
        <f>IF(NOT($L$1156),"",IF($G1161&lt;nr_MStartP,$S1161,$T1149*(1+IF($G1161&lt;nr_MStartP1,$M$1156,$N$1156))))</f>
        <v/>
      </c>
      <c r="U1161" s="208">
        <f>IF($L$1156,$T1161,$N1161)</f>
        <v/>
      </c>
    </row>
    <row r="1162">
      <c r="A1162" s="145" t="n">
        <v>4</v>
      </c>
      <c r="B1162" s="204">
        <f>EDATE($B1161,1)</f>
        <v/>
      </c>
      <c r="C1162" s="205">
        <f>EOMONTH($B1162,0)</f>
        <v/>
      </c>
      <c r="D1162" s="201">
        <f>$C1162-$B1162+1</f>
        <v/>
      </c>
      <c r="E1162" s="201">
        <f>MONTH($B1162)</f>
        <v/>
      </c>
      <c r="F1162" s="235">
        <f>($B1162+$C1162+1)/2</f>
        <v/>
      </c>
      <c r="G1162" s="201">
        <f>YEAR($B1162)*12+MONTH($B1162)-1</f>
        <v/>
      </c>
      <c r="H1162" s="207">
        <f>IF(OR(nr_SeasonOn="OFF",$D$1156=0,$E$1156=0),1,12*INDEX(se_block,$D$1156,$E1162)/$E$1156)</f>
        <v/>
      </c>
      <c r="I1162" s="208">
        <f>EXP(SUMPRODUCT((rl_eff&lt;$B1162)*(rl_key=$A$1156)*rl_ln1p))</f>
        <v/>
      </c>
      <c r="J1162" s="208">
        <f>EXP(SUMPRODUCT((rl_eff&lt;=$C1162)*(rl_key=$A$1156)*rl_ln1p))</f>
        <v/>
      </c>
      <c r="K1162" s="201">
        <f>COUNTIFS(rl_key,$A$1156,rl_eff,"&gt;="&amp;$B1162,rl_eff,"&lt;="&amp;$C1162)</f>
        <v/>
      </c>
      <c r="L1162" s="201">
        <f>SUMIFS(rl_daysafter,rl_key,$A$1156,rl_effmonth,$B1162,rl_first,1)</f>
        <v/>
      </c>
      <c r="M1162" s="209">
        <f>IF($K1162=0,0,MIN(1,$L1162/$D1162))</f>
        <v/>
      </c>
      <c r="N1162" s="208">
        <f>IF($K1162=0,$J1162,(1-$M1162)*$I1162+$M1162*$J1162)</f>
        <v/>
      </c>
      <c r="O1162" s="209">
        <f>IF($F1162&lt;$B$1157,$E$1157+$I$1157*($F1162-$A$1157),IF($F1162&lt;$C$1157,$F$1157+$J$1157*($F1162-$B$1157),$G$1157+$K$1157*($F1162-$C$1157)))</f>
        <v/>
      </c>
      <c r="P1162" s="208">
        <f>MIN(1,MAX(0,(nr_MEndPm1-$G1162+0.5)/$C$1156))-MIN(1,MAX(0,(nr_MStartPm1-1-$G1162+0.5)/$C$1156))</f>
        <v/>
      </c>
      <c r="Q1162" s="208">
        <f>MIN(1,MAX(0,(nr_MEndP-$G1162+0.5)/$C$1156))-MIN(1,MAX(0,(nr_MStartP-1-$G1162+0.5)/$C$1156))</f>
        <v/>
      </c>
      <c r="R1162" s="208">
        <f>MIN(1,MAX(0,(nr_MEndP1-$G1162+0.5)/$C$1156))-MIN(1,MAX(0,(nr_MStartP1-1-$G1162+0.5)/$C$1156))</f>
        <v/>
      </c>
      <c r="S1162" s="208">
        <f>IF($L$1156,$N1162*IF($O$1156=1,$O1162/$F$1156,1),"")</f>
        <v/>
      </c>
      <c r="T1162" s="208">
        <f>IF(NOT($L$1156),"",IF($G1162&lt;nr_MStartP,$S1162,$T1150*(1+IF($G1162&lt;nr_MStartP1,$M$1156,$N$1156))))</f>
        <v/>
      </c>
      <c r="U1162" s="208">
        <f>IF($L$1156,$T1162,$N1162)</f>
        <v/>
      </c>
    </row>
    <row r="1163">
      <c r="A1163" s="145" t="n">
        <v>5</v>
      </c>
      <c r="B1163" s="204">
        <f>EDATE($B1162,1)</f>
        <v/>
      </c>
      <c r="C1163" s="205">
        <f>EOMONTH($B1163,0)</f>
        <v/>
      </c>
      <c r="D1163" s="201">
        <f>$C1163-$B1163+1</f>
        <v/>
      </c>
      <c r="E1163" s="201">
        <f>MONTH($B1163)</f>
        <v/>
      </c>
      <c r="F1163" s="235">
        <f>($B1163+$C1163+1)/2</f>
        <v/>
      </c>
      <c r="G1163" s="201">
        <f>YEAR($B1163)*12+MONTH($B1163)-1</f>
        <v/>
      </c>
      <c r="H1163" s="207">
        <f>IF(OR(nr_SeasonOn="OFF",$D$1156=0,$E$1156=0),1,12*INDEX(se_block,$D$1156,$E1163)/$E$1156)</f>
        <v/>
      </c>
      <c r="I1163" s="208">
        <f>EXP(SUMPRODUCT((rl_eff&lt;$B1163)*(rl_key=$A$1156)*rl_ln1p))</f>
        <v/>
      </c>
      <c r="J1163" s="208">
        <f>EXP(SUMPRODUCT((rl_eff&lt;=$C1163)*(rl_key=$A$1156)*rl_ln1p))</f>
        <v/>
      </c>
      <c r="K1163" s="201">
        <f>COUNTIFS(rl_key,$A$1156,rl_eff,"&gt;="&amp;$B1163,rl_eff,"&lt;="&amp;$C1163)</f>
        <v/>
      </c>
      <c r="L1163" s="201">
        <f>SUMIFS(rl_daysafter,rl_key,$A$1156,rl_effmonth,$B1163,rl_first,1)</f>
        <v/>
      </c>
      <c r="M1163" s="209">
        <f>IF($K1163=0,0,MIN(1,$L1163/$D1163))</f>
        <v/>
      </c>
      <c r="N1163" s="208">
        <f>IF($K1163=0,$J1163,(1-$M1163)*$I1163+$M1163*$J1163)</f>
        <v/>
      </c>
      <c r="O1163" s="209">
        <f>IF($F1163&lt;$B$1157,$E$1157+$I$1157*($F1163-$A$1157),IF($F1163&lt;$C$1157,$F$1157+$J$1157*($F1163-$B$1157),$G$1157+$K$1157*($F1163-$C$1157)))</f>
        <v/>
      </c>
      <c r="P1163" s="208">
        <f>MIN(1,MAX(0,(nr_MEndPm1-$G1163+0.5)/$C$1156))-MIN(1,MAX(0,(nr_MStartPm1-1-$G1163+0.5)/$C$1156))</f>
        <v/>
      </c>
      <c r="Q1163" s="208">
        <f>MIN(1,MAX(0,(nr_MEndP-$G1163+0.5)/$C$1156))-MIN(1,MAX(0,(nr_MStartP-1-$G1163+0.5)/$C$1156))</f>
        <v/>
      </c>
      <c r="R1163" s="208">
        <f>MIN(1,MAX(0,(nr_MEndP1-$G1163+0.5)/$C$1156))-MIN(1,MAX(0,(nr_MStartP1-1-$G1163+0.5)/$C$1156))</f>
        <v/>
      </c>
      <c r="S1163" s="208">
        <f>IF($L$1156,$N1163*IF($O$1156=1,$O1163/$F$1156,1),"")</f>
        <v/>
      </c>
      <c r="T1163" s="208">
        <f>IF(NOT($L$1156),"",IF($G1163&lt;nr_MStartP,$S1163,$T1151*(1+IF($G1163&lt;nr_MStartP1,$M$1156,$N$1156))))</f>
        <v/>
      </c>
      <c r="U1163" s="208">
        <f>IF($L$1156,$T1163,$N1163)</f>
        <v/>
      </c>
    </row>
    <row r="1164">
      <c r="A1164" s="145" t="n">
        <v>6</v>
      </c>
      <c r="B1164" s="204">
        <f>EDATE($B1163,1)</f>
        <v/>
      </c>
      <c r="C1164" s="205">
        <f>EOMONTH($B1164,0)</f>
        <v/>
      </c>
      <c r="D1164" s="201">
        <f>$C1164-$B1164+1</f>
        <v/>
      </c>
      <c r="E1164" s="201">
        <f>MONTH($B1164)</f>
        <v/>
      </c>
      <c r="F1164" s="235">
        <f>($B1164+$C1164+1)/2</f>
        <v/>
      </c>
      <c r="G1164" s="201">
        <f>YEAR($B1164)*12+MONTH($B1164)-1</f>
        <v/>
      </c>
      <c r="H1164" s="207">
        <f>IF(OR(nr_SeasonOn="OFF",$D$1156=0,$E$1156=0),1,12*INDEX(se_block,$D$1156,$E1164)/$E$1156)</f>
        <v/>
      </c>
      <c r="I1164" s="208">
        <f>EXP(SUMPRODUCT((rl_eff&lt;$B1164)*(rl_key=$A$1156)*rl_ln1p))</f>
        <v/>
      </c>
      <c r="J1164" s="208">
        <f>EXP(SUMPRODUCT((rl_eff&lt;=$C1164)*(rl_key=$A$1156)*rl_ln1p))</f>
        <v/>
      </c>
      <c r="K1164" s="201">
        <f>COUNTIFS(rl_key,$A$1156,rl_eff,"&gt;="&amp;$B1164,rl_eff,"&lt;="&amp;$C1164)</f>
        <v/>
      </c>
      <c r="L1164" s="201">
        <f>SUMIFS(rl_daysafter,rl_key,$A$1156,rl_effmonth,$B1164,rl_first,1)</f>
        <v/>
      </c>
      <c r="M1164" s="209">
        <f>IF($K1164=0,0,MIN(1,$L1164/$D1164))</f>
        <v/>
      </c>
      <c r="N1164" s="208">
        <f>IF($K1164=0,$J1164,(1-$M1164)*$I1164+$M1164*$J1164)</f>
        <v/>
      </c>
      <c r="O1164" s="209">
        <f>IF($F1164&lt;$B$1157,$E$1157+$I$1157*($F1164-$A$1157),IF($F1164&lt;$C$1157,$F$1157+$J$1157*($F1164-$B$1157),$G$1157+$K$1157*($F1164-$C$1157)))</f>
        <v/>
      </c>
      <c r="P1164" s="208">
        <f>MIN(1,MAX(0,(nr_MEndPm1-$G1164+0.5)/$C$1156))-MIN(1,MAX(0,(nr_MStartPm1-1-$G1164+0.5)/$C$1156))</f>
        <v/>
      </c>
      <c r="Q1164" s="208">
        <f>MIN(1,MAX(0,(nr_MEndP-$G1164+0.5)/$C$1156))-MIN(1,MAX(0,(nr_MStartP-1-$G1164+0.5)/$C$1156))</f>
        <v/>
      </c>
      <c r="R1164" s="208">
        <f>MIN(1,MAX(0,(nr_MEndP1-$G1164+0.5)/$C$1156))-MIN(1,MAX(0,(nr_MStartP1-1-$G1164+0.5)/$C$1156))</f>
        <v/>
      </c>
      <c r="S1164" s="208">
        <f>IF($L$1156,$N1164*IF($O$1156=1,$O1164/$F$1156,1),"")</f>
        <v/>
      </c>
      <c r="T1164" s="208">
        <f>IF(NOT($L$1156),"",IF($G1164&lt;nr_MStartP,$S1164,$T1152*(1+IF($G1164&lt;nr_MStartP1,$M$1156,$N$1156))))</f>
        <v/>
      </c>
      <c r="U1164" s="208">
        <f>IF($L$1156,$T1164,$N1164)</f>
        <v/>
      </c>
    </row>
    <row r="1165">
      <c r="A1165" s="145" t="n">
        <v>7</v>
      </c>
      <c r="B1165" s="204">
        <f>EDATE($B1164,1)</f>
        <v/>
      </c>
      <c r="C1165" s="205">
        <f>EOMONTH($B1165,0)</f>
        <v/>
      </c>
      <c r="D1165" s="201">
        <f>$C1165-$B1165+1</f>
        <v/>
      </c>
      <c r="E1165" s="201">
        <f>MONTH($B1165)</f>
        <v/>
      </c>
      <c r="F1165" s="235">
        <f>($B1165+$C1165+1)/2</f>
        <v/>
      </c>
      <c r="G1165" s="201">
        <f>YEAR($B1165)*12+MONTH($B1165)-1</f>
        <v/>
      </c>
      <c r="H1165" s="207">
        <f>IF(OR(nr_SeasonOn="OFF",$D$1156=0,$E$1156=0),1,12*INDEX(se_block,$D$1156,$E1165)/$E$1156)</f>
        <v/>
      </c>
      <c r="I1165" s="208">
        <f>EXP(SUMPRODUCT((rl_eff&lt;$B1165)*(rl_key=$A$1156)*rl_ln1p))</f>
        <v/>
      </c>
      <c r="J1165" s="208">
        <f>EXP(SUMPRODUCT((rl_eff&lt;=$C1165)*(rl_key=$A$1156)*rl_ln1p))</f>
        <v/>
      </c>
      <c r="K1165" s="201">
        <f>COUNTIFS(rl_key,$A$1156,rl_eff,"&gt;="&amp;$B1165,rl_eff,"&lt;="&amp;$C1165)</f>
        <v/>
      </c>
      <c r="L1165" s="201">
        <f>SUMIFS(rl_daysafter,rl_key,$A$1156,rl_effmonth,$B1165,rl_first,1)</f>
        <v/>
      </c>
      <c r="M1165" s="209">
        <f>IF($K1165=0,0,MIN(1,$L1165/$D1165))</f>
        <v/>
      </c>
      <c r="N1165" s="208">
        <f>IF($K1165=0,$J1165,(1-$M1165)*$I1165+$M1165*$J1165)</f>
        <v/>
      </c>
      <c r="O1165" s="209">
        <f>IF($F1165&lt;$B$1157,$E$1157+$I$1157*($F1165-$A$1157),IF($F1165&lt;$C$1157,$F$1157+$J$1157*($F1165-$B$1157),$G$1157+$K$1157*($F1165-$C$1157)))</f>
        <v/>
      </c>
      <c r="P1165" s="208">
        <f>MIN(1,MAX(0,(nr_MEndPm1-$G1165+0.5)/$C$1156))-MIN(1,MAX(0,(nr_MStartPm1-1-$G1165+0.5)/$C$1156))</f>
        <v/>
      </c>
      <c r="Q1165" s="208">
        <f>MIN(1,MAX(0,(nr_MEndP-$G1165+0.5)/$C$1156))-MIN(1,MAX(0,(nr_MStartP-1-$G1165+0.5)/$C$1156))</f>
        <v/>
      </c>
      <c r="R1165" s="208">
        <f>MIN(1,MAX(0,(nr_MEndP1-$G1165+0.5)/$C$1156))-MIN(1,MAX(0,(nr_MStartP1-1-$G1165+0.5)/$C$1156))</f>
        <v/>
      </c>
      <c r="S1165" s="208">
        <f>IF($L$1156,$N1165*IF($O$1156=1,$O1165/$F$1156,1),"")</f>
        <v/>
      </c>
      <c r="T1165" s="208">
        <f>IF(NOT($L$1156),"",IF($G1165&lt;nr_MStartP,$S1165,$T1153*(1+IF($G1165&lt;nr_MStartP1,$M$1156,$N$1156))))</f>
        <v/>
      </c>
      <c r="U1165" s="208">
        <f>IF($L$1156,$T1165,$N1165)</f>
        <v/>
      </c>
    </row>
    <row r="1166">
      <c r="A1166" s="145" t="n">
        <v>8</v>
      </c>
      <c r="B1166" s="204">
        <f>EDATE($B1165,1)</f>
        <v/>
      </c>
      <c r="C1166" s="205">
        <f>EOMONTH($B1166,0)</f>
        <v/>
      </c>
      <c r="D1166" s="201">
        <f>$C1166-$B1166+1</f>
        <v/>
      </c>
      <c r="E1166" s="201">
        <f>MONTH($B1166)</f>
        <v/>
      </c>
      <c r="F1166" s="235">
        <f>($B1166+$C1166+1)/2</f>
        <v/>
      </c>
      <c r="G1166" s="201">
        <f>YEAR($B1166)*12+MONTH($B1166)-1</f>
        <v/>
      </c>
      <c r="H1166" s="207">
        <f>IF(OR(nr_SeasonOn="OFF",$D$1156=0,$E$1156=0),1,12*INDEX(se_block,$D$1156,$E1166)/$E$1156)</f>
        <v/>
      </c>
      <c r="I1166" s="208">
        <f>EXP(SUMPRODUCT((rl_eff&lt;$B1166)*(rl_key=$A$1156)*rl_ln1p))</f>
        <v/>
      </c>
      <c r="J1166" s="208">
        <f>EXP(SUMPRODUCT((rl_eff&lt;=$C1166)*(rl_key=$A$1156)*rl_ln1p))</f>
        <v/>
      </c>
      <c r="K1166" s="201">
        <f>COUNTIFS(rl_key,$A$1156,rl_eff,"&gt;="&amp;$B1166,rl_eff,"&lt;="&amp;$C1166)</f>
        <v/>
      </c>
      <c r="L1166" s="201">
        <f>SUMIFS(rl_daysafter,rl_key,$A$1156,rl_effmonth,$B1166,rl_first,1)</f>
        <v/>
      </c>
      <c r="M1166" s="209">
        <f>IF($K1166=0,0,MIN(1,$L1166/$D1166))</f>
        <v/>
      </c>
      <c r="N1166" s="208">
        <f>IF($K1166=0,$J1166,(1-$M1166)*$I1166+$M1166*$J1166)</f>
        <v/>
      </c>
      <c r="O1166" s="209">
        <f>IF($F1166&lt;$B$1157,$E$1157+$I$1157*($F1166-$A$1157),IF($F1166&lt;$C$1157,$F$1157+$J$1157*($F1166-$B$1157),$G$1157+$K$1157*($F1166-$C$1157)))</f>
        <v/>
      </c>
      <c r="P1166" s="208">
        <f>MIN(1,MAX(0,(nr_MEndPm1-$G1166+0.5)/$C$1156))-MIN(1,MAX(0,(nr_MStartPm1-1-$G1166+0.5)/$C$1156))</f>
        <v/>
      </c>
      <c r="Q1166" s="208">
        <f>MIN(1,MAX(0,(nr_MEndP-$G1166+0.5)/$C$1156))-MIN(1,MAX(0,(nr_MStartP-1-$G1166+0.5)/$C$1156))</f>
        <v/>
      </c>
      <c r="R1166" s="208">
        <f>MIN(1,MAX(0,(nr_MEndP1-$G1166+0.5)/$C$1156))-MIN(1,MAX(0,(nr_MStartP1-1-$G1166+0.5)/$C$1156))</f>
        <v/>
      </c>
      <c r="S1166" s="208">
        <f>IF($L$1156,$N1166*IF($O$1156=1,$O1166/$F$1156,1),"")</f>
        <v/>
      </c>
      <c r="T1166" s="208">
        <f>IF(NOT($L$1156),"",IF($G1166&lt;nr_MStartP,$S1166,$T1154*(1+IF($G1166&lt;nr_MStartP1,$M$1156,$N$1156))))</f>
        <v/>
      </c>
      <c r="U1166" s="208">
        <f>IF($L$1156,$T1166,$N1166)</f>
        <v/>
      </c>
    </row>
    <row r="1167">
      <c r="A1167" s="145" t="n">
        <v>9</v>
      </c>
      <c r="B1167" s="204">
        <f>EDATE($B1166,1)</f>
        <v/>
      </c>
      <c r="C1167" s="205">
        <f>EOMONTH($B1167,0)</f>
        <v/>
      </c>
      <c r="D1167" s="201">
        <f>$C1167-$B1167+1</f>
        <v/>
      </c>
      <c r="E1167" s="201">
        <f>MONTH($B1167)</f>
        <v/>
      </c>
      <c r="F1167" s="235">
        <f>($B1167+$C1167+1)/2</f>
        <v/>
      </c>
      <c r="G1167" s="201">
        <f>YEAR($B1167)*12+MONTH($B1167)-1</f>
        <v/>
      </c>
      <c r="H1167" s="207">
        <f>IF(OR(nr_SeasonOn="OFF",$D$1156=0,$E$1156=0),1,12*INDEX(se_block,$D$1156,$E1167)/$E$1156)</f>
        <v/>
      </c>
      <c r="I1167" s="208">
        <f>EXP(SUMPRODUCT((rl_eff&lt;$B1167)*(rl_key=$A$1156)*rl_ln1p))</f>
        <v/>
      </c>
      <c r="J1167" s="208">
        <f>EXP(SUMPRODUCT((rl_eff&lt;=$C1167)*(rl_key=$A$1156)*rl_ln1p))</f>
        <v/>
      </c>
      <c r="K1167" s="201">
        <f>COUNTIFS(rl_key,$A$1156,rl_eff,"&gt;="&amp;$B1167,rl_eff,"&lt;="&amp;$C1167)</f>
        <v/>
      </c>
      <c r="L1167" s="201">
        <f>SUMIFS(rl_daysafter,rl_key,$A$1156,rl_effmonth,$B1167,rl_first,1)</f>
        <v/>
      </c>
      <c r="M1167" s="209">
        <f>IF($K1167=0,0,MIN(1,$L1167/$D1167))</f>
        <v/>
      </c>
      <c r="N1167" s="208">
        <f>IF($K1167=0,$J1167,(1-$M1167)*$I1167+$M1167*$J1167)</f>
        <v/>
      </c>
      <c r="O1167" s="209">
        <f>IF($F1167&lt;$B$1157,$E$1157+$I$1157*($F1167-$A$1157),IF($F1167&lt;$C$1157,$F$1157+$J$1157*($F1167-$B$1157),$G$1157+$K$1157*($F1167-$C$1157)))</f>
        <v/>
      </c>
      <c r="P1167" s="208">
        <f>MIN(1,MAX(0,(nr_MEndPm1-$G1167+0.5)/$C$1156))-MIN(1,MAX(0,(nr_MStartPm1-1-$G1167+0.5)/$C$1156))</f>
        <v/>
      </c>
      <c r="Q1167" s="208">
        <f>MIN(1,MAX(0,(nr_MEndP-$G1167+0.5)/$C$1156))-MIN(1,MAX(0,(nr_MStartP-1-$G1167+0.5)/$C$1156))</f>
        <v/>
      </c>
      <c r="R1167" s="208">
        <f>MIN(1,MAX(0,(nr_MEndP1-$G1167+0.5)/$C$1156))-MIN(1,MAX(0,(nr_MStartP1-1-$G1167+0.5)/$C$1156))</f>
        <v/>
      </c>
      <c r="S1167" s="208">
        <f>IF($L$1156,$N1167*IF($O$1156=1,$O1167/$F$1156,1),"")</f>
        <v/>
      </c>
      <c r="T1167" s="208">
        <f>IF(NOT($L$1156),"",IF($G1167&lt;nr_MStartP,$S1167,$T1155*(1+IF($G1167&lt;nr_MStartP1,$M$1156,$N$1156))))</f>
        <v/>
      </c>
      <c r="U1167" s="208">
        <f>IF($L$1156,$T1167,$N1167)</f>
        <v/>
      </c>
    </row>
    <row r="1168">
      <c r="A1168" s="145" t="n">
        <v>10</v>
      </c>
      <c r="B1168" s="204">
        <f>EDATE($B1167,1)</f>
        <v/>
      </c>
      <c r="C1168" s="205">
        <f>EOMONTH($B1168,0)</f>
        <v/>
      </c>
      <c r="D1168" s="201">
        <f>$C1168-$B1168+1</f>
        <v/>
      </c>
      <c r="E1168" s="201">
        <f>MONTH($B1168)</f>
        <v/>
      </c>
      <c r="F1168" s="235">
        <f>($B1168+$C1168+1)/2</f>
        <v/>
      </c>
      <c r="G1168" s="201">
        <f>YEAR($B1168)*12+MONTH($B1168)-1</f>
        <v/>
      </c>
      <c r="H1168" s="207">
        <f>IF(OR(nr_SeasonOn="OFF",$D$1156=0,$E$1156=0),1,12*INDEX(se_block,$D$1156,$E1168)/$E$1156)</f>
        <v/>
      </c>
      <c r="I1168" s="208">
        <f>EXP(SUMPRODUCT((rl_eff&lt;$B1168)*(rl_key=$A$1156)*rl_ln1p))</f>
        <v/>
      </c>
      <c r="J1168" s="208">
        <f>EXP(SUMPRODUCT((rl_eff&lt;=$C1168)*(rl_key=$A$1156)*rl_ln1p))</f>
        <v/>
      </c>
      <c r="K1168" s="201">
        <f>COUNTIFS(rl_key,$A$1156,rl_eff,"&gt;="&amp;$B1168,rl_eff,"&lt;="&amp;$C1168)</f>
        <v/>
      </c>
      <c r="L1168" s="201">
        <f>SUMIFS(rl_daysafter,rl_key,$A$1156,rl_effmonth,$B1168,rl_first,1)</f>
        <v/>
      </c>
      <c r="M1168" s="209">
        <f>IF($K1168=0,0,MIN(1,$L1168/$D1168))</f>
        <v/>
      </c>
      <c r="N1168" s="208">
        <f>IF($K1168=0,$J1168,(1-$M1168)*$I1168+$M1168*$J1168)</f>
        <v/>
      </c>
      <c r="O1168" s="209">
        <f>IF($F1168&lt;$B$1157,$E$1157+$I$1157*($F1168-$A$1157),IF($F1168&lt;$C$1157,$F$1157+$J$1157*($F1168-$B$1157),$G$1157+$K$1157*($F1168-$C$1157)))</f>
        <v/>
      </c>
      <c r="P1168" s="208">
        <f>MIN(1,MAX(0,(nr_MEndPm1-$G1168+0.5)/$C$1156))-MIN(1,MAX(0,(nr_MStartPm1-1-$G1168+0.5)/$C$1156))</f>
        <v/>
      </c>
      <c r="Q1168" s="208">
        <f>MIN(1,MAX(0,(nr_MEndP-$G1168+0.5)/$C$1156))-MIN(1,MAX(0,(nr_MStartP-1-$G1168+0.5)/$C$1156))</f>
        <v/>
      </c>
      <c r="R1168" s="208">
        <f>MIN(1,MAX(0,(nr_MEndP1-$G1168+0.5)/$C$1156))-MIN(1,MAX(0,(nr_MStartP1-1-$G1168+0.5)/$C$1156))</f>
        <v/>
      </c>
      <c r="S1168" s="208">
        <f>IF($L$1156,$N1168*IF($O$1156=1,$O1168/$F$1156,1),"")</f>
        <v/>
      </c>
      <c r="T1168" s="208">
        <f>IF(NOT($L$1156),"",IF($G1168&lt;nr_MStartP,$S1168,$T1156*(1+IF($G1168&lt;nr_MStartP1,$M$1156,$N$1156))))</f>
        <v/>
      </c>
      <c r="U1168" s="208">
        <f>IF($L$1156,$T1168,$N1168)</f>
        <v/>
      </c>
    </row>
    <row r="1169">
      <c r="A1169" s="145" t="n">
        <v>11</v>
      </c>
      <c r="B1169" s="204">
        <f>EDATE($B1168,1)</f>
        <v/>
      </c>
      <c r="C1169" s="205">
        <f>EOMONTH($B1169,0)</f>
        <v/>
      </c>
      <c r="D1169" s="201">
        <f>$C1169-$B1169+1</f>
        <v/>
      </c>
      <c r="E1169" s="201">
        <f>MONTH($B1169)</f>
        <v/>
      </c>
      <c r="F1169" s="235">
        <f>($B1169+$C1169+1)/2</f>
        <v/>
      </c>
      <c r="G1169" s="201">
        <f>YEAR($B1169)*12+MONTH($B1169)-1</f>
        <v/>
      </c>
      <c r="H1169" s="207">
        <f>IF(OR(nr_SeasonOn="OFF",$D$1156=0,$E$1156=0),1,12*INDEX(se_block,$D$1156,$E1169)/$E$1156)</f>
        <v/>
      </c>
      <c r="I1169" s="208">
        <f>EXP(SUMPRODUCT((rl_eff&lt;$B1169)*(rl_key=$A$1156)*rl_ln1p))</f>
        <v/>
      </c>
      <c r="J1169" s="208">
        <f>EXP(SUMPRODUCT((rl_eff&lt;=$C1169)*(rl_key=$A$1156)*rl_ln1p))</f>
        <v/>
      </c>
      <c r="K1169" s="201">
        <f>COUNTIFS(rl_key,$A$1156,rl_eff,"&gt;="&amp;$B1169,rl_eff,"&lt;="&amp;$C1169)</f>
        <v/>
      </c>
      <c r="L1169" s="201">
        <f>SUMIFS(rl_daysafter,rl_key,$A$1156,rl_effmonth,$B1169,rl_first,1)</f>
        <v/>
      </c>
      <c r="M1169" s="209">
        <f>IF($K1169=0,0,MIN(1,$L1169/$D1169))</f>
        <v/>
      </c>
      <c r="N1169" s="208">
        <f>IF($K1169=0,$J1169,(1-$M1169)*$I1169+$M1169*$J1169)</f>
        <v/>
      </c>
      <c r="O1169" s="209">
        <f>IF($F1169&lt;$B$1157,$E$1157+$I$1157*($F1169-$A$1157),IF($F1169&lt;$C$1157,$F$1157+$J$1157*($F1169-$B$1157),$G$1157+$K$1157*($F1169-$C$1157)))</f>
        <v/>
      </c>
      <c r="P1169" s="208">
        <f>MIN(1,MAX(0,(nr_MEndPm1-$G1169+0.5)/$C$1156))-MIN(1,MAX(0,(nr_MStartPm1-1-$G1169+0.5)/$C$1156))</f>
        <v/>
      </c>
      <c r="Q1169" s="208">
        <f>MIN(1,MAX(0,(nr_MEndP-$G1169+0.5)/$C$1156))-MIN(1,MAX(0,(nr_MStartP-1-$G1169+0.5)/$C$1156))</f>
        <v/>
      </c>
      <c r="R1169" s="208">
        <f>MIN(1,MAX(0,(nr_MEndP1-$G1169+0.5)/$C$1156))-MIN(1,MAX(0,(nr_MStartP1-1-$G1169+0.5)/$C$1156))</f>
        <v/>
      </c>
      <c r="S1169" s="208">
        <f>IF($L$1156,$N1169*IF($O$1156=1,$O1169/$F$1156,1),"")</f>
        <v/>
      </c>
      <c r="T1169" s="208">
        <f>IF(NOT($L$1156),"",IF($G1169&lt;nr_MStartP,$S1169,$T1157*(1+IF($G1169&lt;nr_MStartP1,$M$1156,$N$1156))))</f>
        <v/>
      </c>
      <c r="U1169" s="208">
        <f>IF($L$1156,$T1169,$N1169)</f>
        <v/>
      </c>
    </row>
    <row r="1170">
      <c r="A1170" s="145" t="n">
        <v>12</v>
      </c>
      <c r="B1170" s="204">
        <f>EDATE($B1169,1)</f>
        <v/>
      </c>
      <c r="C1170" s="205">
        <f>EOMONTH($B1170,0)</f>
        <v/>
      </c>
      <c r="D1170" s="201">
        <f>$C1170-$B1170+1</f>
        <v/>
      </c>
      <c r="E1170" s="201">
        <f>MONTH($B1170)</f>
        <v/>
      </c>
      <c r="F1170" s="235">
        <f>($B1170+$C1170+1)/2</f>
        <v/>
      </c>
      <c r="G1170" s="201">
        <f>YEAR($B1170)*12+MONTH($B1170)-1</f>
        <v/>
      </c>
      <c r="H1170" s="207">
        <f>IF(OR(nr_SeasonOn="OFF",$D$1156=0,$E$1156=0),1,12*INDEX(se_block,$D$1156,$E1170)/$E$1156)</f>
        <v/>
      </c>
      <c r="I1170" s="208">
        <f>EXP(SUMPRODUCT((rl_eff&lt;$B1170)*(rl_key=$A$1156)*rl_ln1p))</f>
        <v/>
      </c>
      <c r="J1170" s="208">
        <f>EXP(SUMPRODUCT((rl_eff&lt;=$C1170)*(rl_key=$A$1156)*rl_ln1p))</f>
        <v/>
      </c>
      <c r="K1170" s="201">
        <f>COUNTIFS(rl_key,$A$1156,rl_eff,"&gt;="&amp;$B1170,rl_eff,"&lt;="&amp;$C1170)</f>
        <v/>
      </c>
      <c r="L1170" s="201">
        <f>SUMIFS(rl_daysafter,rl_key,$A$1156,rl_effmonth,$B1170,rl_first,1)</f>
        <v/>
      </c>
      <c r="M1170" s="209">
        <f>IF($K1170=0,0,MIN(1,$L1170/$D1170))</f>
        <v/>
      </c>
      <c r="N1170" s="208">
        <f>IF($K1170=0,$J1170,(1-$M1170)*$I1170+$M1170*$J1170)</f>
        <v/>
      </c>
      <c r="O1170" s="209">
        <f>IF($F1170&lt;$B$1157,$E$1157+$I$1157*($F1170-$A$1157),IF($F1170&lt;$C$1157,$F$1157+$J$1157*($F1170-$B$1157),$G$1157+$K$1157*($F1170-$C$1157)))</f>
        <v/>
      </c>
      <c r="P1170" s="208">
        <f>MIN(1,MAX(0,(nr_MEndPm1-$G1170+0.5)/$C$1156))-MIN(1,MAX(0,(nr_MStartPm1-1-$G1170+0.5)/$C$1156))</f>
        <v/>
      </c>
      <c r="Q1170" s="208">
        <f>MIN(1,MAX(0,(nr_MEndP-$G1170+0.5)/$C$1156))-MIN(1,MAX(0,(nr_MStartP-1-$G1170+0.5)/$C$1156))</f>
        <v/>
      </c>
      <c r="R1170" s="208">
        <f>MIN(1,MAX(0,(nr_MEndP1-$G1170+0.5)/$C$1156))-MIN(1,MAX(0,(nr_MStartP1-1-$G1170+0.5)/$C$1156))</f>
        <v/>
      </c>
      <c r="S1170" s="208">
        <f>IF($L$1156,$N1170*IF($O$1156=1,$O1170/$F$1156,1),"")</f>
        <v/>
      </c>
      <c r="T1170" s="208">
        <f>IF(NOT($L$1156),"",IF($G1170&lt;nr_MStartP,$S1170,$T1158*(1+IF($G1170&lt;nr_MStartP1,$M$1156,$N$1156))))</f>
        <v/>
      </c>
      <c r="U1170" s="208">
        <f>IF($L$1156,$T1170,$N1170)</f>
        <v/>
      </c>
    </row>
    <row r="1171">
      <c r="A1171" s="145" t="n">
        <v>13</v>
      </c>
      <c r="B1171" s="204">
        <f>EDATE($B1170,1)</f>
        <v/>
      </c>
      <c r="C1171" s="205">
        <f>EOMONTH($B1171,0)</f>
        <v/>
      </c>
      <c r="D1171" s="201">
        <f>$C1171-$B1171+1</f>
        <v/>
      </c>
      <c r="E1171" s="201">
        <f>MONTH($B1171)</f>
        <v/>
      </c>
      <c r="F1171" s="235">
        <f>($B1171+$C1171+1)/2</f>
        <v/>
      </c>
      <c r="G1171" s="201">
        <f>YEAR($B1171)*12+MONTH($B1171)-1</f>
        <v/>
      </c>
      <c r="H1171" s="207">
        <f>IF(OR(nr_SeasonOn="OFF",$D$1156=0,$E$1156=0),1,12*INDEX(se_block,$D$1156,$E1171)/$E$1156)</f>
        <v/>
      </c>
      <c r="I1171" s="208">
        <f>EXP(SUMPRODUCT((rl_eff&lt;$B1171)*(rl_key=$A$1156)*rl_ln1p))</f>
        <v/>
      </c>
      <c r="J1171" s="208">
        <f>EXP(SUMPRODUCT((rl_eff&lt;=$C1171)*(rl_key=$A$1156)*rl_ln1p))</f>
        <v/>
      </c>
      <c r="K1171" s="201">
        <f>COUNTIFS(rl_key,$A$1156,rl_eff,"&gt;="&amp;$B1171,rl_eff,"&lt;="&amp;$C1171)</f>
        <v/>
      </c>
      <c r="L1171" s="201">
        <f>SUMIFS(rl_daysafter,rl_key,$A$1156,rl_effmonth,$B1171,rl_first,1)</f>
        <v/>
      </c>
      <c r="M1171" s="209">
        <f>IF($K1171=0,0,MIN(1,$L1171/$D1171))</f>
        <v/>
      </c>
      <c r="N1171" s="208">
        <f>IF($K1171=0,$J1171,(1-$M1171)*$I1171+$M1171*$J1171)</f>
        <v/>
      </c>
      <c r="O1171" s="209">
        <f>IF($F1171&lt;$B$1157,$E$1157+$I$1157*($F1171-$A$1157),IF($F1171&lt;$C$1157,$F$1157+$J$1157*($F1171-$B$1157),$G$1157+$K$1157*($F1171-$C$1157)))</f>
        <v/>
      </c>
      <c r="P1171" s="208">
        <f>MIN(1,MAX(0,(nr_MEndPm1-$G1171+0.5)/$C$1156))-MIN(1,MAX(0,(nr_MStartPm1-1-$G1171+0.5)/$C$1156))</f>
        <v/>
      </c>
      <c r="Q1171" s="208">
        <f>MIN(1,MAX(0,(nr_MEndP-$G1171+0.5)/$C$1156))-MIN(1,MAX(0,(nr_MStartP-1-$G1171+0.5)/$C$1156))</f>
        <v/>
      </c>
      <c r="R1171" s="208">
        <f>MIN(1,MAX(0,(nr_MEndP1-$G1171+0.5)/$C$1156))-MIN(1,MAX(0,(nr_MStartP1-1-$G1171+0.5)/$C$1156))</f>
        <v/>
      </c>
      <c r="S1171" s="208">
        <f>IF($L$1156,$N1171*IF($O$1156=1,$O1171/$F$1156,1),"")</f>
        <v/>
      </c>
      <c r="T1171" s="208">
        <f>IF(NOT($L$1156),"",IF($G1171&lt;nr_MStartP,$S1171,$T1159*(1+IF($G1171&lt;nr_MStartP1,$M$1156,$N$1156))))</f>
        <v/>
      </c>
      <c r="U1171" s="208">
        <f>IF($L$1156,$T1171,$N1171)</f>
        <v/>
      </c>
    </row>
    <row r="1172">
      <c r="A1172" s="145" t="n">
        <v>14</v>
      </c>
      <c r="B1172" s="204">
        <f>EDATE($B1171,1)</f>
        <v/>
      </c>
      <c r="C1172" s="205">
        <f>EOMONTH($B1172,0)</f>
        <v/>
      </c>
      <c r="D1172" s="201">
        <f>$C1172-$B1172+1</f>
        <v/>
      </c>
      <c r="E1172" s="201">
        <f>MONTH($B1172)</f>
        <v/>
      </c>
      <c r="F1172" s="235">
        <f>($B1172+$C1172+1)/2</f>
        <v/>
      </c>
      <c r="G1172" s="201">
        <f>YEAR($B1172)*12+MONTH($B1172)-1</f>
        <v/>
      </c>
      <c r="H1172" s="207">
        <f>IF(OR(nr_SeasonOn="OFF",$D$1156=0,$E$1156=0),1,12*INDEX(se_block,$D$1156,$E1172)/$E$1156)</f>
        <v/>
      </c>
      <c r="I1172" s="208">
        <f>EXP(SUMPRODUCT((rl_eff&lt;$B1172)*(rl_key=$A$1156)*rl_ln1p))</f>
        <v/>
      </c>
      <c r="J1172" s="208">
        <f>EXP(SUMPRODUCT((rl_eff&lt;=$C1172)*(rl_key=$A$1156)*rl_ln1p))</f>
        <v/>
      </c>
      <c r="K1172" s="201">
        <f>COUNTIFS(rl_key,$A$1156,rl_eff,"&gt;="&amp;$B1172,rl_eff,"&lt;="&amp;$C1172)</f>
        <v/>
      </c>
      <c r="L1172" s="201">
        <f>SUMIFS(rl_daysafter,rl_key,$A$1156,rl_effmonth,$B1172,rl_first,1)</f>
        <v/>
      </c>
      <c r="M1172" s="209">
        <f>IF($K1172=0,0,MIN(1,$L1172/$D1172))</f>
        <v/>
      </c>
      <c r="N1172" s="208">
        <f>IF($K1172=0,$J1172,(1-$M1172)*$I1172+$M1172*$J1172)</f>
        <v/>
      </c>
      <c r="O1172" s="209">
        <f>IF($F1172&lt;$B$1157,$E$1157+$I$1157*($F1172-$A$1157),IF($F1172&lt;$C$1157,$F$1157+$J$1157*($F1172-$B$1157),$G$1157+$K$1157*($F1172-$C$1157)))</f>
        <v/>
      </c>
      <c r="P1172" s="208">
        <f>MIN(1,MAX(0,(nr_MEndPm1-$G1172+0.5)/$C$1156))-MIN(1,MAX(0,(nr_MStartPm1-1-$G1172+0.5)/$C$1156))</f>
        <v/>
      </c>
      <c r="Q1172" s="208">
        <f>MIN(1,MAX(0,(nr_MEndP-$G1172+0.5)/$C$1156))-MIN(1,MAX(0,(nr_MStartP-1-$G1172+0.5)/$C$1156))</f>
        <v/>
      </c>
      <c r="R1172" s="208">
        <f>MIN(1,MAX(0,(nr_MEndP1-$G1172+0.5)/$C$1156))-MIN(1,MAX(0,(nr_MStartP1-1-$G1172+0.5)/$C$1156))</f>
        <v/>
      </c>
      <c r="S1172" s="208">
        <f>IF($L$1156,$N1172*IF($O$1156=1,$O1172/$F$1156,1),"")</f>
        <v/>
      </c>
      <c r="T1172" s="208">
        <f>IF(NOT($L$1156),"",IF($G1172&lt;nr_MStartP,$S1172,$T1160*(1+IF($G1172&lt;nr_MStartP1,$M$1156,$N$1156))))</f>
        <v/>
      </c>
      <c r="U1172" s="208">
        <f>IF($L$1156,$T1172,$N1172)</f>
        <v/>
      </c>
    </row>
    <row r="1173">
      <c r="A1173" s="145" t="n">
        <v>15</v>
      </c>
      <c r="B1173" s="204">
        <f>EDATE($B1172,1)</f>
        <v/>
      </c>
      <c r="C1173" s="205">
        <f>EOMONTH($B1173,0)</f>
        <v/>
      </c>
      <c r="D1173" s="201">
        <f>$C1173-$B1173+1</f>
        <v/>
      </c>
      <c r="E1173" s="201">
        <f>MONTH($B1173)</f>
        <v/>
      </c>
      <c r="F1173" s="235">
        <f>($B1173+$C1173+1)/2</f>
        <v/>
      </c>
      <c r="G1173" s="201">
        <f>YEAR($B1173)*12+MONTH($B1173)-1</f>
        <v/>
      </c>
      <c r="H1173" s="207">
        <f>IF(OR(nr_SeasonOn="OFF",$D$1156=0,$E$1156=0),1,12*INDEX(se_block,$D$1156,$E1173)/$E$1156)</f>
        <v/>
      </c>
      <c r="I1173" s="208">
        <f>EXP(SUMPRODUCT((rl_eff&lt;$B1173)*(rl_key=$A$1156)*rl_ln1p))</f>
        <v/>
      </c>
      <c r="J1173" s="208">
        <f>EXP(SUMPRODUCT((rl_eff&lt;=$C1173)*(rl_key=$A$1156)*rl_ln1p))</f>
        <v/>
      </c>
      <c r="K1173" s="201">
        <f>COUNTIFS(rl_key,$A$1156,rl_eff,"&gt;="&amp;$B1173,rl_eff,"&lt;="&amp;$C1173)</f>
        <v/>
      </c>
      <c r="L1173" s="201">
        <f>SUMIFS(rl_daysafter,rl_key,$A$1156,rl_effmonth,$B1173,rl_first,1)</f>
        <v/>
      </c>
      <c r="M1173" s="209">
        <f>IF($K1173=0,0,MIN(1,$L1173/$D1173))</f>
        <v/>
      </c>
      <c r="N1173" s="208">
        <f>IF($K1173=0,$J1173,(1-$M1173)*$I1173+$M1173*$J1173)</f>
        <v/>
      </c>
      <c r="O1173" s="209">
        <f>IF($F1173&lt;$B$1157,$E$1157+$I$1157*($F1173-$A$1157),IF($F1173&lt;$C$1157,$F$1157+$J$1157*($F1173-$B$1157),$G$1157+$K$1157*($F1173-$C$1157)))</f>
        <v/>
      </c>
      <c r="P1173" s="208">
        <f>MIN(1,MAX(0,(nr_MEndPm1-$G1173+0.5)/$C$1156))-MIN(1,MAX(0,(nr_MStartPm1-1-$G1173+0.5)/$C$1156))</f>
        <v/>
      </c>
      <c r="Q1173" s="208">
        <f>MIN(1,MAX(0,(nr_MEndP-$G1173+0.5)/$C$1156))-MIN(1,MAX(0,(nr_MStartP-1-$G1173+0.5)/$C$1156))</f>
        <v/>
      </c>
      <c r="R1173" s="208">
        <f>MIN(1,MAX(0,(nr_MEndP1-$G1173+0.5)/$C$1156))-MIN(1,MAX(0,(nr_MStartP1-1-$G1173+0.5)/$C$1156))</f>
        <v/>
      </c>
      <c r="S1173" s="208">
        <f>IF($L$1156,$N1173*IF($O$1156=1,$O1173/$F$1156,1),"")</f>
        <v/>
      </c>
      <c r="T1173" s="208">
        <f>IF(NOT($L$1156),"",IF($G1173&lt;nr_MStartP,$S1173,$T1161*(1+IF($G1173&lt;nr_MStartP1,$M$1156,$N$1156))))</f>
        <v/>
      </c>
      <c r="U1173" s="208">
        <f>IF($L$1156,$T1173,$N1173)</f>
        <v/>
      </c>
    </row>
    <row r="1174">
      <c r="A1174" s="145" t="n">
        <v>16</v>
      </c>
      <c r="B1174" s="204">
        <f>EDATE($B1173,1)</f>
        <v/>
      </c>
      <c r="C1174" s="205">
        <f>EOMONTH($B1174,0)</f>
        <v/>
      </c>
      <c r="D1174" s="201">
        <f>$C1174-$B1174+1</f>
        <v/>
      </c>
      <c r="E1174" s="201">
        <f>MONTH($B1174)</f>
        <v/>
      </c>
      <c r="F1174" s="235">
        <f>($B1174+$C1174+1)/2</f>
        <v/>
      </c>
      <c r="G1174" s="201">
        <f>YEAR($B1174)*12+MONTH($B1174)-1</f>
        <v/>
      </c>
      <c r="H1174" s="207">
        <f>IF(OR(nr_SeasonOn="OFF",$D$1156=0,$E$1156=0),1,12*INDEX(se_block,$D$1156,$E1174)/$E$1156)</f>
        <v/>
      </c>
      <c r="I1174" s="208">
        <f>EXP(SUMPRODUCT((rl_eff&lt;$B1174)*(rl_key=$A$1156)*rl_ln1p))</f>
        <v/>
      </c>
      <c r="J1174" s="208">
        <f>EXP(SUMPRODUCT((rl_eff&lt;=$C1174)*(rl_key=$A$1156)*rl_ln1p))</f>
        <v/>
      </c>
      <c r="K1174" s="201">
        <f>COUNTIFS(rl_key,$A$1156,rl_eff,"&gt;="&amp;$B1174,rl_eff,"&lt;="&amp;$C1174)</f>
        <v/>
      </c>
      <c r="L1174" s="201">
        <f>SUMIFS(rl_daysafter,rl_key,$A$1156,rl_effmonth,$B1174,rl_first,1)</f>
        <v/>
      </c>
      <c r="M1174" s="209">
        <f>IF($K1174=0,0,MIN(1,$L1174/$D1174))</f>
        <v/>
      </c>
      <c r="N1174" s="208">
        <f>IF($K1174=0,$J1174,(1-$M1174)*$I1174+$M1174*$J1174)</f>
        <v/>
      </c>
      <c r="O1174" s="209">
        <f>IF($F1174&lt;$B$1157,$E$1157+$I$1157*($F1174-$A$1157),IF($F1174&lt;$C$1157,$F$1157+$J$1157*($F1174-$B$1157),$G$1157+$K$1157*($F1174-$C$1157)))</f>
        <v/>
      </c>
      <c r="P1174" s="208">
        <f>MIN(1,MAX(0,(nr_MEndPm1-$G1174+0.5)/$C$1156))-MIN(1,MAX(0,(nr_MStartPm1-1-$G1174+0.5)/$C$1156))</f>
        <v/>
      </c>
      <c r="Q1174" s="208">
        <f>MIN(1,MAX(0,(nr_MEndP-$G1174+0.5)/$C$1156))-MIN(1,MAX(0,(nr_MStartP-1-$G1174+0.5)/$C$1156))</f>
        <v/>
      </c>
      <c r="R1174" s="208">
        <f>MIN(1,MAX(0,(nr_MEndP1-$G1174+0.5)/$C$1156))-MIN(1,MAX(0,(nr_MStartP1-1-$G1174+0.5)/$C$1156))</f>
        <v/>
      </c>
      <c r="S1174" s="208">
        <f>IF($L$1156,$N1174*IF($O$1156=1,$O1174/$F$1156,1),"")</f>
        <v/>
      </c>
      <c r="T1174" s="208">
        <f>IF(NOT($L$1156),"",IF($G1174&lt;nr_MStartP,$S1174,$T1162*(1+IF($G1174&lt;nr_MStartP1,$M$1156,$N$1156))))</f>
        <v/>
      </c>
      <c r="U1174" s="208">
        <f>IF($L$1156,$T1174,$N1174)</f>
        <v/>
      </c>
    </row>
    <row r="1175">
      <c r="A1175" s="145" t="n">
        <v>17</v>
      </c>
      <c r="B1175" s="204">
        <f>EDATE($B1174,1)</f>
        <v/>
      </c>
      <c r="C1175" s="205">
        <f>EOMONTH($B1175,0)</f>
        <v/>
      </c>
      <c r="D1175" s="201">
        <f>$C1175-$B1175+1</f>
        <v/>
      </c>
      <c r="E1175" s="201">
        <f>MONTH($B1175)</f>
        <v/>
      </c>
      <c r="F1175" s="235">
        <f>($B1175+$C1175+1)/2</f>
        <v/>
      </c>
      <c r="G1175" s="201">
        <f>YEAR($B1175)*12+MONTH($B1175)-1</f>
        <v/>
      </c>
      <c r="H1175" s="207">
        <f>IF(OR(nr_SeasonOn="OFF",$D$1156=0,$E$1156=0),1,12*INDEX(se_block,$D$1156,$E1175)/$E$1156)</f>
        <v/>
      </c>
      <c r="I1175" s="208">
        <f>EXP(SUMPRODUCT((rl_eff&lt;$B1175)*(rl_key=$A$1156)*rl_ln1p))</f>
        <v/>
      </c>
      <c r="J1175" s="208">
        <f>EXP(SUMPRODUCT((rl_eff&lt;=$C1175)*(rl_key=$A$1156)*rl_ln1p))</f>
        <v/>
      </c>
      <c r="K1175" s="201">
        <f>COUNTIFS(rl_key,$A$1156,rl_eff,"&gt;="&amp;$B1175,rl_eff,"&lt;="&amp;$C1175)</f>
        <v/>
      </c>
      <c r="L1175" s="201">
        <f>SUMIFS(rl_daysafter,rl_key,$A$1156,rl_effmonth,$B1175,rl_first,1)</f>
        <v/>
      </c>
      <c r="M1175" s="209">
        <f>IF($K1175=0,0,MIN(1,$L1175/$D1175))</f>
        <v/>
      </c>
      <c r="N1175" s="208">
        <f>IF($K1175=0,$J1175,(1-$M1175)*$I1175+$M1175*$J1175)</f>
        <v/>
      </c>
      <c r="O1175" s="209">
        <f>IF($F1175&lt;$B$1157,$E$1157+$I$1157*($F1175-$A$1157),IF($F1175&lt;$C$1157,$F$1157+$J$1157*($F1175-$B$1157),$G$1157+$K$1157*($F1175-$C$1157)))</f>
        <v/>
      </c>
      <c r="P1175" s="208">
        <f>MIN(1,MAX(0,(nr_MEndPm1-$G1175+0.5)/$C$1156))-MIN(1,MAX(0,(nr_MStartPm1-1-$G1175+0.5)/$C$1156))</f>
        <v/>
      </c>
      <c r="Q1175" s="208">
        <f>MIN(1,MAX(0,(nr_MEndP-$G1175+0.5)/$C$1156))-MIN(1,MAX(0,(nr_MStartP-1-$G1175+0.5)/$C$1156))</f>
        <v/>
      </c>
      <c r="R1175" s="208">
        <f>MIN(1,MAX(0,(nr_MEndP1-$G1175+0.5)/$C$1156))-MIN(1,MAX(0,(nr_MStartP1-1-$G1175+0.5)/$C$1156))</f>
        <v/>
      </c>
      <c r="S1175" s="208">
        <f>IF($L$1156,$N1175*IF($O$1156=1,$O1175/$F$1156,1),"")</f>
        <v/>
      </c>
      <c r="T1175" s="208">
        <f>IF(NOT($L$1156),"",IF($G1175&lt;nr_MStartP,$S1175,$T1163*(1+IF($G1175&lt;nr_MStartP1,$M$1156,$N$1156))))</f>
        <v/>
      </c>
      <c r="U1175" s="208">
        <f>IF($L$1156,$T1175,$N1175)</f>
        <v/>
      </c>
    </row>
    <row r="1176">
      <c r="A1176" s="145" t="n">
        <v>18</v>
      </c>
      <c r="B1176" s="204">
        <f>EDATE($B1175,1)</f>
        <v/>
      </c>
      <c r="C1176" s="205">
        <f>EOMONTH($B1176,0)</f>
        <v/>
      </c>
      <c r="D1176" s="201">
        <f>$C1176-$B1176+1</f>
        <v/>
      </c>
      <c r="E1176" s="201">
        <f>MONTH($B1176)</f>
        <v/>
      </c>
      <c r="F1176" s="235">
        <f>($B1176+$C1176+1)/2</f>
        <v/>
      </c>
      <c r="G1176" s="201">
        <f>YEAR($B1176)*12+MONTH($B1176)-1</f>
        <v/>
      </c>
      <c r="H1176" s="207">
        <f>IF(OR(nr_SeasonOn="OFF",$D$1156=0,$E$1156=0),1,12*INDEX(se_block,$D$1156,$E1176)/$E$1156)</f>
        <v/>
      </c>
      <c r="I1176" s="208">
        <f>EXP(SUMPRODUCT((rl_eff&lt;$B1176)*(rl_key=$A$1156)*rl_ln1p))</f>
        <v/>
      </c>
      <c r="J1176" s="208">
        <f>EXP(SUMPRODUCT((rl_eff&lt;=$C1176)*(rl_key=$A$1156)*rl_ln1p))</f>
        <v/>
      </c>
      <c r="K1176" s="201">
        <f>COUNTIFS(rl_key,$A$1156,rl_eff,"&gt;="&amp;$B1176,rl_eff,"&lt;="&amp;$C1176)</f>
        <v/>
      </c>
      <c r="L1176" s="201">
        <f>SUMIFS(rl_daysafter,rl_key,$A$1156,rl_effmonth,$B1176,rl_first,1)</f>
        <v/>
      </c>
      <c r="M1176" s="209">
        <f>IF($K1176=0,0,MIN(1,$L1176/$D1176))</f>
        <v/>
      </c>
      <c r="N1176" s="208">
        <f>IF($K1176=0,$J1176,(1-$M1176)*$I1176+$M1176*$J1176)</f>
        <v/>
      </c>
      <c r="O1176" s="209">
        <f>IF($F1176&lt;$B$1157,$E$1157+$I$1157*($F1176-$A$1157),IF($F1176&lt;$C$1157,$F$1157+$J$1157*($F1176-$B$1157),$G$1157+$K$1157*($F1176-$C$1157)))</f>
        <v/>
      </c>
      <c r="P1176" s="208">
        <f>MIN(1,MAX(0,(nr_MEndPm1-$G1176+0.5)/$C$1156))-MIN(1,MAX(0,(nr_MStartPm1-1-$G1176+0.5)/$C$1156))</f>
        <v/>
      </c>
      <c r="Q1176" s="208">
        <f>MIN(1,MAX(0,(nr_MEndP-$G1176+0.5)/$C$1156))-MIN(1,MAX(0,(nr_MStartP-1-$G1176+0.5)/$C$1156))</f>
        <v/>
      </c>
      <c r="R1176" s="208">
        <f>MIN(1,MAX(0,(nr_MEndP1-$G1176+0.5)/$C$1156))-MIN(1,MAX(0,(nr_MStartP1-1-$G1176+0.5)/$C$1156))</f>
        <v/>
      </c>
      <c r="S1176" s="208">
        <f>IF($L$1156,$N1176*IF($O$1156=1,$O1176/$F$1156,1),"")</f>
        <v/>
      </c>
      <c r="T1176" s="208">
        <f>IF(NOT($L$1156),"",IF($G1176&lt;nr_MStartP,$S1176,$T1164*(1+IF($G1176&lt;nr_MStartP1,$M$1156,$N$1156))))</f>
        <v/>
      </c>
      <c r="U1176" s="208">
        <f>IF($L$1156,$T1176,$N1176)</f>
        <v/>
      </c>
    </row>
    <row r="1177">
      <c r="A1177" s="145" t="n">
        <v>19</v>
      </c>
      <c r="B1177" s="204">
        <f>EDATE($B1176,1)</f>
        <v/>
      </c>
      <c r="C1177" s="205">
        <f>EOMONTH($B1177,0)</f>
        <v/>
      </c>
      <c r="D1177" s="201">
        <f>$C1177-$B1177+1</f>
        <v/>
      </c>
      <c r="E1177" s="201">
        <f>MONTH($B1177)</f>
        <v/>
      </c>
      <c r="F1177" s="235">
        <f>($B1177+$C1177+1)/2</f>
        <v/>
      </c>
      <c r="G1177" s="201">
        <f>YEAR($B1177)*12+MONTH($B1177)-1</f>
        <v/>
      </c>
      <c r="H1177" s="207">
        <f>IF(OR(nr_SeasonOn="OFF",$D$1156=0,$E$1156=0),1,12*INDEX(se_block,$D$1156,$E1177)/$E$1156)</f>
        <v/>
      </c>
      <c r="I1177" s="208">
        <f>EXP(SUMPRODUCT((rl_eff&lt;$B1177)*(rl_key=$A$1156)*rl_ln1p))</f>
        <v/>
      </c>
      <c r="J1177" s="208">
        <f>EXP(SUMPRODUCT((rl_eff&lt;=$C1177)*(rl_key=$A$1156)*rl_ln1p))</f>
        <v/>
      </c>
      <c r="K1177" s="201">
        <f>COUNTIFS(rl_key,$A$1156,rl_eff,"&gt;="&amp;$B1177,rl_eff,"&lt;="&amp;$C1177)</f>
        <v/>
      </c>
      <c r="L1177" s="201">
        <f>SUMIFS(rl_daysafter,rl_key,$A$1156,rl_effmonth,$B1177,rl_first,1)</f>
        <v/>
      </c>
      <c r="M1177" s="209">
        <f>IF($K1177=0,0,MIN(1,$L1177/$D1177))</f>
        <v/>
      </c>
      <c r="N1177" s="208">
        <f>IF($K1177=0,$J1177,(1-$M1177)*$I1177+$M1177*$J1177)</f>
        <v/>
      </c>
      <c r="O1177" s="209">
        <f>IF($F1177&lt;$B$1157,$E$1157+$I$1157*($F1177-$A$1157),IF($F1177&lt;$C$1157,$F$1157+$J$1157*($F1177-$B$1157),$G$1157+$K$1157*($F1177-$C$1157)))</f>
        <v/>
      </c>
      <c r="P1177" s="208">
        <f>MIN(1,MAX(0,(nr_MEndPm1-$G1177+0.5)/$C$1156))-MIN(1,MAX(0,(nr_MStartPm1-1-$G1177+0.5)/$C$1156))</f>
        <v/>
      </c>
      <c r="Q1177" s="208">
        <f>MIN(1,MAX(0,(nr_MEndP-$G1177+0.5)/$C$1156))-MIN(1,MAX(0,(nr_MStartP-1-$G1177+0.5)/$C$1156))</f>
        <v/>
      </c>
      <c r="R1177" s="208">
        <f>MIN(1,MAX(0,(nr_MEndP1-$G1177+0.5)/$C$1156))-MIN(1,MAX(0,(nr_MStartP1-1-$G1177+0.5)/$C$1156))</f>
        <v/>
      </c>
      <c r="S1177" s="208">
        <f>IF($L$1156,$N1177*IF($O$1156=1,$O1177/$F$1156,1),"")</f>
        <v/>
      </c>
      <c r="T1177" s="208">
        <f>IF(NOT($L$1156),"",IF($G1177&lt;nr_MStartP,$S1177,$T1165*(1+IF($G1177&lt;nr_MStartP1,$M$1156,$N$1156))))</f>
        <v/>
      </c>
      <c r="U1177" s="208">
        <f>IF($L$1156,$T1177,$N1177)</f>
        <v/>
      </c>
    </row>
    <row r="1178">
      <c r="A1178" s="145" t="n">
        <v>20</v>
      </c>
      <c r="B1178" s="204">
        <f>EDATE($B1177,1)</f>
        <v/>
      </c>
      <c r="C1178" s="205">
        <f>EOMONTH($B1178,0)</f>
        <v/>
      </c>
      <c r="D1178" s="201">
        <f>$C1178-$B1178+1</f>
        <v/>
      </c>
      <c r="E1178" s="201">
        <f>MONTH($B1178)</f>
        <v/>
      </c>
      <c r="F1178" s="235">
        <f>($B1178+$C1178+1)/2</f>
        <v/>
      </c>
      <c r="G1178" s="201">
        <f>YEAR($B1178)*12+MONTH($B1178)-1</f>
        <v/>
      </c>
      <c r="H1178" s="207">
        <f>IF(OR(nr_SeasonOn="OFF",$D$1156=0,$E$1156=0),1,12*INDEX(se_block,$D$1156,$E1178)/$E$1156)</f>
        <v/>
      </c>
      <c r="I1178" s="208">
        <f>EXP(SUMPRODUCT((rl_eff&lt;$B1178)*(rl_key=$A$1156)*rl_ln1p))</f>
        <v/>
      </c>
      <c r="J1178" s="208">
        <f>EXP(SUMPRODUCT((rl_eff&lt;=$C1178)*(rl_key=$A$1156)*rl_ln1p))</f>
        <v/>
      </c>
      <c r="K1178" s="201">
        <f>COUNTIFS(rl_key,$A$1156,rl_eff,"&gt;="&amp;$B1178,rl_eff,"&lt;="&amp;$C1178)</f>
        <v/>
      </c>
      <c r="L1178" s="201">
        <f>SUMIFS(rl_daysafter,rl_key,$A$1156,rl_effmonth,$B1178,rl_first,1)</f>
        <v/>
      </c>
      <c r="M1178" s="209">
        <f>IF($K1178=0,0,MIN(1,$L1178/$D1178))</f>
        <v/>
      </c>
      <c r="N1178" s="208">
        <f>IF($K1178=0,$J1178,(1-$M1178)*$I1178+$M1178*$J1178)</f>
        <v/>
      </c>
      <c r="O1178" s="209">
        <f>IF($F1178&lt;$B$1157,$E$1157+$I$1157*($F1178-$A$1157),IF($F1178&lt;$C$1157,$F$1157+$J$1157*($F1178-$B$1157),$G$1157+$K$1157*($F1178-$C$1157)))</f>
        <v/>
      </c>
      <c r="P1178" s="208">
        <f>MIN(1,MAX(0,(nr_MEndPm1-$G1178+0.5)/$C$1156))-MIN(1,MAX(0,(nr_MStartPm1-1-$G1178+0.5)/$C$1156))</f>
        <v/>
      </c>
      <c r="Q1178" s="208">
        <f>MIN(1,MAX(0,(nr_MEndP-$G1178+0.5)/$C$1156))-MIN(1,MAX(0,(nr_MStartP-1-$G1178+0.5)/$C$1156))</f>
        <v/>
      </c>
      <c r="R1178" s="208">
        <f>MIN(1,MAX(0,(nr_MEndP1-$G1178+0.5)/$C$1156))-MIN(1,MAX(0,(nr_MStartP1-1-$G1178+0.5)/$C$1156))</f>
        <v/>
      </c>
      <c r="S1178" s="208">
        <f>IF($L$1156,$N1178*IF($O$1156=1,$O1178/$F$1156,1),"")</f>
        <v/>
      </c>
      <c r="T1178" s="208">
        <f>IF(NOT($L$1156),"",IF($G1178&lt;nr_MStartP,$S1178,$T1166*(1+IF($G1178&lt;nr_MStartP1,$M$1156,$N$1156))))</f>
        <v/>
      </c>
      <c r="U1178" s="208">
        <f>IF($L$1156,$T1178,$N1178)</f>
        <v/>
      </c>
    </row>
    <row r="1179">
      <c r="A1179" s="145" t="n">
        <v>21</v>
      </c>
      <c r="B1179" s="204">
        <f>EDATE($B1178,1)</f>
        <v/>
      </c>
      <c r="C1179" s="205">
        <f>EOMONTH($B1179,0)</f>
        <v/>
      </c>
      <c r="D1179" s="201">
        <f>$C1179-$B1179+1</f>
        <v/>
      </c>
      <c r="E1179" s="201">
        <f>MONTH($B1179)</f>
        <v/>
      </c>
      <c r="F1179" s="235">
        <f>($B1179+$C1179+1)/2</f>
        <v/>
      </c>
      <c r="G1179" s="201">
        <f>YEAR($B1179)*12+MONTH($B1179)-1</f>
        <v/>
      </c>
      <c r="H1179" s="207">
        <f>IF(OR(nr_SeasonOn="OFF",$D$1156=0,$E$1156=0),1,12*INDEX(se_block,$D$1156,$E1179)/$E$1156)</f>
        <v/>
      </c>
      <c r="I1179" s="208">
        <f>EXP(SUMPRODUCT((rl_eff&lt;$B1179)*(rl_key=$A$1156)*rl_ln1p))</f>
        <v/>
      </c>
      <c r="J1179" s="208">
        <f>EXP(SUMPRODUCT((rl_eff&lt;=$C1179)*(rl_key=$A$1156)*rl_ln1p))</f>
        <v/>
      </c>
      <c r="K1179" s="201">
        <f>COUNTIFS(rl_key,$A$1156,rl_eff,"&gt;="&amp;$B1179,rl_eff,"&lt;="&amp;$C1179)</f>
        <v/>
      </c>
      <c r="L1179" s="201">
        <f>SUMIFS(rl_daysafter,rl_key,$A$1156,rl_effmonth,$B1179,rl_first,1)</f>
        <v/>
      </c>
      <c r="M1179" s="209">
        <f>IF($K1179=0,0,MIN(1,$L1179/$D1179))</f>
        <v/>
      </c>
      <c r="N1179" s="208">
        <f>IF($K1179=0,$J1179,(1-$M1179)*$I1179+$M1179*$J1179)</f>
        <v/>
      </c>
      <c r="O1179" s="209">
        <f>IF($F1179&lt;$B$1157,$E$1157+$I$1157*($F1179-$A$1157),IF($F1179&lt;$C$1157,$F$1157+$J$1157*($F1179-$B$1157),$G$1157+$K$1157*($F1179-$C$1157)))</f>
        <v/>
      </c>
      <c r="P1179" s="208">
        <f>MIN(1,MAX(0,(nr_MEndPm1-$G1179+0.5)/$C$1156))-MIN(1,MAX(0,(nr_MStartPm1-1-$G1179+0.5)/$C$1156))</f>
        <v/>
      </c>
      <c r="Q1179" s="208">
        <f>MIN(1,MAX(0,(nr_MEndP-$G1179+0.5)/$C$1156))-MIN(1,MAX(0,(nr_MStartP-1-$G1179+0.5)/$C$1156))</f>
        <v/>
      </c>
      <c r="R1179" s="208">
        <f>MIN(1,MAX(0,(nr_MEndP1-$G1179+0.5)/$C$1156))-MIN(1,MAX(0,(nr_MStartP1-1-$G1179+0.5)/$C$1156))</f>
        <v/>
      </c>
      <c r="S1179" s="208">
        <f>IF($L$1156,$N1179*IF($O$1156=1,$O1179/$F$1156,1),"")</f>
        <v/>
      </c>
      <c r="T1179" s="208">
        <f>IF(NOT($L$1156),"",IF($G1179&lt;nr_MStartP,$S1179,$T1167*(1+IF($G1179&lt;nr_MStartP1,$M$1156,$N$1156))))</f>
        <v/>
      </c>
      <c r="U1179" s="208">
        <f>IF($L$1156,$T1179,$N1179)</f>
        <v/>
      </c>
    </row>
    <row r="1180">
      <c r="A1180" s="145" t="n">
        <v>22</v>
      </c>
      <c r="B1180" s="204">
        <f>EDATE($B1179,1)</f>
        <v/>
      </c>
      <c r="C1180" s="205">
        <f>EOMONTH($B1180,0)</f>
        <v/>
      </c>
      <c r="D1180" s="201">
        <f>$C1180-$B1180+1</f>
        <v/>
      </c>
      <c r="E1180" s="201">
        <f>MONTH($B1180)</f>
        <v/>
      </c>
      <c r="F1180" s="235">
        <f>($B1180+$C1180+1)/2</f>
        <v/>
      </c>
      <c r="G1180" s="201">
        <f>YEAR($B1180)*12+MONTH($B1180)-1</f>
        <v/>
      </c>
      <c r="H1180" s="207">
        <f>IF(OR(nr_SeasonOn="OFF",$D$1156=0,$E$1156=0),1,12*INDEX(se_block,$D$1156,$E1180)/$E$1156)</f>
        <v/>
      </c>
      <c r="I1180" s="208">
        <f>EXP(SUMPRODUCT((rl_eff&lt;$B1180)*(rl_key=$A$1156)*rl_ln1p))</f>
        <v/>
      </c>
      <c r="J1180" s="208">
        <f>EXP(SUMPRODUCT((rl_eff&lt;=$C1180)*(rl_key=$A$1156)*rl_ln1p))</f>
        <v/>
      </c>
      <c r="K1180" s="201">
        <f>COUNTIFS(rl_key,$A$1156,rl_eff,"&gt;="&amp;$B1180,rl_eff,"&lt;="&amp;$C1180)</f>
        <v/>
      </c>
      <c r="L1180" s="201">
        <f>SUMIFS(rl_daysafter,rl_key,$A$1156,rl_effmonth,$B1180,rl_first,1)</f>
        <v/>
      </c>
      <c r="M1180" s="209">
        <f>IF($K1180=0,0,MIN(1,$L1180/$D1180))</f>
        <v/>
      </c>
      <c r="N1180" s="208">
        <f>IF($K1180=0,$J1180,(1-$M1180)*$I1180+$M1180*$J1180)</f>
        <v/>
      </c>
      <c r="O1180" s="209">
        <f>IF($F1180&lt;$B$1157,$E$1157+$I$1157*($F1180-$A$1157),IF($F1180&lt;$C$1157,$F$1157+$J$1157*($F1180-$B$1157),$G$1157+$K$1157*($F1180-$C$1157)))</f>
        <v/>
      </c>
      <c r="P1180" s="208">
        <f>MIN(1,MAX(0,(nr_MEndPm1-$G1180+0.5)/$C$1156))-MIN(1,MAX(0,(nr_MStartPm1-1-$G1180+0.5)/$C$1156))</f>
        <v/>
      </c>
      <c r="Q1180" s="208">
        <f>MIN(1,MAX(0,(nr_MEndP-$G1180+0.5)/$C$1156))-MIN(1,MAX(0,(nr_MStartP-1-$G1180+0.5)/$C$1156))</f>
        <v/>
      </c>
      <c r="R1180" s="208">
        <f>MIN(1,MAX(0,(nr_MEndP1-$G1180+0.5)/$C$1156))-MIN(1,MAX(0,(nr_MStartP1-1-$G1180+0.5)/$C$1156))</f>
        <v/>
      </c>
      <c r="S1180" s="208">
        <f>IF($L$1156,$N1180*IF($O$1156=1,$O1180/$F$1156,1),"")</f>
        <v/>
      </c>
      <c r="T1180" s="208">
        <f>IF(NOT($L$1156),"",IF($G1180&lt;nr_MStartP,$S1180,$T1168*(1+IF($G1180&lt;nr_MStartP1,$M$1156,$N$1156))))</f>
        <v/>
      </c>
      <c r="U1180" s="208">
        <f>IF($L$1156,$T1180,$N1180)</f>
        <v/>
      </c>
    </row>
    <row r="1181">
      <c r="A1181" s="145" t="n">
        <v>23</v>
      </c>
      <c r="B1181" s="204">
        <f>EDATE($B1180,1)</f>
        <v/>
      </c>
      <c r="C1181" s="205">
        <f>EOMONTH($B1181,0)</f>
        <v/>
      </c>
      <c r="D1181" s="201">
        <f>$C1181-$B1181+1</f>
        <v/>
      </c>
      <c r="E1181" s="201">
        <f>MONTH($B1181)</f>
        <v/>
      </c>
      <c r="F1181" s="235">
        <f>($B1181+$C1181+1)/2</f>
        <v/>
      </c>
      <c r="G1181" s="201">
        <f>YEAR($B1181)*12+MONTH($B1181)-1</f>
        <v/>
      </c>
      <c r="H1181" s="207">
        <f>IF(OR(nr_SeasonOn="OFF",$D$1156=0,$E$1156=0),1,12*INDEX(se_block,$D$1156,$E1181)/$E$1156)</f>
        <v/>
      </c>
      <c r="I1181" s="208">
        <f>EXP(SUMPRODUCT((rl_eff&lt;$B1181)*(rl_key=$A$1156)*rl_ln1p))</f>
        <v/>
      </c>
      <c r="J1181" s="208">
        <f>EXP(SUMPRODUCT((rl_eff&lt;=$C1181)*(rl_key=$A$1156)*rl_ln1p))</f>
        <v/>
      </c>
      <c r="K1181" s="201">
        <f>COUNTIFS(rl_key,$A$1156,rl_eff,"&gt;="&amp;$B1181,rl_eff,"&lt;="&amp;$C1181)</f>
        <v/>
      </c>
      <c r="L1181" s="201">
        <f>SUMIFS(rl_daysafter,rl_key,$A$1156,rl_effmonth,$B1181,rl_first,1)</f>
        <v/>
      </c>
      <c r="M1181" s="209">
        <f>IF($K1181=0,0,MIN(1,$L1181/$D1181))</f>
        <v/>
      </c>
      <c r="N1181" s="208">
        <f>IF($K1181=0,$J1181,(1-$M1181)*$I1181+$M1181*$J1181)</f>
        <v/>
      </c>
      <c r="O1181" s="209">
        <f>IF($F1181&lt;$B$1157,$E$1157+$I$1157*($F1181-$A$1157),IF($F1181&lt;$C$1157,$F$1157+$J$1157*($F1181-$B$1157),$G$1157+$K$1157*($F1181-$C$1157)))</f>
        <v/>
      </c>
      <c r="P1181" s="208">
        <f>MIN(1,MAX(0,(nr_MEndPm1-$G1181+0.5)/$C$1156))-MIN(1,MAX(0,(nr_MStartPm1-1-$G1181+0.5)/$C$1156))</f>
        <v/>
      </c>
      <c r="Q1181" s="208">
        <f>MIN(1,MAX(0,(nr_MEndP-$G1181+0.5)/$C$1156))-MIN(1,MAX(0,(nr_MStartP-1-$G1181+0.5)/$C$1156))</f>
        <v/>
      </c>
      <c r="R1181" s="208">
        <f>MIN(1,MAX(0,(nr_MEndP1-$G1181+0.5)/$C$1156))-MIN(1,MAX(0,(nr_MStartP1-1-$G1181+0.5)/$C$1156))</f>
        <v/>
      </c>
      <c r="S1181" s="208">
        <f>IF($L$1156,$N1181*IF($O$1156=1,$O1181/$F$1156,1),"")</f>
        <v/>
      </c>
      <c r="T1181" s="208">
        <f>IF(NOT($L$1156),"",IF($G1181&lt;nr_MStartP,$S1181,$T1169*(1+IF($G1181&lt;nr_MStartP1,$M$1156,$N$1156))))</f>
        <v/>
      </c>
      <c r="U1181" s="208">
        <f>IF($L$1156,$T1181,$N1181)</f>
        <v/>
      </c>
    </row>
    <row r="1182">
      <c r="A1182" s="145" t="n">
        <v>24</v>
      </c>
      <c r="B1182" s="204">
        <f>EDATE($B1181,1)</f>
        <v/>
      </c>
      <c r="C1182" s="205">
        <f>EOMONTH($B1182,0)</f>
        <v/>
      </c>
      <c r="D1182" s="201">
        <f>$C1182-$B1182+1</f>
        <v/>
      </c>
      <c r="E1182" s="201">
        <f>MONTH($B1182)</f>
        <v/>
      </c>
      <c r="F1182" s="235">
        <f>($B1182+$C1182+1)/2</f>
        <v/>
      </c>
      <c r="G1182" s="201">
        <f>YEAR($B1182)*12+MONTH($B1182)-1</f>
        <v/>
      </c>
      <c r="H1182" s="207">
        <f>IF(OR(nr_SeasonOn="OFF",$D$1156=0,$E$1156=0),1,12*INDEX(se_block,$D$1156,$E1182)/$E$1156)</f>
        <v/>
      </c>
      <c r="I1182" s="208">
        <f>EXP(SUMPRODUCT((rl_eff&lt;$B1182)*(rl_key=$A$1156)*rl_ln1p))</f>
        <v/>
      </c>
      <c r="J1182" s="208">
        <f>EXP(SUMPRODUCT((rl_eff&lt;=$C1182)*(rl_key=$A$1156)*rl_ln1p))</f>
        <v/>
      </c>
      <c r="K1182" s="201">
        <f>COUNTIFS(rl_key,$A$1156,rl_eff,"&gt;="&amp;$B1182,rl_eff,"&lt;="&amp;$C1182)</f>
        <v/>
      </c>
      <c r="L1182" s="201">
        <f>SUMIFS(rl_daysafter,rl_key,$A$1156,rl_effmonth,$B1182,rl_first,1)</f>
        <v/>
      </c>
      <c r="M1182" s="209">
        <f>IF($K1182=0,0,MIN(1,$L1182/$D1182))</f>
        <v/>
      </c>
      <c r="N1182" s="208">
        <f>IF($K1182=0,$J1182,(1-$M1182)*$I1182+$M1182*$J1182)</f>
        <v/>
      </c>
      <c r="O1182" s="209">
        <f>IF($F1182&lt;$B$1157,$E$1157+$I$1157*($F1182-$A$1157),IF($F1182&lt;$C$1157,$F$1157+$J$1157*($F1182-$B$1157),$G$1157+$K$1157*($F1182-$C$1157)))</f>
        <v/>
      </c>
      <c r="P1182" s="208">
        <f>MIN(1,MAX(0,(nr_MEndPm1-$G1182+0.5)/$C$1156))-MIN(1,MAX(0,(nr_MStartPm1-1-$G1182+0.5)/$C$1156))</f>
        <v/>
      </c>
      <c r="Q1182" s="208">
        <f>MIN(1,MAX(0,(nr_MEndP-$G1182+0.5)/$C$1156))-MIN(1,MAX(0,(nr_MStartP-1-$G1182+0.5)/$C$1156))</f>
        <v/>
      </c>
      <c r="R1182" s="208">
        <f>MIN(1,MAX(0,(nr_MEndP1-$G1182+0.5)/$C$1156))-MIN(1,MAX(0,(nr_MStartP1-1-$G1182+0.5)/$C$1156))</f>
        <v/>
      </c>
      <c r="S1182" s="208">
        <f>IF($L$1156,$N1182*IF($O$1156=1,$O1182/$F$1156,1),"")</f>
        <v/>
      </c>
      <c r="T1182" s="208">
        <f>IF(NOT($L$1156),"",IF($G1182&lt;nr_MStartP,$S1182,$T1170*(1+IF($G1182&lt;nr_MStartP1,$M$1156,$N$1156))))</f>
        <v/>
      </c>
      <c r="U1182" s="208">
        <f>IF($L$1156,$T1182,$N1182)</f>
        <v/>
      </c>
    </row>
    <row r="1183">
      <c r="A1183" s="145" t="n">
        <v>25</v>
      </c>
      <c r="B1183" s="204">
        <f>EDATE($B1182,1)</f>
        <v/>
      </c>
      <c r="C1183" s="205">
        <f>EOMONTH($B1183,0)</f>
        <v/>
      </c>
      <c r="D1183" s="201">
        <f>$C1183-$B1183+1</f>
        <v/>
      </c>
      <c r="E1183" s="201">
        <f>MONTH($B1183)</f>
        <v/>
      </c>
      <c r="F1183" s="235">
        <f>($B1183+$C1183+1)/2</f>
        <v/>
      </c>
      <c r="G1183" s="201">
        <f>YEAR($B1183)*12+MONTH($B1183)-1</f>
        <v/>
      </c>
      <c r="H1183" s="207">
        <f>IF(OR(nr_SeasonOn="OFF",$D$1156=0,$E$1156=0),1,12*INDEX(se_block,$D$1156,$E1183)/$E$1156)</f>
        <v/>
      </c>
      <c r="I1183" s="208">
        <f>EXP(SUMPRODUCT((rl_eff&lt;$B1183)*(rl_key=$A$1156)*rl_ln1p))</f>
        <v/>
      </c>
      <c r="J1183" s="208">
        <f>EXP(SUMPRODUCT((rl_eff&lt;=$C1183)*(rl_key=$A$1156)*rl_ln1p))</f>
        <v/>
      </c>
      <c r="K1183" s="201">
        <f>COUNTIFS(rl_key,$A$1156,rl_eff,"&gt;="&amp;$B1183,rl_eff,"&lt;="&amp;$C1183)</f>
        <v/>
      </c>
      <c r="L1183" s="201">
        <f>SUMIFS(rl_daysafter,rl_key,$A$1156,rl_effmonth,$B1183,rl_first,1)</f>
        <v/>
      </c>
      <c r="M1183" s="209">
        <f>IF($K1183=0,0,MIN(1,$L1183/$D1183))</f>
        <v/>
      </c>
      <c r="N1183" s="208">
        <f>IF($K1183=0,$J1183,(1-$M1183)*$I1183+$M1183*$J1183)</f>
        <v/>
      </c>
      <c r="O1183" s="209">
        <f>IF($F1183&lt;$B$1157,$E$1157+$I$1157*($F1183-$A$1157),IF($F1183&lt;$C$1157,$F$1157+$J$1157*($F1183-$B$1157),$G$1157+$K$1157*($F1183-$C$1157)))</f>
        <v/>
      </c>
      <c r="P1183" s="208">
        <f>MIN(1,MAX(0,(nr_MEndPm1-$G1183+0.5)/$C$1156))-MIN(1,MAX(0,(nr_MStartPm1-1-$G1183+0.5)/$C$1156))</f>
        <v/>
      </c>
      <c r="Q1183" s="208">
        <f>MIN(1,MAX(0,(nr_MEndP-$G1183+0.5)/$C$1156))-MIN(1,MAX(0,(nr_MStartP-1-$G1183+0.5)/$C$1156))</f>
        <v/>
      </c>
      <c r="R1183" s="208">
        <f>MIN(1,MAX(0,(nr_MEndP1-$G1183+0.5)/$C$1156))-MIN(1,MAX(0,(nr_MStartP1-1-$G1183+0.5)/$C$1156))</f>
        <v/>
      </c>
      <c r="S1183" s="208">
        <f>IF($L$1156,$N1183*IF($O$1156=1,$O1183/$F$1156,1),"")</f>
        <v/>
      </c>
      <c r="T1183" s="208">
        <f>IF(NOT($L$1156),"",IF($G1183&lt;nr_MStartP,$S1183,$T1171*(1+IF($G1183&lt;nr_MStartP1,$M$1156,$N$1156))))</f>
        <v/>
      </c>
      <c r="U1183" s="208">
        <f>IF($L$1156,$T1183,$N1183)</f>
        <v/>
      </c>
    </row>
    <row r="1184">
      <c r="A1184" s="145" t="n">
        <v>26</v>
      </c>
      <c r="B1184" s="204">
        <f>EDATE($B1183,1)</f>
        <v/>
      </c>
      <c r="C1184" s="205">
        <f>EOMONTH($B1184,0)</f>
        <v/>
      </c>
      <c r="D1184" s="201">
        <f>$C1184-$B1184+1</f>
        <v/>
      </c>
      <c r="E1184" s="201">
        <f>MONTH($B1184)</f>
        <v/>
      </c>
      <c r="F1184" s="235">
        <f>($B1184+$C1184+1)/2</f>
        <v/>
      </c>
      <c r="G1184" s="201">
        <f>YEAR($B1184)*12+MONTH($B1184)-1</f>
        <v/>
      </c>
      <c r="H1184" s="207">
        <f>IF(OR(nr_SeasonOn="OFF",$D$1156=0,$E$1156=0),1,12*INDEX(se_block,$D$1156,$E1184)/$E$1156)</f>
        <v/>
      </c>
      <c r="I1184" s="208">
        <f>EXP(SUMPRODUCT((rl_eff&lt;$B1184)*(rl_key=$A$1156)*rl_ln1p))</f>
        <v/>
      </c>
      <c r="J1184" s="208">
        <f>EXP(SUMPRODUCT((rl_eff&lt;=$C1184)*(rl_key=$A$1156)*rl_ln1p))</f>
        <v/>
      </c>
      <c r="K1184" s="201">
        <f>COUNTIFS(rl_key,$A$1156,rl_eff,"&gt;="&amp;$B1184,rl_eff,"&lt;="&amp;$C1184)</f>
        <v/>
      </c>
      <c r="L1184" s="201">
        <f>SUMIFS(rl_daysafter,rl_key,$A$1156,rl_effmonth,$B1184,rl_first,1)</f>
        <v/>
      </c>
      <c r="M1184" s="209">
        <f>IF($K1184=0,0,MIN(1,$L1184/$D1184))</f>
        <v/>
      </c>
      <c r="N1184" s="208">
        <f>IF($K1184=0,$J1184,(1-$M1184)*$I1184+$M1184*$J1184)</f>
        <v/>
      </c>
      <c r="O1184" s="209">
        <f>IF($F1184&lt;$B$1157,$E$1157+$I$1157*($F1184-$A$1157),IF($F1184&lt;$C$1157,$F$1157+$J$1157*($F1184-$B$1157),$G$1157+$K$1157*($F1184-$C$1157)))</f>
        <v/>
      </c>
      <c r="P1184" s="208">
        <f>MIN(1,MAX(0,(nr_MEndPm1-$G1184+0.5)/$C$1156))-MIN(1,MAX(0,(nr_MStartPm1-1-$G1184+0.5)/$C$1156))</f>
        <v/>
      </c>
      <c r="Q1184" s="208">
        <f>MIN(1,MAX(0,(nr_MEndP-$G1184+0.5)/$C$1156))-MIN(1,MAX(0,(nr_MStartP-1-$G1184+0.5)/$C$1156))</f>
        <v/>
      </c>
      <c r="R1184" s="208">
        <f>MIN(1,MAX(0,(nr_MEndP1-$G1184+0.5)/$C$1156))-MIN(1,MAX(0,(nr_MStartP1-1-$G1184+0.5)/$C$1156))</f>
        <v/>
      </c>
      <c r="S1184" s="208">
        <f>IF($L$1156,$N1184*IF($O$1156=1,$O1184/$F$1156,1),"")</f>
        <v/>
      </c>
      <c r="T1184" s="208">
        <f>IF(NOT($L$1156),"",IF($G1184&lt;nr_MStartP,$S1184,$T1172*(1+IF($G1184&lt;nr_MStartP1,$M$1156,$N$1156))))</f>
        <v/>
      </c>
      <c r="U1184" s="208">
        <f>IF($L$1156,$T1184,$N1184)</f>
        <v/>
      </c>
    </row>
    <row r="1185">
      <c r="A1185" s="145" t="n">
        <v>27</v>
      </c>
      <c r="B1185" s="204">
        <f>EDATE($B1184,1)</f>
        <v/>
      </c>
      <c r="C1185" s="205">
        <f>EOMONTH($B1185,0)</f>
        <v/>
      </c>
      <c r="D1185" s="201">
        <f>$C1185-$B1185+1</f>
        <v/>
      </c>
      <c r="E1185" s="201">
        <f>MONTH($B1185)</f>
        <v/>
      </c>
      <c r="F1185" s="235">
        <f>($B1185+$C1185+1)/2</f>
        <v/>
      </c>
      <c r="G1185" s="201">
        <f>YEAR($B1185)*12+MONTH($B1185)-1</f>
        <v/>
      </c>
      <c r="H1185" s="207">
        <f>IF(OR(nr_SeasonOn="OFF",$D$1156=0,$E$1156=0),1,12*INDEX(se_block,$D$1156,$E1185)/$E$1156)</f>
        <v/>
      </c>
      <c r="I1185" s="208">
        <f>EXP(SUMPRODUCT((rl_eff&lt;$B1185)*(rl_key=$A$1156)*rl_ln1p))</f>
        <v/>
      </c>
      <c r="J1185" s="208">
        <f>EXP(SUMPRODUCT((rl_eff&lt;=$C1185)*(rl_key=$A$1156)*rl_ln1p))</f>
        <v/>
      </c>
      <c r="K1185" s="201">
        <f>COUNTIFS(rl_key,$A$1156,rl_eff,"&gt;="&amp;$B1185,rl_eff,"&lt;="&amp;$C1185)</f>
        <v/>
      </c>
      <c r="L1185" s="201">
        <f>SUMIFS(rl_daysafter,rl_key,$A$1156,rl_effmonth,$B1185,rl_first,1)</f>
        <v/>
      </c>
      <c r="M1185" s="209">
        <f>IF($K1185=0,0,MIN(1,$L1185/$D1185))</f>
        <v/>
      </c>
      <c r="N1185" s="208">
        <f>IF($K1185=0,$J1185,(1-$M1185)*$I1185+$M1185*$J1185)</f>
        <v/>
      </c>
      <c r="O1185" s="209">
        <f>IF($F1185&lt;$B$1157,$E$1157+$I$1157*($F1185-$A$1157),IF($F1185&lt;$C$1157,$F$1157+$J$1157*($F1185-$B$1157),$G$1157+$K$1157*($F1185-$C$1157)))</f>
        <v/>
      </c>
      <c r="P1185" s="208">
        <f>MIN(1,MAX(0,(nr_MEndPm1-$G1185+0.5)/$C$1156))-MIN(1,MAX(0,(nr_MStartPm1-1-$G1185+0.5)/$C$1156))</f>
        <v/>
      </c>
      <c r="Q1185" s="208">
        <f>MIN(1,MAX(0,(nr_MEndP-$G1185+0.5)/$C$1156))-MIN(1,MAX(0,(nr_MStartP-1-$G1185+0.5)/$C$1156))</f>
        <v/>
      </c>
      <c r="R1185" s="208">
        <f>MIN(1,MAX(0,(nr_MEndP1-$G1185+0.5)/$C$1156))-MIN(1,MAX(0,(nr_MStartP1-1-$G1185+0.5)/$C$1156))</f>
        <v/>
      </c>
      <c r="S1185" s="208">
        <f>IF($L$1156,$N1185*IF($O$1156=1,$O1185/$F$1156,1),"")</f>
        <v/>
      </c>
      <c r="T1185" s="208">
        <f>IF(NOT($L$1156),"",IF($G1185&lt;nr_MStartP,$S1185,$T1173*(1+IF($G1185&lt;nr_MStartP1,$M$1156,$N$1156))))</f>
        <v/>
      </c>
      <c r="U1185" s="208">
        <f>IF($L$1156,$T1185,$N1185)</f>
        <v/>
      </c>
    </row>
    <row r="1186">
      <c r="A1186" s="145" t="n">
        <v>28</v>
      </c>
      <c r="B1186" s="204">
        <f>EDATE($B1185,1)</f>
        <v/>
      </c>
      <c r="C1186" s="205">
        <f>EOMONTH($B1186,0)</f>
        <v/>
      </c>
      <c r="D1186" s="201">
        <f>$C1186-$B1186+1</f>
        <v/>
      </c>
      <c r="E1186" s="201">
        <f>MONTH($B1186)</f>
        <v/>
      </c>
      <c r="F1186" s="235">
        <f>($B1186+$C1186+1)/2</f>
        <v/>
      </c>
      <c r="G1186" s="201">
        <f>YEAR($B1186)*12+MONTH($B1186)-1</f>
        <v/>
      </c>
      <c r="H1186" s="207">
        <f>IF(OR(nr_SeasonOn="OFF",$D$1156=0,$E$1156=0),1,12*INDEX(se_block,$D$1156,$E1186)/$E$1156)</f>
        <v/>
      </c>
      <c r="I1186" s="208">
        <f>EXP(SUMPRODUCT((rl_eff&lt;$B1186)*(rl_key=$A$1156)*rl_ln1p))</f>
        <v/>
      </c>
      <c r="J1186" s="208">
        <f>EXP(SUMPRODUCT((rl_eff&lt;=$C1186)*(rl_key=$A$1156)*rl_ln1p))</f>
        <v/>
      </c>
      <c r="K1186" s="201">
        <f>COUNTIFS(rl_key,$A$1156,rl_eff,"&gt;="&amp;$B1186,rl_eff,"&lt;="&amp;$C1186)</f>
        <v/>
      </c>
      <c r="L1186" s="201">
        <f>SUMIFS(rl_daysafter,rl_key,$A$1156,rl_effmonth,$B1186,rl_first,1)</f>
        <v/>
      </c>
      <c r="M1186" s="209">
        <f>IF($K1186=0,0,MIN(1,$L1186/$D1186))</f>
        <v/>
      </c>
      <c r="N1186" s="208">
        <f>IF($K1186=0,$J1186,(1-$M1186)*$I1186+$M1186*$J1186)</f>
        <v/>
      </c>
      <c r="O1186" s="209">
        <f>IF($F1186&lt;$B$1157,$E$1157+$I$1157*($F1186-$A$1157),IF($F1186&lt;$C$1157,$F$1157+$J$1157*($F1186-$B$1157),$G$1157+$K$1157*($F1186-$C$1157)))</f>
        <v/>
      </c>
      <c r="P1186" s="208">
        <f>MIN(1,MAX(0,(nr_MEndPm1-$G1186+0.5)/$C$1156))-MIN(1,MAX(0,(nr_MStartPm1-1-$G1186+0.5)/$C$1156))</f>
        <v/>
      </c>
      <c r="Q1186" s="208">
        <f>MIN(1,MAX(0,(nr_MEndP-$G1186+0.5)/$C$1156))-MIN(1,MAX(0,(nr_MStartP-1-$G1186+0.5)/$C$1156))</f>
        <v/>
      </c>
      <c r="R1186" s="208">
        <f>MIN(1,MAX(0,(nr_MEndP1-$G1186+0.5)/$C$1156))-MIN(1,MAX(0,(nr_MStartP1-1-$G1186+0.5)/$C$1156))</f>
        <v/>
      </c>
      <c r="S1186" s="208">
        <f>IF($L$1156,$N1186*IF($O$1156=1,$O1186/$F$1156,1),"")</f>
        <v/>
      </c>
      <c r="T1186" s="208">
        <f>IF(NOT($L$1156),"",IF($G1186&lt;nr_MStartP,$S1186,$T1174*(1+IF($G1186&lt;nr_MStartP1,$M$1156,$N$1156))))</f>
        <v/>
      </c>
      <c r="U1186" s="208">
        <f>IF($L$1156,$T1186,$N1186)</f>
        <v/>
      </c>
    </row>
    <row r="1187">
      <c r="A1187" s="145" t="n">
        <v>29</v>
      </c>
      <c r="B1187" s="204">
        <f>EDATE($B1186,1)</f>
        <v/>
      </c>
      <c r="C1187" s="205">
        <f>EOMONTH($B1187,0)</f>
        <v/>
      </c>
      <c r="D1187" s="201">
        <f>$C1187-$B1187+1</f>
        <v/>
      </c>
      <c r="E1187" s="201">
        <f>MONTH($B1187)</f>
        <v/>
      </c>
      <c r="F1187" s="235">
        <f>($B1187+$C1187+1)/2</f>
        <v/>
      </c>
      <c r="G1187" s="201">
        <f>YEAR($B1187)*12+MONTH($B1187)-1</f>
        <v/>
      </c>
      <c r="H1187" s="207">
        <f>IF(OR(nr_SeasonOn="OFF",$D$1156=0,$E$1156=0),1,12*INDEX(se_block,$D$1156,$E1187)/$E$1156)</f>
        <v/>
      </c>
      <c r="I1187" s="208">
        <f>EXP(SUMPRODUCT((rl_eff&lt;$B1187)*(rl_key=$A$1156)*rl_ln1p))</f>
        <v/>
      </c>
      <c r="J1187" s="208">
        <f>EXP(SUMPRODUCT((rl_eff&lt;=$C1187)*(rl_key=$A$1156)*rl_ln1p))</f>
        <v/>
      </c>
      <c r="K1187" s="201">
        <f>COUNTIFS(rl_key,$A$1156,rl_eff,"&gt;="&amp;$B1187,rl_eff,"&lt;="&amp;$C1187)</f>
        <v/>
      </c>
      <c r="L1187" s="201">
        <f>SUMIFS(rl_daysafter,rl_key,$A$1156,rl_effmonth,$B1187,rl_first,1)</f>
        <v/>
      </c>
      <c r="M1187" s="209">
        <f>IF($K1187=0,0,MIN(1,$L1187/$D1187))</f>
        <v/>
      </c>
      <c r="N1187" s="208">
        <f>IF($K1187=0,$J1187,(1-$M1187)*$I1187+$M1187*$J1187)</f>
        <v/>
      </c>
      <c r="O1187" s="209">
        <f>IF($F1187&lt;$B$1157,$E$1157+$I$1157*($F1187-$A$1157),IF($F1187&lt;$C$1157,$F$1157+$J$1157*($F1187-$B$1157),$G$1157+$K$1157*($F1187-$C$1157)))</f>
        <v/>
      </c>
      <c r="P1187" s="208">
        <f>MIN(1,MAX(0,(nr_MEndPm1-$G1187+0.5)/$C$1156))-MIN(1,MAX(0,(nr_MStartPm1-1-$G1187+0.5)/$C$1156))</f>
        <v/>
      </c>
      <c r="Q1187" s="208">
        <f>MIN(1,MAX(0,(nr_MEndP-$G1187+0.5)/$C$1156))-MIN(1,MAX(0,(nr_MStartP-1-$G1187+0.5)/$C$1156))</f>
        <v/>
      </c>
      <c r="R1187" s="208">
        <f>MIN(1,MAX(0,(nr_MEndP1-$G1187+0.5)/$C$1156))-MIN(1,MAX(0,(nr_MStartP1-1-$G1187+0.5)/$C$1156))</f>
        <v/>
      </c>
      <c r="S1187" s="208">
        <f>IF($L$1156,$N1187*IF($O$1156=1,$O1187/$F$1156,1),"")</f>
        <v/>
      </c>
      <c r="T1187" s="208">
        <f>IF(NOT($L$1156),"",IF($G1187&lt;nr_MStartP,$S1187,$T1175*(1+IF($G1187&lt;nr_MStartP1,$M$1156,$N$1156))))</f>
        <v/>
      </c>
      <c r="U1187" s="208">
        <f>IF($L$1156,$T1187,$N1187)</f>
        <v/>
      </c>
    </row>
    <row r="1188">
      <c r="A1188" s="145" t="n">
        <v>30</v>
      </c>
      <c r="B1188" s="204">
        <f>EDATE($B1187,1)</f>
        <v/>
      </c>
      <c r="C1188" s="205">
        <f>EOMONTH($B1188,0)</f>
        <v/>
      </c>
      <c r="D1188" s="201">
        <f>$C1188-$B1188+1</f>
        <v/>
      </c>
      <c r="E1188" s="201">
        <f>MONTH($B1188)</f>
        <v/>
      </c>
      <c r="F1188" s="235">
        <f>($B1188+$C1188+1)/2</f>
        <v/>
      </c>
      <c r="G1188" s="201">
        <f>YEAR($B1188)*12+MONTH($B1188)-1</f>
        <v/>
      </c>
      <c r="H1188" s="207">
        <f>IF(OR(nr_SeasonOn="OFF",$D$1156=0,$E$1156=0),1,12*INDEX(se_block,$D$1156,$E1188)/$E$1156)</f>
        <v/>
      </c>
      <c r="I1188" s="208">
        <f>EXP(SUMPRODUCT((rl_eff&lt;$B1188)*(rl_key=$A$1156)*rl_ln1p))</f>
        <v/>
      </c>
      <c r="J1188" s="208">
        <f>EXP(SUMPRODUCT((rl_eff&lt;=$C1188)*(rl_key=$A$1156)*rl_ln1p))</f>
        <v/>
      </c>
      <c r="K1188" s="201">
        <f>COUNTIFS(rl_key,$A$1156,rl_eff,"&gt;="&amp;$B1188,rl_eff,"&lt;="&amp;$C1188)</f>
        <v/>
      </c>
      <c r="L1188" s="201">
        <f>SUMIFS(rl_daysafter,rl_key,$A$1156,rl_effmonth,$B1188,rl_first,1)</f>
        <v/>
      </c>
      <c r="M1188" s="209">
        <f>IF($K1188=0,0,MIN(1,$L1188/$D1188))</f>
        <v/>
      </c>
      <c r="N1188" s="208">
        <f>IF($K1188=0,$J1188,(1-$M1188)*$I1188+$M1188*$J1188)</f>
        <v/>
      </c>
      <c r="O1188" s="209">
        <f>IF($F1188&lt;$B$1157,$E$1157+$I$1157*($F1188-$A$1157),IF($F1188&lt;$C$1157,$F$1157+$J$1157*($F1188-$B$1157),$G$1157+$K$1157*($F1188-$C$1157)))</f>
        <v/>
      </c>
      <c r="P1188" s="208">
        <f>MIN(1,MAX(0,(nr_MEndPm1-$G1188+0.5)/$C$1156))-MIN(1,MAX(0,(nr_MStartPm1-1-$G1188+0.5)/$C$1156))</f>
        <v/>
      </c>
      <c r="Q1188" s="208">
        <f>MIN(1,MAX(0,(nr_MEndP-$G1188+0.5)/$C$1156))-MIN(1,MAX(0,(nr_MStartP-1-$G1188+0.5)/$C$1156))</f>
        <v/>
      </c>
      <c r="R1188" s="208">
        <f>MIN(1,MAX(0,(nr_MEndP1-$G1188+0.5)/$C$1156))-MIN(1,MAX(0,(nr_MStartP1-1-$G1188+0.5)/$C$1156))</f>
        <v/>
      </c>
      <c r="S1188" s="208">
        <f>IF($L$1156,$N1188*IF($O$1156=1,$O1188/$F$1156,1),"")</f>
        <v/>
      </c>
      <c r="T1188" s="208">
        <f>IF(NOT($L$1156),"",IF($G1188&lt;nr_MStartP,$S1188,$T1176*(1+IF($G1188&lt;nr_MStartP1,$M$1156,$N$1156))))</f>
        <v/>
      </c>
      <c r="U1188" s="208">
        <f>IF($L$1156,$T1188,$N1188)</f>
        <v/>
      </c>
    </row>
    <row r="1189">
      <c r="A1189" s="145" t="n">
        <v>31</v>
      </c>
      <c r="B1189" s="204">
        <f>EDATE($B1188,1)</f>
        <v/>
      </c>
      <c r="C1189" s="205">
        <f>EOMONTH($B1189,0)</f>
        <v/>
      </c>
      <c r="D1189" s="201">
        <f>$C1189-$B1189+1</f>
        <v/>
      </c>
      <c r="E1189" s="201">
        <f>MONTH($B1189)</f>
        <v/>
      </c>
      <c r="F1189" s="235">
        <f>($B1189+$C1189+1)/2</f>
        <v/>
      </c>
      <c r="G1189" s="201">
        <f>YEAR($B1189)*12+MONTH($B1189)-1</f>
        <v/>
      </c>
      <c r="H1189" s="207">
        <f>IF(OR(nr_SeasonOn="OFF",$D$1156=0,$E$1156=0),1,12*INDEX(se_block,$D$1156,$E1189)/$E$1156)</f>
        <v/>
      </c>
      <c r="I1189" s="208">
        <f>EXP(SUMPRODUCT((rl_eff&lt;$B1189)*(rl_key=$A$1156)*rl_ln1p))</f>
        <v/>
      </c>
      <c r="J1189" s="208">
        <f>EXP(SUMPRODUCT((rl_eff&lt;=$C1189)*(rl_key=$A$1156)*rl_ln1p))</f>
        <v/>
      </c>
      <c r="K1189" s="201">
        <f>COUNTIFS(rl_key,$A$1156,rl_eff,"&gt;="&amp;$B1189,rl_eff,"&lt;="&amp;$C1189)</f>
        <v/>
      </c>
      <c r="L1189" s="201">
        <f>SUMIFS(rl_daysafter,rl_key,$A$1156,rl_effmonth,$B1189,rl_first,1)</f>
        <v/>
      </c>
      <c r="M1189" s="209">
        <f>IF($K1189=0,0,MIN(1,$L1189/$D1189))</f>
        <v/>
      </c>
      <c r="N1189" s="208">
        <f>IF($K1189=0,$J1189,(1-$M1189)*$I1189+$M1189*$J1189)</f>
        <v/>
      </c>
      <c r="O1189" s="209">
        <f>IF($F1189&lt;$B$1157,$E$1157+$I$1157*($F1189-$A$1157),IF($F1189&lt;$C$1157,$F$1157+$J$1157*($F1189-$B$1157),$G$1157+$K$1157*($F1189-$C$1157)))</f>
        <v/>
      </c>
      <c r="P1189" s="208">
        <f>MIN(1,MAX(0,(nr_MEndPm1-$G1189+0.5)/$C$1156))-MIN(1,MAX(0,(nr_MStartPm1-1-$G1189+0.5)/$C$1156))</f>
        <v/>
      </c>
      <c r="Q1189" s="208">
        <f>MIN(1,MAX(0,(nr_MEndP-$G1189+0.5)/$C$1156))-MIN(1,MAX(0,(nr_MStartP-1-$G1189+0.5)/$C$1156))</f>
        <v/>
      </c>
      <c r="R1189" s="208">
        <f>MIN(1,MAX(0,(nr_MEndP1-$G1189+0.5)/$C$1156))-MIN(1,MAX(0,(nr_MStartP1-1-$G1189+0.5)/$C$1156))</f>
        <v/>
      </c>
      <c r="S1189" s="208">
        <f>IF($L$1156,$N1189*IF($O$1156=1,$O1189/$F$1156,1),"")</f>
        <v/>
      </c>
      <c r="T1189" s="208">
        <f>IF(NOT($L$1156),"",IF($G1189&lt;nr_MStartP,$S1189,$T1177*(1+IF($G1189&lt;nr_MStartP1,$M$1156,$N$1156))))</f>
        <v/>
      </c>
      <c r="U1189" s="208">
        <f>IF($L$1156,$T1189,$N1189)</f>
        <v/>
      </c>
    </row>
    <row r="1190">
      <c r="A1190" s="145" t="n">
        <v>32</v>
      </c>
      <c r="B1190" s="204">
        <f>EDATE($B1189,1)</f>
        <v/>
      </c>
      <c r="C1190" s="205">
        <f>EOMONTH($B1190,0)</f>
        <v/>
      </c>
      <c r="D1190" s="201">
        <f>$C1190-$B1190+1</f>
        <v/>
      </c>
      <c r="E1190" s="201">
        <f>MONTH($B1190)</f>
        <v/>
      </c>
      <c r="F1190" s="235">
        <f>($B1190+$C1190+1)/2</f>
        <v/>
      </c>
      <c r="G1190" s="201">
        <f>YEAR($B1190)*12+MONTH($B1190)-1</f>
        <v/>
      </c>
      <c r="H1190" s="207">
        <f>IF(OR(nr_SeasonOn="OFF",$D$1156=0,$E$1156=0),1,12*INDEX(se_block,$D$1156,$E1190)/$E$1156)</f>
        <v/>
      </c>
      <c r="I1190" s="208">
        <f>EXP(SUMPRODUCT((rl_eff&lt;$B1190)*(rl_key=$A$1156)*rl_ln1p))</f>
        <v/>
      </c>
      <c r="J1190" s="208">
        <f>EXP(SUMPRODUCT((rl_eff&lt;=$C1190)*(rl_key=$A$1156)*rl_ln1p))</f>
        <v/>
      </c>
      <c r="K1190" s="201">
        <f>COUNTIFS(rl_key,$A$1156,rl_eff,"&gt;="&amp;$B1190,rl_eff,"&lt;="&amp;$C1190)</f>
        <v/>
      </c>
      <c r="L1190" s="201">
        <f>SUMIFS(rl_daysafter,rl_key,$A$1156,rl_effmonth,$B1190,rl_first,1)</f>
        <v/>
      </c>
      <c r="M1190" s="209">
        <f>IF($K1190=0,0,MIN(1,$L1190/$D1190))</f>
        <v/>
      </c>
      <c r="N1190" s="208">
        <f>IF($K1190=0,$J1190,(1-$M1190)*$I1190+$M1190*$J1190)</f>
        <v/>
      </c>
      <c r="O1190" s="209">
        <f>IF($F1190&lt;$B$1157,$E$1157+$I$1157*($F1190-$A$1157),IF($F1190&lt;$C$1157,$F$1157+$J$1157*($F1190-$B$1157),$G$1157+$K$1157*($F1190-$C$1157)))</f>
        <v/>
      </c>
      <c r="P1190" s="208">
        <f>MIN(1,MAX(0,(nr_MEndPm1-$G1190+0.5)/$C$1156))-MIN(1,MAX(0,(nr_MStartPm1-1-$G1190+0.5)/$C$1156))</f>
        <v/>
      </c>
      <c r="Q1190" s="208">
        <f>MIN(1,MAX(0,(nr_MEndP-$G1190+0.5)/$C$1156))-MIN(1,MAX(0,(nr_MStartP-1-$G1190+0.5)/$C$1156))</f>
        <v/>
      </c>
      <c r="R1190" s="208">
        <f>MIN(1,MAX(0,(nr_MEndP1-$G1190+0.5)/$C$1156))-MIN(1,MAX(0,(nr_MStartP1-1-$G1190+0.5)/$C$1156))</f>
        <v/>
      </c>
      <c r="S1190" s="208">
        <f>IF($L$1156,$N1190*IF($O$1156=1,$O1190/$F$1156,1),"")</f>
        <v/>
      </c>
      <c r="T1190" s="208">
        <f>IF(NOT($L$1156),"",IF($G1190&lt;nr_MStartP,$S1190,$T1178*(1+IF($G1190&lt;nr_MStartP1,$M$1156,$N$1156))))</f>
        <v/>
      </c>
      <c r="U1190" s="208">
        <f>IF($L$1156,$T1190,$N1190)</f>
        <v/>
      </c>
    </row>
    <row r="1191">
      <c r="A1191" s="145" t="n">
        <v>33</v>
      </c>
      <c r="B1191" s="204">
        <f>EDATE($B1190,1)</f>
        <v/>
      </c>
      <c r="C1191" s="205">
        <f>EOMONTH($B1191,0)</f>
        <v/>
      </c>
      <c r="D1191" s="201">
        <f>$C1191-$B1191+1</f>
        <v/>
      </c>
      <c r="E1191" s="201">
        <f>MONTH($B1191)</f>
        <v/>
      </c>
      <c r="F1191" s="235">
        <f>($B1191+$C1191+1)/2</f>
        <v/>
      </c>
      <c r="G1191" s="201">
        <f>YEAR($B1191)*12+MONTH($B1191)-1</f>
        <v/>
      </c>
      <c r="H1191" s="207">
        <f>IF(OR(nr_SeasonOn="OFF",$D$1156=0,$E$1156=0),1,12*INDEX(se_block,$D$1156,$E1191)/$E$1156)</f>
        <v/>
      </c>
      <c r="I1191" s="208">
        <f>EXP(SUMPRODUCT((rl_eff&lt;$B1191)*(rl_key=$A$1156)*rl_ln1p))</f>
        <v/>
      </c>
      <c r="J1191" s="208">
        <f>EXP(SUMPRODUCT((rl_eff&lt;=$C1191)*(rl_key=$A$1156)*rl_ln1p))</f>
        <v/>
      </c>
      <c r="K1191" s="201">
        <f>COUNTIFS(rl_key,$A$1156,rl_eff,"&gt;="&amp;$B1191,rl_eff,"&lt;="&amp;$C1191)</f>
        <v/>
      </c>
      <c r="L1191" s="201">
        <f>SUMIFS(rl_daysafter,rl_key,$A$1156,rl_effmonth,$B1191,rl_first,1)</f>
        <v/>
      </c>
      <c r="M1191" s="209">
        <f>IF($K1191=0,0,MIN(1,$L1191/$D1191))</f>
        <v/>
      </c>
      <c r="N1191" s="208">
        <f>IF($K1191=0,$J1191,(1-$M1191)*$I1191+$M1191*$J1191)</f>
        <v/>
      </c>
      <c r="O1191" s="209">
        <f>IF($F1191&lt;$B$1157,$E$1157+$I$1157*($F1191-$A$1157),IF($F1191&lt;$C$1157,$F$1157+$J$1157*($F1191-$B$1157),$G$1157+$K$1157*($F1191-$C$1157)))</f>
        <v/>
      </c>
      <c r="P1191" s="208">
        <f>MIN(1,MAX(0,(nr_MEndPm1-$G1191+0.5)/$C$1156))-MIN(1,MAX(0,(nr_MStartPm1-1-$G1191+0.5)/$C$1156))</f>
        <v/>
      </c>
      <c r="Q1191" s="208">
        <f>MIN(1,MAX(0,(nr_MEndP-$G1191+0.5)/$C$1156))-MIN(1,MAX(0,(nr_MStartP-1-$G1191+0.5)/$C$1156))</f>
        <v/>
      </c>
      <c r="R1191" s="208">
        <f>MIN(1,MAX(0,(nr_MEndP1-$G1191+0.5)/$C$1156))-MIN(1,MAX(0,(nr_MStartP1-1-$G1191+0.5)/$C$1156))</f>
        <v/>
      </c>
      <c r="S1191" s="208">
        <f>IF($L$1156,$N1191*IF($O$1156=1,$O1191/$F$1156,1),"")</f>
        <v/>
      </c>
      <c r="T1191" s="208">
        <f>IF(NOT($L$1156),"",IF($G1191&lt;nr_MStartP,$S1191,$T1179*(1+IF($G1191&lt;nr_MStartP1,$M$1156,$N$1156))))</f>
        <v/>
      </c>
      <c r="U1191" s="208">
        <f>IF($L$1156,$T1191,$N1191)</f>
        <v/>
      </c>
    </row>
    <row r="1192">
      <c r="A1192" s="145" t="n">
        <v>34</v>
      </c>
      <c r="B1192" s="204">
        <f>EDATE($B1191,1)</f>
        <v/>
      </c>
      <c r="C1192" s="205">
        <f>EOMONTH($B1192,0)</f>
        <v/>
      </c>
      <c r="D1192" s="201">
        <f>$C1192-$B1192+1</f>
        <v/>
      </c>
      <c r="E1192" s="201">
        <f>MONTH($B1192)</f>
        <v/>
      </c>
      <c r="F1192" s="235">
        <f>($B1192+$C1192+1)/2</f>
        <v/>
      </c>
      <c r="G1192" s="201">
        <f>YEAR($B1192)*12+MONTH($B1192)-1</f>
        <v/>
      </c>
      <c r="H1192" s="207">
        <f>IF(OR(nr_SeasonOn="OFF",$D$1156=0,$E$1156=0),1,12*INDEX(se_block,$D$1156,$E1192)/$E$1156)</f>
        <v/>
      </c>
      <c r="I1192" s="208">
        <f>EXP(SUMPRODUCT((rl_eff&lt;$B1192)*(rl_key=$A$1156)*rl_ln1p))</f>
        <v/>
      </c>
      <c r="J1192" s="208">
        <f>EXP(SUMPRODUCT((rl_eff&lt;=$C1192)*(rl_key=$A$1156)*rl_ln1p))</f>
        <v/>
      </c>
      <c r="K1192" s="201">
        <f>COUNTIFS(rl_key,$A$1156,rl_eff,"&gt;="&amp;$B1192,rl_eff,"&lt;="&amp;$C1192)</f>
        <v/>
      </c>
      <c r="L1192" s="201">
        <f>SUMIFS(rl_daysafter,rl_key,$A$1156,rl_effmonth,$B1192,rl_first,1)</f>
        <v/>
      </c>
      <c r="M1192" s="209">
        <f>IF($K1192=0,0,MIN(1,$L1192/$D1192))</f>
        <v/>
      </c>
      <c r="N1192" s="208">
        <f>IF($K1192=0,$J1192,(1-$M1192)*$I1192+$M1192*$J1192)</f>
        <v/>
      </c>
      <c r="O1192" s="209">
        <f>IF($F1192&lt;$B$1157,$E$1157+$I$1157*($F1192-$A$1157),IF($F1192&lt;$C$1157,$F$1157+$J$1157*($F1192-$B$1157),$G$1157+$K$1157*($F1192-$C$1157)))</f>
        <v/>
      </c>
      <c r="P1192" s="208">
        <f>MIN(1,MAX(0,(nr_MEndPm1-$G1192+0.5)/$C$1156))-MIN(1,MAX(0,(nr_MStartPm1-1-$G1192+0.5)/$C$1156))</f>
        <v/>
      </c>
      <c r="Q1192" s="208">
        <f>MIN(1,MAX(0,(nr_MEndP-$G1192+0.5)/$C$1156))-MIN(1,MAX(0,(nr_MStartP-1-$G1192+0.5)/$C$1156))</f>
        <v/>
      </c>
      <c r="R1192" s="208">
        <f>MIN(1,MAX(0,(nr_MEndP1-$G1192+0.5)/$C$1156))-MIN(1,MAX(0,(nr_MStartP1-1-$G1192+0.5)/$C$1156))</f>
        <v/>
      </c>
      <c r="S1192" s="208">
        <f>IF($L$1156,$N1192*IF($O$1156=1,$O1192/$F$1156,1),"")</f>
        <v/>
      </c>
      <c r="T1192" s="208">
        <f>IF(NOT($L$1156),"",IF($G1192&lt;nr_MStartP,$S1192,$T1180*(1+IF($G1192&lt;nr_MStartP1,$M$1156,$N$1156))))</f>
        <v/>
      </c>
      <c r="U1192" s="208">
        <f>IF($L$1156,$T1192,$N1192)</f>
        <v/>
      </c>
    </row>
    <row r="1193">
      <c r="A1193" s="145" t="n">
        <v>35</v>
      </c>
      <c r="B1193" s="204">
        <f>EDATE($B1192,1)</f>
        <v/>
      </c>
      <c r="C1193" s="205">
        <f>EOMONTH($B1193,0)</f>
        <v/>
      </c>
      <c r="D1193" s="201">
        <f>$C1193-$B1193+1</f>
        <v/>
      </c>
      <c r="E1193" s="201">
        <f>MONTH($B1193)</f>
        <v/>
      </c>
      <c r="F1193" s="235">
        <f>($B1193+$C1193+1)/2</f>
        <v/>
      </c>
      <c r="G1193" s="201">
        <f>YEAR($B1193)*12+MONTH($B1193)-1</f>
        <v/>
      </c>
      <c r="H1193" s="207">
        <f>IF(OR(nr_SeasonOn="OFF",$D$1156=0,$E$1156=0),1,12*INDEX(se_block,$D$1156,$E1193)/$E$1156)</f>
        <v/>
      </c>
      <c r="I1193" s="208">
        <f>EXP(SUMPRODUCT((rl_eff&lt;$B1193)*(rl_key=$A$1156)*rl_ln1p))</f>
        <v/>
      </c>
      <c r="J1193" s="208">
        <f>EXP(SUMPRODUCT((rl_eff&lt;=$C1193)*(rl_key=$A$1156)*rl_ln1p))</f>
        <v/>
      </c>
      <c r="K1193" s="201">
        <f>COUNTIFS(rl_key,$A$1156,rl_eff,"&gt;="&amp;$B1193,rl_eff,"&lt;="&amp;$C1193)</f>
        <v/>
      </c>
      <c r="L1193" s="201">
        <f>SUMIFS(rl_daysafter,rl_key,$A$1156,rl_effmonth,$B1193,rl_first,1)</f>
        <v/>
      </c>
      <c r="M1193" s="209">
        <f>IF($K1193=0,0,MIN(1,$L1193/$D1193))</f>
        <v/>
      </c>
      <c r="N1193" s="208">
        <f>IF($K1193=0,$J1193,(1-$M1193)*$I1193+$M1193*$J1193)</f>
        <v/>
      </c>
      <c r="O1193" s="209">
        <f>IF($F1193&lt;$B$1157,$E$1157+$I$1157*($F1193-$A$1157),IF($F1193&lt;$C$1157,$F$1157+$J$1157*($F1193-$B$1157),$G$1157+$K$1157*($F1193-$C$1157)))</f>
        <v/>
      </c>
      <c r="P1193" s="208">
        <f>MIN(1,MAX(0,(nr_MEndPm1-$G1193+0.5)/$C$1156))-MIN(1,MAX(0,(nr_MStartPm1-1-$G1193+0.5)/$C$1156))</f>
        <v/>
      </c>
      <c r="Q1193" s="208">
        <f>MIN(1,MAX(0,(nr_MEndP-$G1193+0.5)/$C$1156))-MIN(1,MAX(0,(nr_MStartP-1-$G1193+0.5)/$C$1156))</f>
        <v/>
      </c>
      <c r="R1193" s="208">
        <f>MIN(1,MAX(0,(nr_MEndP1-$G1193+0.5)/$C$1156))-MIN(1,MAX(0,(nr_MStartP1-1-$G1193+0.5)/$C$1156))</f>
        <v/>
      </c>
      <c r="S1193" s="208">
        <f>IF($L$1156,$N1193*IF($O$1156=1,$O1193/$F$1156,1),"")</f>
        <v/>
      </c>
      <c r="T1193" s="208">
        <f>IF(NOT($L$1156),"",IF($G1193&lt;nr_MStartP,$S1193,$T1181*(1+IF($G1193&lt;nr_MStartP1,$M$1156,$N$1156))))</f>
        <v/>
      </c>
      <c r="U1193" s="208">
        <f>IF($L$1156,$T1193,$N1193)</f>
        <v/>
      </c>
    </row>
    <row r="1194">
      <c r="A1194" s="145" t="n">
        <v>36</v>
      </c>
      <c r="B1194" s="204">
        <f>EDATE($B1193,1)</f>
        <v/>
      </c>
      <c r="C1194" s="205">
        <f>EOMONTH($B1194,0)</f>
        <v/>
      </c>
      <c r="D1194" s="201">
        <f>$C1194-$B1194+1</f>
        <v/>
      </c>
      <c r="E1194" s="201">
        <f>MONTH($B1194)</f>
        <v/>
      </c>
      <c r="F1194" s="235">
        <f>($B1194+$C1194+1)/2</f>
        <v/>
      </c>
      <c r="G1194" s="201">
        <f>YEAR($B1194)*12+MONTH($B1194)-1</f>
        <v/>
      </c>
      <c r="H1194" s="207">
        <f>IF(OR(nr_SeasonOn="OFF",$D$1156=0,$E$1156=0),1,12*INDEX(se_block,$D$1156,$E1194)/$E$1156)</f>
        <v/>
      </c>
      <c r="I1194" s="208">
        <f>EXP(SUMPRODUCT((rl_eff&lt;$B1194)*(rl_key=$A$1156)*rl_ln1p))</f>
        <v/>
      </c>
      <c r="J1194" s="208">
        <f>EXP(SUMPRODUCT((rl_eff&lt;=$C1194)*(rl_key=$A$1156)*rl_ln1p))</f>
        <v/>
      </c>
      <c r="K1194" s="201">
        <f>COUNTIFS(rl_key,$A$1156,rl_eff,"&gt;="&amp;$B1194,rl_eff,"&lt;="&amp;$C1194)</f>
        <v/>
      </c>
      <c r="L1194" s="201">
        <f>SUMIFS(rl_daysafter,rl_key,$A$1156,rl_effmonth,$B1194,rl_first,1)</f>
        <v/>
      </c>
      <c r="M1194" s="209">
        <f>IF($K1194=0,0,MIN(1,$L1194/$D1194))</f>
        <v/>
      </c>
      <c r="N1194" s="208">
        <f>IF($K1194=0,$J1194,(1-$M1194)*$I1194+$M1194*$J1194)</f>
        <v/>
      </c>
      <c r="O1194" s="209">
        <f>IF($F1194&lt;$B$1157,$E$1157+$I$1157*($F1194-$A$1157),IF($F1194&lt;$C$1157,$F$1157+$J$1157*($F1194-$B$1157),$G$1157+$K$1157*($F1194-$C$1157)))</f>
        <v/>
      </c>
      <c r="P1194" s="208">
        <f>MIN(1,MAX(0,(nr_MEndPm1-$G1194+0.5)/$C$1156))-MIN(1,MAX(0,(nr_MStartPm1-1-$G1194+0.5)/$C$1156))</f>
        <v/>
      </c>
      <c r="Q1194" s="208">
        <f>MIN(1,MAX(0,(nr_MEndP-$G1194+0.5)/$C$1156))-MIN(1,MAX(0,(nr_MStartP-1-$G1194+0.5)/$C$1156))</f>
        <v/>
      </c>
      <c r="R1194" s="208">
        <f>MIN(1,MAX(0,(nr_MEndP1-$G1194+0.5)/$C$1156))-MIN(1,MAX(0,(nr_MStartP1-1-$G1194+0.5)/$C$1156))</f>
        <v/>
      </c>
      <c r="S1194" s="208">
        <f>IF($L$1156,$N1194*IF($O$1156=1,$O1194/$F$1156,1),"")</f>
        <v/>
      </c>
      <c r="T1194" s="208">
        <f>IF(NOT($L$1156),"",IF($G1194&lt;nr_MStartP,$S1194,$T1182*(1+IF($G1194&lt;nr_MStartP1,$M$1156,$N$1156))))</f>
        <v/>
      </c>
      <c r="U1194" s="208">
        <f>IF($L$1156,$T1194,$N1194)</f>
        <v/>
      </c>
    </row>
    <row r="1195">
      <c r="A1195" s="145" t="n">
        <v>37</v>
      </c>
      <c r="B1195" s="204">
        <f>EDATE($B1194,1)</f>
        <v/>
      </c>
      <c r="C1195" s="205">
        <f>EOMONTH($B1195,0)</f>
        <v/>
      </c>
      <c r="D1195" s="201">
        <f>$C1195-$B1195+1</f>
        <v/>
      </c>
      <c r="E1195" s="201">
        <f>MONTH($B1195)</f>
        <v/>
      </c>
      <c r="F1195" s="235">
        <f>($B1195+$C1195+1)/2</f>
        <v/>
      </c>
      <c r="G1195" s="201">
        <f>YEAR($B1195)*12+MONTH($B1195)-1</f>
        <v/>
      </c>
      <c r="H1195" s="207">
        <f>IF(OR(nr_SeasonOn="OFF",$D$1156=0,$E$1156=0),1,12*INDEX(se_block,$D$1156,$E1195)/$E$1156)</f>
        <v/>
      </c>
      <c r="I1195" s="208">
        <f>EXP(SUMPRODUCT((rl_eff&lt;$B1195)*(rl_key=$A$1156)*rl_ln1p))</f>
        <v/>
      </c>
      <c r="J1195" s="208">
        <f>EXP(SUMPRODUCT((rl_eff&lt;=$C1195)*(rl_key=$A$1156)*rl_ln1p))</f>
        <v/>
      </c>
      <c r="K1195" s="201">
        <f>COUNTIFS(rl_key,$A$1156,rl_eff,"&gt;="&amp;$B1195,rl_eff,"&lt;="&amp;$C1195)</f>
        <v/>
      </c>
      <c r="L1195" s="201">
        <f>SUMIFS(rl_daysafter,rl_key,$A$1156,rl_effmonth,$B1195,rl_first,1)</f>
        <v/>
      </c>
      <c r="M1195" s="209">
        <f>IF($K1195=0,0,MIN(1,$L1195/$D1195))</f>
        <v/>
      </c>
      <c r="N1195" s="208">
        <f>IF($K1195=0,$J1195,(1-$M1195)*$I1195+$M1195*$J1195)</f>
        <v/>
      </c>
      <c r="O1195" s="209">
        <f>IF($F1195&lt;$B$1157,$E$1157+$I$1157*($F1195-$A$1157),IF($F1195&lt;$C$1157,$F$1157+$J$1157*($F1195-$B$1157),$G$1157+$K$1157*($F1195-$C$1157)))</f>
        <v/>
      </c>
      <c r="P1195" s="208">
        <f>MIN(1,MAX(0,(nr_MEndPm1-$G1195+0.5)/$C$1156))-MIN(1,MAX(0,(nr_MStartPm1-1-$G1195+0.5)/$C$1156))</f>
        <v/>
      </c>
      <c r="Q1195" s="208">
        <f>MIN(1,MAX(0,(nr_MEndP-$G1195+0.5)/$C$1156))-MIN(1,MAX(0,(nr_MStartP-1-$G1195+0.5)/$C$1156))</f>
        <v/>
      </c>
      <c r="R1195" s="208">
        <f>MIN(1,MAX(0,(nr_MEndP1-$G1195+0.5)/$C$1156))-MIN(1,MAX(0,(nr_MStartP1-1-$G1195+0.5)/$C$1156))</f>
        <v/>
      </c>
      <c r="S1195" s="208">
        <f>IF($L$1156,$N1195*IF($O$1156=1,$O1195/$F$1156,1),"")</f>
        <v/>
      </c>
      <c r="T1195" s="208">
        <f>IF(NOT($L$1156),"",IF($G1195&lt;nr_MStartP,$S1195,$T1183*(1+IF($G1195&lt;nr_MStartP1,$M$1156,$N$1156))))</f>
        <v/>
      </c>
      <c r="U1195" s="208">
        <f>IF($L$1156,$T1195,$N1195)</f>
        <v/>
      </c>
    </row>
    <row r="1196">
      <c r="A1196" s="145" t="n">
        <v>38</v>
      </c>
      <c r="B1196" s="204">
        <f>EDATE($B1195,1)</f>
        <v/>
      </c>
      <c r="C1196" s="205">
        <f>EOMONTH($B1196,0)</f>
        <v/>
      </c>
      <c r="D1196" s="201">
        <f>$C1196-$B1196+1</f>
        <v/>
      </c>
      <c r="E1196" s="201">
        <f>MONTH($B1196)</f>
        <v/>
      </c>
      <c r="F1196" s="235">
        <f>($B1196+$C1196+1)/2</f>
        <v/>
      </c>
      <c r="G1196" s="201">
        <f>YEAR($B1196)*12+MONTH($B1196)-1</f>
        <v/>
      </c>
      <c r="H1196" s="207">
        <f>IF(OR(nr_SeasonOn="OFF",$D$1156=0,$E$1156=0),1,12*INDEX(se_block,$D$1156,$E1196)/$E$1156)</f>
        <v/>
      </c>
      <c r="I1196" s="208">
        <f>EXP(SUMPRODUCT((rl_eff&lt;$B1196)*(rl_key=$A$1156)*rl_ln1p))</f>
        <v/>
      </c>
      <c r="J1196" s="208">
        <f>EXP(SUMPRODUCT((rl_eff&lt;=$C1196)*(rl_key=$A$1156)*rl_ln1p))</f>
        <v/>
      </c>
      <c r="K1196" s="201">
        <f>COUNTIFS(rl_key,$A$1156,rl_eff,"&gt;="&amp;$B1196,rl_eff,"&lt;="&amp;$C1196)</f>
        <v/>
      </c>
      <c r="L1196" s="201">
        <f>SUMIFS(rl_daysafter,rl_key,$A$1156,rl_effmonth,$B1196,rl_first,1)</f>
        <v/>
      </c>
      <c r="M1196" s="209">
        <f>IF($K1196=0,0,MIN(1,$L1196/$D1196))</f>
        <v/>
      </c>
      <c r="N1196" s="208">
        <f>IF($K1196=0,$J1196,(1-$M1196)*$I1196+$M1196*$J1196)</f>
        <v/>
      </c>
      <c r="O1196" s="209">
        <f>IF($F1196&lt;$B$1157,$E$1157+$I$1157*($F1196-$A$1157),IF($F1196&lt;$C$1157,$F$1157+$J$1157*($F1196-$B$1157),$G$1157+$K$1157*($F1196-$C$1157)))</f>
        <v/>
      </c>
      <c r="P1196" s="208">
        <f>MIN(1,MAX(0,(nr_MEndPm1-$G1196+0.5)/$C$1156))-MIN(1,MAX(0,(nr_MStartPm1-1-$G1196+0.5)/$C$1156))</f>
        <v/>
      </c>
      <c r="Q1196" s="208">
        <f>MIN(1,MAX(0,(nr_MEndP-$G1196+0.5)/$C$1156))-MIN(1,MAX(0,(nr_MStartP-1-$G1196+0.5)/$C$1156))</f>
        <v/>
      </c>
      <c r="R1196" s="208">
        <f>MIN(1,MAX(0,(nr_MEndP1-$G1196+0.5)/$C$1156))-MIN(1,MAX(0,(nr_MStartP1-1-$G1196+0.5)/$C$1156))</f>
        <v/>
      </c>
      <c r="S1196" s="208">
        <f>IF($L$1156,$N1196*IF($O$1156=1,$O1196/$F$1156,1),"")</f>
        <v/>
      </c>
      <c r="T1196" s="208">
        <f>IF(NOT($L$1156),"",IF($G1196&lt;nr_MStartP,$S1196,$T1184*(1+IF($G1196&lt;nr_MStartP1,$M$1156,$N$1156))))</f>
        <v/>
      </c>
      <c r="U1196" s="208">
        <f>IF($L$1156,$T1196,$N1196)</f>
        <v/>
      </c>
    </row>
    <row r="1197">
      <c r="A1197" s="145" t="n">
        <v>39</v>
      </c>
      <c r="B1197" s="204">
        <f>EDATE($B1196,1)</f>
        <v/>
      </c>
      <c r="C1197" s="205">
        <f>EOMONTH($B1197,0)</f>
        <v/>
      </c>
      <c r="D1197" s="201">
        <f>$C1197-$B1197+1</f>
        <v/>
      </c>
      <c r="E1197" s="201">
        <f>MONTH($B1197)</f>
        <v/>
      </c>
      <c r="F1197" s="235">
        <f>($B1197+$C1197+1)/2</f>
        <v/>
      </c>
      <c r="G1197" s="201">
        <f>YEAR($B1197)*12+MONTH($B1197)-1</f>
        <v/>
      </c>
      <c r="H1197" s="207">
        <f>IF(OR(nr_SeasonOn="OFF",$D$1156=0,$E$1156=0),1,12*INDEX(se_block,$D$1156,$E1197)/$E$1156)</f>
        <v/>
      </c>
      <c r="I1197" s="208">
        <f>EXP(SUMPRODUCT((rl_eff&lt;$B1197)*(rl_key=$A$1156)*rl_ln1p))</f>
        <v/>
      </c>
      <c r="J1197" s="208">
        <f>EXP(SUMPRODUCT((rl_eff&lt;=$C1197)*(rl_key=$A$1156)*rl_ln1p))</f>
        <v/>
      </c>
      <c r="K1197" s="201">
        <f>COUNTIFS(rl_key,$A$1156,rl_eff,"&gt;="&amp;$B1197,rl_eff,"&lt;="&amp;$C1197)</f>
        <v/>
      </c>
      <c r="L1197" s="201">
        <f>SUMIFS(rl_daysafter,rl_key,$A$1156,rl_effmonth,$B1197,rl_first,1)</f>
        <v/>
      </c>
      <c r="M1197" s="209">
        <f>IF($K1197=0,0,MIN(1,$L1197/$D1197))</f>
        <v/>
      </c>
      <c r="N1197" s="208">
        <f>IF($K1197=0,$J1197,(1-$M1197)*$I1197+$M1197*$J1197)</f>
        <v/>
      </c>
      <c r="O1197" s="209">
        <f>IF($F1197&lt;$B$1157,$E$1157+$I$1157*($F1197-$A$1157),IF($F1197&lt;$C$1157,$F$1157+$J$1157*($F1197-$B$1157),$G$1157+$K$1157*($F1197-$C$1157)))</f>
        <v/>
      </c>
      <c r="P1197" s="208">
        <f>MIN(1,MAX(0,(nr_MEndPm1-$G1197+0.5)/$C$1156))-MIN(1,MAX(0,(nr_MStartPm1-1-$G1197+0.5)/$C$1156))</f>
        <v/>
      </c>
      <c r="Q1197" s="208">
        <f>MIN(1,MAX(0,(nr_MEndP-$G1197+0.5)/$C$1156))-MIN(1,MAX(0,(nr_MStartP-1-$G1197+0.5)/$C$1156))</f>
        <v/>
      </c>
      <c r="R1197" s="208">
        <f>MIN(1,MAX(0,(nr_MEndP1-$G1197+0.5)/$C$1156))-MIN(1,MAX(0,(nr_MStartP1-1-$G1197+0.5)/$C$1156))</f>
        <v/>
      </c>
      <c r="S1197" s="208">
        <f>IF($L$1156,$N1197*IF($O$1156=1,$O1197/$F$1156,1),"")</f>
        <v/>
      </c>
      <c r="T1197" s="208">
        <f>IF(NOT($L$1156),"",IF($G1197&lt;nr_MStartP,$S1197,$T1185*(1+IF($G1197&lt;nr_MStartP1,$M$1156,$N$1156))))</f>
        <v/>
      </c>
      <c r="U1197" s="208">
        <f>IF($L$1156,$T1197,$N1197)</f>
        <v/>
      </c>
    </row>
    <row r="1198">
      <c r="A1198" s="145" t="n">
        <v>40</v>
      </c>
      <c r="B1198" s="204">
        <f>EDATE($B1197,1)</f>
        <v/>
      </c>
      <c r="C1198" s="205">
        <f>EOMONTH($B1198,0)</f>
        <v/>
      </c>
      <c r="D1198" s="201">
        <f>$C1198-$B1198+1</f>
        <v/>
      </c>
      <c r="E1198" s="201">
        <f>MONTH($B1198)</f>
        <v/>
      </c>
      <c r="F1198" s="235">
        <f>($B1198+$C1198+1)/2</f>
        <v/>
      </c>
      <c r="G1198" s="201">
        <f>YEAR($B1198)*12+MONTH($B1198)-1</f>
        <v/>
      </c>
      <c r="H1198" s="207">
        <f>IF(OR(nr_SeasonOn="OFF",$D$1156=0,$E$1156=0),1,12*INDEX(se_block,$D$1156,$E1198)/$E$1156)</f>
        <v/>
      </c>
      <c r="I1198" s="208">
        <f>EXP(SUMPRODUCT((rl_eff&lt;$B1198)*(rl_key=$A$1156)*rl_ln1p))</f>
        <v/>
      </c>
      <c r="J1198" s="208">
        <f>EXP(SUMPRODUCT((rl_eff&lt;=$C1198)*(rl_key=$A$1156)*rl_ln1p))</f>
        <v/>
      </c>
      <c r="K1198" s="201">
        <f>COUNTIFS(rl_key,$A$1156,rl_eff,"&gt;="&amp;$B1198,rl_eff,"&lt;="&amp;$C1198)</f>
        <v/>
      </c>
      <c r="L1198" s="201">
        <f>SUMIFS(rl_daysafter,rl_key,$A$1156,rl_effmonth,$B1198,rl_first,1)</f>
        <v/>
      </c>
      <c r="M1198" s="209">
        <f>IF($K1198=0,0,MIN(1,$L1198/$D1198))</f>
        <v/>
      </c>
      <c r="N1198" s="208">
        <f>IF($K1198=0,$J1198,(1-$M1198)*$I1198+$M1198*$J1198)</f>
        <v/>
      </c>
      <c r="O1198" s="209">
        <f>IF($F1198&lt;$B$1157,$E$1157+$I$1157*($F1198-$A$1157),IF($F1198&lt;$C$1157,$F$1157+$J$1157*($F1198-$B$1157),$G$1157+$K$1157*($F1198-$C$1157)))</f>
        <v/>
      </c>
      <c r="P1198" s="208">
        <f>MIN(1,MAX(0,(nr_MEndPm1-$G1198+0.5)/$C$1156))-MIN(1,MAX(0,(nr_MStartPm1-1-$G1198+0.5)/$C$1156))</f>
        <v/>
      </c>
      <c r="Q1198" s="208">
        <f>MIN(1,MAX(0,(nr_MEndP-$G1198+0.5)/$C$1156))-MIN(1,MAX(0,(nr_MStartP-1-$G1198+0.5)/$C$1156))</f>
        <v/>
      </c>
      <c r="R1198" s="208">
        <f>MIN(1,MAX(0,(nr_MEndP1-$G1198+0.5)/$C$1156))-MIN(1,MAX(0,(nr_MStartP1-1-$G1198+0.5)/$C$1156))</f>
        <v/>
      </c>
      <c r="S1198" s="208">
        <f>IF($L$1156,$N1198*IF($O$1156=1,$O1198/$F$1156,1),"")</f>
        <v/>
      </c>
      <c r="T1198" s="208">
        <f>IF(NOT($L$1156),"",IF($G1198&lt;nr_MStartP,$S1198,$T1186*(1+IF($G1198&lt;nr_MStartP1,$M$1156,$N$1156))))</f>
        <v/>
      </c>
      <c r="U1198" s="208">
        <f>IF($L$1156,$T1198,$N1198)</f>
        <v/>
      </c>
    </row>
    <row r="1199">
      <c r="A1199" s="145" t="n">
        <v>41</v>
      </c>
      <c r="B1199" s="204">
        <f>EDATE($B1198,1)</f>
        <v/>
      </c>
      <c r="C1199" s="205">
        <f>EOMONTH($B1199,0)</f>
        <v/>
      </c>
      <c r="D1199" s="201">
        <f>$C1199-$B1199+1</f>
        <v/>
      </c>
      <c r="E1199" s="201">
        <f>MONTH($B1199)</f>
        <v/>
      </c>
      <c r="F1199" s="235">
        <f>($B1199+$C1199+1)/2</f>
        <v/>
      </c>
      <c r="G1199" s="201">
        <f>YEAR($B1199)*12+MONTH($B1199)-1</f>
        <v/>
      </c>
      <c r="H1199" s="207">
        <f>IF(OR(nr_SeasonOn="OFF",$D$1156=0,$E$1156=0),1,12*INDEX(se_block,$D$1156,$E1199)/$E$1156)</f>
        <v/>
      </c>
      <c r="I1199" s="208">
        <f>EXP(SUMPRODUCT((rl_eff&lt;$B1199)*(rl_key=$A$1156)*rl_ln1p))</f>
        <v/>
      </c>
      <c r="J1199" s="208">
        <f>EXP(SUMPRODUCT((rl_eff&lt;=$C1199)*(rl_key=$A$1156)*rl_ln1p))</f>
        <v/>
      </c>
      <c r="K1199" s="201">
        <f>COUNTIFS(rl_key,$A$1156,rl_eff,"&gt;="&amp;$B1199,rl_eff,"&lt;="&amp;$C1199)</f>
        <v/>
      </c>
      <c r="L1199" s="201">
        <f>SUMIFS(rl_daysafter,rl_key,$A$1156,rl_effmonth,$B1199,rl_first,1)</f>
        <v/>
      </c>
      <c r="M1199" s="209">
        <f>IF($K1199=0,0,MIN(1,$L1199/$D1199))</f>
        <v/>
      </c>
      <c r="N1199" s="208">
        <f>IF($K1199=0,$J1199,(1-$M1199)*$I1199+$M1199*$J1199)</f>
        <v/>
      </c>
      <c r="O1199" s="209">
        <f>IF($F1199&lt;$B$1157,$E$1157+$I$1157*($F1199-$A$1157),IF($F1199&lt;$C$1157,$F$1157+$J$1157*($F1199-$B$1157),$G$1157+$K$1157*($F1199-$C$1157)))</f>
        <v/>
      </c>
      <c r="P1199" s="208">
        <f>MIN(1,MAX(0,(nr_MEndPm1-$G1199+0.5)/$C$1156))-MIN(1,MAX(0,(nr_MStartPm1-1-$G1199+0.5)/$C$1156))</f>
        <v/>
      </c>
      <c r="Q1199" s="208">
        <f>MIN(1,MAX(0,(nr_MEndP-$G1199+0.5)/$C$1156))-MIN(1,MAX(0,(nr_MStartP-1-$G1199+0.5)/$C$1156))</f>
        <v/>
      </c>
      <c r="R1199" s="208">
        <f>MIN(1,MAX(0,(nr_MEndP1-$G1199+0.5)/$C$1156))-MIN(1,MAX(0,(nr_MStartP1-1-$G1199+0.5)/$C$1156))</f>
        <v/>
      </c>
      <c r="S1199" s="208">
        <f>IF($L$1156,$N1199*IF($O$1156=1,$O1199/$F$1156,1),"")</f>
        <v/>
      </c>
      <c r="T1199" s="208">
        <f>IF(NOT($L$1156),"",IF($G1199&lt;nr_MStartP,$S1199,$T1187*(1+IF($G1199&lt;nr_MStartP1,$M$1156,$N$1156))))</f>
        <v/>
      </c>
      <c r="U1199" s="208">
        <f>IF($L$1156,$T1199,$N1199)</f>
        <v/>
      </c>
    </row>
    <row r="1200">
      <c r="A1200" s="145" t="n">
        <v>42</v>
      </c>
      <c r="B1200" s="204">
        <f>EDATE($B1199,1)</f>
        <v/>
      </c>
      <c r="C1200" s="205">
        <f>EOMONTH($B1200,0)</f>
        <v/>
      </c>
      <c r="D1200" s="201">
        <f>$C1200-$B1200+1</f>
        <v/>
      </c>
      <c r="E1200" s="201">
        <f>MONTH($B1200)</f>
        <v/>
      </c>
      <c r="F1200" s="235">
        <f>($B1200+$C1200+1)/2</f>
        <v/>
      </c>
      <c r="G1200" s="201">
        <f>YEAR($B1200)*12+MONTH($B1200)-1</f>
        <v/>
      </c>
      <c r="H1200" s="207">
        <f>IF(OR(nr_SeasonOn="OFF",$D$1156=0,$E$1156=0),1,12*INDEX(se_block,$D$1156,$E1200)/$E$1156)</f>
        <v/>
      </c>
      <c r="I1200" s="208">
        <f>EXP(SUMPRODUCT((rl_eff&lt;$B1200)*(rl_key=$A$1156)*rl_ln1p))</f>
        <v/>
      </c>
      <c r="J1200" s="208">
        <f>EXP(SUMPRODUCT((rl_eff&lt;=$C1200)*(rl_key=$A$1156)*rl_ln1p))</f>
        <v/>
      </c>
      <c r="K1200" s="201">
        <f>COUNTIFS(rl_key,$A$1156,rl_eff,"&gt;="&amp;$B1200,rl_eff,"&lt;="&amp;$C1200)</f>
        <v/>
      </c>
      <c r="L1200" s="201">
        <f>SUMIFS(rl_daysafter,rl_key,$A$1156,rl_effmonth,$B1200,rl_first,1)</f>
        <v/>
      </c>
      <c r="M1200" s="209">
        <f>IF($K1200=0,0,MIN(1,$L1200/$D1200))</f>
        <v/>
      </c>
      <c r="N1200" s="208">
        <f>IF($K1200=0,$J1200,(1-$M1200)*$I1200+$M1200*$J1200)</f>
        <v/>
      </c>
      <c r="O1200" s="209">
        <f>IF($F1200&lt;$B$1157,$E$1157+$I$1157*($F1200-$A$1157),IF($F1200&lt;$C$1157,$F$1157+$J$1157*($F1200-$B$1157),$G$1157+$K$1157*($F1200-$C$1157)))</f>
        <v/>
      </c>
      <c r="P1200" s="208">
        <f>MIN(1,MAX(0,(nr_MEndPm1-$G1200+0.5)/$C$1156))-MIN(1,MAX(0,(nr_MStartPm1-1-$G1200+0.5)/$C$1156))</f>
        <v/>
      </c>
      <c r="Q1200" s="208">
        <f>MIN(1,MAX(0,(nr_MEndP-$G1200+0.5)/$C$1156))-MIN(1,MAX(0,(nr_MStartP-1-$G1200+0.5)/$C$1156))</f>
        <v/>
      </c>
      <c r="R1200" s="208">
        <f>MIN(1,MAX(0,(nr_MEndP1-$G1200+0.5)/$C$1156))-MIN(1,MAX(0,(nr_MStartP1-1-$G1200+0.5)/$C$1156))</f>
        <v/>
      </c>
      <c r="S1200" s="208">
        <f>IF($L$1156,$N1200*IF($O$1156=1,$O1200/$F$1156,1),"")</f>
        <v/>
      </c>
      <c r="T1200" s="208">
        <f>IF(NOT($L$1156),"",IF($G1200&lt;nr_MStartP,$S1200,$T1188*(1+IF($G1200&lt;nr_MStartP1,$M$1156,$N$1156))))</f>
        <v/>
      </c>
      <c r="U1200" s="208">
        <f>IF($L$1156,$T1200,$N1200)</f>
        <v/>
      </c>
    </row>
    <row r="1201">
      <c r="A1201" s="145" t="n">
        <v>43</v>
      </c>
      <c r="B1201" s="204">
        <f>EDATE($B1200,1)</f>
        <v/>
      </c>
      <c r="C1201" s="205">
        <f>EOMONTH($B1201,0)</f>
        <v/>
      </c>
      <c r="D1201" s="201">
        <f>$C1201-$B1201+1</f>
        <v/>
      </c>
      <c r="E1201" s="201">
        <f>MONTH($B1201)</f>
        <v/>
      </c>
      <c r="F1201" s="235">
        <f>($B1201+$C1201+1)/2</f>
        <v/>
      </c>
      <c r="G1201" s="201">
        <f>YEAR($B1201)*12+MONTH($B1201)-1</f>
        <v/>
      </c>
      <c r="H1201" s="207">
        <f>IF(OR(nr_SeasonOn="OFF",$D$1156=0,$E$1156=0),1,12*INDEX(se_block,$D$1156,$E1201)/$E$1156)</f>
        <v/>
      </c>
      <c r="I1201" s="208">
        <f>EXP(SUMPRODUCT((rl_eff&lt;$B1201)*(rl_key=$A$1156)*rl_ln1p))</f>
        <v/>
      </c>
      <c r="J1201" s="208">
        <f>EXP(SUMPRODUCT((rl_eff&lt;=$C1201)*(rl_key=$A$1156)*rl_ln1p))</f>
        <v/>
      </c>
      <c r="K1201" s="201">
        <f>COUNTIFS(rl_key,$A$1156,rl_eff,"&gt;="&amp;$B1201,rl_eff,"&lt;="&amp;$C1201)</f>
        <v/>
      </c>
      <c r="L1201" s="201">
        <f>SUMIFS(rl_daysafter,rl_key,$A$1156,rl_effmonth,$B1201,rl_first,1)</f>
        <v/>
      </c>
      <c r="M1201" s="209">
        <f>IF($K1201=0,0,MIN(1,$L1201/$D1201))</f>
        <v/>
      </c>
      <c r="N1201" s="208">
        <f>IF($K1201=0,$J1201,(1-$M1201)*$I1201+$M1201*$J1201)</f>
        <v/>
      </c>
      <c r="O1201" s="209">
        <f>IF($F1201&lt;$B$1157,$E$1157+$I$1157*($F1201-$A$1157),IF($F1201&lt;$C$1157,$F$1157+$J$1157*($F1201-$B$1157),$G$1157+$K$1157*($F1201-$C$1157)))</f>
        <v/>
      </c>
      <c r="P1201" s="208">
        <f>MIN(1,MAX(0,(nr_MEndPm1-$G1201+0.5)/$C$1156))-MIN(1,MAX(0,(nr_MStartPm1-1-$G1201+0.5)/$C$1156))</f>
        <v/>
      </c>
      <c r="Q1201" s="208">
        <f>MIN(1,MAX(0,(nr_MEndP-$G1201+0.5)/$C$1156))-MIN(1,MAX(0,(nr_MStartP-1-$G1201+0.5)/$C$1156))</f>
        <v/>
      </c>
      <c r="R1201" s="208">
        <f>MIN(1,MAX(0,(nr_MEndP1-$G1201+0.5)/$C$1156))-MIN(1,MAX(0,(nr_MStartP1-1-$G1201+0.5)/$C$1156))</f>
        <v/>
      </c>
      <c r="S1201" s="208">
        <f>IF($L$1156,$N1201*IF($O$1156=1,$O1201/$F$1156,1),"")</f>
        <v/>
      </c>
      <c r="T1201" s="208">
        <f>IF(NOT($L$1156),"",IF($G1201&lt;nr_MStartP,$S1201,$T1189*(1+IF($G1201&lt;nr_MStartP1,$M$1156,$N$1156))))</f>
        <v/>
      </c>
      <c r="U1201" s="208">
        <f>IF($L$1156,$T1201,$N1201)</f>
        <v/>
      </c>
    </row>
    <row r="1202">
      <c r="A1202" s="145" t="n">
        <v>44</v>
      </c>
      <c r="B1202" s="204">
        <f>EDATE($B1201,1)</f>
        <v/>
      </c>
      <c r="C1202" s="205">
        <f>EOMONTH($B1202,0)</f>
        <v/>
      </c>
      <c r="D1202" s="201">
        <f>$C1202-$B1202+1</f>
        <v/>
      </c>
      <c r="E1202" s="201">
        <f>MONTH($B1202)</f>
        <v/>
      </c>
      <c r="F1202" s="235">
        <f>($B1202+$C1202+1)/2</f>
        <v/>
      </c>
      <c r="G1202" s="201">
        <f>YEAR($B1202)*12+MONTH($B1202)-1</f>
        <v/>
      </c>
      <c r="H1202" s="207">
        <f>IF(OR(nr_SeasonOn="OFF",$D$1156=0,$E$1156=0),1,12*INDEX(se_block,$D$1156,$E1202)/$E$1156)</f>
        <v/>
      </c>
      <c r="I1202" s="208">
        <f>EXP(SUMPRODUCT((rl_eff&lt;$B1202)*(rl_key=$A$1156)*rl_ln1p))</f>
        <v/>
      </c>
      <c r="J1202" s="208">
        <f>EXP(SUMPRODUCT((rl_eff&lt;=$C1202)*(rl_key=$A$1156)*rl_ln1p))</f>
        <v/>
      </c>
      <c r="K1202" s="201">
        <f>COUNTIFS(rl_key,$A$1156,rl_eff,"&gt;="&amp;$B1202,rl_eff,"&lt;="&amp;$C1202)</f>
        <v/>
      </c>
      <c r="L1202" s="201">
        <f>SUMIFS(rl_daysafter,rl_key,$A$1156,rl_effmonth,$B1202,rl_first,1)</f>
        <v/>
      </c>
      <c r="M1202" s="209">
        <f>IF($K1202=0,0,MIN(1,$L1202/$D1202))</f>
        <v/>
      </c>
      <c r="N1202" s="208">
        <f>IF($K1202=0,$J1202,(1-$M1202)*$I1202+$M1202*$J1202)</f>
        <v/>
      </c>
      <c r="O1202" s="209">
        <f>IF($F1202&lt;$B$1157,$E$1157+$I$1157*($F1202-$A$1157),IF($F1202&lt;$C$1157,$F$1157+$J$1157*($F1202-$B$1157),$G$1157+$K$1157*($F1202-$C$1157)))</f>
        <v/>
      </c>
      <c r="P1202" s="208">
        <f>MIN(1,MAX(0,(nr_MEndPm1-$G1202+0.5)/$C$1156))-MIN(1,MAX(0,(nr_MStartPm1-1-$G1202+0.5)/$C$1156))</f>
        <v/>
      </c>
      <c r="Q1202" s="208">
        <f>MIN(1,MAX(0,(nr_MEndP-$G1202+0.5)/$C$1156))-MIN(1,MAX(0,(nr_MStartP-1-$G1202+0.5)/$C$1156))</f>
        <v/>
      </c>
      <c r="R1202" s="208">
        <f>MIN(1,MAX(0,(nr_MEndP1-$G1202+0.5)/$C$1156))-MIN(1,MAX(0,(nr_MStartP1-1-$G1202+0.5)/$C$1156))</f>
        <v/>
      </c>
      <c r="S1202" s="208">
        <f>IF($L$1156,$N1202*IF($O$1156=1,$O1202/$F$1156,1),"")</f>
        <v/>
      </c>
      <c r="T1202" s="208">
        <f>IF(NOT($L$1156),"",IF($G1202&lt;nr_MStartP,$S1202,$T1190*(1+IF($G1202&lt;nr_MStartP1,$M$1156,$N$1156))))</f>
        <v/>
      </c>
      <c r="U1202" s="208">
        <f>IF($L$1156,$T1202,$N1202)</f>
        <v/>
      </c>
    </row>
    <row r="1203">
      <c r="A1203" s="145" t="n">
        <v>45</v>
      </c>
      <c r="B1203" s="204">
        <f>EDATE($B1202,1)</f>
        <v/>
      </c>
      <c r="C1203" s="205">
        <f>EOMONTH($B1203,0)</f>
        <v/>
      </c>
      <c r="D1203" s="201">
        <f>$C1203-$B1203+1</f>
        <v/>
      </c>
      <c r="E1203" s="201">
        <f>MONTH($B1203)</f>
        <v/>
      </c>
      <c r="F1203" s="235">
        <f>($B1203+$C1203+1)/2</f>
        <v/>
      </c>
      <c r="G1203" s="201">
        <f>YEAR($B1203)*12+MONTH($B1203)-1</f>
        <v/>
      </c>
      <c r="H1203" s="207">
        <f>IF(OR(nr_SeasonOn="OFF",$D$1156=0,$E$1156=0),1,12*INDEX(se_block,$D$1156,$E1203)/$E$1156)</f>
        <v/>
      </c>
      <c r="I1203" s="208">
        <f>EXP(SUMPRODUCT((rl_eff&lt;$B1203)*(rl_key=$A$1156)*rl_ln1p))</f>
        <v/>
      </c>
      <c r="J1203" s="208">
        <f>EXP(SUMPRODUCT((rl_eff&lt;=$C1203)*(rl_key=$A$1156)*rl_ln1p))</f>
        <v/>
      </c>
      <c r="K1203" s="201">
        <f>COUNTIFS(rl_key,$A$1156,rl_eff,"&gt;="&amp;$B1203,rl_eff,"&lt;="&amp;$C1203)</f>
        <v/>
      </c>
      <c r="L1203" s="201">
        <f>SUMIFS(rl_daysafter,rl_key,$A$1156,rl_effmonth,$B1203,rl_first,1)</f>
        <v/>
      </c>
      <c r="M1203" s="209">
        <f>IF($K1203=0,0,MIN(1,$L1203/$D1203))</f>
        <v/>
      </c>
      <c r="N1203" s="208">
        <f>IF($K1203=0,$J1203,(1-$M1203)*$I1203+$M1203*$J1203)</f>
        <v/>
      </c>
      <c r="O1203" s="209">
        <f>IF($F1203&lt;$B$1157,$E$1157+$I$1157*($F1203-$A$1157),IF($F1203&lt;$C$1157,$F$1157+$J$1157*($F1203-$B$1157),$G$1157+$K$1157*($F1203-$C$1157)))</f>
        <v/>
      </c>
      <c r="P1203" s="208">
        <f>MIN(1,MAX(0,(nr_MEndPm1-$G1203+0.5)/$C$1156))-MIN(1,MAX(0,(nr_MStartPm1-1-$G1203+0.5)/$C$1156))</f>
        <v/>
      </c>
      <c r="Q1203" s="208">
        <f>MIN(1,MAX(0,(nr_MEndP-$G1203+0.5)/$C$1156))-MIN(1,MAX(0,(nr_MStartP-1-$G1203+0.5)/$C$1156))</f>
        <v/>
      </c>
      <c r="R1203" s="208">
        <f>MIN(1,MAX(0,(nr_MEndP1-$G1203+0.5)/$C$1156))-MIN(1,MAX(0,(nr_MStartP1-1-$G1203+0.5)/$C$1156))</f>
        <v/>
      </c>
      <c r="S1203" s="208">
        <f>IF($L$1156,$N1203*IF($O$1156=1,$O1203/$F$1156,1),"")</f>
        <v/>
      </c>
      <c r="T1203" s="208">
        <f>IF(NOT($L$1156),"",IF($G1203&lt;nr_MStartP,$S1203,$T1191*(1+IF($G1203&lt;nr_MStartP1,$M$1156,$N$1156))))</f>
        <v/>
      </c>
      <c r="U1203" s="208">
        <f>IF($L$1156,$T1203,$N1203)</f>
        <v/>
      </c>
    </row>
    <row r="1204">
      <c r="A1204" s="145" t="n">
        <v>46</v>
      </c>
      <c r="B1204" s="204">
        <f>EDATE($B1203,1)</f>
        <v/>
      </c>
      <c r="C1204" s="205">
        <f>EOMONTH($B1204,0)</f>
        <v/>
      </c>
      <c r="D1204" s="201">
        <f>$C1204-$B1204+1</f>
        <v/>
      </c>
      <c r="E1204" s="201">
        <f>MONTH($B1204)</f>
        <v/>
      </c>
      <c r="F1204" s="235">
        <f>($B1204+$C1204+1)/2</f>
        <v/>
      </c>
      <c r="G1204" s="201">
        <f>YEAR($B1204)*12+MONTH($B1204)-1</f>
        <v/>
      </c>
      <c r="H1204" s="207">
        <f>IF(OR(nr_SeasonOn="OFF",$D$1156=0,$E$1156=0),1,12*INDEX(se_block,$D$1156,$E1204)/$E$1156)</f>
        <v/>
      </c>
      <c r="I1204" s="208">
        <f>EXP(SUMPRODUCT((rl_eff&lt;$B1204)*(rl_key=$A$1156)*rl_ln1p))</f>
        <v/>
      </c>
      <c r="J1204" s="208">
        <f>EXP(SUMPRODUCT((rl_eff&lt;=$C1204)*(rl_key=$A$1156)*rl_ln1p))</f>
        <v/>
      </c>
      <c r="K1204" s="201">
        <f>COUNTIFS(rl_key,$A$1156,rl_eff,"&gt;="&amp;$B1204,rl_eff,"&lt;="&amp;$C1204)</f>
        <v/>
      </c>
      <c r="L1204" s="201">
        <f>SUMIFS(rl_daysafter,rl_key,$A$1156,rl_effmonth,$B1204,rl_first,1)</f>
        <v/>
      </c>
      <c r="M1204" s="209">
        <f>IF($K1204=0,0,MIN(1,$L1204/$D1204))</f>
        <v/>
      </c>
      <c r="N1204" s="208">
        <f>IF($K1204=0,$J1204,(1-$M1204)*$I1204+$M1204*$J1204)</f>
        <v/>
      </c>
      <c r="O1204" s="209">
        <f>IF($F1204&lt;$B$1157,$E$1157+$I$1157*($F1204-$A$1157),IF($F1204&lt;$C$1157,$F$1157+$J$1157*($F1204-$B$1157),$G$1157+$K$1157*($F1204-$C$1157)))</f>
        <v/>
      </c>
      <c r="P1204" s="208">
        <f>MIN(1,MAX(0,(nr_MEndPm1-$G1204+0.5)/$C$1156))-MIN(1,MAX(0,(nr_MStartPm1-1-$G1204+0.5)/$C$1156))</f>
        <v/>
      </c>
      <c r="Q1204" s="208">
        <f>MIN(1,MAX(0,(nr_MEndP-$G1204+0.5)/$C$1156))-MIN(1,MAX(0,(nr_MStartP-1-$G1204+0.5)/$C$1156))</f>
        <v/>
      </c>
      <c r="R1204" s="208">
        <f>MIN(1,MAX(0,(nr_MEndP1-$G1204+0.5)/$C$1156))-MIN(1,MAX(0,(nr_MStartP1-1-$G1204+0.5)/$C$1156))</f>
        <v/>
      </c>
      <c r="S1204" s="208">
        <f>IF($L$1156,$N1204*IF($O$1156=1,$O1204/$F$1156,1),"")</f>
        <v/>
      </c>
      <c r="T1204" s="208">
        <f>IF(NOT($L$1156),"",IF($G1204&lt;nr_MStartP,$S1204,$T1192*(1+IF($G1204&lt;nr_MStartP1,$M$1156,$N$1156))))</f>
        <v/>
      </c>
      <c r="U1204" s="208">
        <f>IF($L$1156,$T1204,$N1204)</f>
        <v/>
      </c>
    </row>
    <row r="1205">
      <c r="A1205" s="145" t="n">
        <v>47</v>
      </c>
      <c r="B1205" s="204">
        <f>EDATE($B1204,1)</f>
        <v/>
      </c>
      <c r="C1205" s="205">
        <f>EOMONTH($B1205,0)</f>
        <v/>
      </c>
      <c r="D1205" s="201">
        <f>$C1205-$B1205+1</f>
        <v/>
      </c>
      <c r="E1205" s="201">
        <f>MONTH($B1205)</f>
        <v/>
      </c>
      <c r="F1205" s="235">
        <f>($B1205+$C1205+1)/2</f>
        <v/>
      </c>
      <c r="G1205" s="201">
        <f>YEAR($B1205)*12+MONTH($B1205)-1</f>
        <v/>
      </c>
      <c r="H1205" s="207">
        <f>IF(OR(nr_SeasonOn="OFF",$D$1156=0,$E$1156=0),1,12*INDEX(se_block,$D$1156,$E1205)/$E$1156)</f>
        <v/>
      </c>
      <c r="I1205" s="208">
        <f>EXP(SUMPRODUCT((rl_eff&lt;$B1205)*(rl_key=$A$1156)*rl_ln1p))</f>
        <v/>
      </c>
      <c r="J1205" s="208">
        <f>EXP(SUMPRODUCT((rl_eff&lt;=$C1205)*(rl_key=$A$1156)*rl_ln1p))</f>
        <v/>
      </c>
      <c r="K1205" s="201">
        <f>COUNTIFS(rl_key,$A$1156,rl_eff,"&gt;="&amp;$B1205,rl_eff,"&lt;="&amp;$C1205)</f>
        <v/>
      </c>
      <c r="L1205" s="201">
        <f>SUMIFS(rl_daysafter,rl_key,$A$1156,rl_effmonth,$B1205,rl_first,1)</f>
        <v/>
      </c>
      <c r="M1205" s="209">
        <f>IF($K1205=0,0,MIN(1,$L1205/$D1205))</f>
        <v/>
      </c>
      <c r="N1205" s="208">
        <f>IF($K1205=0,$J1205,(1-$M1205)*$I1205+$M1205*$J1205)</f>
        <v/>
      </c>
      <c r="O1205" s="209">
        <f>IF($F1205&lt;$B$1157,$E$1157+$I$1157*($F1205-$A$1157),IF($F1205&lt;$C$1157,$F$1157+$J$1157*($F1205-$B$1157),$G$1157+$K$1157*($F1205-$C$1157)))</f>
        <v/>
      </c>
      <c r="P1205" s="208">
        <f>MIN(1,MAX(0,(nr_MEndPm1-$G1205+0.5)/$C$1156))-MIN(1,MAX(0,(nr_MStartPm1-1-$G1205+0.5)/$C$1156))</f>
        <v/>
      </c>
      <c r="Q1205" s="208">
        <f>MIN(1,MAX(0,(nr_MEndP-$G1205+0.5)/$C$1156))-MIN(1,MAX(0,(nr_MStartP-1-$G1205+0.5)/$C$1156))</f>
        <v/>
      </c>
      <c r="R1205" s="208">
        <f>MIN(1,MAX(0,(nr_MEndP1-$G1205+0.5)/$C$1156))-MIN(1,MAX(0,(nr_MStartP1-1-$G1205+0.5)/$C$1156))</f>
        <v/>
      </c>
      <c r="S1205" s="208">
        <f>IF($L$1156,$N1205*IF($O$1156=1,$O1205/$F$1156,1),"")</f>
        <v/>
      </c>
      <c r="T1205" s="208">
        <f>IF(NOT($L$1156),"",IF($G1205&lt;nr_MStartP,$S1205,$T1193*(1+IF($G1205&lt;nr_MStartP1,$M$1156,$N$1156))))</f>
        <v/>
      </c>
      <c r="U1205" s="208">
        <f>IF($L$1156,$T1205,$N1205)</f>
        <v/>
      </c>
    </row>
    <row r="1206">
      <c r="A1206" s="145" t="n">
        <v>48</v>
      </c>
      <c r="B1206" s="204">
        <f>EDATE($B1205,1)</f>
        <v/>
      </c>
      <c r="C1206" s="205">
        <f>EOMONTH($B1206,0)</f>
        <v/>
      </c>
      <c r="D1206" s="201">
        <f>$C1206-$B1206+1</f>
        <v/>
      </c>
      <c r="E1206" s="201">
        <f>MONTH($B1206)</f>
        <v/>
      </c>
      <c r="F1206" s="235">
        <f>($B1206+$C1206+1)/2</f>
        <v/>
      </c>
      <c r="G1206" s="201">
        <f>YEAR($B1206)*12+MONTH($B1206)-1</f>
        <v/>
      </c>
      <c r="H1206" s="207">
        <f>IF(OR(nr_SeasonOn="OFF",$D$1156=0,$E$1156=0),1,12*INDEX(se_block,$D$1156,$E1206)/$E$1156)</f>
        <v/>
      </c>
      <c r="I1206" s="208">
        <f>EXP(SUMPRODUCT((rl_eff&lt;$B1206)*(rl_key=$A$1156)*rl_ln1p))</f>
        <v/>
      </c>
      <c r="J1206" s="208">
        <f>EXP(SUMPRODUCT((rl_eff&lt;=$C1206)*(rl_key=$A$1156)*rl_ln1p))</f>
        <v/>
      </c>
      <c r="K1206" s="201">
        <f>COUNTIFS(rl_key,$A$1156,rl_eff,"&gt;="&amp;$B1206,rl_eff,"&lt;="&amp;$C1206)</f>
        <v/>
      </c>
      <c r="L1206" s="201">
        <f>SUMIFS(rl_daysafter,rl_key,$A$1156,rl_effmonth,$B1206,rl_first,1)</f>
        <v/>
      </c>
      <c r="M1206" s="209">
        <f>IF($K1206=0,0,MIN(1,$L1206/$D1206))</f>
        <v/>
      </c>
      <c r="N1206" s="208">
        <f>IF($K1206=0,$J1206,(1-$M1206)*$I1206+$M1206*$J1206)</f>
        <v/>
      </c>
      <c r="O1206" s="209">
        <f>IF($F1206&lt;$B$1157,$E$1157+$I$1157*($F1206-$A$1157),IF($F1206&lt;$C$1157,$F$1157+$J$1157*($F1206-$B$1157),$G$1157+$K$1157*($F1206-$C$1157)))</f>
        <v/>
      </c>
      <c r="P1206" s="208">
        <f>MIN(1,MAX(0,(nr_MEndPm1-$G1206+0.5)/$C$1156))-MIN(1,MAX(0,(nr_MStartPm1-1-$G1206+0.5)/$C$1156))</f>
        <v/>
      </c>
      <c r="Q1206" s="208">
        <f>MIN(1,MAX(0,(nr_MEndP-$G1206+0.5)/$C$1156))-MIN(1,MAX(0,(nr_MStartP-1-$G1206+0.5)/$C$1156))</f>
        <v/>
      </c>
      <c r="R1206" s="208">
        <f>MIN(1,MAX(0,(nr_MEndP1-$G1206+0.5)/$C$1156))-MIN(1,MAX(0,(nr_MStartP1-1-$G1206+0.5)/$C$1156))</f>
        <v/>
      </c>
      <c r="S1206" s="208">
        <f>IF($L$1156,$N1206*IF($O$1156=1,$O1206/$F$1156,1),"")</f>
        <v/>
      </c>
      <c r="T1206" s="208">
        <f>IF(NOT($L$1156),"",IF($G1206&lt;nr_MStartP,$S1206,$T1194*(1+IF($G1206&lt;nr_MStartP1,$M$1156,$N$1156))))</f>
        <v/>
      </c>
      <c r="U1206" s="208">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184">
        <f>SUMPRODUCT($H$1159:$H$1206,$Q$1159:$Q$1206,$O$1159:$O$1206)/SUMPRODUCT($H$1159:$H$1206,$Q$1159:$Q$1206)</f>
        <v/>
      </c>
      <c r="G1207" s="184">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184">
        <f>IF(N(INDEX(lr_mind,22))=0,1,INDEX(lr_mind,22))</f>
        <v/>
      </c>
      <c r="G1210" s="184">
        <f>IF(N(INDEX(lr_m0,22))=0,1,INDEX(lr_m0,22))</f>
        <v/>
      </c>
      <c r="H1210" s="73">
        <f>IF(N(INDEX(lr_m0asof,22))=0,DATE(nr_PlanYear-1,10,1),INDEX(lr_m0asof,22))</f>
        <v/>
      </c>
      <c r="I1210" s="184">
        <f>IF(N(INDEX(lr_m1,22))=0,1,INDEX(lr_m1,22))</f>
        <v/>
      </c>
      <c r="J1210" s="184">
        <f>INDEX(lr_mprior,22)</f>
        <v/>
      </c>
      <c r="K1210" s="184">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145" t="n">
        <v>1</v>
      </c>
      <c r="B1213" s="204">
        <f>DATE(nr_PlanYear-2,1,1)</f>
        <v/>
      </c>
      <c r="C1213" s="205">
        <f>EOMONTH($B1213,0)</f>
        <v/>
      </c>
      <c r="D1213" s="201">
        <f>$C1213-$B1213+1</f>
        <v/>
      </c>
      <c r="E1213" s="201">
        <f>MONTH($B1213)</f>
        <v/>
      </c>
      <c r="F1213" s="235">
        <f>($B1213+$C1213+1)/2</f>
        <v/>
      </c>
      <c r="G1213" s="201">
        <f>YEAR($B1213)*12+MONTH($B1213)-1</f>
        <v/>
      </c>
      <c r="H1213" s="207">
        <f>IF(OR(nr_SeasonOn="OFF",$D$1210=0,$E$1210=0),1,12*INDEX(se_block,$D$1210,$E1213)/$E$1210)</f>
        <v/>
      </c>
      <c r="I1213" s="208">
        <f>EXP(SUMPRODUCT((rl_eff&lt;$B1213)*(rl_key=$A$1210)*rl_ln1p))</f>
        <v/>
      </c>
      <c r="J1213" s="208">
        <f>EXP(SUMPRODUCT((rl_eff&lt;=$C1213)*(rl_key=$A$1210)*rl_ln1p))</f>
        <v/>
      </c>
      <c r="K1213" s="201">
        <f>COUNTIFS(rl_key,$A$1210,rl_eff,"&gt;="&amp;$B1213,rl_eff,"&lt;="&amp;$C1213)</f>
        <v/>
      </c>
      <c r="L1213" s="201">
        <f>SUMIFS(rl_daysafter,rl_key,$A$1210,rl_effmonth,$B1213,rl_first,1)</f>
        <v/>
      </c>
      <c r="M1213" s="209">
        <f>IF($K1213=0,0,MIN(1,$L1213/$D1213))</f>
        <v/>
      </c>
      <c r="N1213" s="208">
        <f>IF($K1213=0,$J1213,(1-$M1213)*$I1213+$M1213*$J1213)</f>
        <v/>
      </c>
      <c r="O1213" s="209">
        <f>IF($F1213&lt;$B$1211,$E$1211+$I$1211*($F1213-$A$1211),IF($F1213&lt;$C$1211,$F$1211+$J$1211*($F1213-$B$1211),$G$1211+$K$1211*($F1213-$C$1211)))</f>
        <v/>
      </c>
      <c r="P1213" s="208">
        <f>MIN(1,MAX(0,(nr_MEndPm1-$G1213+0.5)/$C$1210))-MIN(1,MAX(0,(nr_MStartPm1-1-$G1213+0.5)/$C$1210))</f>
        <v/>
      </c>
      <c r="Q1213" s="208">
        <f>MIN(1,MAX(0,(nr_MEndP-$G1213+0.5)/$C$1210))-MIN(1,MAX(0,(nr_MStartP-1-$G1213+0.5)/$C$1210))</f>
        <v/>
      </c>
      <c r="R1213" s="208">
        <f>MIN(1,MAX(0,(nr_MEndP1-$G1213+0.5)/$C$1210))-MIN(1,MAX(0,(nr_MStartP1-1-$G1213+0.5)/$C$1210))</f>
        <v/>
      </c>
      <c r="S1213" s="208">
        <f>IF($L$1210,$N1213*IF($O$1210=1,$O1213/$F$1210,1),"")</f>
        <v/>
      </c>
      <c r="T1213" s="208">
        <f>IF(NOT($L$1210),"",IF($G1213&lt;nr_MStartP,$S1213,$T1201*(1+IF($G1213&lt;nr_MStartP1,$M$1210,$N$1210))))</f>
        <v/>
      </c>
      <c r="U1213" s="208">
        <f>IF($L$1210,$T1213,$N1213)</f>
        <v/>
      </c>
    </row>
    <row r="1214">
      <c r="A1214" s="145" t="n">
        <v>2</v>
      </c>
      <c r="B1214" s="204">
        <f>EDATE($B1213,1)</f>
        <v/>
      </c>
      <c r="C1214" s="205">
        <f>EOMONTH($B1214,0)</f>
        <v/>
      </c>
      <c r="D1214" s="201">
        <f>$C1214-$B1214+1</f>
        <v/>
      </c>
      <c r="E1214" s="201">
        <f>MONTH($B1214)</f>
        <v/>
      </c>
      <c r="F1214" s="235">
        <f>($B1214+$C1214+1)/2</f>
        <v/>
      </c>
      <c r="G1214" s="201">
        <f>YEAR($B1214)*12+MONTH($B1214)-1</f>
        <v/>
      </c>
      <c r="H1214" s="207">
        <f>IF(OR(nr_SeasonOn="OFF",$D$1210=0,$E$1210=0),1,12*INDEX(se_block,$D$1210,$E1214)/$E$1210)</f>
        <v/>
      </c>
      <c r="I1214" s="208">
        <f>EXP(SUMPRODUCT((rl_eff&lt;$B1214)*(rl_key=$A$1210)*rl_ln1p))</f>
        <v/>
      </c>
      <c r="J1214" s="208">
        <f>EXP(SUMPRODUCT((rl_eff&lt;=$C1214)*(rl_key=$A$1210)*rl_ln1p))</f>
        <v/>
      </c>
      <c r="K1214" s="201">
        <f>COUNTIFS(rl_key,$A$1210,rl_eff,"&gt;="&amp;$B1214,rl_eff,"&lt;="&amp;$C1214)</f>
        <v/>
      </c>
      <c r="L1214" s="201">
        <f>SUMIFS(rl_daysafter,rl_key,$A$1210,rl_effmonth,$B1214,rl_first,1)</f>
        <v/>
      </c>
      <c r="M1214" s="209">
        <f>IF($K1214=0,0,MIN(1,$L1214/$D1214))</f>
        <v/>
      </c>
      <c r="N1214" s="208">
        <f>IF($K1214=0,$J1214,(1-$M1214)*$I1214+$M1214*$J1214)</f>
        <v/>
      </c>
      <c r="O1214" s="209">
        <f>IF($F1214&lt;$B$1211,$E$1211+$I$1211*($F1214-$A$1211),IF($F1214&lt;$C$1211,$F$1211+$J$1211*($F1214-$B$1211),$G$1211+$K$1211*($F1214-$C$1211)))</f>
        <v/>
      </c>
      <c r="P1214" s="208">
        <f>MIN(1,MAX(0,(nr_MEndPm1-$G1214+0.5)/$C$1210))-MIN(1,MAX(0,(nr_MStartPm1-1-$G1214+0.5)/$C$1210))</f>
        <v/>
      </c>
      <c r="Q1214" s="208">
        <f>MIN(1,MAX(0,(nr_MEndP-$G1214+0.5)/$C$1210))-MIN(1,MAX(0,(nr_MStartP-1-$G1214+0.5)/$C$1210))</f>
        <v/>
      </c>
      <c r="R1214" s="208">
        <f>MIN(1,MAX(0,(nr_MEndP1-$G1214+0.5)/$C$1210))-MIN(1,MAX(0,(nr_MStartP1-1-$G1214+0.5)/$C$1210))</f>
        <v/>
      </c>
      <c r="S1214" s="208">
        <f>IF($L$1210,$N1214*IF($O$1210=1,$O1214/$F$1210,1),"")</f>
        <v/>
      </c>
      <c r="T1214" s="208">
        <f>IF(NOT($L$1210),"",IF($G1214&lt;nr_MStartP,$S1214,$T1202*(1+IF($G1214&lt;nr_MStartP1,$M$1210,$N$1210))))</f>
        <v/>
      </c>
      <c r="U1214" s="208">
        <f>IF($L$1210,$T1214,$N1214)</f>
        <v/>
      </c>
    </row>
    <row r="1215">
      <c r="A1215" s="145" t="n">
        <v>3</v>
      </c>
      <c r="B1215" s="204">
        <f>EDATE($B1214,1)</f>
        <v/>
      </c>
      <c r="C1215" s="205">
        <f>EOMONTH($B1215,0)</f>
        <v/>
      </c>
      <c r="D1215" s="201">
        <f>$C1215-$B1215+1</f>
        <v/>
      </c>
      <c r="E1215" s="201">
        <f>MONTH($B1215)</f>
        <v/>
      </c>
      <c r="F1215" s="235">
        <f>($B1215+$C1215+1)/2</f>
        <v/>
      </c>
      <c r="G1215" s="201">
        <f>YEAR($B1215)*12+MONTH($B1215)-1</f>
        <v/>
      </c>
      <c r="H1215" s="207">
        <f>IF(OR(nr_SeasonOn="OFF",$D$1210=0,$E$1210=0),1,12*INDEX(se_block,$D$1210,$E1215)/$E$1210)</f>
        <v/>
      </c>
      <c r="I1215" s="208">
        <f>EXP(SUMPRODUCT((rl_eff&lt;$B1215)*(rl_key=$A$1210)*rl_ln1p))</f>
        <v/>
      </c>
      <c r="J1215" s="208">
        <f>EXP(SUMPRODUCT((rl_eff&lt;=$C1215)*(rl_key=$A$1210)*rl_ln1p))</f>
        <v/>
      </c>
      <c r="K1215" s="201">
        <f>COUNTIFS(rl_key,$A$1210,rl_eff,"&gt;="&amp;$B1215,rl_eff,"&lt;="&amp;$C1215)</f>
        <v/>
      </c>
      <c r="L1215" s="201">
        <f>SUMIFS(rl_daysafter,rl_key,$A$1210,rl_effmonth,$B1215,rl_first,1)</f>
        <v/>
      </c>
      <c r="M1215" s="209">
        <f>IF($K1215=0,0,MIN(1,$L1215/$D1215))</f>
        <v/>
      </c>
      <c r="N1215" s="208">
        <f>IF($K1215=0,$J1215,(1-$M1215)*$I1215+$M1215*$J1215)</f>
        <v/>
      </c>
      <c r="O1215" s="209">
        <f>IF($F1215&lt;$B$1211,$E$1211+$I$1211*($F1215-$A$1211),IF($F1215&lt;$C$1211,$F$1211+$J$1211*($F1215-$B$1211),$G$1211+$K$1211*($F1215-$C$1211)))</f>
        <v/>
      </c>
      <c r="P1215" s="208">
        <f>MIN(1,MAX(0,(nr_MEndPm1-$G1215+0.5)/$C$1210))-MIN(1,MAX(0,(nr_MStartPm1-1-$G1215+0.5)/$C$1210))</f>
        <v/>
      </c>
      <c r="Q1215" s="208">
        <f>MIN(1,MAX(0,(nr_MEndP-$G1215+0.5)/$C$1210))-MIN(1,MAX(0,(nr_MStartP-1-$G1215+0.5)/$C$1210))</f>
        <v/>
      </c>
      <c r="R1215" s="208">
        <f>MIN(1,MAX(0,(nr_MEndP1-$G1215+0.5)/$C$1210))-MIN(1,MAX(0,(nr_MStartP1-1-$G1215+0.5)/$C$1210))</f>
        <v/>
      </c>
      <c r="S1215" s="208">
        <f>IF($L$1210,$N1215*IF($O$1210=1,$O1215/$F$1210,1),"")</f>
        <v/>
      </c>
      <c r="T1215" s="208">
        <f>IF(NOT($L$1210),"",IF($G1215&lt;nr_MStartP,$S1215,$T1203*(1+IF($G1215&lt;nr_MStartP1,$M$1210,$N$1210))))</f>
        <v/>
      </c>
      <c r="U1215" s="208">
        <f>IF($L$1210,$T1215,$N1215)</f>
        <v/>
      </c>
    </row>
    <row r="1216">
      <c r="A1216" s="145" t="n">
        <v>4</v>
      </c>
      <c r="B1216" s="204">
        <f>EDATE($B1215,1)</f>
        <v/>
      </c>
      <c r="C1216" s="205">
        <f>EOMONTH($B1216,0)</f>
        <v/>
      </c>
      <c r="D1216" s="201">
        <f>$C1216-$B1216+1</f>
        <v/>
      </c>
      <c r="E1216" s="201">
        <f>MONTH($B1216)</f>
        <v/>
      </c>
      <c r="F1216" s="235">
        <f>($B1216+$C1216+1)/2</f>
        <v/>
      </c>
      <c r="G1216" s="201">
        <f>YEAR($B1216)*12+MONTH($B1216)-1</f>
        <v/>
      </c>
      <c r="H1216" s="207">
        <f>IF(OR(nr_SeasonOn="OFF",$D$1210=0,$E$1210=0),1,12*INDEX(se_block,$D$1210,$E1216)/$E$1210)</f>
        <v/>
      </c>
      <c r="I1216" s="208">
        <f>EXP(SUMPRODUCT((rl_eff&lt;$B1216)*(rl_key=$A$1210)*rl_ln1p))</f>
        <v/>
      </c>
      <c r="J1216" s="208">
        <f>EXP(SUMPRODUCT((rl_eff&lt;=$C1216)*(rl_key=$A$1210)*rl_ln1p))</f>
        <v/>
      </c>
      <c r="K1216" s="201">
        <f>COUNTIFS(rl_key,$A$1210,rl_eff,"&gt;="&amp;$B1216,rl_eff,"&lt;="&amp;$C1216)</f>
        <v/>
      </c>
      <c r="L1216" s="201">
        <f>SUMIFS(rl_daysafter,rl_key,$A$1210,rl_effmonth,$B1216,rl_first,1)</f>
        <v/>
      </c>
      <c r="M1216" s="209">
        <f>IF($K1216=0,0,MIN(1,$L1216/$D1216))</f>
        <v/>
      </c>
      <c r="N1216" s="208">
        <f>IF($K1216=0,$J1216,(1-$M1216)*$I1216+$M1216*$J1216)</f>
        <v/>
      </c>
      <c r="O1216" s="209">
        <f>IF($F1216&lt;$B$1211,$E$1211+$I$1211*($F1216-$A$1211),IF($F1216&lt;$C$1211,$F$1211+$J$1211*($F1216-$B$1211),$G$1211+$K$1211*($F1216-$C$1211)))</f>
        <v/>
      </c>
      <c r="P1216" s="208">
        <f>MIN(1,MAX(0,(nr_MEndPm1-$G1216+0.5)/$C$1210))-MIN(1,MAX(0,(nr_MStartPm1-1-$G1216+0.5)/$C$1210))</f>
        <v/>
      </c>
      <c r="Q1216" s="208">
        <f>MIN(1,MAX(0,(nr_MEndP-$G1216+0.5)/$C$1210))-MIN(1,MAX(0,(nr_MStartP-1-$G1216+0.5)/$C$1210))</f>
        <v/>
      </c>
      <c r="R1216" s="208">
        <f>MIN(1,MAX(0,(nr_MEndP1-$G1216+0.5)/$C$1210))-MIN(1,MAX(0,(nr_MStartP1-1-$G1216+0.5)/$C$1210))</f>
        <v/>
      </c>
      <c r="S1216" s="208">
        <f>IF($L$1210,$N1216*IF($O$1210=1,$O1216/$F$1210,1),"")</f>
        <v/>
      </c>
      <c r="T1216" s="208">
        <f>IF(NOT($L$1210),"",IF($G1216&lt;nr_MStartP,$S1216,$T1204*(1+IF($G1216&lt;nr_MStartP1,$M$1210,$N$1210))))</f>
        <v/>
      </c>
      <c r="U1216" s="208">
        <f>IF($L$1210,$T1216,$N1216)</f>
        <v/>
      </c>
    </row>
    <row r="1217">
      <c r="A1217" s="145" t="n">
        <v>5</v>
      </c>
      <c r="B1217" s="204">
        <f>EDATE($B1216,1)</f>
        <v/>
      </c>
      <c r="C1217" s="205">
        <f>EOMONTH($B1217,0)</f>
        <v/>
      </c>
      <c r="D1217" s="201">
        <f>$C1217-$B1217+1</f>
        <v/>
      </c>
      <c r="E1217" s="201">
        <f>MONTH($B1217)</f>
        <v/>
      </c>
      <c r="F1217" s="235">
        <f>($B1217+$C1217+1)/2</f>
        <v/>
      </c>
      <c r="G1217" s="201">
        <f>YEAR($B1217)*12+MONTH($B1217)-1</f>
        <v/>
      </c>
      <c r="H1217" s="207">
        <f>IF(OR(nr_SeasonOn="OFF",$D$1210=0,$E$1210=0),1,12*INDEX(se_block,$D$1210,$E1217)/$E$1210)</f>
        <v/>
      </c>
      <c r="I1217" s="208">
        <f>EXP(SUMPRODUCT((rl_eff&lt;$B1217)*(rl_key=$A$1210)*rl_ln1p))</f>
        <v/>
      </c>
      <c r="J1217" s="208">
        <f>EXP(SUMPRODUCT((rl_eff&lt;=$C1217)*(rl_key=$A$1210)*rl_ln1p))</f>
        <v/>
      </c>
      <c r="K1217" s="201">
        <f>COUNTIFS(rl_key,$A$1210,rl_eff,"&gt;="&amp;$B1217,rl_eff,"&lt;="&amp;$C1217)</f>
        <v/>
      </c>
      <c r="L1217" s="201">
        <f>SUMIFS(rl_daysafter,rl_key,$A$1210,rl_effmonth,$B1217,rl_first,1)</f>
        <v/>
      </c>
      <c r="M1217" s="209">
        <f>IF($K1217=0,0,MIN(1,$L1217/$D1217))</f>
        <v/>
      </c>
      <c r="N1217" s="208">
        <f>IF($K1217=0,$J1217,(1-$M1217)*$I1217+$M1217*$J1217)</f>
        <v/>
      </c>
      <c r="O1217" s="209">
        <f>IF($F1217&lt;$B$1211,$E$1211+$I$1211*($F1217-$A$1211),IF($F1217&lt;$C$1211,$F$1211+$J$1211*($F1217-$B$1211),$G$1211+$K$1211*($F1217-$C$1211)))</f>
        <v/>
      </c>
      <c r="P1217" s="208">
        <f>MIN(1,MAX(0,(nr_MEndPm1-$G1217+0.5)/$C$1210))-MIN(1,MAX(0,(nr_MStartPm1-1-$G1217+0.5)/$C$1210))</f>
        <v/>
      </c>
      <c r="Q1217" s="208">
        <f>MIN(1,MAX(0,(nr_MEndP-$G1217+0.5)/$C$1210))-MIN(1,MAX(0,(nr_MStartP-1-$G1217+0.5)/$C$1210))</f>
        <v/>
      </c>
      <c r="R1217" s="208">
        <f>MIN(1,MAX(0,(nr_MEndP1-$G1217+0.5)/$C$1210))-MIN(1,MAX(0,(nr_MStartP1-1-$G1217+0.5)/$C$1210))</f>
        <v/>
      </c>
      <c r="S1217" s="208">
        <f>IF($L$1210,$N1217*IF($O$1210=1,$O1217/$F$1210,1),"")</f>
        <v/>
      </c>
      <c r="T1217" s="208">
        <f>IF(NOT($L$1210),"",IF($G1217&lt;nr_MStartP,$S1217,$T1205*(1+IF($G1217&lt;nr_MStartP1,$M$1210,$N$1210))))</f>
        <v/>
      </c>
      <c r="U1217" s="208">
        <f>IF($L$1210,$T1217,$N1217)</f>
        <v/>
      </c>
    </row>
    <row r="1218">
      <c r="A1218" s="145" t="n">
        <v>6</v>
      </c>
      <c r="B1218" s="204">
        <f>EDATE($B1217,1)</f>
        <v/>
      </c>
      <c r="C1218" s="205">
        <f>EOMONTH($B1218,0)</f>
        <v/>
      </c>
      <c r="D1218" s="201">
        <f>$C1218-$B1218+1</f>
        <v/>
      </c>
      <c r="E1218" s="201">
        <f>MONTH($B1218)</f>
        <v/>
      </c>
      <c r="F1218" s="235">
        <f>($B1218+$C1218+1)/2</f>
        <v/>
      </c>
      <c r="G1218" s="201">
        <f>YEAR($B1218)*12+MONTH($B1218)-1</f>
        <v/>
      </c>
      <c r="H1218" s="207">
        <f>IF(OR(nr_SeasonOn="OFF",$D$1210=0,$E$1210=0),1,12*INDEX(se_block,$D$1210,$E1218)/$E$1210)</f>
        <v/>
      </c>
      <c r="I1218" s="208">
        <f>EXP(SUMPRODUCT((rl_eff&lt;$B1218)*(rl_key=$A$1210)*rl_ln1p))</f>
        <v/>
      </c>
      <c r="J1218" s="208">
        <f>EXP(SUMPRODUCT((rl_eff&lt;=$C1218)*(rl_key=$A$1210)*rl_ln1p))</f>
        <v/>
      </c>
      <c r="K1218" s="201">
        <f>COUNTIFS(rl_key,$A$1210,rl_eff,"&gt;="&amp;$B1218,rl_eff,"&lt;="&amp;$C1218)</f>
        <v/>
      </c>
      <c r="L1218" s="201">
        <f>SUMIFS(rl_daysafter,rl_key,$A$1210,rl_effmonth,$B1218,rl_first,1)</f>
        <v/>
      </c>
      <c r="M1218" s="209">
        <f>IF($K1218=0,0,MIN(1,$L1218/$D1218))</f>
        <v/>
      </c>
      <c r="N1218" s="208">
        <f>IF($K1218=0,$J1218,(1-$M1218)*$I1218+$M1218*$J1218)</f>
        <v/>
      </c>
      <c r="O1218" s="209">
        <f>IF($F1218&lt;$B$1211,$E$1211+$I$1211*($F1218-$A$1211),IF($F1218&lt;$C$1211,$F$1211+$J$1211*($F1218-$B$1211),$G$1211+$K$1211*($F1218-$C$1211)))</f>
        <v/>
      </c>
      <c r="P1218" s="208">
        <f>MIN(1,MAX(0,(nr_MEndPm1-$G1218+0.5)/$C$1210))-MIN(1,MAX(0,(nr_MStartPm1-1-$G1218+0.5)/$C$1210))</f>
        <v/>
      </c>
      <c r="Q1218" s="208">
        <f>MIN(1,MAX(0,(nr_MEndP-$G1218+0.5)/$C$1210))-MIN(1,MAX(0,(nr_MStartP-1-$G1218+0.5)/$C$1210))</f>
        <v/>
      </c>
      <c r="R1218" s="208">
        <f>MIN(1,MAX(0,(nr_MEndP1-$G1218+0.5)/$C$1210))-MIN(1,MAX(0,(nr_MStartP1-1-$G1218+0.5)/$C$1210))</f>
        <v/>
      </c>
      <c r="S1218" s="208">
        <f>IF($L$1210,$N1218*IF($O$1210=1,$O1218/$F$1210,1),"")</f>
        <v/>
      </c>
      <c r="T1218" s="208">
        <f>IF(NOT($L$1210),"",IF($G1218&lt;nr_MStartP,$S1218,$T1206*(1+IF($G1218&lt;nr_MStartP1,$M$1210,$N$1210))))</f>
        <v/>
      </c>
      <c r="U1218" s="208">
        <f>IF($L$1210,$T1218,$N1218)</f>
        <v/>
      </c>
    </row>
    <row r="1219">
      <c r="A1219" s="145" t="n">
        <v>7</v>
      </c>
      <c r="B1219" s="204">
        <f>EDATE($B1218,1)</f>
        <v/>
      </c>
      <c r="C1219" s="205">
        <f>EOMONTH($B1219,0)</f>
        <v/>
      </c>
      <c r="D1219" s="201">
        <f>$C1219-$B1219+1</f>
        <v/>
      </c>
      <c r="E1219" s="201">
        <f>MONTH($B1219)</f>
        <v/>
      </c>
      <c r="F1219" s="235">
        <f>($B1219+$C1219+1)/2</f>
        <v/>
      </c>
      <c r="G1219" s="201">
        <f>YEAR($B1219)*12+MONTH($B1219)-1</f>
        <v/>
      </c>
      <c r="H1219" s="207">
        <f>IF(OR(nr_SeasonOn="OFF",$D$1210=0,$E$1210=0),1,12*INDEX(se_block,$D$1210,$E1219)/$E$1210)</f>
        <v/>
      </c>
      <c r="I1219" s="208">
        <f>EXP(SUMPRODUCT((rl_eff&lt;$B1219)*(rl_key=$A$1210)*rl_ln1p))</f>
        <v/>
      </c>
      <c r="J1219" s="208">
        <f>EXP(SUMPRODUCT((rl_eff&lt;=$C1219)*(rl_key=$A$1210)*rl_ln1p))</f>
        <v/>
      </c>
      <c r="K1219" s="201">
        <f>COUNTIFS(rl_key,$A$1210,rl_eff,"&gt;="&amp;$B1219,rl_eff,"&lt;="&amp;$C1219)</f>
        <v/>
      </c>
      <c r="L1219" s="201">
        <f>SUMIFS(rl_daysafter,rl_key,$A$1210,rl_effmonth,$B1219,rl_first,1)</f>
        <v/>
      </c>
      <c r="M1219" s="209">
        <f>IF($K1219=0,0,MIN(1,$L1219/$D1219))</f>
        <v/>
      </c>
      <c r="N1219" s="208">
        <f>IF($K1219=0,$J1219,(1-$M1219)*$I1219+$M1219*$J1219)</f>
        <v/>
      </c>
      <c r="O1219" s="209">
        <f>IF($F1219&lt;$B$1211,$E$1211+$I$1211*($F1219-$A$1211),IF($F1219&lt;$C$1211,$F$1211+$J$1211*($F1219-$B$1211),$G$1211+$K$1211*($F1219-$C$1211)))</f>
        <v/>
      </c>
      <c r="P1219" s="208">
        <f>MIN(1,MAX(0,(nr_MEndPm1-$G1219+0.5)/$C$1210))-MIN(1,MAX(0,(nr_MStartPm1-1-$G1219+0.5)/$C$1210))</f>
        <v/>
      </c>
      <c r="Q1219" s="208">
        <f>MIN(1,MAX(0,(nr_MEndP-$G1219+0.5)/$C$1210))-MIN(1,MAX(0,(nr_MStartP-1-$G1219+0.5)/$C$1210))</f>
        <v/>
      </c>
      <c r="R1219" s="208">
        <f>MIN(1,MAX(0,(nr_MEndP1-$G1219+0.5)/$C$1210))-MIN(1,MAX(0,(nr_MStartP1-1-$G1219+0.5)/$C$1210))</f>
        <v/>
      </c>
      <c r="S1219" s="208">
        <f>IF($L$1210,$N1219*IF($O$1210=1,$O1219/$F$1210,1),"")</f>
        <v/>
      </c>
      <c r="T1219" s="208">
        <f>IF(NOT($L$1210),"",IF($G1219&lt;nr_MStartP,$S1219,$T1207*(1+IF($G1219&lt;nr_MStartP1,$M$1210,$N$1210))))</f>
        <v/>
      </c>
      <c r="U1219" s="208">
        <f>IF($L$1210,$T1219,$N1219)</f>
        <v/>
      </c>
    </row>
    <row r="1220">
      <c r="A1220" s="145" t="n">
        <v>8</v>
      </c>
      <c r="B1220" s="204">
        <f>EDATE($B1219,1)</f>
        <v/>
      </c>
      <c r="C1220" s="205">
        <f>EOMONTH($B1220,0)</f>
        <v/>
      </c>
      <c r="D1220" s="201">
        <f>$C1220-$B1220+1</f>
        <v/>
      </c>
      <c r="E1220" s="201">
        <f>MONTH($B1220)</f>
        <v/>
      </c>
      <c r="F1220" s="235">
        <f>($B1220+$C1220+1)/2</f>
        <v/>
      </c>
      <c r="G1220" s="201">
        <f>YEAR($B1220)*12+MONTH($B1220)-1</f>
        <v/>
      </c>
      <c r="H1220" s="207">
        <f>IF(OR(nr_SeasonOn="OFF",$D$1210=0,$E$1210=0),1,12*INDEX(se_block,$D$1210,$E1220)/$E$1210)</f>
        <v/>
      </c>
      <c r="I1220" s="208">
        <f>EXP(SUMPRODUCT((rl_eff&lt;$B1220)*(rl_key=$A$1210)*rl_ln1p))</f>
        <v/>
      </c>
      <c r="J1220" s="208">
        <f>EXP(SUMPRODUCT((rl_eff&lt;=$C1220)*(rl_key=$A$1210)*rl_ln1p))</f>
        <v/>
      </c>
      <c r="K1220" s="201">
        <f>COUNTIFS(rl_key,$A$1210,rl_eff,"&gt;="&amp;$B1220,rl_eff,"&lt;="&amp;$C1220)</f>
        <v/>
      </c>
      <c r="L1220" s="201">
        <f>SUMIFS(rl_daysafter,rl_key,$A$1210,rl_effmonth,$B1220,rl_first,1)</f>
        <v/>
      </c>
      <c r="M1220" s="209">
        <f>IF($K1220=0,0,MIN(1,$L1220/$D1220))</f>
        <v/>
      </c>
      <c r="N1220" s="208">
        <f>IF($K1220=0,$J1220,(1-$M1220)*$I1220+$M1220*$J1220)</f>
        <v/>
      </c>
      <c r="O1220" s="209">
        <f>IF($F1220&lt;$B$1211,$E$1211+$I$1211*($F1220-$A$1211),IF($F1220&lt;$C$1211,$F$1211+$J$1211*($F1220-$B$1211),$G$1211+$K$1211*($F1220-$C$1211)))</f>
        <v/>
      </c>
      <c r="P1220" s="208">
        <f>MIN(1,MAX(0,(nr_MEndPm1-$G1220+0.5)/$C$1210))-MIN(1,MAX(0,(nr_MStartPm1-1-$G1220+0.5)/$C$1210))</f>
        <v/>
      </c>
      <c r="Q1220" s="208">
        <f>MIN(1,MAX(0,(nr_MEndP-$G1220+0.5)/$C$1210))-MIN(1,MAX(0,(nr_MStartP-1-$G1220+0.5)/$C$1210))</f>
        <v/>
      </c>
      <c r="R1220" s="208">
        <f>MIN(1,MAX(0,(nr_MEndP1-$G1220+0.5)/$C$1210))-MIN(1,MAX(0,(nr_MStartP1-1-$G1220+0.5)/$C$1210))</f>
        <v/>
      </c>
      <c r="S1220" s="208">
        <f>IF($L$1210,$N1220*IF($O$1210=1,$O1220/$F$1210,1),"")</f>
        <v/>
      </c>
      <c r="T1220" s="208">
        <f>IF(NOT($L$1210),"",IF($G1220&lt;nr_MStartP,$S1220,$T1208*(1+IF($G1220&lt;nr_MStartP1,$M$1210,$N$1210))))</f>
        <v/>
      </c>
      <c r="U1220" s="208">
        <f>IF($L$1210,$T1220,$N1220)</f>
        <v/>
      </c>
    </row>
    <row r="1221">
      <c r="A1221" s="145" t="n">
        <v>9</v>
      </c>
      <c r="B1221" s="204">
        <f>EDATE($B1220,1)</f>
        <v/>
      </c>
      <c r="C1221" s="205">
        <f>EOMONTH($B1221,0)</f>
        <v/>
      </c>
      <c r="D1221" s="201">
        <f>$C1221-$B1221+1</f>
        <v/>
      </c>
      <c r="E1221" s="201">
        <f>MONTH($B1221)</f>
        <v/>
      </c>
      <c r="F1221" s="235">
        <f>($B1221+$C1221+1)/2</f>
        <v/>
      </c>
      <c r="G1221" s="201">
        <f>YEAR($B1221)*12+MONTH($B1221)-1</f>
        <v/>
      </c>
      <c r="H1221" s="207">
        <f>IF(OR(nr_SeasonOn="OFF",$D$1210=0,$E$1210=0),1,12*INDEX(se_block,$D$1210,$E1221)/$E$1210)</f>
        <v/>
      </c>
      <c r="I1221" s="208">
        <f>EXP(SUMPRODUCT((rl_eff&lt;$B1221)*(rl_key=$A$1210)*rl_ln1p))</f>
        <v/>
      </c>
      <c r="J1221" s="208">
        <f>EXP(SUMPRODUCT((rl_eff&lt;=$C1221)*(rl_key=$A$1210)*rl_ln1p))</f>
        <v/>
      </c>
      <c r="K1221" s="201">
        <f>COUNTIFS(rl_key,$A$1210,rl_eff,"&gt;="&amp;$B1221,rl_eff,"&lt;="&amp;$C1221)</f>
        <v/>
      </c>
      <c r="L1221" s="201">
        <f>SUMIFS(rl_daysafter,rl_key,$A$1210,rl_effmonth,$B1221,rl_first,1)</f>
        <v/>
      </c>
      <c r="M1221" s="209">
        <f>IF($K1221=0,0,MIN(1,$L1221/$D1221))</f>
        <v/>
      </c>
      <c r="N1221" s="208">
        <f>IF($K1221=0,$J1221,(1-$M1221)*$I1221+$M1221*$J1221)</f>
        <v/>
      </c>
      <c r="O1221" s="209">
        <f>IF($F1221&lt;$B$1211,$E$1211+$I$1211*($F1221-$A$1211),IF($F1221&lt;$C$1211,$F$1211+$J$1211*($F1221-$B$1211),$G$1211+$K$1211*($F1221-$C$1211)))</f>
        <v/>
      </c>
      <c r="P1221" s="208">
        <f>MIN(1,MAX(0,(nr_MEndPm1-$G1221+0.5)/$C$1210))-MIN(1,MAX(0,(nr_MStartPm1-1-$G1221+0.5)/$C$1210))</f>
        <v/>
      </c>
      <c r="Q1221" s="208">
        <f>MIN(1,MAX(0,(nr_MEndP-$G1221+0.5)/$C$1210))-MIN(1,MAX(0,(nr_MStartP-1-$G1221+0.5)/$C$1210))</f>
        <v/>
      </c>
      <c r="R1221" s="208">
        <f>MIN(1,MAX(0,(nr_MEndP1-$G1221+0.5)/$C$1210))-MIN(1,MAX(0,(nr_MStartP1-1-$G1221+0.5)/$C$1210))</f>
        <v/>
      </c>
      <c r="S1221" s="208">
        <f>IF($L$1210,$N1221*IF($O$1210=1,$O1221/$F$1210,1),"")</f>
        <v/>
      </c>
      <c r="T1221" s="208">
        <f>IF(NOT($L$1210),"",IF($G1221&lt;nr_MStartP,$S1221,$T1209*(1+IF($G1221&lt;nr_MStartP1,$M$1210,$N$1210))))</f>
        <v/>
      </c>
      <c r="U1221" s="208">
        <f>IF($L$1210,$T1221,$N1221)</f>
        <v/>
      </c>
    </row>
    <row r="1222">
      <c r="A1222" s="145" t="n">
        <v>10</v>
      </c>
      <c r="B1222" s="204">
        <f>EDATE($B1221,1)</f>
        <v/>
      </c>
      <c r="C1222" s="205">
        <f>EOMONTH($B1222,0)</f>
        <v/>
      </c>
      <c r="D1222" s="201">
        <f>$C1222-$B1222+1</f>
        <v/>
      </c>
      <c r="E1222" s="201">
        <f>MONTH($B1222)</f>
        <v/>
      </c>
      <c r="F1222" s="235">
        <f>($B1222+$C1222+1)/2</f>
        <v/>
      </c>
      <c r="G1222" s="201">
        <f>YEAR($B1222)*12+MONTH($B1222)-1</f>
        <v/>
      </c>
      <c r="H1222" s="207">
        <f>IF(OR(nr_SeasonOn="OFF",$D$1210=0,$E$1210=0),1,12*INDEX(se_block,$D$1210,$E1222)/$E$1210)</f>
        <v/>
      </c>
      <c r="I1222" s="208">
        <f>EXP(SUMPRODUCT((rl_eff&lt;$B1222)*(rl_key=$A$1210)*rl_ln1p))</f>
        <v/>
      </c>
      <c r="J1222" s="208">
        <f>EXP(SUMPRODUCT((rl_eff&lt;=$C1222)*(rl_key=$A$1210)*rl_ln1p))</f>
        <v/>
      </c>
      <c r="K1222" s="201">
        <f>COUNTIFS(rl_key,$A$1210,rl_eff,"&gt;="&amp;$B1222,rl_eff,"&lt;="&amp;$C1222)</f>
        <v/>
      </c>
      <c r="L1222" s="201">
        <f>SUMIFS(rl_daysafter,rl_key,$A$1210,rl_effmonth,$B1222,rl_first,1)</f>
        <v/>
      </c>
      <c r="M1222" s="209">
        <f>IF($K1222=0,0,MIN(1,$L1222/$D1222))</f>
        <v/>
      </c>
      <c r="N1222" s="208">
        <f>IF($K1222=0,$J1222,(1-$M1222)*$I1222+$M1222*$J1222)</f>
        <v/>
      </c>
      <c r="O1222" s="209">
        <f>IF($F1222&lt;$B$1211,$E$1211+$I$1211*($F1222-$A$1211),IF($F1222&lt;$C$1211,$F$1211+$J$1211*($F1222-$B$1211),$G$1211+$K$1211*($F1222-$C$1211)))</f>
        <v/>
      </c>
      <c r="P1222" s="208">
        <f>MIN(1,MAX(0,(nr_MEndPm1-$G1222+0.5)/$C$1210))-MIN(1,MAX(0,(nr_MStartPm1-1-$G1222+0.5)/$C$1210))</f>
        <v/>
      </c>
      <c r="Q1222" s="208">
        <f>MIN(1,MAX(0,(nr_MEndP-$G1222+0.5)/$C$1210))-MIN(1,MAX(0,(nr_MStartP-1-$G1222+0.5)/$C$1210))</f>
        <v/>
      </c>
      <c r="R1222" s="208">
        <f>MIN(1,MAX(0,(nr_MEndP1-$G1222+0.5)/$C$1210))-MIN(1,MAX(0,(nr_MStartP1-1-$G1222+0.5)/$C$1210))</f>
        <v/>
      </c>
      <c r="S1222" s="208">
        <f>IF($L$1210,$N1222*IF($O$1210=1,$O1222/$F$1210,1),"")</f>
        <v/>
      </c>
      <c r="T1222" s="208">
        <f>IF(NOT($L$1210),"",IF($G1222&lt;nr_MStartP,$S1222,$T1210*(1+IF($G1222&lt;nr_MStartP1,$M$1210,$N$1210))))</f>
        <v/>
      </c>
      <c r="U1222" s="208">
        <f>IF($L$1210,$T1222,$N1222)</f>
        <v/>
      </c>
    </row>
    <row r="1223">
      <c r="A1223" s="145" t="n">
        <v>11</v>
      </c>
      <c r="B1223" s="204">
        <f>EDATE($B1222,1)</f>
        <v/>
      </c>
      <c r="C1223" s="205">
        <f>EOMONTH($B1223,0)</f>
        <v/>
      </c>
      <c r="D1223" s="201">
        <f>$C1223-$B1223+1</f>
        <v/>
      </c>
      <c r="E1223" s="201">
        <f>MONTH($B1223)</f>
        <v/>
      </c>
      <c r="F1223" s="235">
        <f>($B1223+$C1223+1)/2</f>
        <v/>
      </c>
      <c r="G1223" s="201">
        <f>YEAR($B1223)*12+MONTH($B1223)-1</f>
        <v/>
      </c>
      <c r="H1223" s="207">
        <f>IF(OR(nr_SeasonOn="OFF",$D$1210=0,$E$1210=0),1,12*INDEX(se_block,$D$1210,$E1223)/$E$1210)</f>
        <v/>
      </c>
      <c r="I1223" s="208">
        <f>EXP(SUMPRODUCT((rl_eff&lt;$B1223)*(rl_key=$A$1210)*rl_ln1p))</f>
        <v/>
      </c>
      <c r="J1223" s="208">
        <f>EXP(SUMPRODUCT((rl_eff&lt;=$C1223)*(rl_key=$A$1210)*rl_ln1p))</f>
        <v/>
      </c>
      <c r="K1223" s="201">
        <f>COUNTIFS(rl_key,$A$1210,rl_eff,"&gt;="&amp;$B1223,rl_eff,"&lt;="&amp;$C1223)</f>
        <v/>
      </c>
      <c r="L1223" s="201">
        <f>SUMIFS(rl_daysafter,rl_key,$A$1210,rl_effmonth,$B1223,rl_first,1)</f>
        <v/>
      </c>
      <c r="M1223" s="209">
        <f>IF($K1223=0,0,MIN(1,$L1223/$D1223))</f>
        <v/>
      </c>
      <c r="N1223" s="208">
        <f>IF($K1223=0,$J1223,(1-$M1223)*$I1223+$M1223*$J1223)</f>
        <v/>
      </c>
      <c r="O1223" s="209">
        <f>IF($F1223&lt;$B$1211,$E$1211+$I$1211*($F1223-$A$1211),IF($F1223&lt;$C$1211,$F$1211+$J$1211*($F1223-$B$1211),$G$1211+$K$1211*($F1223-$C$1211)))</f>
        <v/>
      </c>
      <c r="P1223" s="208">
        <f>MIN(1,MAX(0,(nr_MEndPm1-$G1223+0.5)/$C$1210))-MIN(1,MAX(0,(nr_MStartPm1-1-$G1223+0.5)/$C$1210))</f>
        <v/>
      </c>
      <c r="Q1223" s="208">
        <f>MIN(1,MAX(0,(nr_MEndP-$G1223+0.5)/$C$1210))-MIN(1,MAX(0,(nr_MStartP-1-$G1223+0.5)/$C$1210))</f>
        <v/>
      </c>
      <c r="R1223" s="208">
        <f>MIN(1,MAX(0,(nr_MEndP1-$G1223+0.5)/$C$1210))-MIN(1,MAX(0,(nr_MStartP1-1-$G1223+0.5)/$C$1210))</f>
        <v/>
      </c>
      <c r="S1223" s="208">
        <f>IF($L$1210,$N1223*IF($O$1210=1,$O1223/$F$1210,1),"")</f>
        <v/>
      </c>
      <c r="T1223" s="208">
        <f>IF(NOT($L$1210),"",IF($G1223&lt;nr_MStartP,$S1223,$T1211*(1+IF($G1223&lt;nr_MStartP1,$M$1210,$N$1210))))</f>
        <v/>
      </c>
      <c r="U1223" s="208">
        <f>IF($L$1210,$T1223,$N1223)</f>
        <v/>
      </c>
    </row>
    <row r="1224">
      <c r="A1224" s="145" t="n">
        <v>12</v>
      </c>
      <c r="B1224" s="204">
        <f>EDATE($B1223,1)</f>
        <v/>
      </c>
      <c r="C1224" s="205">
        <f>EOMONTH($B1224,0)</f>
        <v/>
      </c>
      <c r="D1224" s="201">
        <f>$C1224-$B1224+1</f>
        <v/>
      </c>
      <c r="E1224" s="201">
        <f>MONTH($B1224)</f>
        <v/>
      </c>
      <c r="F1224" s="235">
        <f>($B1224+$C1224+1)/2</f>
        <v/>
      </c>
      <c r="G1224" s="201">
        <f>YEAR($B1224)*12+MONTH($B1224)-1</f>
        <v/>
      </c>
      <c r="H1224" s="207">
        <f>IF(OR(nr_SeasonOn="OFF",$D$1210=0,$E$1210=0),1,12*INDEX(se_block,$D$1210,$E1224)/$E$1210)</f>
        <v/>
      </c>
      <c r="I1224" s="208">
        <f>EXP(SUMPRODUCT((rl_eff&lt;$B1224)*(rl_key=$A$1210)*rl_ln1p))</f>
        <v/>
      </c>
      <c r="J1224" s="208">
        <f>EXP(SUMPRODUCT((rl_eff&lt;=$C1224)*(rl_key=$A$1210)*rl_ln1p))</f>
        <v/>
      </c>
      <c r="K1224" s="201">
        <f>COUNTIFS(rl_key,$A$1210,rl_eff,"&gt;="&amp;$B1224,rl_eff,"&lt;="&amp;$C1224)</f>
        <v/>
      </c>
      <c r="L1224" s="201">
        <f>SUMIFS(rl_daysafter,rl_key,$A$1210,rl_effmonth,$B1224,rl_first,1)</f>
        <v/>
      </c>
      <c r="M1224" s="209">
        <f>IF($K1224=0,0,MIN(1,$L1224/$D1224))</f>
        <v/>
      </c>
      <c r="N1224" s="208">
        <f>IF($K1224=0,$J1224,(1-$M1224)*$I1224+$M1224*$J1224)</f>
        <v/>
      </c>
      <c r="O1224" s="209">
        <f>IF($F1224&lt;$B$1211,$E$1211+$I$1211*($F1224-$A$1211),IF($F1224&lt;$C$1211,$F$1211+$J$1211*($F1224-$B$1211),$G$1211+$K$1211*($F1224-$C$1211)))</f>
        <v/>
      </c>
      <c r="P1224" s="208">
        <f>MIN(1,MAX(0,(nr_MEndPm1-$G1224+0.5)/$C$1210))-MIN(1,MAX(0,(nr_MStartPm1-1-$G1224+0.5)/$C$1210))</f>
        <v/>
      </c>
      <c r="Q1224" s="208">
        <f>MIN(1,MAX(0,(nr_MEndP-$G1224+0.5)/$C$1210))-MIN(1,MAX(0,(nr_MStartP-1-$G1224+0.5)/$C$1210))</f>
        <v/>
      </c>
      <c r="R1224" s="208">
        <f>MIN(1,MAX(0,(nr_MEndP1-$G1224+0.5)/$C$1210))-MIN(1,MAX(0,(nr_MStartP1-1-$G1224+0.5)/$C$1210))</f>
        <v/>
      </c>
      <c r="S1224" s="208">
        <f>IF($L$1210,$N1224*IF($O$1210=1,$O1224/$F$1210,1),"")</f>
        <v/>
      </c>
      <c r="T1224" s="208">
        <f>IF(NOT($L$1210),"",IF($G1224&lt;nr_MStartP,$S1224,$T1212*(1+IF($G1224&lt;nr_MStartP1,$M$1210,$N$1210))))</f>
        <v/>
      </c>
      <c r="U1224" s="208">
        <f>IF($L$1210,$T1224,$N1224)</f>
        <v/>
      </c>
    </row>
    <row r="1225">
      <c r="A1225" s="145" t="n">
        <v>13</v>
      </c>
      <c r="B1225" s="204">
        <f>EDATE($B1224,1)</f>
        <v/>
      </c>
      <c r="C1225" s="205">
        <f>EOMONTH($B1225,0)</f>
        <v/>
      </c>
      <c r="D1225" s="201">
        <f>$C1225-$B1225+1</f>
        <v/>
      </c>
      <c r="E1225" s="201">
        <f>MONTH($B1225)</f>
        <v/>
      </c>
      <c r="F1225" s="235">
        <f>($B1225+$C1225+1)/2</f>
        <v/>
      </c>
      <c r="G1225" s="201">
        <f>YEAR($B1225)*12+MONTH($B1225)-1</f>
        <v/>
      </c>
      <c r="H1225" s="207">
        <f>IF(OR(nr_SeasonOn="OFF",$D$1210=0,$E$1210=0),1,12*INDEX(se_block,$D$1210,$E1225)/$E$1210)</f>
        <v/>
      </c>
      <c r="I1225" s="208">
        <f>EXP(SUMPRODUCT((rl_eff&lt;$B1225)*(rl_key=$A$1210)*rl_ln1p))</f>
        <v/>
      </c>
      <c r="J1225" s="208">
        <f>EXP(SUMPRODUCT((rl_eff&lt;=$C1225)*(rl_key=$A$1210)*rl_ln1p))</f>
        <v/>
      </c>
      <c r="K1225" s="201">
        <f>COUNTIFS(rl_key,$A$1210,rl_eff,"&gt;="&amp;$B1225,rl_eff,"&lt;="&amp;$C1225)</f>
        <v/>
      </c>
      <c r="L1225" s="201">
        <f>SUMIFS(rl_daysafter,rl_key,$A$1210,rl_effmonth,$B1225,rl_first,1)</f>
        <v/>
      </c>
      <c r="M1225" s="209">
        <f>IF($K1225=0,0,MIN(1,$L1225/$D1225))</f>
        <v/>
      </c>
      <c r="N1225" s="208">
        <f>IF($K1225=0,$J1225,(1-$M1225)*$I1225+$M1225*$J1225)</f>
        <v/>
      </c>
      <c r="O1225" s="209">
        <f>IF($F1225&lt;$B$1211,$E$1211+$I$1211*($F1225-$A$1211),IF($F1225&lt;$C$1211,$F$1211+$J$1211*($F1225-$B$1211),$G$1211+$K$1211*($F1225-$C$1211)))</f>
        <v/>
      </c>
      <c r="P1225" s="208">
        <f>MIN(1,MAX(0,(nr_MEndPm1-$G1225+0.5)/$C$1210))-MIN(1,MAX(0,(nr_MStartPm1-1-$G1225+0.5)/$C$1210))</f>
        <v/>
      </c>
      <c r="Q1225" s="208">
        <f>MIN(1,MAX(0,(nr_MEndP-$G1225+0.5)/$C$1210))-MIN(1,MAX(0,(nr_MStartP-1-$G1225+0.5)/$C$1210))</f>
        <v/>
      </c>
      <c r="R1225" s="208">
        <f>MIN(1,MAX(0,(nr_MEndP1-$G1225+0.5)/$C$1210))-MIN(1,MAX(0,(nr_MStartP1-1-$G1225+0.5)/$C$1210))</f>
        <v/>
      </c>
      <c r="S1225" s="208">
        <f>IF($L$1210,$N1225*IF($O$1210=1,$O1225/$F$1210,1),"")</f>
        <v/>
      </c>
      <c r="T1225" s="208">
        <f>IF(NOT($L$1210),"",IF($G1225&lt;nr_MStartP,$S1225,$T1213*(1+IF($G1225&lt;nr_MStartP1,$M$1210,$N$1210))))</f>
        <v/>
      </c>
      <c r="U1225" s="208">
        <f>IF($L$1210,$T1225,$N1225)</f>
        <v/>
      </c>
    </row>
    <row r="1226">
      <c r="A1226" s="145" t="n">
        <v>14</v>
      </c>
      <c r="B1226" s="204">
        <f>EDATE($B1225,1)</f>
        <v/>
      </c>
      <c r="C1226" s="205">
        <f>EOMONTH($B1226,0)</f>
        <v/>
      </c>
      <c r="D1226" s="201">
        <f>$C1226-$B1226+1</f>
        <v/>
      </c>
      <c r="E1226" s="201">
        <f>MONTH($B1226)</f>
        <v/>
      </c>
      <c r="F1226" s="235">
        <f>($B1226+$C1226+1)/2</f>
        <v/>
      </c>
      <c r="G1226" s="201">
        <f>YEAR($B1226)*12+MONTH($B1226)-1</f>
        <v/>
      </c>
      <c r="H1226" s="207">
        <f>IF(OR(nr_SeasonOn="OFF",$D$1210=0,$E$1210=0),1,12*INDEX(se_block,$D$1210,$E1226)/$E$1210)</f>
        <v/>
      </c>
      <c r="I1226" s="208">
        <f>EXP(SUMPRODUCT((rl_eff&lt;$B1226)*(rl_key=$A$1210)*rl_ln1p))</f>
        <v/>
      </c>
      <c r="J1226" s="208">
        <f>EXP(SUMPRODUCT((rl_eff&lt;=$C1226)*(rl_key=$A$1210)*rl_ln1p))</f>
        <v/>
      </c>
      <c r="K1226" s="201">
        <f>COUNTIFS(rl_key,$A$1210,rl_eff,"&gt;="&amp;$B1226,rl_eff,"&lt;="&amp;$C1226)</f>
        <v/>
      </c>
      <c r="L1226" s="201">
        <f>SUMIFS(rl_daysafter,rl_key,$A$1210,rl_effmonth,$B1226,rl_first,1)</f>
        <v/>
      </c>
      <c r="M1226" s="209">
        <f>IF($K1226=0,0,MIN(1,$L1226/$D1226))</f>
        <v/>
      </c>
      <c r="N1226" s="208">
        <f>IF($K1226=0,$J1226,(1-$M1226)*$I1226+$M1226*$J1226)</f>
        <v/>
      </c>
      <c r="O1226" s="209">
        <f>IF($F1226&lt;$B$1211,$E$1211+$I$1211*($F1226-$A$1211),IF($F1226&lt;$C$1211,$F$1211+$J$1211*($F1226-$B$1211),$G$1211+$K$1211*($F1226-$C$1211)))</f>
        <v/>
      </c>
      <c r="P1226" s="208">
        <f>MIN(1,MAX(0,(nr_MEndPm1-$G1226+0.5)/$C$1210))-MIN(1,MAX(0,(nr_MStartPm1-1-$G1226+0.5)/$C$1210))</f>
        <v/>
      </c>
      <c r="Q1226" s="208">
        <f>MIN(1,MAX(0,(nr_MEndP-$G1226+0.5)/$C$1210))-MIN(1,MAX(0,(nr_MStartP-1-$G1226+0.5)/$C$1210))</f>
        <v/>
      </c>
      <c r="R1226" s="208">
        <f>MIN(1,MAX(0,(nr_MEndP1-$G1226+0.5)/$C$1210))-MIN(1,MAX(0,(nr_MStartP1-1-$G1226+0.5)/$C$1210))</f>
        <v/>
      </c>
      <c r="S1226" s="208">
        <f>IF($L$1210,$N1226*IF($O$1210=1,$O1226/$F$1210,1),"")</f>
        <v/>
      </c>
      <c r="T1226" s="208">
        <f>IF(NOT($L$1210),"",IF($G1226&lt;nr_MStartP,$S1226,$T1214*(1+IF($G1226&lt;nr_MStartP1,$M$1210,$N$1210))))</f>
        <v/>
      </c>
      <c r="U1226" s="208">
        <f>IF($L$1210,$T1226,$N1226)</f>
        <v/>
      </c>
    </row>
    <row r="1227">
      <c r="A1227" s="145" t="n">
        <v>15</v>
      </c>
      <c r="B1227" s="204">
        <f>EDATE($B1226,1)</f>
        <v/>
      </c>
      <c r="C1227" s="205">
        <f>EOMONTH($B1227,0)</f>
        <v/>
      </c>
      <c r="D1227" s="201">
        <f>$C1227-$B1227+1</f>
        <v/>
      </c>
      <c r="E1227" s="201">
        <f>MONTH($B1227)</f>
        <v/>
      </c>
      <c r="F1227" s="235">
        <f>($B1227+$C1227+1)/2</f>
        <v/>
      </c>
      <c r="G1227" s="201">
        <f>YEAR($B1227)*12+MONTH($B1227)-1</f>
        <v/>
      </c>
      <c r="H1227" s="207">
        <f>IF(OR(nr_SeasonOn="OFF",$D$1210=0,$E$1210=0),1,12*INDEX(se_block,$D$1210,$E1227)/$E$1210)</f>
        <v/>
      </c>
      <c r="I1227" s="208">
        <f>EXP(SUMPRODUCT((rl_eff&lt;$B1227)*(rl_key=$A$1210)*rl_ln1p))</f>
        <v/>
      </c>
      <c r="J1227" s="208">
        <f>EXP(SUMPRODUCT((rl_eff&lt;=$C1227)*(rl_key=$A$1210)*rl_ln1p))</f>
        <v/>
      </c>
      <c r="K1227" s="201">
        <f>COUNTIFS(rl_key,$A$1210,rl_eff,"&gt;="&amp;$B1227,rl_eff,"&lt;="&amp;$C1227)</f>
        <v/>
      </c>
      <c r="L1227" s="201">
        <f>SUMIFS(rl_daysafter,rl_key,$A$1210,rl_effmonth,$B1227,rl_first,1)</f>
        <v/>
      </c>
      <c r="M1227" s="209">
        <f>IF($K1227=0,0,MIN(1,$L1227/$D1227))</f>
        <v/>
      </c>
      <c r="N1227" s="208">
        <f>IF($K1227=0,$J1227,(1-$M1227)*$I1227+$M1227*$J1227)</f>
        <v/>
      </c>
      <c r="O1227" s="209">
        <f>IF($F1227&lt;$B$1211,$E$1211+$I$1211*($F1227-$A$1211),IF($F1227&lt;$C$1211,$F$1211+$J$1211*($F1227-$B$1211),$G$1211+$K$1211*($F1227-$C$1211)))</f>
        <v/>
      </c>
      <c r="P1227" s="208">
        <f>MIN(1,MAX(0,(nr_MEndPm1-$G1227+0.5)/$C$1210))-MIN(1,MAX(0,(nr_MStartPm1-1-$G1227+0.5)/$C$1210))</f>
        <v/>
      </c>
      <c r="Q1227" s="208">
        <f>MIN(1,MAX(0,(nr_MEndP-$G1227+0.5)/$C$1210))-MIN(1,MAX(0,(nr_MStartP-1-$G1227+0.5)/$C$1210))</f>
        <v/>
      </c>
      <c r="R1227" s="208">
        <f>MIN(1,MAX(0,(nr_MEndP1-$G1227+0.5)/$C$1210))-MIN(1,MAX(0,(nr_MStartP1-1-$G1227+0.5)/$C$1210))</f>
        <v/>
      </c>
      <c r="S1227" s="208">
        <f>IF($L$1210,$N1227*IF($O$1210=1,$O1227/$F$1210,1),"")</f>
        <v/>
      </c>
      <c r="T1227" s="208">
        <f>IF(NOT($L$1210),"",IF($G1227&lt;nr_MStartP,$S1227,$T1215*(1+IF($G1227&lt;nr_MStartP1,$M$1210,$N$1210))))</f>
        <v/>
      </c>
      <c r="U1227" s="208">
        <f>IF($L$1210,$T1227,$N1227)</f>
        <v/>
      </c>
    </row>
    <row r="1228">
      <c r="A1228" s="145" t="n">
        <v>16</v>
      </c>
      <c r="B1228" s="204">
        <f>EDATE($B1227,1)</f>
        <v/>
      </c>
      <c r="C1228" s="205">
        <f>EOMONTH($B1228,0)</f>
        <v/>
      </c>
      <c r="D1228" s="201">
        <f>$C1228-$B1228+1</f>
        <v/>
      </c>
      <c r="E1228" s="201">
        <f>MONTH($B1228)</f>
        <v/>
      </c>
      <c r="F1228" s="235">
        <f>($B1228+$C1228+1)/2</f>
        <v/>
      </c>
      <c r="G1228" s="201">
        <f>YEAR($B1228)*12+MONTH($B1228)-1</f>
        <v/>
      </c>
      <c r="H1228" s="207">
        <f>IF(OR(nr_SeasonOn="OFF",$D$1210=0,$E$1210=0),1,12*INDEX(se_block,$D$1210,$E1228)/$E$1210)</f>
        <v/>
      </c>
      <c r="I1228" s="208">
        <f>EXP(SUMPRODUCT((rl_eff&lt;$B1228)*(rl_key=$A$1210)*rl_ln1p))</f>
        <v/>
      </c>
      <c r="J1228" s="208">
        <f>EXP(SUMPRODUCT((rl_eff&lt;=$C1228)*(rl_key=$A$1210)*rl_ln1p))</f>
        <v/>
      </c>
      <c r="K1228" s="201">
        <f>COUNTIFS(rl_key,$A$1210,rl_eff,"&gt;="&amp;$B1228,rl_eff,"&lt;="&amp;$C1228)</f>
        <v/>
      </c>
      <c r="L1228" s="201">
        <f>SUMIFS(rl_daysafter,rl_key,$A$1210,rl_effmonth,$B1228,rl_first,1)</f>
        <v/>
      </c>
      <c r="M1228" s="209">
        <f>IF($K1228=0,0,MIN(1,$L1228/$D1228))</f>
        <v/>
      </c>
      <c r="N1228" s="208">
        <f>IF($K1228=0,$J1228,(1-$M1228)*$I1228+$M1228*$J1228)</f>
        <v/>
      </c>
      <c r="O1228" s="209">
        <f>IF($F1228&lt;$B$1211,$E$1211+$I$1211*($F1228-$A$1211),IF($F1228&lt;$C$1211,$F$1211+$J$1211*($F1228-$B$1211),$G$1211+$K$1211*($F1228-$C$1211)))</f>
        <v/>
      </c>
      <c r="P1228" s="208">
        <f>MIN(1,MAX(0,(nr_MEndPm1-$G1228+0.5)/$C$1210))-MIN(1,MAX(0,(nr_MStartPm1-1-$G1228+0.5)/$C$1210))</f>
        <v/>
      </c>
      <c r="Q1228" s="208">
        <f>MIN(1,MAX(0,(nr_MEndP-$G1228+0.5)/$C$1210))-MIN(1,MAX(0,(nr_MStartP-1-$G1228+0.5)/$C$1210))</f>
        <v/>
      </c>
      <c r="R1228" s="208">
        <f>MIN(1,MAX(0,(nr_MEndP1-$G1228+0.5)/$C$1210))-MIN(1,MAX(0,(nr_MStartP1-1-$G1228+0.5)/$C$1210))</f>
        <v/>
      </c>
      <c r="S1228" s="208">
        <f>IF($L$1210,$N1228*IF($O$1210=1,$O1228/$F$1210,1),"")</f>
        <v/>
      </c>
      <c r="T1228" s="208">
        <f>IF(NOT($L$1210),"",IF($G1228&lt;nr_MStartP,$S1228,$T1216*(1+IF($G1228&lt;nr_MStartP1,$M$1210,$N$1210))))</f>
        <v/>
      </c>
      <c r="U1228" s="208">
        <f>IF($L$1210,$T1228,$N1228)</f>
        <v/>
      </c>
    </row>
    <row r="1229">
      <c r="A1229" s="145" t="n">
        <v>17</v>
      </c>
      <c r="B1229" s="204">
        <f>EDATE($B1228,1)</f>
        <v/>
      </c>
      <c r="C1229" s="205">
        <f>EOMONTH($B1229,0)</f>
        <v/>
      </c>
      <c r="D1229" s="201">
        <f>$C1229-$B1229+1</f>
        <v/>
      </c>
      <c r="E1229" s="201">
        <f>MONTH($B1229)</f>
        <v/>
      </c>
      <c r="F1229" s="235">
        <f>($B1229+$C1229+1)/2</f>
        <v/>
      </c>
      <c r="G1229" s="201">
        <f>YEAR($B1229)*12+MONTH($B1229)-1</f>
        <v/>
      </c>
      <c r="H1229" s="207">
        <f>IF(OR(nr_SeasonOn="OFF",$D$1210=0,$E$1210=0),1,12*INDEX(se_block,$D$1210,$E1229)/$E$1210)</f>
        <v/>
      </c>
      <c r="I1229" s="208">
        <f>EXP(SUMPRODUCT((rl_eff&lt;$B1229)*(rl_key=$A$1210)*rl_ln1p))</f>
        <v/>
      </c>
      <c r="J1229" s="208">
        <f>EXP(SUMPRODUCT((rl_eff&lt;=$C1229)*(rl_key=$A$1210)*rl_ln1p))</f>
        <v/>
      </c>
      <c r="K1229" s="201">
        <f>COUNTIFS(rl_key,$A$1210,rl_eff,"&gt;="&amp;$B1229,rl_eff,"&lt;="&amp;$C1229)</f>
        <v/>
      </c>
      <c r="L1229" s="201">
        <f>SUMIFS(rl_daysafter,rl_key,$A$1210,rl_effmonth,$B1229,rl_first,1)</f>
        <v/>
      </c>
      <c r="M1229" s="209">
        <f>IF($K1229=0,0,MIN(1,$L1229/$D1229))</f>
        <v/>
      </c>
      <c r="N1229" s="208">
        <f>IF($K1229=0,$J1229,(1-$M1229)*$I1229+$M1229*$J1229)</f>
        <v/>
      </c>
      <c r="O1229" s="209">
        <f>IF($F1229&lt;$B$1211,$E$1211+$I$1211*($F1229-$A$1211),IF($F1229&lt;$C$1211,$F$1211+$J$1211*($F1229-$B$1211),$G$1211+$K$1211*($F1229-$C$1211)))</f>
        <v/>
      </c>
      <c r="P1229" s="208">
        <f>MIN(1,MAX(0,(nr_MEndPm1-$G1229+0.5)/$C$1210))-MIN(1,MAX(0,(nr_MStartPm1-1-$G1229+0.5)/$C$1210))</f>
        <v/>
      </c>
      <c r="Q1229" s="208">
        <f>MIN(1,MAX(0,(nr_MEndP-$G1229+0.5)/$C$1210))-MIN(1,MAX(0,(nr_MStartP-1-$G1229+0.5)/$C$1210))</f>
        <v/>
      </c>
      <c r="R1229" s="208">
        <f>MIN(1,MAX(0,(nr_MEndP1-$G1229+0.5)/$C$1210))-MIN(1,MAX(0,(nr_MStartP1-1-$G1229+0.5)/$C$1210))</f>
        <v/>
      </c>
      <c r="S1229" s="208">
        <f>IF($L$1210,$N1229*IF($O$1210=1,$O1229/$F$1210,1),"")</f>
        <v/>
      </c>
      <c r="T1229" s="208">
        <f>IF(NOT($L$1210),"",IF($G1229&lt;nr_MStartP,$S1229,$T1217*(1+IF($G1229&lt;nr_MStartP1,$M$1210,$N$1210))))</f>
        <v/>
      </c>
      <c r="U1229" s="208">
        <f>IF($L$1210,$T1229,$N1229)</f>
        <v/>
      </c>
    </row>
    <row r="1230">
      <c r="A1230" s="145" t="n">
        <v>18</v>
      </c>
      <c r="B1230" s="204">
        <f>EDATE($B1229,1)</f>
        <v/>
      </c>
      <c r="C1230" s="205">
        <f>EOMONTH($B1230,0)</f>
        <v/>
      </c>
      <c r="D1230" s="201">
        <f>$C1230-$B1230+1</f>
        <v/>
      </c>
      <c r="E1230" s="201">
        <f>MONTH($B1230)</f>
        <v/>
      </c>
      <c r="F1230" s="235">
        <f>($B1230+$C1230+1)/2</f>
        <v/>
      </c>
      <c r="G1230" s="201">
        <f>YEAR($B1230)*12+MONTH($B1230)-1</f>
        <v/>
      </c>
      <c r="H1230" s="207">
        <f>IF(OR(nr_SeasonOn="OFF",$D$1210=0,$E$1210=0),1,12*INDEX(se_block,$D$1210,$E1230)/$E$1210)</f>
        <v/>
      </c>
      <c r="I1230" s="208">
        <f>EXP(SUMPRODUCT((rl_eff&lt;$B1230)*(rl_key=$A$1210)*rl_ln1p))</f>
        <v/>
      </c>
      <c r="J1230" s="208">
        <f>EXP(SUMPRODUCT((rl_eff&lt;=$C1230)*(rl_key=$A$1210)*rl_ln1p))</f>
        <v/>
      </c>
      <c r="K1230" s="201">
        <f>COUNTIFS(rl_key,$A$1210,rl_eff,"&gt;="&amp;$B1230,rl_eff,"&lt;="&amp;$C1230)</f>
        <v/>
      </c>
      <c r="L1230" s="201">
        <f>SUMIFS(rl_daysafter,rl_key,$A$1210,rl_effmonth,$B1230,rl_first,1)</f>
        <v/>
      </c>
      <c r="M1230" s="209">
        <f>IF($K1230=0,0,MIN(1,$L1230/$D1230))</f>
        <v/>
      </c>
      <c r="N1230" s="208">
        <f>IF($K1230=0,$J1230,(1-$M1230)*$I1230+$M1230*$J1230)</f>
        <v/>
      </c>
      <c r="O1230" s="209">
        <f>IF($F1230&lt;$B$1211,$E$1211+$I$1211*($F1230-$A$1211),IF($F1230&lt;$C$1211,$F$1211+$J$1211*($F1230-$B$1211),$G$1211+$K$1211*($F1230-$C$1211)))</f>
        <v/>
      </c>
      <c r="P1230" s="208">
        <f>MIN(1,MAX(0,(nr_MEndPm1-$G1230+0.5)/$C$1210))-MIN(1,MAX(0,(nr_MStartPm1-1-$G1230+0.5)/$C$1210))</f>
        <v/>
      </c>
      <c r="Q1230" s="208">
        <f>MIN(1,MAX(0,(nr_MEndP-$G1230+0.5)/$C$1210))-MIN(1,MAX(0,(nr_MStartP-1-$G1230+0.5)/$C$1210))</f>
        <v/>
      </c>
      <c r="R1230" s="208">
        <f>MIN(1,MAX(0,(nr_MEndP1-$G1230+0.5)/$C$1210))-MIN(1,MAX(0,(nr_MStartP1-1-$G1230+0.5)/$C$1210))</f>
        <v/>
      </c>
      <c r="S1230" s="208">
        <f>IF($L$1210,$N1230*IF($O$1210=1,$O1230/$F$1210,1),"")</f>
        <v/>
      </c>
      <c r="T1230" s="208">
        <f>IF(NOT($L$1210),"",IF($G1230&lt;nr_MStartP,$S1230,$T1218*(1+IF($G1230&lt;nr_MStartP1,$M$1210,$N$1210))))</f>
        <v/>
      </c>
      <c r="U1230" s="208">
        <f>IF($L$1210,$T1230,$N1230)</f>
        <v/>
      </c>
    </row>
    <row r="1231">
      <c r="A1231" s="145" t="n">
        <v>19</v>
      </c>
      <c r="B1231" s="204">
        <f>EDATE($B1230,1)</f>
        <v/>
      </c>
      <c r="C1231" s="205">
        <f>EOMONTH($B1231,0)</f>
        <v/>
      </c>
      <c r="D1231" s="201">
        <f>$C1231-$B1231+1</f>
        <v/>
      </c>
      <c r="E1231" s="201">
        <f>MONTH($B1231)</f>
        <v/>
      </c>
      <c r="F1231" s="235">
        <f>($B1231+$C1231+1)/2</f>
        <v/>
      </c>
      <c r="G1231" s="201">
        <f>YEAR($B1231)*12+MONTH($B1231)-1</f>
        <v/>
      </c>
      <c r="H1231" s="207">
        <f>IF(OR(nr_SeasonOn="OFF",$D$1210=0,$E$1210=0),1,12*INDEX(se_block,$D$1210,$E1231)/$E$1210)</f>
        <v/>
      </c>
      <c r="I1231" s="208">
        <f>EXP(SUMPRODUCT((rl_eff&lt;$B1231)*(rl_key=$A$1210)*rl_ln1p))</f>
        <v/>
      </c>
      <c r="J1231" s="208">
        <f>EXP(SUMPRODUCT((rl_eff&lt;=$C1231)*(rl_key=$A$1210)*rl_ln1p))</f>
        <v/>
      </c>
      <c r="K1231" s="201">
        <f>COUNTIFS(rl_key,$A$1210,rl_eff,"&gt;="&amp;$B1231,rl_eff,"&lt;="&amp;$C1231)</f>
        <v/>
      </c>
      <c r="L1231" s="201">
        <f>SUMIFS(rl_daysafter,rl_key,$A$1210,rl_effmonth,$B1231,rl_first,1)</f>
        <v/>
      </c>
      <c r="M1231" s="209">
        <f>IF($K1231=0,0,MIN(1,$L1231/$D1231))</f>
        <v/>
      </c>
      <c r="N1231" s="208">
        <f>IF($K1231=0,$J1231,(1-$M1231)*$I1231+$M1231*$J1231)</f>
        <v/>
      </c>
      <c r="O1231" s="209">
        <f>IF($F1231&lt;$B$1211,$E$1211+$I$1211*($F1231-$A$1211),IF($F1231&lt;$C$1211,$F$1211+$J$1211*($F1231-$B$1211),$G$1211+$K$1211*($F1231-$C$1211)))</f>
        <v/>
      </c>
      <c r="P1231" s="208">
        <f>MIN(1,MAX(0,(nr_MEndPm1-$G1231+0.5)/$C$1210))-MIN(1,MAX(0,(nr_MStartPm1-1-$G1231+0.5)/$C$1210))</f>
        <v/>
      </c>
      <c r="Q1231" s="208">
        <f>MIN(1,MAX(0,(nr_MEndP-$G1231+0.5)/$C$1210))-MIN(1,MAX(0,(nr_MStartP-1-$G1231+0.5)/$C$1210))</f>
        <v/>
      </c>
      <c r="R1231" s="208">
        <f>MIN(1,MAX(0,(nr_MEndP1-$G1231+0.5)/$C$1210))-MIN(1,MAX(0,(nr_MStartP1-1-$G1231+0.5)/$C$1210))</f>
        <v/>
      </c>
      <c r="S1231" s="208">
        <f>IF($L$1210,$N1231*IF($O$1210=1,$O1231/$F$1210,1),"")</f>
        <v/>
      </c>
      <c r="T1231" s="208">
        <f>IF(NOT($L$1210),"",IF($G1231&lt;nr_MStartP,$S1231,$T1219*(1+IF($G1231&lt;nr_MStartP1,$M$1210,$N$1210))))</f>
        <v/>
      </c>
      <c r="U1231" s="208">
        <f>IF($L$1210,$T1231,$N1231)</f>
        <v/>
      </c>
    </row>
    <row r="1232">
      <c r="A1232" s="145" t="n">
        <v>20</v>
      </c>
      <c r="B1232" s="204">
        <f>EDATE($B1231,1)</f>
        <v/>
      </c>
      <c r="C1232" s="205">
        <f>EOMONTH($B1232,0)</f>
        <v/>
      </c>
      <c r="D1232" s="201">
        <f>$C1232-$B1232+1</f>
        <v/>
      </c>
      <c r="E1232" s="201">
        <f>MONTH($B1232)</f>
        <v/>
      </c>
      <c r="F1232" s="235">
        <f>($B1232+$C1232+1)/2</f>
        <v/>
      </c>
      <c r="G1232" s="201">
        <f>YEAR($B1232)*12+MONTH($B1232)-1</f>
        <v/>
      </c>
      <c r="H1232" s="207">
        <f>IF(OR(nr_SeasonOn="OFF",$D$1210=0,$E$1210=0),1,12*INDEX(se_block,$D$1210,$E1232)/$E$1210)</f>
        <v/>
      </c>
      <c r="I1232" s="208">
        <f>EXP(SUMPRODUCT((rl_eff&lt;$B1232)*(rl_key=$A$1210)*rl_ln1p))</f>
        <v/>
      </c>
      <c r="J1232" s="208">
        <f>EXP(SUMPRODUCT((rl_eff&lt;=$C1232)*(rl_key=$A$1210)*rl_ln1p))</f>
        <v/>
      </c>
      <c r="K1232" s="201">
        <f>COUNTIFS(rl_key,$A$1210,rl_eff,"&gt;="&amp;$B1232,rl_eff,"&lt;="&amp;$C1232)</f>
        <v/>
      </c>
      <c r="L1232" s="201">
        <f>SUMIFS(rl_daysafter,rl_key,$A$1210,rl_effmonth,$B1232,rl_first,1)</f>
        <v/>
      </c>
      <c r="M1232" s="209">
        <f>IF($K1232=0,0,MIN(1,$L1232/$D1232))</f>
        <v/>
      </c>
      <c r="N1232" s="208">
        <f>IF($K1232=0,$J1232,(1-$M1232)*$I1232+$M1232*$J1232)</f>
        <v/>
      </c>
      <c r="O1232" s="209">
        <f>IF($F1232&lt;$B$1211,$E$1211+$I$1211*($F1232-$A$1211),IF($F1232&lt;$C$1211,$F$1211+$J$1211*($F1232-$B$1211),$G$1211+$K$1211*($F1232-$C$1211)))</f>
        <v/>
      </c>
      <c r="P1232" s="208">
        <f>MIN(1,MAX(0,(nr_MEndPm1-$G1232+0.5)/$C$1210))-MIN(1,MAX(0,(nr_MStartPm1-1-$G1232+0.5)/$C$1210))</f>
        <v/>
      </c>
      <c r="Q1232" s="208">
        <f>MIN(1,MAX(0,(nr_MEndP-$G1232+0.5)/$C$1210))-MIN(1,MAX(0,(nr_MStartP-1-$G1232+0.5)/$C$1210))</f>
        <v/>
      </c>
      <c r="R1232" s="208">
        <f>MIN(1,MAX(0,(nr_MEndP1-$G1232+0.5)/$C$1210))-MIN(1,MAX(0,(nr_MStartP1-1-$G1232+0.5)/$C$1210))</f>
        <v/>
      </c>
      <c r="S1232" s="208">
        <f>IF($L$1210,$N1232*IF($O$1210=1,$O1232/$F$1210,1),"")</f>
        <v/>
      </c>
      <c r="T1232" s="208">
        <f>IF(NOT($L$1210),"",IF($G1232&lt;nr_MStartP,$S1232,$T1220*(1+IF($G1232&lt;nr_MStartP1,$M$1210,$N$1210))))</f>
        <v/>
      </c>
      <c r="U1232" s="208">
        <f>IF($L$1210,$T1232,$N1232)</f>
        <v/>
      </c>
    </row>
    <row r="1233">
      <c r="A1233" s="145" t="n">
        <v>21</v>
      </c>
      <c r="B1233" s="204">
        <f>EDATE($B1232,1)</f>
        <v/>
      </c>
      <c r="C1233" s="205">
        <f>EOMONTH($B1233,0)</f>
        <v/>
      </c>
      <c r="D1233" s="201">
        <f>$C1233-$B1233+1</f>
        <v/>
      </c>
      <c r="E1233" s="201">
        <f>MONTH($B1233)</f>
        <v/>
      </c>
      <c r="F1233" s="235">
        <f>($B1233+$C1233+1)/2</f>
        <v/>
      </c>
      <c r="G1233" s="201">
        <f>YEAR($B1233)*12+MONTH($B1233)-1</f>
        <v/>
      </c>
      <c r="H1233" s="207">
        <f>IF(OR(nr_SeasonOn="OFF",$D$1210=0,$E$1210=0),1,12*INDEX(se_block,$D$1210,$E1233)/$E$1210)</f>
        <v/>
      </c>
      <c r="I1233" s="208">
        <f>EXP(SUMPRODUCT((rl_eff&lt;$B1233)*(rl_key=$A$1210)*rl_ln1p))</f>
        <v/>
      </c>
      <c r="J1233" s="208">
        <f>EXP(SUMPRODUCT((rl_eff&lt;=$C1233)*(rl_key=$A$1210)*rl_ln1p))</f>
        <v/>
      </c>
      <c r="K1233" s="201">
        <f>COUNTIFS(rl_key,$A$1210,rl_eff,"&gt;="&amp;$B1233,rl_eff,"&lt;="&amp;$C1233)</f>
        <v/>
      </c>
      <c r="L1233" s="201">
        <f>SUMIFS(rl_daysafter,rl_key,$A$1210,rl_effmonth,$B1233,rl_first,1)</f>
        <v/>
      </c>
      <c r="M1233" s="209">
        <f>IF($K1233=0,0,MIN(1,$L1233/$D1233))</f>
        <v/>
      </c>
      <c r="N1233" s="208">
        <f>IF($K1233=0,$J1233,(1-$M1233)*$I1233+$M1233*$J1233)</f>
        <v/>
      </c>
      <c r="O1233" s="209">
        <f>IF($F1233&lt;$B$1211,$E$1211+$I$1211*($F1233-$A$1211),IF($F1233&lt;$C$1211,$F$1211+$J$1211*($F1233-$B$1211),$G$1211+$K$1211*($F1233-$C$1211)))</f>
        <v/>
      </c>
      <c r="P1233" s="208">
        <f>MIN(1,MAX(0,(nr_MEndPm1-$G1233+0.5)/$C$1210))-MIN(1,MAX(0,(nr_MStartPm1-1-$G1233+0.5)/$C$1210))</f>
        <v/>
      </c>
      <c r="Q1233" s="208">
        <f>MIN(1,MAX(0,(nr_MEndP-$G1233+0.5)/$C$1210))-MIN(1,MAX(0,(nr_MStartP-1-$G1233+0.5)/$C$1210))</f>
        <v/>
      </c>
      <c r="R1233" s="208">
        <f>MIN(1,MAX(0,(nr_MEndP1-$G1233+0.5)/$C$1210))-MIN(1,MAX(0,(nr_MStartP1-1-$G1233+0.5)/$C$1210))</f>
        <v/>
      </c>
      <c r="S1233" s="208">
        <f>IF($L$1210,$N1233*IF($O$1210=1,$O1233/$F$1210,1),"")</f>
        <v/>
      </c>
      <c r="T1233" s="208">
        <f>IF(NOT($L$1210),"",IF($G1233&lt;nr_MStartP,$S1233,$T1221*(1+IF($G1233&lt;nr_MStartP1,$M$1210,$N$1210))))</f>
        <v/>
      </c>
      <c r="U1233" s="208">
        <f>IF($L$1210,$T1233,$N1233)</f>
        <v/>
      </c>
    </row>
    <row r="1234">
      <c r="A1234" s="145" t="n">
        <v>22</v>
      </c>
      <c r="B1234" s="204">
        <f>EDATE($B1233,1)</f>
        <v/>
      </c>
      <c r="C1234" s="205">
        <f>EOMONTH($B1234,0)</f>
        <v/>
      </c>
      <c r="D1234" s="201">
        <f>$C1234-$B1234+1</f>
        <v/>
      </c>
      <c r="E1234" s="201">
        <f>MONTH($B1234)</f>
        <v/>
      </c>
      <c r="F1234" s="235">
        <f>($B1234+$C1234+1)/2</f>
        <v/>
      </c>
      <c r="G1234" s="201">
        <f>YEAR($B1234)*12+MONTH($B1234)-1</f>
        <v/>
      </c>
      <c r="H1234" s="207">
        <f>IF(OR(nr_SeasonOn="OFF",$D$1210=0,$E$1210=0),1,12*INDEX(se_block,$D$1210,$E1234)/$E$1210)</f>
        <v/>
      </c>
      <c r="I1234" s="208">
        <f>EXP(SUMPRODUCT((rl_eff&lt;$B1234)*(rl_key=$A$1210)*rl_ln1p))</f>
        <v/>
      </c>
      <c r="J1234" s="208">
        <f>EXP(SUMPRODUCT((rl_eff&lt;=$C1234)*(rl_key=$A$1210)*rl_ln1p))</f>
        <v/>
      </c>
      <c r="K1234" s="201">
        <f>COUNTIFS(rl_key,$A$1210,rl_eff,"&gt;="&amp;$B1234,rl_eff,"&lt;="&amp;$C1234)</f>
        <v/>
      </c>
      <c r="L1234" s="201">
        <f>SUMIFS(rl_daysafter,rl_key,$A$1210,rl_effmonth,$B1234,rl_first,1)</f>
        <v/>
      </c>
      <c r="M1234" s="209">
        <f>IF($K1234=0,0,MIN(1,$L1234/$D1234))</f>
        <v/>
      </c>
      <c r="N1234" s="208">
        <f>IF($K1234=0,$J1234,(1-$M1234)*$I1234+$M1234*$J1234)</f>
        <v/>
      </c>
      <c r="O1234" s="209">
        <f>IF($F1234&lt;$B$1211,$E$1211+$I$1211*($F1234-$A$1211),IF($F1234&lt;$C$1211,$F$1211+$J$1211*($F1234-$B$1211),$G$1211+$K$1211*($F1234-$C$1211)))</f>
        <v/>
      </c>
      <c r="P1234" s="208">
        <f>MIN(1,MAX(0,(nr_MEndPm1-$G1234+0.5)/$C$1210))-MIN(1,MAX(0,(nr_MStartPm1-1-$G1234+0.5)/$C$1210))</f>
        <v/>
      </c>
      <c r="Q1234" s="208">
        <f>MIN(1,MAX(0,(nr_MEndP-$G1234+0.5)/$C$1210))-MIN(1,MAX(0,(nr_MStartP-1-$G1234+0.5)/$C$1210))</f>
        <v/>
      </c>
      <c r="R1234" s="208">
        <f>MIN(1,MAX(0,(nr_MEndP1-$G1234+0.5)/$C$1210))-MIN(1,MAX(0,(nr_MStartP1-1-$G1234+0.5)/$C$1210))</f>
        <v/>
      </c>
      <c r="S1234" s="208">
        <f>IF($L$1210,$N1234*IF($O$1210=1,$O1234/$F$1210,1),"")</f>
        <v/>
      </c>
      <c r="T1234" s="208">
        <f>IF(NOT($L$1210),"",IF($G1234&lt;nr_MStartP,$S1234,$T1222*(1+IF($G1234&lt;nr_MStartP1,$M$1210,$N$1210))))</f>
        <v/>
      </c>
      <c r="U1234" s="208">
        <f>IF($L$1210,$T1234,$N1234)</f>
        <v/>
      </c>
    </row>
    <row r="1235">
      <c r="A1235" s="145" t="n">
        <v>23</v>
      </c>
      <c r="B1235" s="204">
        <f>EDATE($B1234,1)</f>
        <v/>
      </c>
      <c r="C1235" s="205">
        <f>EOMONTH($B1235,0)</f>
        <v/>
      </c>
      <c r="D1235" s="201">
        <f>$C1235-$B1235+1</f>
        <v/>
      </c>
      <c r="E1235" s="201">
        <f>MONTH($B1235)</f>
        <v/>
      </c>
      <c r="F1235" s="235">
        <f>($B1235+$C1235+1)/2</f>
        <v/>
      </c>
      <c r="G1235" s="201">
        <f>YEAR($B1235)*12+MONTH($B1235)-1</f>
        <v/>
      </c>
      <c r="H1235" s="207">
        <f>IF(OR(nr_SeasonOn="OFF",$D$1210=0,$E$1210=0),1,12*INDEX(se_block,$D$1210,$E1235)/$E$1210)</f>
        <v/>
      </c>
      <c r="I1235" s="208">
        <f>EXP(SUMPRODUCT((rl_eff&lt;$B1235)*(rl_key=$A$1210)*rl_ln1p))</f>
        <v/>
      </c>
      <c r="J1235" s="208">
        <f>EXP(SUMPRODUCT((rl_eff&lt;=$C1235)*(rl_key=$A$1210)*rl_ln1p))</f>
        <v/>
      </c>
      <c r="K1235" s="201">
        <f>COUNTIFS(rl_key,$A$1210,rl_eff,"&gt;="&amp;$B1235,rl_eff,"&lt;="&amp;$C1235)</f>
        <v/>
      </c>
      <c r="L1235" s="201">
        <f>SUMIFS(rl_daysafter,rl_key,$A$1210,rl_effmonth,$B1235,rl_first,1)</f>
        <v/>
      </c>
      <c r="M1235" s="209">
        <f>IF($K1235=0,0,MIN(1,$L1235/$D1235))</f>
        <v/>
      </c>
      <c r="N1235" s="208">
        <f>IF($K1235=0,$J1235,(1-$M1235)*$I1235+$M1235*$J1235)</f>
        <v/>
      </c>
      <c r="O1235" s="209">
        <f>IF($F1235&lt;$B$1211,$E$1211+$I$1211*($F1235-$A$1211),IF($F1235&lt;$C$1211,$F$1211+$J$1211*($F1235-$B$1211),$G$1211+$K$1211*($F1235-$C$1211)))</f>
        <v/>
      </c>
      <c r="P1235" s="208">
        <f>MIN(1,MAX(0,(nr_MEndPm1-$G1235+0.5)/$C$1210))-MIN(1,MAX(0,(nr_MStartPm1-1-$G1235+0.5)/$C$1210))</f>
        <v/>
      </c>
      <c r="Q1235" s="208">
        <f>MIN(1,MAX(0,(nr_MEndP-$G1235+0.5)/$C$1210))-MIN(1,MAX(0,(nr_MStartP-1-$G1235+0.5)/$C$1210))</f>
        <v/>
      </c>
      <c r="R1235" s="208">
        <f>MIN(1,MAX(0,(nr_MEndP1-$G1235+0.5)/$C$1210))-MIN(1,MAX(0,(nr_MStartP1-1-$G1235+0.5)/$C$1210))</f>
        <v/>
      </c>
      <c r="S1235" s="208">
        <f>IF($L$1210,$N1235*IF($O$1210=1,$O1235/$F$1210,1),"")</f>
        <v/>
      </c>
      <c r="T1235" s="208">
        <f>IF(NOT($L$1210),"",IF($G1235&lt;nr_MStartP,$S1235,$T1223*(1+IF($G1235&lt;nr_MStartP1,$M$1210,$N$1210))))</f>
        <v/>
      </c>
      <c r="U1235" s="208">
        <f>IF($L$1210,$T1235,$N1235)</f>
        <v/>
      </c>
    </row>
    <row r="1236">
      <c r="A1236" s="145" t="n">
        <v>24</v>
      </c>
      <c r="B1236" s="204">
        <f>EDATE($B1235,1)</f>
        <v/>
      </c>
      <c r="C1236" s="205">
        <f>EOMONTH($B1236,0)</f>
        <v/>
      </c>
      <c r="D1236" s="201">
        <f>$C1236-$B1236+1</f>
        <v/>
      </c>
      <c r="E1236" s="201">
        <f>MONTH($B1236)</f>
        <v/>
      </c>
      <c r="F1236" s="235">
        <f>($B1236+$C1236+1)/2</f>
        <v/>
      </c>
      <c r="G1236" s="201">
        <f>YEAR($B1236)*12+MONTH($B1236)-1</f>
        <v/>
      </c>
      <c r="H1236" s="207">
        <f>IF(OR(nr_SeasonOn="OFF",$D$1210=0,$E$1210=0),1,12*INDEX(se_block,$D$1210,$E1236)/$E$1210)</f>
        <v/>
      </c>
      <c r="I1236" s="208">
        <f>EXP(SUMPRODUCT((rl_eff&lt;$B1236)*(rl_key=$A$1210)*rl_ln1p))</f>
        <v/>
      </c>
      <c r="J1236" s="208">
        <f>EXP(SUMPRODUCT((rl_eff&lt;=$C1236)*(rl_key=$A$1210)*rl_ln1p))</f>
        <v/>
      </c>
      <c r="K1236" s="201">
        <f>COUNTIFS(rl_key,$A$1210,rl_eff,"&gt;="&amp;$B1236,rl_eff,"&lt;="&amp;$C1236)</f>
        <v/>
      </c>
      <c r="L1236" s="201">
        <f>SUMIFS(rl_daysafter,rl_key,$A$1210,rl_effmonth,$B1236,rl_first,1)</f>
        <v/>
      </c>
      <c r="M1236" s="209">
        <f>IF($K1236=0,0,MIN(1,$L1236/$D1236))</f>
        <v/>
      </c>
      <c r="N1236" s="208">
        <f>IF($K1236=0,$J1236,(1-$M1236)*$I1236+$M1236*$J1236)</f>
        <v/>
      </c>
      <c r="O1236" s="209">
        <f>IF($F1236&lt;$B$1211,$E$1211+$I$1211*($F1236-$A$1211),IF($F1236&lt;$C$1211,$F$1211+$J$1211*($F1236-$B$1211),$G$1211+$K$1211*($F1236-$C$1211)))</f>
        <v/>
      </c>
      <c r="P1236" s="208">
        <f>MIN(1,MAX(0,(nr_MEndPm1-$G1236+0.5)/$C$1210))-MIN(1,MAX(0,(nr_MStartPm1-1-$G1236+0.5)/$C$1210))</f>
        <v/>
      </c>
      <c r="Q1236" s="208">
        <f>MIN(1,MAX(0,(nr_MEndP-$G1236+0.5)/$C$1210))-MIN(1,MAX(0,(nr_MStartP-1-$G1236+0.5)/$C$1210))</f>
        <v/>
      </c>
      <c r="R1236" s="208">
        <f>MIN(1,MAX(0,(nr_MEndP1-$G1236+0.5)/$C$1210))-MIN(1,MAX(0,(nr_MStartP1-1-$G1236+0.5)/$C$1210))</f>
        <v/>
      </c>
      <c r="S1236" s="208">
        <f>IF($L$1210,$N1236*IF($O$1210=1,$O1236/$F$1210,1),"")</f>
        <v/>
      </c>
      <c r="T1236" s="208">
        <f>IF(NOT($L$1210),"",IF($G1236&lt;nr_MStartP,$S1236,$T1224*(1+IF($G1236&lt;nr_MStartP1,$M$1210,$N$1210))))</f>
        <v/>
      </c>
      <c r="U1236" s="208">
        <f>IF($L$1210,$T1236,$N1236)</f>
        <v/>
      </c>
    </row>
    <row r="1237">
      <c r="A1237" s="145" t="n">
        <v>25</v>
      </c>
      <c r="B1237" s="204">
        <f>EDATE($B1236,1)</f>
        <v/>
      </c>
      <c r="C1237" s="205">
        <f>EOMONTH($B1237,0)</f>
        <v/>
      </c>
      <c r="D1237" s="201">
        <f>$C1237-$B1237+1</f>
        <v/>
      </c>
      <c r="E1237" s="201">
        <f>MONTH($B1237)</f>
        <v/>
      </c>
      <c r="F1237" s="235">
        <f>($B1237+$C1237+1)/2</f>
        <v/>
      </c>
      <c r="G1237" s="201">
        <f>YEAR($B1237)*12+MONTH($B1237)-1</f>
        <v/>
      </c>
      <c r="H1237" s="207">
        <f>IF(OR(nr_SeasonOn="OFF",$D$1210=0,$E$1210=0),1,12*INDEX(se_block,$D$1210,$E1237)/$E$1210)</f>
        <v/>
      </c>
      <c r="I1237" s="208">
        <f>EXP(SUMPRODUCT((rl_eff&lt;$B1237)*(rl_key=$A$1210)*rl_ln1p))</f>
        <v/>
      </c>
      <c r="J1237" s="208">
        <f>EXP(SUMPRODUCT((rl_eff&lt;=$C1237)*(rl_key=$A$1210)*rl_ln1p))</f>
        <v/>
      </c>
      <c r="K1237" s="201">
        <f>COUNTIFS(rl_key,$A$1210,rl_eff,"&gt;="&amp;$B1237,rl_eff,"&lt;="&amp;$C1237)</f>
        <v/>
      </c>
      <c r="L1237" s="201">
        <f>SUMIFS(rl_daysafter,rl_key,$A$1210,rl_effmonth,$B1237,rl_first,1)</f>
        <v/>
      </c>
      <c r="M1237" s="209">
        <f>IF($K1237=0,0,MIN(1,$L1237/$D1237))</f>
        <v/>
      </c>
      <c r="N1237" s="208">
        <f>IF($K1237=0,$J1237,(1-$M1237)*$I1237+$M1237*$J1237)</f>
        <v/>
      </c>
      <c r="O1237" s="209">
        <f>IF($F1237&lt;$B$1211,$E$1211+$I$1211*($F1237-$A$1211),IF($F1237&lt;$C$1211,$F$1211+$J$1211*($F1237-$B$1211),$G$1211+$K$1211*($F1237-$C$1211)))</f>
        <v/>
      </c>
      <c r="P1237" s="208">
        <f>MIN(1,MAX(0,(nr_MEndPm1-$G1237+0.5)/$C$1210))-MIN(1,MAX(0,(nr_MStartPm1-1-$G1237+0.5)/$C$1210))</f>
        <v/>
      </c>
      <c r="Q1237" s="208">
        <f>MIN(1,MAX(0,(nr_MEndP-$G1237+0.5)/$C$1210))-MIN(1,MAX(0,(nr_MStartP-1-$G1237+0.5)/$C$1210))</f>
        <v/>
      </c>
      <c r="R1237" s="208">
        <f>MIN(1,MAX(0,(nr_MEndP1-$G1237+0.5)/$C$1210))-MIN(1,MAX(0,(nr_MStartP1-1-$G1237+0.5)/$C$1210))</f>
        <v/>
      </c>
      <c r="S1237" s="208">
        <f>IF($L$1210,$N1237*IF($O$1210=1,$O1237/$F$1210,1),"")</f>
        <v/>
      </c>
      <c r="T1237" s="208">
        <f>IF(NOT($L$1210),"",IF($G1237&lt;nr_MStartP,$S1237,$T1225*(1+IF($G1237&lt;nr_MStartP1,$M$1210,$N$1210))))</f>
        <v/>
      </c>
      <c r="U1237" s="208">
        <f>IF($L$1210,$T1237,$N1237)</f>
        <v/>
      </c>
    </row>
    <row r="1238">
      <c r="A1238" s="145" t="n">
        <v>26</v>
      </c>
      <c r="B1238" s="204">
        <f>EDATE($B1237,1)</f>
        <v/>
      </c>
      <c r="C1238" s="205">
        <f>EOMONTH($B1238,0)</f>
        <v/>
      </c>
      <c r="D1238" s="201">
        <f>$C1238-$B1238+1</f>
        <v/>
      </c>
      <c r="E1238" s="201">
        <f>MONTH($B1238)</f>
        <v/>
      </c>
      <c r="F1238" s="235">
        <f>($B1238+$C1238+1)/2</f>
        <v/>
      </c>
      <c r="G1238" s="201">
        <f>YEAR($B1238)*12+MONTH($B1238)-1</f>
        <v/>
      </c>
      <c r="H1238" s="207">
        <f>IF(OR(nr_SeasonOn="OFF",$D$1210=0,$E$1210=0),1,12*INDEX(se_block,$D$1210,$E1238)/$E$1210)</f>
        <v/>
      </c>
      <c r="I1238" s="208">
        <f>EXP(SUMPRODUCT((rl_eff&lt;$B1238)*(rl_key=$A$1210)*rl_ln1p))</f>
        <v/>
      </c>
      <c r="J1238" s="208">
        <f>EXP(SUMPRODUCT((rl_eff&lt;=$C1238)*(rl_key=$A$1210)*rl_ln1p))</f>
        <v/>
      </c>
      <c r="K1238" s="201">
        <f>COUNTIFS(rl_key,$A$1210,rl_eff,"&gt;="&amp;$B1238,rl_eff,"&lt;="&amp;$C1238)</f>
        <v/>
      </c>
      <c r="L1238" s="201">
        <f>SUMIFS(rl_daysafter,rl_key,$A$1210,rl_effmonth,$B1238,rl_first,1)</f>
        <v/>
      </c>
      <c r="M1238" s="209">
        <f>IF($K1238=0,0,MIN(1,$L1238/$D1238))</f>
        <v/>
      </c>
      <c r="N1238" s="208">
        <f>IF($K1238=0,$J1238,(1-$M1238)*$I1238+$M1238*$J1238)</f>
        <v/>
      </c>
      <c r="O1238" s="209">
        <f>IF($F1238&lt;$B$1211,$E$1211+$I$1211*($F1238-$A$1211),IF($F1238&lt;$C$1211,$F$1211+$J$1211*($F1238-$B$1211),$G$1211+$K$1211*($F1238-$C$1211)))</f>
        <v/>
      </c>
      <c r="P1238" s="208">
        <f>MIN(1,MAX(0,(nr_MEndPm1-$G1238+0.5)/$C$1210))-MIN(1,MAX(0,(nr_MStartPm1-1-$G1238+0.5)/$C$1210))</f>
        <v/>
      </c>
      <c r="Q1238" s="208">
        <f>MIN(1,MAX(0,(nr_MEndP-$G1238+0.5)/$C$1210))-MIN(1,MAX(0,(nr_MStartP-1-$G1238+0.5)/$C$1210))</f>
        <v/>
      </c>
      <c r="R1238" s="208">
        <f>MIN(1,MAX(0,(nr_MEndP1-$G1238+0.5)/$C$1210))-MIN(1,MAX(0,(nr_MStartP1-1-$G1238+0.5)/$C$1210))</f>
        <v/>
      </c>
      <c r="S1238" s="208">
        <f>IF($L$1210,$N1238*IF($O$1210=1,$O1238/$F$1210,1),"")</f>
        <v/>
      </c>
      <c r="T1238" s="208">
        <f>IF(NOT($L$1210),"",IF($G1238&lt;nr_MStartP,$S1238,$T1226*(1+IF($G1238&lt;nr_MStartP1,$M$1210,$N$1210))))</f>
        <v/>
      </c>
      <c r="U1238" s="208">
        <f>IF($L$1210,$T1238,$N1238)</f>
        <v/>
      </c>
    </row>
    <row r="1239">
      <c r="A1239" s="145" t="n">
        <v>27</v>
      </c>
      <c r="B1239" s="204">
        <f>EDATE($B1238,1)</f>
        <v/>
      </c>
      <c r="C1239" s="205">
        <f>EOMONTH($B1239,0)</f>
        <v/>
      </c>
      <c r="D1239" s="201">
        <f>$C1239-$B1239+1</f>
        <v/>
      </c>
      <c r="E1239" s="201">
        <f>MONTH($B1239)</f>
        <v/>
      </c>
      <c r="F1239" s="235">
        <f>($B1239+$C1239+1)/2</f>
        <v/>
      </c>
      <c r="G1239" s="201">
        <f>YEAR($B1239)*12+MONTH($B1239)-1</f>
        <v/>
      </c>
      <c r="H1239" s="207">
        <f>IF(OR(nr_SeasonOn="OFF",$D$1210=0,$E$1210=0),1,12*INDEX(se_block,$D$1210,$E1239)/$E$1210)</f>
        <v/>
      </c>
      <c r="I1239" s="208">
        <f>EXP(SUMPRODUCT((rl_eff&lt;$B1239)*(rl_key=$A$1210)*rl_ln1p))</f>
        <v/>
      </c>
      <c r="J1239" s="208">
        <f>EXP(SUMPRODUCT((rl_eff&lt;=$C1239)*(rl_key=$A$1210)*rl_ln1p))</f>
        <v/>
      </c>
      <c r="K1239" s="201">
        <f>COUNTIFS(rl_key,$A$1210,rl_eff,"&gt;="&amp;$B1239,rl_eff,"&lt;="&amp;$C1239)</f>
        <v/>
      </c>
      <c r="L1239" s="201">
        <f>SUMIFS(rl_daysafter,rl_key,$A$1210,rl_effmonth,$B1239,rl_first,1)</f>
        <v/>
      </c>
      <c r="M1239" s="209">
        <f>IF($K1239=0,0,MIN(1,$L1239/$D1239))</f>
        <v/>
      </c>
      <c r="N1239" s="208">
        <f>IF($K1239=0,$J1239,(1-$M1239)*$I1239+$M1239*$J1239)</f>
        <v/>
      </c>
      <c r="O1239" s="209">
        <f>IF($F1239&lt;$B$1211,$E$1211+$I$1211*($F1239-$A$1211),IF($F1239&lt;$C$1211,$F$1211+$J$1211*($F1239-$B$1211),$G$1211+$K$1211*($F1239-$C$1211)))</f>
        <v/>
      </c>
      <c r="P1239" s="208">
        <f>MIN(1,MAX(0,(nr_MEndPm1-$G1239+0.5)/$C$1210))-MIN(1,MAX(0,(nr_MStartPm1-1-$G1239+0.5)/$C$1210))</f>
        <v/>
      </c>
      <c r="Q1239" s="208">
        <f>MIN(1,MAX(0,(nr_MEndP-$G1239+0.5)/$C$1210))-MIN(1,MAX(0,(nr_MStartP-1-$G1239+0.5)/$C$1210))</f>
        <v/>
      </c>
      <c r="R1239" s="208">
        <f>MIN(1,MAX(0,(nr_MEndP1-$G1239+0.5)/$C$1210))-MIN(1,MAX(0,(nr_MStartP1-1-$G1239+0.5)/$C$1210))</f>
        <v/>
      </c>
      <c r="S1239" s="208">
        <f>IF($L$1210,$N1239*IF($O$1210=1,$O1239/$F$1210,1),"")</f>
        <v/>
      </c>
      <c r="T1239" s="208">
        <f>IF(NOT($L$1210),"",IF($G1239&lt;nr_MStartP,$S1239,$T1227*(1+IF($G1239&lt;nr_MStartP1,$M$1210,$N$1210))))</f>
        <v/>
      </c>
      <c r="U1239" s="208">
        <f>IF($L$1210,$T1239,$N1239)</f>
        <v/>
      </c>
    </row>
    <row r="1240">
      <c r="A1240" s="145" t="n">
        <v>28</v>
      </c>
      <c r="B1240" s="204">
        <f>EDATE($B1239,1)</f>
        <v/>
      </c>
      <c r="C1240" s="205">
        <f>EOMONTH($B1240,0)</f>
        <v/>
      </c>
      <c r="D1240" s="201">
        <f>$C1240-$B1240+1</f>
        <v/>
      </c>
      <c r="E1240" s="201">
        <f>MONTH($B1240)</f>
        <v/>
      </c>
      <c r="F1240" s="235">
        <f>($B1240+$C1240+1)/2</f>
        <v/>
      </c>
      <c r="G1240" s="201">
        <f>YEAR($B1240)*12+MONTH($B1240)-1</f>
        <v/>
      </c>
      <c r="H1240" s="207">
        <f>IF(OR(nr_SeasonOn="OFF",$D$1210=0,$E$1210=0),1,12*INDEX(se_block,$D$1210,$E1240)/$E$1210)</f>
        <v/>
      </c>
      <c r="I1240" s="208">
        <f>EXP(SUMPRODUCT((rl_eff&lt;$B1240)*(rl_key=$A$1210)*rl_ln1p))</f>
        <v/>
      </c>
      <c r="J1240" s="208">
        <f>EXP(SUMPRODUCT((rl_eff&lt;=$C1240)*(rl_key=$A$1210)*rl_ln1p))</f>
        <v/>
      </c>
      <c r="K1240" s="201">
        <f>COUNTIFS(rl_key,$A$1210,rl_eff,"&gt;="&amp;$B1240,rl_eff,"&lt;="&amp;$C1240)</f>
        <v/>
      </c>
      <c r="L1240" s="201">
        <f>SUMIFS(rl_daysafter,rl_key,$A$1210,rl_effmonth,$B1240,rl_first,1)</f>
        <v/>
      </c>
      <c r="M1240" s="209">
        <f>IF($K1240=0,0,MIN(1,$L1240/$D1240))</f>
        <v/>
      </c>
      <c r="N1240" s="208">
        <f>IF($K1240=0,$J1240,(1-$M1240)*$I1240+$M1240*$J1240)</f>
        <v/>
      </c>
      <c r="O1240" s="209">
        <f>IF($F1240&lt;$B$1211,$E$1211+$I$1211*($F1240-$A$1211),IF($F1240&lt;$C$1211,$F$1211+$J$1211*($F1240-$B$1211),$G$1211+$K$1211*($F1240-$C$1211)))</f>
        <v/>
      </c>
      <c r="P1240" s="208">
        <f>MIN(1,MAX(0,(nr_MEndPm1-$G1240+0.5)/$C$1210))-MIN(1,MAX(0,(nr_MStartPm1-1-$G1240+0.5)/$C$1210))</f>
        <v/>
      </c>
      <c r="Q1240" s="208">
        <f>MIN(1,MAX(0,(nr_MEndP-$G1240+0.5)/$C$1210))-MIN(1,MAX(0,(nr_MStartP-1-$G1240+0.5)/$C$1210))</f>
        <v/>
      </c>
      <c r="R1240" s="208">
        <f>MIN(1,MAX(0,(nr_MEndP1-$G1240+0.5)/$C$1210))-MIN(1,MAX(0,(nr_MStartP1-1-$G1240+0.5)/$C$1210))</f>
        <v/>
      </c>
      <c r="S1240" s="208">
        <f>IF($L$1210,$N1240*IF($O$1210=1,$O1240/$F$1210,1),"")</f>
        <v/>
      </c>
      <c r="T1240" s="208">
        <f>IF(NOT($L$1210),"",IF($G1240&lt;nr_MStartP,$S1240,$T1228*(1+IF($G1240&lt;nr_MStartP1,$M$1210,$N$1210))))</f>
        <v/>
      </c>
      <c r="U1240" s="208">
        <f>IF($L$1210,$T1240,$N1240)</f>
        <v/>
      </c>
    </row>
    <row r="1241">
      <c r="A1241" s="145" t="n">
        <v>29</v>
      </c>
      <c r="B1241" s="204">
        <f>EDATE($B1240,1)</f>
        <v/>
      </c>
      <c r="C1241" s="205">
        <f>EOMONTH($B1241,0)</f>
        <v/>
      </c>
      <c r="D1241" s="201">
        <f>$C1241-$B1241+1</f>
        <v/>
      </c>
      <c r="E1241" s="201">
        <f>MONTH($B1241)</f>
        <v/>
      </c>
      <c r="F1241" s="235">
        <f>($B1241+$C1241+1)/2</f>
        <v/>
      </c>
      <c r="G1241" s="201">
        <f>YEAR($B1241)*12+MONTH($B1241)-1</f>
        <v/>
      </c>
      <c r="H1241" s="207">
        <f>IF(OR(nr_SeasonOn="OFF",$D$1210=0,$E$1210=0),1,12*INDEX(se_block,$D$1210,$E1241)/$E$1210)</f>
        <v/>
      </c>
      <c r="I1241" s="208">
        <f>EXP(SUMPRODUCT((rl_eff&lt;$B1241)*(rl_key=$A$1210)*rl_ln1p))</f>
        <v/>
      </c>
      <c r="J1241" s="208">
        <f>EXP(SUMPRODUCT((rl_eff&lt;=$C1241)*(rl_key=$A$1210)*rl_ln1p))</f>
        <v/>
      </c>
      <c r="K1241" s="201">
        <f>COUNTIFS(rl_key,$A$1210,rl_eff,"&gt;="&amp;$B1241,rl_eff,"&lt;="&amp;$C1241)</f>
        <v/>
      </c>
      <c r="L1241" s="201">
        <f>SUMIFS(rl_daysafter,rl_key,$A$1210,rl_effmonth,$B1241,rl_first,1)</f>
        <v/>
      </c>
      <c r="M1241" s="209">
        <f>IF($K1241=0,0,MIN(1,$L1241/$D1241))</f>
        <v/>
      </c>
      <c r="N1241" s="208">
        <f>IF($K1241=0,$J1241,(1-$M1241)*$I1241+$M1241*$J1241)</f>
        <v/>
      </c>
      <c r="O1241" s="209">
        <f>IF($F1241&lt;$B$1211,$E$1211+$I$1211*($F1241-$A$1211),IF($F1241&lt;$C$1211,$F$1211+$J$1211*($F1241-$B$1211),$G$1211+$K$1211*($F1241-$C$1211)))</f>
        <v/>
      </c>
      <c r="P1241" s="208">
        <f>MIN(1,MAX(0,(nr_MEndPm1-$G1241+0.5)/$C$1210))-MIN(1,MAX(0,(nr_MStartPm1-1-$G1241+0.5)/$C$1210))</f>
        <v/>
      </c>
      <c r="Q1241" s="208">
        <f>MIN(1,MAX(0,(nr_MEndP-$G1241+0.5)/$C$1210))-MIN(1,MAX(0,(nr_MStartP-1-$G1241+0.5)/$C$1210))</f>
        <v/>
      </c>
      <c r="R1241" s="208">
        <f>MIN(1,MAX(0,(nr_MEndP1-$G1241+0.5)/$C$1210))-MIN(1,MAX(0,(nr_MStartP1-1-$G1241+0.5)/$C$1210))</f>
        <v/>
      </c>
      <c r="S1241" s="208">
        <f>IF($L$1210,$N1241*IF($O$1210=1,$O1241/$F$1210,1),"")</f>
        <v/>
      </c>
      <c r="T1241" s="208">
        <f>IF(NOT($L$1210),"",IF($G1241&lt;nr_MStartP,$S1241,$T1229*(1+IF($G1241&lt;nr_MStartP1,$M$1210,$N$1210))))</f>
        <v/>
      </c>
      <c r="U1241" s="208">
        <f>IF($L$1210,$T1241,$N1241)</f>
        <v/>
      </c>
    </row>
    <row r="1242">
      <c r="A1242" s="145" t="n">
        <v>30</v>
      </c>
      <c r="B1242" s="204">
        <f>EDATE($B1241,1)</f>
        <v/>
      </c>
      <c r="C1242" s="205">
        <f>EOMONTH($B1242,0)</f>
        <v/>
      </c>
      <c r="D1242" s="201">
        <f>$C1242-$B1242+1</f>
        <v/>
      </c>
      <c r="E1242" s="201">
        <f>MONTH($B1242)</f>
        <v/>
      </c>
      <c r="F1242" s="235">
        <f>($B1242+$C1242+1)/2</f>
        <v/>
      </c>
      <c r="G1242" s="201">
        <f>YEAR($B1242)*12+MONTH($B1242)-1</f>
        <v/>
      </c>
      <c r="H1242" s="207">
        <f>IF(OR(nr_SeasonOn="OFF",$D$1210=0,$E$1210=0),1,12*INDEX(se_block,$D$1210,$E1242)/$E$1210)</f>
        <v/>
      </c>
      <c r="I1242" s="208">
        <f>EXP(SUMPRODUCT((rl_eff&lt;$B1242)*(rl_key=$A$1210)*rl_ln1p))</f>
        <v/>
      </c>
      <c r="J1242" s="208">
        <f>EXP(SUMPRODUCT((rl_eff&lt;=$C1242)*(rl_key=$A$1210)*rl_ln1p))</f>
        <v/>
      </c>
      <c r="K1242" s="201">
        <f>COUNTIFS(rl_key,$A$1210,rl_eff,"&gt;="&amp;$B1242,rl_eff,"&lt;="&amp;$C1242)</f>
        <v/>
      </c>
      <c r="L1242" s="201">
        <f>SUMIFS(rl_daysafter,rl_key,$A$1210,rl_effmonth,$B1242,rl_first,1)</f>
        <v/>
      </c>
      <c r="M1242" s="209">
        <f>IF($K1242=0,0,MIN(1,$L1242/$D1242))</f>
        <v/>
      </c>
      <c r="N1242" s="208">
        <f>IF($K1242=0,$J1242,(1-$M1242)*$I1242+$M1242*$J1242)</f>
        <v/>
      </c>
      <c r="O1242" s="209">
        <f>IF($F1242&lt;$B$1211,$E$1211+$I$1211*($F1242-$A$1211),IF($F1242&lt;$C$1211,$F$1211+$J$1211*($F1242-$B$1211),$G$1211+$K$1211*($F1242-$C$1211)))</f>
        <v/>
      </c>
      <c r="P1242" s="208">
        <f>MIN(1,MAX(0,(nr_MEndPm1-$G1242+0.5)/$C$1210))-MIN(1,MAX(0,(nr_MStartPm1-1-$G1242+0.5)/$C$1210))</f>
        <v/>
      </c>
      <c r="Q1242" s="208">
        <f>MIN(1,MAX(0,(nr_MEndP-$G1242+0.5)/$C$1210))-MIN(1,MAX(0,(nr_MStartP-1-$G1242+0.5)/$C$1210))</f>
        <v/>
      </c>
      <c r="R1242" s="208">
        <f>MIN(1,MAX(0,(nr_MEndP1-$G1242+0.5)/$C$1210))-MIN(1,MAX(0,(nr_MStartP1-1-$G1242+0.5)/$C$1210))</f>
        <v/>
      </c>
      <c r="S1242" s="208">
        <f>IF($L$1210,$N1242*IF($O$1210=1,$O1242/$F$1210,1),"")</f>
        <v/>
      </c>
      <c r="T1242" s="208">
        <f>IF(NOT($L$1210),"",IF($G1242&lt;nr_MStartP,$S1242,$T1230*(1+IF($G1242&lt;nr_MStartP1,$M$1210,$N$1210))))</f>
        <v/>
      </c>
      <c r="U1242" s="208">
        <f>IF($L$1210,$T1242,$N1242)</f>
        <v/>
      </c>
    </row>
    <row r="1243">
      <c r="A1243" s="145" t="n">
        <v>31</v>
      </c>
      <c r="B1243" s="204">
        <f>EDATE($B1242,1)</f>
        <v/>
      </c>
      <c r="C1243" s="205">
        <f>EOMONTH($B1243,0)</f>
        <v/>
      </c>
      <c r="D1243" s="201">
        <f>$C1243-$B1243+1</f>
        <v/>
      </c>
      <c r="E1243" s="201">
        <f>MONTH($B1243)</f>
        <v/>
      </c>
      <c r="F1243" s="235">
        <f>($B1243+$C1243+1)/2</f>
        <v/>
      </c>
      <c r="G1243" s="201">
        <f>YEAR($B1243)*12+MONTH($B1243)-1</f>
        <v/>
      </c>
      <c r="H1243" s="207">
        <f>IF(OR(nr_SeasonOn="OFF",$D$1210=0,$E$1210=0),1,12*INDEX(se_block,$D$1210,$E1243)/$E$1210)</f>
        <v/>
      </c>
      <c r="I1243" s="208">
        <f>EXP(SUMPRODUCT((rl_eff&lt;$B1243)*(rl_key=$A$1210)*rl_ln1p))</f>
        <v/>
      </c>
      <c r="J1243" s="208">
        <f>EXP(SUMPRODUCT((rl_eff&lt;=$C1243)*(rl_key=$A$1210)*rl_ln1p))</f>
        <v/>
      </c>
      <c r="K1243" s="201">
        <f>COUNTIFS(rl_key,$A$1210,rl_eff,"&gt;="&amp;$B1243,rl_eff,"&lt;="&amp;$C1243)</f>
        <v/>
      </c>
      <c r="L1243" s="201">
        <f>SUMIFS(rl_daysafter,rl_key,$A$1210,rl_effmonth,$B1243,rl_first,1)</f>
        <v/>
      </c>
      <c r="M1243" s="209">
        <f>IF($K1243=0,0,MIN(1,$L1243/$D1243))</f>
        <v/>
      </c>
      <c r="N1243" s="208">
        <f>IF($K1243=0,$J1243,(1-$M1243)*$I1243+$M1243*$J1243)</f>
        <v/>
      </c>
      <c r="O1243" s="209">
        <f>IF($F1243&lt;$B$1211,$E$1211+$I$1211*($F1243-$A$1211),IF($F1243&lt;$C$1211,$F$1211+$J$1211*($F1243-$B$1211),$G$1211+$K$1211*($F1243-$C$1211)))</f>
        <v/>
      </c>
      <c r="P1243" s="208">
        <f>MIN(1,MAX(0,(nr_MEndPm1-$G1243+0.5)/$C$1210))-MIN(1,MAX(0,(nr_MStartPm1-1-$G1243+0.5)/$C$1210))</f>
        <v/>
      </c>
      <c r="Q1243" s="208">
        <f>MIN(1,MAX(0,(nr_MEndP-$G1243+0.5)/$C$1210))-MIN(1,MAX(0,(nr_MStartP-1-$G1243+0.5)/$C$1210))</f>
        <v/>
      </c>
      <c r="R1243" s="208">
        <f>MIN(1,MAX(0,(nr_MEndP1-$G1243+0.5)/$C$1210))-MIN(1,MAX(0,(nr_MStartP1-1-$G1243+0.5)/$C$1210))</f>
        <v/>
      </c>
      <c r="S1243" s="208">
        <f>IF($L$1210,$N1243*IF($O$1210=1,$O1243/$F$1210,1),"")</f>
        <v/>
      </c>
      <c r="T1243" s="208">
        <f>IF(NOT($L$1210),"",IF($G1243&lt;nr_MStartP,$S1243,$T1231*(1+IF($G1243&lt;nr_MStartP1,$M$1210,$N$1210))))</f>
        <v/>
      </c>
      <c r="U1243" s="208">
        <f>IF($L$1210,$T1243,$N1243)</f>
        <v/>
      </c>
    </row>
    <row r="1244">
      <c r="A1244" s="145" t="n">
        <v>32</v>
      </c>
      <c r="B1244" s="204">
        <f>EDATE($B1243,1)</f>
        <v/>
      </c>
      <c r="C1244" s="205">
        <f>EOMONTH($B1244,0)</f>
        <v/>
      </c>
      <c r="D1244" s="201">
        <f>$C1244-$B1244+1</f>
        <v/>
      </c>
      <c r="E1244" s="201">
        <f>MONTH($B1244)</f>
        <v/>
      </c>
      <c r="F1244" s="235">
        <f>($B1244+$C1244+1)/2</f>
        <v/>
      </c>
      <c r="G1244" s="201">
        <f>YEAR($B1244)*12+MONTH($B1244)-1</f>
        <v/>
      </c>
      <c r="H1244" s="207">
        <f>IF(OR(nr_SeasonOn="OFF",$D$1210=0,$E$1210=0),1,12*INDEX(se_block,$D$1210,$E1244)/$E$1210)</f>
        <v/>
      </c>
      <c r="I1244" s="208">
        <f>EXP(SUMPRODUCT((rl_eff&lt;$B1244)*(rl_key=$A$1210)*rl_ln1p))</f>
        <v/>
      </c>
      <c r="J1244" s="208">
        <f>EXP(SUMPRODUCT((rl_eff&lt;=$C1244)*(rl_key=$A$1210)*rl_ln1p))</f>
        <v/>
      </c>
      <c r="K1244" s="201">
        <f>COUNTIFS(rl_key,$A$1210,rl_eff,"&gt;="&amp;$B1244,rl_eff,"&lt;="&amp;$C1244)</f>
        <v/>
      </c>
      <c r="L1244" s="201">
        <f>SUMIFS(rl_daysafter,rl_key,$A$1210,rl_effmonth,$B1244,rl_first,1)</f>
        <v/>
      </c>
      <c r="M1244" s="209">
        <f>IF($K1244=0,0,MIN(1,$L1244/$D1244))</f>
        <v/>
      </c>
      <c r="N1244" s="208">
        <f>IF($K1244=0,$J1244,(1-$M1244)*$I1244+$M1244*$J1244)</f>
        <v/>
      </c>
      <c r="O1244" s="209">
        <f>IF($F1244&lt;$B$1211,$E$1211+$I$1211*($F1244-$A$1211),IF($F1244&lt;$C$1211,$F$1211+$J$1211*($F1244-$B$1211),$G$1211+$K$1211*($F1244-$C$1211)))</f>
        <v/>
      </c>
      <c r="P1244" s="208">
        <f>MIN(1,MAX(0,(nr_MEndPm1-$G1244+0.5)/$C$1210))-MIN(1,MAX(0,(nr_MStartPm1-1-$G1244+0.5)/$C$1210))</f>
        <v/>
      </c>
      <c r="Q1244" s="208">
        <f>MIN(1,MAX(0,(nr_MEndP-$G1244+0.5)/$C$1210))-MIN(1,MAX(0,(nr_MStartP-1-$G1244+0.5)/$C$1210))</f>
        <v/>
      </c>
      <c r="R1244" s="208">
        <f>MIN(1,MAX(0,(nr_MEndP1-$G1244+0.5)/$C$1210))-MIN(1,MAX(0,(nr_MStartP1-1-$G1244+0.5)/$C$1210))</f>
        <v/>
      </c>
      <c r="S1244" s="208">
        <f>IF($L$1210,$N1244*IF($O$1210=1,$O1244/$F$1210,1),"")</f>
        <v/>
      </c>
      <c r="T1244" s="208">
        <f>IF(NOT($L$1210),"",IF($G1244&lt;nr_MStartP,$S1244,$T1232*(1+IF($G1244&lt;nr_MStartP1,$M$1210,$N$1210))))</f>
        <v/>
      </c>
      <c r="U1244" s="208">
        <f>IF($L$1210,$T1244,$N1244)</f>
        <v/>
      </c>
    </row>
    <row r="1245">
      <c r="A1245" s="145" t="n">
        <v>33</v>
      </c>
      <c r="B1245" s="204">
        <f>EDATE($B1244,1)</f>
        <v/>
      </c>
      <c r="C1245" s="205">
        <f>EOMONTH($B1245,0)</f>
        <v/>
      </c>
      <c r="D1245" s="201">
        <f>$C1245-$B1245+1</f>
        <v/>
      </c>
      <c r="E1245" s="201">
        <f>MONTH($B1245)</f>
        <v/>
      </c>
      <c r="F1245" s="235">
        <f>($B1245+$C1245+1)/2</f>
        <v/>
      </c>
      <c r="G1245" s="201">
        <f>YEAR($B1245)*12+MONTH($B1245)-1</f>
        <v/>
      </c>
      <c r="H1245" s="207">
        <f>IF(OR(nr_SeasonOn="OFF",$D$1210=0,$E$1210=0),1,12*INDEX(se_block,$D$1210,$E1245)/$E$1210)</f>
        <v/>
      </c>
      <c r="I1245" s="208">
        <f>EXP(SUMPRODUCT((rl_eff&lt;$B1245)*(rl_key=$A$1210)*rl_ln1p))</f>
        <v/>
      </c>
      <c r="J1245" s="208">
        <f>EXP(SUMPRODUCT((rl_eff&lt;=$C1245)*(rl_key=$A$1210)*rl_ln1p))</f>
        <v/>
      </c>
      <c r="K1245" s="201">
        <f>COUNTIFS(rl_key,$A$1210,rl_eff,"&gt;="&amp;$B1245,rl_eff,"&lt;="&amp;$C1245)</f>
        <v/>
      </c>
      <c r="L1245" s="201">
        <f>SUMIFS(rl_daysafter,rl_key,$A$1210,rl_effmonth,$B1245,rl_first,1)</f>
        <v/>
      </c>
      <c r="M1245" s="209">
        <f>IF($K1245=0,0,MIN(1,$L1245/$D1245))</f>
        <v/>
      </c>
      <c r="N1245" s="208">
        <f>IF($K1245=0,$J1245,(1-$M1245)*$I1245+$M1245*$J1245)</f>
        <v/>
      </c>
      <c r="O1245" s="209">
        <f>IF($F1245&lt;$B$1211,$E$1211+$I$1211*($F1245-$A$1211),IF($F1245&lt;$C$1211,$F$1211+$J$1211*($F1245-$B$1211),$G$1211+$K$1211*($F1245-$C$1211)))</f>
        <v/>
      </c>
      <c r="P1245" s="208">
        <f>MIN(1,MAX(0,(nr_MEndPm1-$G1245+0.5)/$C$1210))-MIN(1,MAX(0,(nr_MStartPm1-1-$G1245+0.5)/$C$1210))</f>
        <v/>
      </c>
      <c r="Q1245" s="208">
        <f>MIN(1,MAX(0,(nr_MEndP-$G1245+0.5)/$C$1210))-MIN(1,MAX(0,(nr_MStartP-1-$G1245+0.5)/$C$1210))</f>
        <v/>
      </c>
      <c r="R1245" s="208">
        <f>MIN(1,MAX(0,(nr_MEndP1-$G1245+0.5)/$C$1210))-MIN(1,MAX(0,(nr_MStartP1-1-$G1245+0.5)/$C$1210))</f>
        <v/>
      </c>
      <c r="S1245" s="208">
        <f>IF($L$1210,$N1245*IF($O$1210=1,$O1245/$F$1210,1),"")</f>
        <v/>
      </c>
      <c r="T1245" s="208">
        <f>IF(NOT($L$1210),"",IF($G1245&lt;nr_MStartP,$S1245,$T1233*(1+IF($G1245&lt;nr_MStartP1,$M$1210,$N$1210))))</f>
        <v/>
      </c>
      <c r="U1245" s="208">
        <f>IF($L$1210,$T1245,$N1245)</f>
        <v/>
      </c>
    </row>
    <row r="1246">
      <c r="A1246" s="145" t="n">
        <v>34</v>
      </c>
      <c r="B1246" s="204">
        <f>EDATE($B1245,1)</f>
        <v/>
      </c>
      <c r="C1246" s="205">
        <f>EOMONTH($B1246,0)</f>
        <v/>
      </c>
      <c r="D1246" s="201">
        <f>$C1246-$B1246+1</f>
        <v/>
      </c>
      <c r="E1246" s="201">
        <f>MONTH($B1246)</f>
        <v/>
      </c>
      <c r="F1246" s="235">
        <f>($B1246+$C1246+1)/2</f>
        <v/>
      </c>
      <c r="G1246" s="201">
        <f>YEAR($B1246)*12+MONTH($B1246)-1</f>
        <v/>
      </c>
      <c r="H1246" s="207">
        <f>IF(OR(nr_SeasonOn="OFF",$D$1210=0,$E$1210=0),1,12*INDEX(se_block,$D$1210,$E1246)/$E$1210)</f>
        <v/>
      </c>
      <c r="I1246" s="208">
        <f>EXP(SUMPRODUCT((rl_eff&lt;$B1246)*(rl_key=$A$1210)*rl_ln1p))</f>
        <v/>
      </c>
      <c r="J1246" s="208">
        <f>EXP(SUMPRODUCT((rl_eff&lt;=$C1246)*(rl_key=$A$1210)*rl_ln1p))</f>
        <v/>
      </c>
      <c r="K1246" s="201">
        <f>COUNTIFS(rl_key,$A$1210,rl_eff,"&gt;="&amp;$B1246,rl_eff,"&lt;="&amp;$C1246)</f>
        <v/>
      </c>
      <c r="L1246" s="201">
        <f>SUMIFS(rl_daysafter,rl_key,$A$1210,rl_effmonth,$B1246,rl_first,1)</f>
        <v/>
      </c>
      <c r="M1246" s="209">
        <f>IF($K1246=0,0,MIN(1,$L1246/$D1246))</f>
        <v/>
      </c>
      <c r="N1246" s="208">
        <f>IF($K1246=0,$J1246,(1-$M1246)*$I1246+$M1246*$J1246)</f>
        <v/>
      </c>
      <c r="O1246" s="209">
        <f>IF($F1246&lt;$B$1211,$E$1211+$I$1211*($F1246-$A$1211),IF($F1246&lt;$C$1211,$F$1211+$J$1211*($F1246-$B$1211),$G$1211+$K$1211*($F1246-$C$1211)))</f>
        <v/>
      </c>
      <c r="P1246" s="208">
        <f>MIN(1,MAX(0,(nr_MEndPm1-$G1246+0.5)/$C$1210))-MIN(1,MAX(0,(nr_MStartPm1-1-$G1246+0.5)/$C$1210))</f>
        <v/>
      </c>
      <c r="Q1246" s="208">
        <f>MIN(1,MAX(0,(nr_MEndP-$G1246+0.5)/$C$1210))-MIN(1,MAX(0,(nr_MStartP-1-$G1246+0.5)/$C$1210))</f>
        <v/>
      </c>
      <c r="R1246" s="208">
        <f>MIN(1,MAX(0,(nr_MEndP1-$G1246+0.5)/$C$1210))-MIN(1,MAX(0,(nr_MStartP1-1-$G1246+0.5)/$C$1210))</f>
        <v/>
      </c>
      <c r="S1246" s="208">
        <f>IF($L$1210,$N1246*IF($O$1210=1,$O1246/$F$1210,1),"")</f>
        <v/>
      </c>
      <c r="T1246" s="208">
        <f>IF(NOT($L$1210),"",IF($G1246&lt;nr_MStartP,$S1246,$T1234*(1+IF($G1246&lt;nr_MStartP1,$M$1210,$N$1210))))</f>
        <v/>
      </c>
      <c r="U1246" s="208">
        <f>IF($L$1210,$T1246,$N1246)</f>
        <v/>
      </c>
    </row>
    <row r="1247">
      <c r="A1247" s="145" t="n">
        <v>35</v>
      </c>
      <c r="B1247" s="204">
        <f>EDATE($B1246,1)</f>
        <v/>
      </c>
      <c r="C1247" s="205">
        <f>EOMONTH($B1247,0)</f>
        <v/>
      </c>
      <c r="D1247" s="201">
        <f>$C1247-$B1247+1</f>
        <v/>
      </c>
      <c r="E1247" s="201">
        <f>MONTH($B1247)</f>
        <v/>
      </c>
      <c r="F1247" s="235">
        <f>($B1247+$C1247+1)/2</f>
        <v/>
      </c>
      <c r="G1247" s="201">
        <f>YEAR($B1247)*12+MONTH($B1247)-1</f>
        <v/>
      </c>
      <c r="H1247" s="207">
        <f>IF(OR(nr_SeasonOn="OFF",$D$1210=0,$E$1210=0),1,12*INDEX(se_block,$D$1210,$E1247)/$E$1210)</f>
        <v/>
      </c>
      <c r="I1247" s="208">
        <f>EXP(SUMPRODUCT((rl_eff&lt;$B1247)*(rl_key=$A$1210)*rl_ln1p))</f>
        <v/>
      </c>
      <c r="J1247" s="208">
        <f>EXP(SUMPRODUCT((rl_eff&lt;=$C1247)*(rl_key=$A$1210)*rl_ln1p))</f>
        <v/>
      </c>
      <c r="K1247" s="201">
        <f>COUNTIFS(rl_key,$A$1210,rl_eff,"&gt;="&amp;$B1247,rl_eff,"&lt;="&amp;$C1247)</f>
        <v/>
      </c>
      <c r="L1247" s="201">
        <f>SUMIFS(rl_daysafter,rl_key,$A$1210,rl_effmonth,$B1247,rl_first,1)</f>
        <v/>
      </c>
      <c r="M1247" s="209">
        <f>IF($K1247=0,0,MIN(1,$L1247/$D1247))</f>
        <v/>
      </c>
      <c r="N1247" s="208">
        <f>IF($K1247=0,$J1247,(1-$M1247)*$I1247+$M1247*$J1247)</f>
        <v/>
      </c>
      <c r="O1247" s="209">
        <f>IF($F1247&lt;$B$1211,$E$1211+$I$1211*($F1247-$A$1211),IF($F1247&lt;$C$1211,$F$1211+$J$1211*($F1247-$B$1211),$G$1211+$K$1211*($F1247-$C$1211)))</f>
        <v/>
      </c>
      <c r="P1247" s="208">
        <f>MIN(1,MAX(0,(nr_MEndPm1-$G1247+0.5)/$C$1210))-MIN(1,MAX(0,(nr_MStartPm1-1-$G1247+0.5)/$C$1210))</f>
        <v/>
      </c>
      <c r="Q1247" s="208">
        <f>MIN(1,MAX(0,(nr_MEndP-$G1247+0.5)/$C$1210))-MIN(1,MAX(0,(nr_MStartP-1-$G1247+0.5)/$C$1210))</f>
        <v/>
      </c>
      <c r="R1247" s="208">
        <f>MIN(1,MAX(0,(nr_MEndP1-$G1247+0.5)/$C$1210))-MIN(1,MAX(0,(nr_MStartP1-1-$G1247+0.5)/$C$1210))</f>
        <v/>
      </c>
      <c r="S1247" s="208">
        <f>IF($L$1210,$N1247*IF($O$1210=1,$O1247/$F$1210,1),"")</f>
        <v/>
      </c>
      <c r="T1247" s="208">
        <f>IF(NOT($L$1210),"",IF($G1247&lt;nr_MStartP,$S1247,$T1235*(1+IF($G1247&lt;nr_MStartP1,$M$1210,$N$1210))))</f>
        <v/>
      </c>
      <c r="U1247" s="208">
        <f>IF($L$1210,$T1247,$N1247)</f>
        <v/>
      </c>
    </row>
    <row r="1248">
      <c r="A1248" s="145" t="n">
        <v>36</v>
      </c>
      <c r="B1248" s="204">
        <f>EDATE($B1247,1)</f>
        <v/>
      </c>
      <c r="C1248" s="205">
        <f>EOMONTH($B1248,0)</f>
        <v/>
      </c>
      <c r="D1248" s="201">
        <f>$C1248-$B1248+1</f>
        <v/>
      </c>
      <c r="E1248" s="201">
        <f>MONTH($B1248)</f>
        <v/>
      </c>
      <c r="F1248" s="235">
        <f>($B1248+$C1248+1)/2</f>
        <v/>
      </c>
      <c r="G1248" s="201">
        <f>YEAR($B1248)*12+MONTH($B1248)-1</f>
        <v/>
      </c>
      <c r="H1248" s="207">
        <f>IF(OR(nr_SeasonOn="OFF",$D$1210=0,$E$1210=0),1,12*INDEX(se_block,$D$1210,$E1248)/$E$1210)</f>
        <v/>
      </c>
      <c r="I1248" s="208">
        <f>EXP(SUMPRODUCT((rl_eff&lt;$B1248)*(rl_key=$A$1210)*rl_ln1p))</f>
        <v/>
      </c>
      <c r="J1248" s="208">
        <f>EXP(SUMPRODUCT((rl_eff&lt;=$C1248)*(rl_key=$A$1210)*rl_ln1p))</f>
        <v/>
      </c>
      <c r="K1248" s="201">
        <f>COUNTIFS(rl_key,$A$1210,rl_eff,"&gt;="&amp;$B1248,rl_eff,"&lt;="&amp;$C1248)</f>
        <v/>
      </c>
      <c r="L1248" s="201">
        <f>SUMIFS(rl_daysafter,rl_key,$A$1210,rl_effmonth,$B1248,rl_first,1)</f>
        <v/>
      </c>
      <c r="M1248" s="209">
        <f>IF($K1248=0,0,MIN(1,$L1248/$D1248))</f>
        <v/>
      </c>
      <c r="N1248" s="208">
        <f>IF($K1248=0,$J1248,(1-$M1248)*$I1248+$M1248*$J1248)</f>
        <v/>
      </c>
      <c r="O1248" s="209">
        <f>IF($F1248&lt;$B$1211,$E$1211+$I$1211*($F1248-$A$1211),IF($F1248&lt;$C$1211,$F$1211+$J$1211*($F1248-$B$1211),$G$1211+$K$1211*($F1248-$C$1211)))</f>
        <v/>
      </c>
      <c r="P1248" s="208">
        <f>MIN(1,MAX(0,(nr_MEndPm1-$G1248+0.5)/$C$1210))-MIN(1,MAX(0,(nr_MStartPm1-1-$G1248+0.5)/$C$1210))</f>
        <v/>
      </c>
      <c r="Q1248" s="208">
        <f>MIN(1,MAX(0,(nr_MEndP-$G1248+0.5)/$C$1210))-MIN(1,MAX(0,(nr_MStartP-1-$G1248+0.5)/$C$1210))</f>
        <v/>
      </c>
      <c r="R1248" s="208">
        <f>MIN(1,MAX(0,(nr_MEndP1-$G1248+0.5)/$C$1210))-MIN(1,MAX(0,(nr_MStartP1-1-$G1248+0.5)/$C$1210))</f>
        <v/>
      </c>
      <c r="S1248" s="208">
        <f>IF($L$1210,$N1248*IF($O$1210=1,$O1248/$F$1210,1),"")</f>
        <v/>
      </c>
      <c r="T1248" s="208">
        <f>IF(NOT($L$1210),"",IF($G1248&lt;nr_MStartP,$S1248,$T1236*(1+IF($G1248&lt;nr_MStartP1,$M$1210,$N$1210))))</f>
        <v/>
      </c>
      <c r="U1248" s="208">
        <f>IF($L$1210,$T1248,$N1248)</f>
        <v/>
      </c>
    </row>
    <row r="1249">
      <c r="A1249" s="145" t="n">
        <v>37</v>
      </c>
      <c r="B1249" s="204">
        <f>EDATE($B1248,1)</f>
        <v/>
      </c>
      <c r="C1249" s="205">
        <f>EOMONTH($B1249,0)</f>
        <v/>
      </c>
      <c r="D1249" s="201">
        <f>$C1249-$B1249+1</f>
        <v/>
      </c>
      <c r="E1249" s="201">
        <f>MONTH($B1249)</f>
        <v/>
      </c>
      <c r="F1249" s="235">
        <f>($B1249+$C1249+1)/2</f>
        <v/>
      </c>
      <c r="G1249" s="201">
        <f>YEAR($B1249)*12+MONTH($B1249)-1</f>
        <v/>
      </c>
      <c r="H1249" s="207">
        <f>IF(OR(nr_SeasonOn="OFF",$D$1210=0,$E$1210=0),1,12*INDEX(se_block,$D$1210,$E1249)/$E$1210)</f>
        <v/>
      </c>
      <c r="I1249" s="208">
        <f>EXP(SUMPRODUCT((rl_eff&lt;$B1249)*(rl_key=$A$1210)*rl_ln1p))</f>
        <v/>
      </c>
      <c r="J1249" s="208">
        <f>EXP(SUMPRODUCT((rl_eff&lt;=$C1249)*(rl_key=$A$1210)*rl_ln1p))</f>
        <v/>
      </c>
      <c r="K1249" s="201">
        <f>COUNTIFS(rl_key,$A$1210,rl_eff,"&gt;="&amp;$B1249,rl_eff,"&lt;="&amp;$C1249)</f>
        <v/>
      </c>
      <c r="L1249" s="201">
        <f>SUMIFS(rl_daysafter,rl_key,$A$1210,rl_effmonth,$B1249,rl_first,1)</f>
        <v/>
      </c>
      <c r="M1249" s="209">
        <f>IF($K1249=0,0,MIN(1,$L1249/$D1249))</f>
        <v/>
      </c>
      <c r="N1249" s="208">
        <f>IF($K1249=0,$J1249,(1-$M1249)*$I1249+$M1249*$J1249)</f>
        <v/>
      </c>
      <c r="O1249" s="209">
        <f>IF($F1249&lt;$B$1211,$E$1211+$I$1211*($F1249-$A$1211),IF($F1249&lt;$C$1211,$F$1211+$J$1211*($F1249-$B$1211),$G$1211+$K$1211*($F1249-$C$1211)))</f>
        <v/>
      </c>
      <c r="P1249" s="208">
        <f>MIN(1,MAX(0,(nr_MEndPm1-$G1249+0.5)/$C$1210))-MIN(1,MAX(0,(nr_MStartPm1-1-$G1249+0.5)/$C$1210))</f>
        <v/>
      </c>
      <c r="Q1249" s="208">
        <f>MIN(1,MAX(0,(nr_MEndP-$G1249+0.5)/$C$1210))-MIN(1,MAX(0,(nr_MStartP-1-$G1249+0.5)/$C$1210))</f>
        <v/>
      </c>
      <c r="R1249" s="208">
        <f>MIN(1,MAX(0,(nr_MEndP1-$G1249+0.5)/$C$1210))-MIN(1,MAX(0,(nr_MStartP1-1-$G1249+0.5)/$C$1210))</f>
        <v/>
      </c>
      <c r="S1249" s="208">
        <f>IF($L$1210,$N1249*IF($O$1210=1,$O1249/$F$1210,1),"")</f>
        <v/>
      </c>
      <c r="T1249" s="208">
        <f>IF(NOT($L$1210),"",IF($G1249&lt;nr_MStartP,$S1249,$T1237*(1+IF($G1249&lt;nr_MStartP1,$M$1210,$N$1210))))</f>
        <v/>
      </c>
      <c r="U1249" s="208">
        <f>IF($L$1210,$T1249,$N1249)</f>
        <v/>
      </c>
    </row>
    <row r="1250">
      <c r="A1250" s="145" t="n">
        <v>38</v>
      </c>
      <c r="B1250" s="204">
        <f>EDATE($B1249,1)</f>
        <v/>
      </c>
      <c r="C1250" s="205">
        <f>EOMONTH($B1250,0)</f>
        <v/>
      </c>
      <c r="D1250" s="201">
        <f>$C1250-$B1250+1</f>
        <v/>
      </c>
      <c r="E1250" s="201">
        <f>MONTH($B1250)</f>
        <v/>
      </c>
      <c r="F1250" s="235">
        <f>($B1250+$C1250+1)/2</f>
        <v/>
      </c>
      <c r="G1250" s="201">
        <f>YEAR($B1250)*12+MONTH($B1250)-1</f>
        <v/>
      </c>
      <c r="H1250" s="207">
        <f>IF(OR(nr_SeasonOn="OFF",$D$1210=0,$E$1210=0),1,12*INDEX(se_block,$D$1210,$E1250)/$E$1210)</f>
        <v/>
      </c>
      <c r="I1250" s="208">
        <f>EXP(SUMPRODUCT((rl_eff&lt;$B1250)*(rl_key=$A$1210)*rl_ln1p))</f>
        <v/>
      </c>
      <c r="J1250" s="208">
        <f>EXP(SUMPRODUCT((rl_eff&lt;=$C1250)*(rl_key=$A$1210)*rl_ln1p))</f>
        <v/>
      </c>
      <c r="K1250" s="201">
        <f>COUNTIFS(rl_key,$A$1210,rl_eff,"&gt;="&amp;$B1250,rl_eff,"&lt;="&amp;$C1250)</f>
        <v/>
      </c>
      <c r="L1250" s="201">
        <f>SUMIFS(rl_daysafter,rl_key,$A$1210,rl_effmonth,$B1250,rl_first,1)</f>
        <v/>
      </c>
      <c r="M1250" s="209">
        <f>IF($K1250=0,0,MIN(1,$L1250/$D1250))</f>
        <v/>
      </c>
      <c r="N1250" s="208">
        <f>IF($K1250=0,$J1250,(1-$M1250)*$I1250+$M1250*$J1250)</f>
        <v/>
      </c>
      <c r="O1250" s="209">
        <f>IF($F1250&lt;$B$1211,$E$1211+$I$1211*($F1250-$A$1211),IF($F1250&lt;$C$1211,$F$1211+$J$1211*($F1250-$B$1211),$G$1211+$K$1211*($F1250-$C$1211)))</f>
        <v/>
      </c>
      <c r="P1250" s="208">
        <f>MIN(1,MAX(0,(nr_MEndPm1-$G1250+0.5)/$C$1210))-MIN(1,MAX(0,(nr_MStartPm1-1-$G1250+0.5)/$C$1210))</f>
        <v/>
      </c>
      <c r="Q1250" s="208">
        <f>MIN(1,MAX(0,(nr_MEndP-$G1250+0.5)/$C$1210))-MIN(1,MAX(0,(nr_MStartP-1-$G1250+0.5)/$C$1210))</f>
        <v/>
      </c>
      <c r="R1250" s="208">
        <f>MIN(1,MAX(0,(nr_MEndP1-$G1250+0.5)/$C$1210))-MIN(1,MAX(0,(nr_MStartP1-1-$G1250+0.5)/$C$1210))</f>
        <v/>
      </c>
      <c r="S1250" s="208">
        <f>IF($L$1210,$N1250*IF($O$1210=1,$O1250/$F$1210,1),"")</f>
        <v/>
      </c>
      <c r="T1250" s="208">
        <f>IF(NOT($L$1210),"",IF($G1250&lt;nr_MStartP,$S1250,$T1238*(1+IF($G1250&lt;nr_MStartP1,$M$1210,$N$1210))))</f>
        <v/>
      </c>
      <c r="U1250" s="208">
        <f>IF($L$1210,$T1250,$N1250)</f>
        <v/>
      </c>
    </row>
    <row r="1251">
      <c r="A1251" s="145" t="n">
        <v>39</v>
      </c>
      <c r="B1251" s="204">
        <f>EDATE($B1250,1)</f>
        <v/>
      </c>
      <c r="C1251" s="205">
        <f>EOMONTH($B1251,0)</f>
        <v/>
      </c>
      <c r="D1251" s="201">
        <f>$C1251-$B1251+1</f>
        <v/>
      </c>
      <c r="E1251" s="201">
        <f>MONTH($B1251)</f>
        <v/>
      </c>
      <c r="F1251" s="235">
        <f>($B1251+$C1251+1)/2</f>
        <v/>
      </c>
      <c r="G1251" s="201">
        <f>YEAR($B1251)*12+MONTH($B1251)-1</f>
        <v/>
      </c>
      <c r="H1251" s="207">
        <f>IF(OR(nr_SeasonOn="OFF",$D$1210=0,$E$1210=0),1,12*INDEX(se_block,$D$1210,$E1251)/$E$1210)</f>
        <v/>
      </c>
      <c r="I1251" s="208">
        <f>EXP(SUMPRODUCT((rl_eff&lt;$B1251)*(rl_key=$A$1210)*rl_ln1p))</f>
        <v/>
      </c>
      <c r="J1251" s="208">
        <f>EXP(SUMPRODUCT((rl_eff&lt;=$C1251)*(rl_key=$A$1210)*rl_ln1p))</f>
        <v/>
      </c>
      <c r="K1251" s="201">
        <f>COUNTIFS(rl_key,$A$1210,rl_eff,"&gt;="&amp;$B1251,rl_eff,"&lt;="&amp;$C1251)</f>
        <v/>
      </c>
      <c r="L1251" s="201">
        <f>SUMIFS(rl_daysafter,rl_key,$A$1210,rl_effmonth,$B1251,rl_first,1)</f>
        <v/>
      </c>
      <c r="M1251" s="209">
        <f>IF($K1251=0,0,MIN(1,$L1251/$D1251))</f>
        <v/>
      </c>
      <c r="N1251" s="208">
        <f>IF($K1251=0,$J1251,(1-$M1251)*$I1251+$M1251*$J1251)</f>
        <v/>
      </c>
      <c r="O1251" s="209">
        <f>IF($F1251&lt;$B$1211,$E$1211+$I$1211*($F1251-$A$1211),IF($F1251&lt;$C$1211,$F$1211+$J$1211*($F1251-$B$1211),$G$1211+$K$1211*($F1251-$C$1211)))</f>
        <v/>
      </c>
      <c r="P1251" s="208">
        <f>MIN(1,MAX(0,(nr_MEndPm1-$G1251+0.5)/$C$1210))-MIN(1,MAX(0,(nr_MStartPm1-1-$G1251+0.5)/$C$1210))</f>
        <v/>
      </c>
      <c r="Q1251" s="208">
        <f>MIN(1,MAX(0,(nr_MEndP-$G1251+0.5)/$C$1210))-MIN(1,MAX(0,(nr_MStartP-1-$G1251+0.5)/$C$1210))</f>
        <v/>
      </c>
      <c r="R1251" s="208">
        <f>MIN(1,MAX(0,(nr_MEndP1-$G1251+0.5)/$C$1210))-MIN(1,MAX(0,(nr_MStartP1-1-$G1251+0.5)/$C$1210))</f>
        <v/>
      </c>
      <c r="S1251" s="208">
        <f>IF($L$1210,$N1251*IF($O$1210=1,$O1251/$F$1210,1),"")</f>
        <v/>
      </c>
      <c r="T1251" s="208">
        <f>IF(NOT($L$1210),"",IF($G1251&lt;nr_MStartP,$S1251,$T1239*(1+IF($G1251&lt;nr_MStartP1,$M$1210,$N$1210))))</f>
        <v/>
      </c>
      <c r="U1251" s="208">
        <f>IF($L$1210,$T1251,$N1251)</f>
        <v/>
      </c>
    </row>
    <row r="1252">
      <c r="A1252" s="145" t="n">
        <v>40</v>
      </c>
      <c r="B1252" s="204">
        <f>EDATE($B1251,1)</f>
        <v/>
      </c>
      <c r="C1252" s="205">
        <f>EOMONTH($B1252,0)</f>
        <v/>
      </c>
      <c r="D1252" s="201">
        <f>$C1252-$B1252+1</f>
        <v/>
      </c>
      <c r="E1252" s="201">
        <f>MONTH($B1252)</f>
        <v/>
      </c>
      <c r="F1252" s="235">
        <f>($B1252+$C1252+1)/2</f>
        <v/>
      </c>
      <c r="G1252" s="201">
        <f>YEAR($B1252)*12+MONTH($B1252)-1</f>
        <v/>
      </c>
      <c r="H1252" s="207">
        <f>IF(OR(nr_SeasonOn="OFF",$D$1210=0,$E$1210=0),1,12*INDEX(se_block,$D$1210,$E1252)/$E$1210)</f>
        <v/>
      </c>
      <c r="I1252" s="208">
        <f>EXP(SUMPRODUCT((rl_eff&lt;$B1252)*(rl_key=$A$1210)*rl_ln1p))</f>
        <v/>
      </c>
      <c r="J1252" s="208">
        <f>EXP(SUMPRODUCT((rl_eff&lt;=$C1252)*(rl_key=$A$1210)*rl_ln1p))</f>
        <v/>
      </c>
      <c r="K1252" s="201">
        <f>COUNTIFS(rl_key,$A$1210,rl_eff,"&gt;="&amp;$B1252,rl_eff,"&lt;="&amp;$C1252)</f>
        <v/>
      </c>
      <c r="L1252" s="201">
        <f>SUMIFS(rl_daysafter,rl_key,$A$1210,rl_effmonth,$B1252,rl_first,1)</f>
        <v/>
      </c>
      <c r="M1252" s="209">
        <f>IF($K1252=0,0,MIN(1,$L1252/$D1252))</f>
        <v/>
      </c>
      <c r="N1252" s="208">
        <f>IF($K1252=0,$J1252,(1-$M1252)*$I1252+$M1252*$J1252)</f>
        <v/>
      </c>
      <c r="O1252" s="209">
        <f>IF($F1252&lt;$B$1211,$E$1211+$I$1211*($F1252-$A$1211),IF($F1252&lt;$C$1211,$F$1211+$J$1211*($F1252-$B$1211),$G$1211+$K$1211*($F1252-$C$1211)))</f>
        <v/>
      </c>
      <c r="P1252" s="208">
        <f>MIN(1,MAX(0,(nr_MEndPm1-$G1252+0.5)/$C$1210))-MIN(1,MAX(0,(nr_MStartPm1-1-$G1252+0.5)/$C$1210))</f>
        <v/>
      </c>
      <c r="Q1252" s="208">
        <f>MIN(1,MAX(0,(nr_MEndP-$G1252+0.5)/$C$1210))-MIN(1,MAX(0,(nr_MStartP-1-$G1252+0.5)/$C$1210))</f>
        <v/>
      </c>
      <c r="R1252" s="208">
        <f>MIN(1,MAX(0,(nr_MEndP1-$G1252+0.5)/$C$1210))-MIN(1,MAX(0,(nr_MStartP1-1-$G1252+0.5)/$C$1210))</f>
        <v/>
      </c>
      <c r="S1252" s="208">
        <f>IF($L$1210,$N1252*IF($O$1210=1,$O1252/$F$1210,1),"")</f>
        <v/>
      </c>
      <c r="T1252" s="208">
        <f>IF(NOT($L$1210),"",IF($G1252&lt;nr_MStartP,$S1252,$T1240*(1+IF($G1252&lt;nr_MStartP1,$M$1210,$N$1210))))</f>
        <v/>
      </c>
      <c r="U1252" s="208">
        <f>IF($L$1210,$T1252,$N1252)</f>
        <v/>
      </c>
    </row>
    <row r="1253">
      <c r="A1253" s="145" t="n">
        <v>41</v>
      </c>
      <c r="B1253" s="204">
        <f>EDATE($B1252,1)</f>
        <v/>
      </c>
      <c r="C1253" s="205">
        <f>EOMONTH($B1253,0)</f>
        <v/>
      </c>
      <c r="D1253" s="201">
        <f>$C1253-$B1253+1</f>
        <v/>
      </c>
      <c r="E1253" s="201">
        <f>MONTH($B1253)</f>
        <v/>
      </c>
      <c r="F1253" s="235">
        <f>($B1253+$C1253+1)/2</f>
        <v/>
      </c>
      <c r="G1253" s="201">
        <f>YEAR($B1253)*12+MONTH($B1253)-1</f>
        <v/>
      </c>
      <c r="H1253" s="207">
        <f>IF(OR(nr_SeasonOn="OFF",$D$1210=0,$E$1210=0),1,12*INDEX(se_block,$D$1210,$E1253)/$E$1210)</f>
        <v/>
      </c>
      <c r="I1253" s="208">
        <f>EXP(SUMPRODUCT((rl_eff&lt;$B1253)*(rl_key=$A$1210)*rl_ln1p))</f>
        <v/>
      </c>
      <c r="J1253" s="208">
        <f>EXP(SUMPRODUCT((rl_eff&lt;=$C1253)*(rl_key=$A$1210)*rl_ln1p))</f>
        <v/>
      </c>
      <c r="K1253" s="201">
        <f>COUNTIFS(rl_key,$A$1210,rl_eff,"&gt;="&amp;$B1253,rl_eff,"&lt;="&amp;$C1253)</f>
        <v/>
      </c>
      <c r="L1253" s="201">
        <f>SUMIFS(rl_daysafter,rl_key,$A$1210,rl_effmonth,$B1253,rl_first,1)</f>
        <v/>
      </c>
      <c r="M1253" s="209">
        <f>IF($K1253=0,0,MIN(1,$L1253/$D1253))</f>
        <v/>
      </c>
      <c r="N1253" s="208">
        <f>IF($K1253=0,$J1253,(1-$M1253)*$I1253+$M1253*$J1253)</f>
        <v/>
      </c>
      <c r="O1253" s="209">
        <f>IF($F1253&lt;$B$1211,$E$1211+$I$1211*($F1253-$A$1211),IF($F1253&lt;$C$1211,$F$1211+$J$1211*($F1253-$B$1211),$G$1211+$K$1211*($F1253-$C$1211)))</f>
        <v/>
      </c>
      <c r="P1253" s="208">
        <f>MIN(1,MAX(0,(nr_MEndPm1-$G1253+0.5)/$C$1210))-MIN(1,MAX(0,(nr_MStartPm1-1-$G1253+0.5)/$C$1210))</f>
        <v/>
      </c>
      <c r="Q1253" s="208">
        <f>MIN(1,MAX(0,(nr_MEndP-$G1253+0.5)/$C$1210))-MIN(1,MAX(0,(nr_MStartP-1-$G1253+0.5)/$C$1210))</f>
        <v/>
      </c>
      <c r="R1253" s="208">
        <f>MIN(1,MAX(0,(nr_MEndP1-$G1253+0.5)/$C$1210))-MIN(1,MAX(0,(nr_MStartP1-1-$G1253+0.5)/$C$1210))</f>
        <v/>
      </c>
      <c r="S1253" s="208">
        <f>IF($L$1210,$N1253*IF($O$1210=1,$O1253/$F$1210,1),"")</f>
        <v/>
      </c>
      <c r="T1253" s="208">
        <f>IF(NOT($L$1210),"",IF($G1253&lt;nr_MStartP,$S1253,$T1241*(1+IF($G1253&lt;nr_MStartP1,$M$1210,$N$1210))))</f>
        <v/>
      </c>
      <c r="U1253" s="208">
        <f>IF($L$1210,$T1253,$N1253)</f>
        <v/>
      </c>
    </row>
    <row r="1254">
      <c r="A1254" s="145" t="n">
        <v>42</v>
      </c>
      <c r="B1254" s="204">
        <f>EDATE($B1253,1)</f>
        <v/>
      </c>
      <c r="C1254" s="205">
        <f>EOMONTH($B1254,0)</f>
        <v/>
      </c>
      <c r="D1254" s="201">
        <f>$C1254-$B1254+1</f>
        <v/>
      </c>
      <c r="E1254" s="201">
        <f>MONTH($B1254)</f>
        <v/>
      </c>
      <c r="F1254" s="235">
        <f>($B1254+$C1254+1)/2</f>
        <v/>
      </c>
      <c r="G1254" s="201">
        <f>YEAR($B1254)*12+MONTH($B1254)-1</f>
        <v/>
      </c>
      <c r="H1254" s="207">
        <f>IF(OR(nr_SeasonOn="OFF",$D$1210=0,$E$1210=0),1,12*INDEX(se_block,$D$1210,$E1254)/$E$1210)</f>
        <v/>
      </c>
      <c r="I1254" s="208">
        <f>EXP(SUMPRODUCT((rl_eff&lt;$B1254)*(rl_key=$A$1210)*rl_ln1p))</f>
        <v/>
      </c>
      <c r="J1254" s="208">
        <f>EXP(SUMPRODUCT((rl_eff&lt;=$C1254)*(rl_key=$A$1210)*rl_ln1p))</f>
        <v/>
      </c>
      <c r="K1254" s="201">
        <f>COUNTIFS(rl_key,$A$1210,rl_eff,"&gt;="&amp;$B1254,rl_eff,"&lt;="&amp;$C1254)</f>
        <v/>
      </c>
      <c r="L1254" s="201">
        <f>SUMIFS(rl_daysafter,rl_key,$A$1210,rl_effmonth,$B1254,rl_first,1)</f>
        <v/>
      </c>
      <c r="M1254" s="209">
        <f>IF($K1254=0,0,MIN(1,$L1254/$D1254))</f>
        <v/>
      </c>
      <c r="N1254" s="208">
        <f>IF($K1254=0,$J1254,(1-$M1254)*$I1254+$M1254*$J1254)</f>
        <v/>
      </c>
      <c r="O1254" s="209">
        <f>IF($F1254&lt;$B$1211,$E$1211+$I$1211*($F1254-$A$1211),IF($F1254&lt;$C$1211,$F$1211+$J$1211*($F1254-$B$1211),$G$1211+$K$1211*($F1254-$C$1211)))</f>
        <v/>
      </c>
      <c r="P1254" s="208">
        <f>MIN(1,MAX(0,(nr_MEndPm1-$G1254+0.5)/$C$1210))-MIN(1,MAX(0,(nr_MStartPm1-1-$G1254+0.5)/$C$1210))</f>
        <v/>
      </c>
      <c r="Q1254" s="208">
        <f>MIN(1,MAX(0,(nr_MEndP-$G1254+0.5)/$C$1210))-MIN(1,MAX(0,(nr_MStartP-1-$G1254+0.5)/$C$1210))</f>
        <v/>
      </c>
      <c r="R1254" s="208">
        <f>MIN(1,MAX(0,(nr_MEndP1-$G1254+0.5)/$C$1210))-MIN(1,MAX(0,(nr_MStartP1-1-$G1254+0.5)/$C$1210))</f>
        <v/>
      </c>
      <c r="S1254" s="208">
        <f>IF($L$1210,$N1254*IF($O$1210=1,$O1254/$F$1210,1),"")</f>
        <v/>
      </c>
      <c r="T1254" s="208">
        <f>IF(NOT($L$1210),"",IF($G1254&lt;nr_MStartP,$S1254,$T1242*(1+IF($G1254&lt;nr_MStartP1,$M$1210,$N$1210))))</f>
        <v/>
      </c>
      <c r="U1254" s="208">
        <f>IF($L$1210,$T1254,$N1254)</f>
        <v/>
      </c>
    </row>
    <row r="1255">
      <c r="A1255" s="145" t="n">
        <v>43</v>
      </c>
      <c r="B1255" s="204">
        <f>EDATE($B1254,1)</f>
        <v/>
      </c>
      <c r="C1255" s="205">
        <f>EOMONTH($B1255,0)</f>
        <v/>
      </c>
      <c r="D1255" s="201">
        <f>$C1255-$B1255+1</f>
        <v/>
      </c>
      <c r="E1255" s="201">
        <f>MONTH($B1255)</f>
        <v/>
      </c>
      <c r="F1255" s="235">
        <f>($B1255+$C1255+1)/2</f>
        <v/>
      </c>
      <c r="G1255" s="201">
        <f>YEAR($B1255)*12+MONTH($B1255)-1</f>
        <v/>
      </c>
      <c r="H1255" s="207">
        <f>IF(OR(nr_SeasonOn="OFF",$D$1210=0,$E$1210=0),1,12*INDEX(se_block,$D$1210,$E1255)/$E$1210)</f>
        <v/>
      </c>
      <c r="I1255" s="208">
        <f>EXP(SUMPRODUCT((rl_eff&lt;$B1255)*(rl_key=$A$1210)*rl_ln1p))</f>
        <v/>
      </c>
      <c r="J1255" s="208">
        <f>EXP(SUMPRODUCT((rl_eff&lt;=$C1255)*(rl_key=$A$1210)*rl_ln1p))</f>
        <v/>
      </c>
      <c r="K1255" s="201">
        <f>COUNTIFS(rl_key,$A$1210,rl_eff,"&gt;="&amp;$B1255,rl_eff,"&lt;="&amp;$C1255)</f>
        <v/>
      </c>
      <c r="L1255" s="201">
        <f>SUMIFS(rl_daysafter,rl_key,$A$1210,rl_effmonth,$B1255,rl_first,1)</f>
        <v/>
      </c>
      <c r="M1255" s="209">
        <f>IF($K1255=0,0,MIN(1,$L1255/$D1255))</f>
        <v/>
      </c>
      <c r="N1255" s="208">
        <f>IF($K1255=0,$J1255,(1-$M1255)*$I1255+$M1255*$J1255)</f>
        <v/>
      </c>
      <c r="O1255" s="209">
        <f>IF($F1255&lt;$B$1211,$E$1211+$I$1211*($F1255-$A$1211),IF($F1255&lt;$C$1211,$F$1211+$J$1211*($F1255-$B$1211),$G$1211+$K$1211*($F1255-$C$1211)))</f>
        <v/>
      </c>
      <c r="P1255" s="208">
        <f>MIN(1,MAX(0,(nr_MEndPm1-$G1255+0.5)/$C$1210))-MIN(1,MAX(0,(nr_MStartPm1-1-$G1255+0.5)/$C$1210))</f>
        <v/>
      </c>
      <c r="Q1255" s="208">
        <f>MIN(1,MAX(0,(nr_MEndP-$G1255+0.5)/$C$1210))-MIN(1,MAX(0,(nr_MStartP-1-$G1255+0.5)/$C$1210))</f>
        <v/>
      </c>
      <c r="R1255" s="208">
        <f>MIN(1,MAX(0,(nr_MEndP1-$G1255+0.5)/$C$1210))-MIN(1,MAX(0,(nr_MStartP1-1-$G1255+0.5)/$C$1210))</f>
        <v/>
      </c>
      <c r="S1255" s="208">
        <f>IF($L$1210,$N1255*IF($O$1210=1,$O1255/$F$1210,1),"")</f>
        <v/>
      </c>
      <c r="T1255" s="208">
        <f>IF(NOT($L$1210),"",IF($G1255&lt;nr_MStartP,$S1255,$T1243*(1+IF($G1255&lt;nr_MStartP1,$M$1210,$N$1210))))</f>
        <v/>
      </c>
      <c r="U1255" s="208">
        <f>IF($L$1210,$T1255,$N1255)</f>
        <v/>
      </c>
    </row>
    <row r="1256">
      <c r="A1256" s="145" t="n">
        <v>44</v>
      </c>
      <c r="B1256" s="204">
        <f>EDATE($B1255,1)</f>
        <v/>
      </c>
      <c r="C1256" s="205">
        <f>EOMONTH($B1256,0)</f>
        <v/>
      </c>
      <c r="D1256" s="201">
        <f>$C1256-$B1256+1</f>
        <v/>
      </c>
      <c r="E1256" s="201">
        <f>MONTH($B1256)</f>
        <v/>
      </c>
      <c r="F1256" s="235">
        <f>($B1256+$C1256+1)/2</f>
        <v/>
      </c>
      <c r="G1256" s="201">
        <f>YEAR($B1256)*12+MONTH($B1256)-1</f>
        <v/>
      </c>
      <c r="H1256" s="207">
        <f>IF(OR(nr_SeasonOn="OFF",$D$1210=0,$E$1210=0),1,12*INDEX(se_block,$D$1210,$E1256)/$E$1210)</f>
        <v/>
      </c>
      <c r="I1256" s="208">
        <f>EXP(SUMPRODUCT((rl_eff&lt;$B1256)*(rl_key=$A$1210)*rl_ln1p))</f>
        <v/>
      </c>
      <c r="J1256" s="208">
        <f>EXP(SUMPRODUCT((rl_eff&lt;=$C1256)*(rl_key=$A$1210)*rl_ln1p))</f>
        <v/>
      </c>
      <c r="K1256" s="201">
        <f>COUNTIFS(rl_key,$A$1210,rl_eff,"&gt;="&amp;$B1256,rl_eff,"&lt;="&amp;$C1256)</f>
        <v/>
      </c>
      <c r="L1256" s="201">
        <f>SUMIFS(rl_daysafter,rl_key,$A$1210,rl_effmonth,$B1256,rl_first,1)</f>
        <v/>
      </c>
      <c r="M1256" s="209">
        <f>IF($K1256=0,0,MIN(1,$L1256/$D1256))</f>
        <v/>
      </c>
      <c r="N1256" s="208">
        <f>IF($K1256=0,$J1256,(1-$M1256)*$I1256+$M1256*$J1256)</f>
        <v/>
      </c>
      <c r="O1256" s="209">
        <f>IF($F1256&lt;$B$1211,$E$1211+$I$1211*($F1256-$A$1211),IF($F1256&lt;$C$1211,$F$1211+$J$1211*($F1256-$B$1211),$G$1211+$K$1211*($F1256-$C$1211)))</f>
        <v/>
      </c>
      <c r="P1256" s="208">
        <f>MIN(1,MAX(0,(nr_MEndPm1-$G1256+0.5)/$C$1210))-MIN(1,MAX(0,(nr_MStartPm1-1-$G1256+0.5)/$C$1210))</f>
        <v/>
      </c>
      <c r="Q1256" s="208">
        <f>MIN(1,MAX(0,(nr_MEndP-$G1256+0.5)/$C$1210))-MIN(1,MAX(0,(nr_MStartP-1-$G1256+0.5)/$C$1210))</f>
        <v/>
      </c>
      <c r="R1256" s="208">
        <f>MIN(1,MAX(0,(nr_MEndP1-$G1256+0.5)/$C$1210))-MIN(1,MAX(0,(nr_MStartP1-1-$G1256+0.5)/$C$1210))</f>
        <v/>
      </c>
      <c r="S1256" s="208">
        <f>IF($L$1210,$N1256*IF($O$1210=1,$O1256/$F$1210,1),"")</f>
        <v/>
      </c>
      <c r="T1256" s="208">
        <f>IF(NOT($L$1210),"",IF($G1256&lt;nr_MStartP,$S1256,$T1244*(1+IF($G1256&lt;nr_MStartP1,$M$1210,$N$1210))))</f>
        <v/>
      </c>
      <c r="U1256" s="208">
        <f>IF($L$1210,$T1256,$N1256)</f>
        <v/>
      </c>
    </row>
    <row r="1257">
      <c r="A1257" s="145" t="n">
        <v>45</v>
      </c>
      <c r="B1257" s="204">
        <f>EDATE($B1256,1)</f>
        <v/>
      </c>
      <c r="C1257" s="205">
        <f>EOMONTH($B1257,0)</f>
        <v/>
      </c>
      <c r="D1257" s="201">
        <f>$C1257-$B1257+1</f>
        <v/>
      </c>
      <c r="E1257" s="201">
        <f>MONTH($B1257)</f>
        <v/>
      </c>
      <c r="F1257" s="235">
        <f>($B1257+$C1257+1)/2</f>
        <v/>
      </c>
      <c r="G1257" s="201">
        <f>YEAR($B1257)*12+MONTH($B1257)-1</f>
        <v/>
      </c>
      <c r="H1257" s="207">
        <f>IF(OR(nr_SeasonOn="OFF",$D$1210=0,$E$1210=0),1,12*INDEX(se_block,$D$1210,$E1257)/$E$1210)</f>
        <v/>
      </c>
      <c r="I1257" s="208">
        <f>EXP(SUMPRODUCT((rl_eff&lt;$B1257)*(rl_key=$A$1210)*rl_ln1p))</f>
        <v/>
      </c>
      <c r="J1257" s="208">
        <f>EXP(SUMPRODUCT((rl_eff&lt;=$C1257)*(rl_key=$A$1210)*rl_ln1p))</f>
        <v/>
      </c>
      <c r="K1257" s="201">
        <f>COUNTIFS(rl_key,$A$1210,rl_eff,"&gt;="&amp;$B1257,rl_eff,"&lt;="&amp;$C1257)</f>
        <v/>
      </c>
      <c r="L1257" s="201">
        <f>SUMIFS(rl_daysafter,rl_key,$A$1210,rl_effmonth,$B1257,rl_first,1)</f>
        <v/>
      </c>
      <c r="M1257" s="209">
        <f>IF($K1257=0,0,MIN(1,$L1257/$D1257))</f>
        <v/>
      </c>
      <c r="N1257" s="208">
        <f>IF($K1257=0,$J1257,(1-$M1257)*$I1257+$M1257*$J1257)</f>
        <v/>
      </c>
      <c r="O1257" s="209">
        <f>IF($F1257&lt;$B$1211,$E$1211+$I$1211*($F1257-$A$1211),IF($F1257&lt;$C$1211,$F$1211+$J$1211*($F1257-$B$1211),$G$1211+$K$1211*($F1257-$C$1211)))</f>
        <v/>
      </c>
      <c r="P1257" s="208">
        <f>MIN(1,MAX(0,(nr_MEndPm1-$G1257+0.5)/$C$1210))-MIN(1,MAX(0,(nr_MStartPm1-1-$G1257+0.5)/$C$1210))</f>
        <v/>
      </c>
      <c r="Q1257" s="208">
        <f>MIN(1,MAX(0,(nr_MEndP-$G1257+0.5)/$C$1210))-MIN(1,MAX(0,(nr_MStartP-1-$G1257+0.5)/$C$1210))</f>
        <v/>
      </c>
      <c r="R1257" s="208">
        <f>MIN(1,MAX(0,(nr_MEndP1-$G1257+0.5)/$C$1210))-MIN(1,MAX(0,(nr_MStartP1-1-$G1257+0.5)/$C$1210))</f>
        <v/>
      </c>
      <c r="S1257" s="208">
        <f>IF($L$1210,$N1257*IF($O$1210=1,$O1257/$F$1210,1),"")</f>
        <v/>
      </c>
      <c r="T1257" s="208">
        <f>IF(NOT($L$1210),"",IF($G1257&lt;nr_MStartP,$S1257,$T1245*(1+IF($G1257&lt;nr_MStartP1,$M$1210,$N$1210))))</f>
        <v/>
      </c>
      <c r="U1257" s="208">
        <f>IF($L$1210,$T1257,$N1257)</f>
        <v/>
      </c>
    </row>
    <row r="1258">
      <c r="A1258" s="145" t="n">
        <v>46</v>
      </c>
      <c r="B1258" s="204">
        <f>EDATE($B1257,1)</f>
        <v/>
      </c>
      <c r="C1258" s="205">
        <f>EOMONTH($B1258,0)</f>
        <v/>
      </c>
      <c r="D1258" s="201">
        <f>$C1258-$B1258+1</f>
        <v/>
      </c>
      <c r="E1258" s="201">
        <f>MONTH($B1258)</f>
        <v/>
      </c>
      <c r="F1258" s="235">
        <f>($B1258+$C1258+1)/2</f>
        <v/>
      </c>
      <c r="G1258" s="201">
        <f>YEAR($B1258)*12+MONTH($B1258)-1</f>
        <v/>
      </c>
      <c r="H1258" s="207">
        <f>IF(OR(nr_SeasonOn="OFF",$D$1210=0,$E$1210=0),1,12*INDEX(se_block,$D$1210,$E1258)/$E$1210)</f>
        <v/>
      </c>
      <c r="I1258" s="208">
        <f>EXP(SUMPRODUCT((rl_eff&lt;$B1258)*(rl_key=$A$1210)*rl_ln1p))</f>
        <v/>
      </c>
      <c r="J1258" s="208">
        <f>EXP(SUMPRODUCT((rl_eff&lt;=$C1258)*(rl_key=$A$1210)*rl_ln1p))</f>
        <v/>
      </c>
      <c r="K1258" s="201">
        <f>COUNTIFS(rl_key,$A$1210,rl_eff,"&gt;="&amp;$B1258,rl_eff,"&lt;="&amp;$C1258)</f>
        <v/>
      </c>
      <c r="L1258" s="201">
        <f>SUMIFS(rl_daysafter,rl_key,$A$1210,rl_effmonth,$B1258,rl_first,1)</f>
        <v/>
      </c>
      <c r="M1258" s="209">
        <f>IF($K1258=0,0,MIN(1,$L1258/$D1258))</f>
        <v/>
      </c>
      <c r="N1258" s="208">
        <f>IF($K1258=0,$J1258,(1-$M1258)*$I1258+$M1258*$J1258)</f>
        <v/>
      </c>
      <c r="O1258" s="209">
        <f>IF($F1258&lt;$B$1211,$E$1211+$I$1211*($F1258-$A$1211),IF($F1258&lt;$C$1211,$F$1211+$J$1211*($F1258-$B$1211),$G$1211+$K$1211*($F1258-$C$1211)))</f>
        <v/>
      </c>
      <c r="P1258" s="208">
        <f>MIN(1,MAX(0,(nr_MEndPm1-$G1258+0.5)/$C$1210))-MIN(1,MAX(0,(nr_MStartPm1-1-$G1258+0.5)/$C$1210))</f>
        <v/>
      </c>
      <c r="Q1258" s="208">
        <f>MIN(1,MAX(0,(nr_MEndP-$G1258+0.5)/$C$1210))-MIN(1,MAX(0,(nr_MStartP-1-$G1258+0.5)/$C$1210))</f>
        <v/>
      </c>
      <c r="R1258" s="208">
        <f>MIN(1,MAX(0,(nr_MEndP1-$G1258+0.5)/$C$1210))-MIN(1,MAX(0,(nr_MStartP1-1-$G1258+0.5)/$C$1210))</f>
        <v/>
      </c>
      <c r="S1258" s="208">
        <f>IF($L$1210,$N1258*IF($O$1210=1,$O1258/$F$1210,1),"")</f>
        <v/>
      </c>
      <c r="T1258" s="208">
        <f>IF(NOT($L$1210),"",IF($G1258&lt;nr_MStartP,$S1258,$T1246*(1+IF($G1258&lt;nr_MStartP1,$M$1210,$N$1210))))</f>
        <v/>
      </c>
      <c r="U1258" s="208">
        <f>IF($L$1210,$T1258,$N1258)</f>
        <v/>
      </c>
    </row>
    <row r="1259">
      <c r="A1259" s="145" t="n">
        <v>47</v>
      </c>
      <c r="B1259" s="204">
        <f>EDATE($B1258,1)</f>
        <v/>
      </c>
      <c r="C1259" s="205">
        <f>EOMONTH($B1259,0)</f>
        <v/>
      </c>
      <c r="D1259" s="201">
        <f>$C1259-$B1259+1</f>
        <v/>
      </c>
      <c r="E1259" s="201">
        <f>MONTH($B1259)</f>
        <v/>
      </c>
      <c r="F1259" s="235">
        <f>($B1259+$C1259+1)/2</f>
        <v/>
      </c>
      <c r="G1259" s="201">
        <f>YEAR($B1259)*12+MONTH($B1259)-1</f>
        <v/>
      </c>
      <c r="H1259" s="207">
        <f>IF(OR(nr_SeasonOn="OFF",$D$1210=0,$E$1210=0),1,12*INDEX(se_block,$D$1210,$E1259)/$E$1210)</f>
        <v/>
      </c>
      <c r="I1259" s="208">
        <f>EXP(SUMPRODUCT((rl_eff&lt;$B1259)*(rl_key=$A$1210)*rl_ln1p))</f>
        <v/>
      </c>
      <c r="J1259" s="208">
        <f>EXP(SUMPRODUCT((rl_eff&lt;=$C1259)*(rl_key=$A$1210)*rl_ln1p))</f>
        <v/>
      </c>
      <c r="K1259" s="201">
        <f>COUNTIFS(rl_key,$A$1210,rl_eff,"&gt;="&amp;$B1259,rl_eff,"&lt;="&amp;$C1259)</f>
        <v/>
      </c>
      <c r="L1259" s="201">
        <f>SUMIFS(rl_daysafter,rl_key,$A$1210,rl_effmonth,$B1259,rl_first,1)</f>
        <v/>
      </c>
      <c r="M1259" s="209">
        <f>IF($K1259=0,0,MIN(1,$L1259/$D1259))</f>
        <v/>
      </c>
      <c r="N1259" s="208">
        <f>IF($K1259=0,$J1259,(1-$M1259)*$I1259+$M1259*$J1259)</f>
        <v/>
      </c>
      <c r="O1259" s="209">
        <f>IF($F1259&lt;$B$1211,$E$1211+$I$1211*($F1259-$A$1211),IF($F1259&lt;$C$1211,$F$1211+$J$1211*($F1259-$B$1211),$G$1211+$K$1211*($F1259-$C$1211)))</f>
        <v/>
      </c>
      <c r="P1259" s="208">
        <f>MIN(1,MAX(0,(nr_MEndPm1-$G1259+0.5)/$C$1210))-MIN(1,MAX(0,(nr_MStartPm1-1-$G1259+0.5)/$C$1210))</f>
        <v/>
      </c>
      <c r="Q1259" s="208">
        <f>MIN(1,MAX(0,(nr_MEndP-$G1259+0.5)/$C$1210))-MIN(1,MAX(0,(nr_MStartP-1-$G1259+0.5)/$C$1210))</f>
        <v/>
      </c>
      <c r="R1259" s="208">
        <f>MIN(1,MAX(0,(nr_MEndP1-$G1259+0.5)/$C$1210))-MIN(1,MAX(0,(nr_MStartP1-1-$G1259+0.5)/$C$1210))</f>
        <v/>
      </c>
      <c r="S1259" s="208">
        <f>IF($L$1210,$N1259*IF($O$1210=1,$O1259/$F$1210,1),"")</f>
        <v/>
      </c>
      <c r="T1259" s="208">
        <f>IF(NOT($L$1210),"",IF($G1259&lt;nr_MStartP,$S1259,$T1247*(1+IF($G1259&lt;nr_MStartP1,$M$1210,$N$1210))))</f>
        <v/>
      </c>
      <c r="U1259" s="208">
        <f>IF($L$1210,$T1259,$N1259)</f>
        <v/>
      </c>
    </row>
    <row r="1260">
      <c r="A1260" s="145" t="n">
        <v>48</v>
      </c>
      <c r="B1260" s="204">
        <f>EDATE($B1259,1)</f>
        <v/>
      </c>
      <c r="C1260" s="205">
        <f>EOMONTH($B1260,0)</f>
        <v/>
      </c>
      <c r="D1260" s="201">
        <f>$C1260-$B1260+1</f>
        <v/>
      </c>
      <c r="E1260" s="201">
        <f>MONTH($B1260)</f>
        <v/>
      </c>
      <c r="F1260" s="235">
        <f>($B1260+$C1260+1)/2</f>
        <v/>
      </c>
      <c r="G1260" s="201">
        <f>YEAR($B1260)*12+MONTH($B1260)-1</f>
        <v/>
      </c>
      <c r="H1260" s="207">
        <f>IF(OR(nr_SeasonOn="OFF",$D$1210=0,$E$1210=0),1,12*INDEX(se_block,$D$1210,$E1260)/$E$1210)</f>
        <v/>
      </c>
      <c r="I1260" s="208">
        <f>EXP(SUMPRODUCT((rl_eff&lt;$B1260)*(rl_key=$A$1210)*rl_ln1p))</f>
        <v/>
      </c>
      <c r="J1260" s="208">
        <f>EXP(SUMPRODUCT((rl_eff&lt;=$C1260)*(rl_key=$A$1210)*rl_ln1p))</f>
        <v/>
      </c>
      <c r="K1260" s="201">
        <f>COUNTIFS(rl_key,$A$1210,rl_eff,"&gt;="&amp;$B1260,rl_eff,"&lt;="&amp;$C1260)</f>
        <v/>
      </c>
      <c r="L1260" s="201">
        <f>SUMIFS(rl_daysafter,rl_key,$A$1210,rl_effmonth,$B1260,rl_first,1)</f>
        <v/>
      </c>
      <c r="M1260" s="209">
        <f>IF($K1260=0,0,MIN(1,$L1260/$D1260))</f>
        <v/>
      </c>
      <c r="N1260" s="208">
        <f>IF($K1260=0,$J1260,(1-$M1260)*$I1260+$M1260*$J1260)</f>
        <v/>
      </c>
      <c r="O1260" s="209">
        <f>IF($F1260&lt;$B$1211,$E$1211+$I$1211*($F1260-$A$1211),IF($F1260&lt;$C$1211,$F$1211+$J$1211*($F1260-$B$1211),$G$1211+$K$1211*($F1260-$C$1211)))</f>
        <v/>
      </c>
      <c r="P1260" s="208">
        <f>MIN(1,MAX(0,(nr_MEndPm1-$G1260+0.5)/$C$1210))-MIN(1,MAX(0,(nr_MStartPm1-1-$G1260+0.5)/$C$1210))</f>
        <v/>
      </c>
      <c r="Q1260" s="208">
        <f>MIN(1,MAX(0,(nr_MEndP-$G1260+0.5)/$C$1210))-MIN(1,MAX(0,(nr_MStartP-1-$G1260+0.5)/$C$1210))</f>
        <v/>
      </c>
      <c r="R1260" s="208">
        <f>MIN(1,MAX(0,(nr_MEndP1-$G1260+0.5)/$C$1210))-MIN(1,MAX(0,(nr_MStartP1-1-$G1260+0.5)/$C$1210))</f>
        <v/>
      </c>
      <c r="S1260" s="208">
        <f>IF($L$1210,$N1260*IF($O$1210=1,$O1260/$F$1210,1),"")</f>
        <v/>
      </c>
      <c r="T1260" s="208">
        <f>IF(NOT($L$1210),"",IF($G1260&lt;nr_MStartP,$S1260,$T1248*(1+IF($G1260&lt;nr_MStartP1,$M$1210,$N$1210))))</f>
        <v/>
      </c>
      <c r="U1260" s="208">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184">
        <f>SUMPRODUCT($H$1213:$H$1260,$Q$1213:$Q$1260,$O$1213:$O$1260)/SUMPRODUCT($H$1213:$H$1260,$Q$1213:$Q$1260)</f>
        <v/>
      </c>
      <c r="G1261" s="184">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184">
        <f>IF(N(INDEX(lr_mind,23))=0,1,INDEX(lr_mind,23))</f>
        <v/>
      </c>
      <c r="G1264" s="184">
        <f>IF(N(INDEX(lr_m0,23))=0,1,INDEX(lr_m0,23))</f>
        <v/>
      </c>
      <c r="H1264" s="73">
        <f>IF(N(INDEX(lr_m0asof,23))=0,DATE(nr_PlanYear-1,10,1),INDEX(lr_m0asof,23))</f>
        <v/>
      </c>
      <c r="I1264" s="184">
        <f>IF(N(INDEX(lr_m1,23))=0,1,INDEX(lr_m1,23))</f>
        <v/>
      </c>
      <c r="J1264" s="184">
        <f>INDEX(lr_mprior,23)</f>
        <v/>
      </c>
      <c r="K1264" s="184">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145" t="n">
        <v>1</v>
      </c>
      <c r="B1267" s="204">
        <f>DATE(nr_PlanYear-2,1,1)</f>
        <v/>
      </c>
      <c r="C1267" s="205">
        <f>EOMONTH($B1267,0)</f>
        <v/>
      </c>
      <c r="D1267" s="201">
        <f>$C1267-$B1267+1</f>
        <v/>
      </c>
      <c r="E1267" s="201">
        <f>MONTH($B1267)</f>
        <v/>
      </c>
      <c r="F1267" s="235">
        <f>($B1267+$C1267+1)/2</f>
        <v/>
      </c>
      <c r="G1267" s="201">
        <f>YEAR($B1267)*12+MONTH($B1267)-1</f>
        <v/>
      </c>
      <c r="H1267" s="207">
        <f>IF(OR(nr_SeasonOn="OFF",$D$1264=0,$E$1264=0),1,12*INDEX(se_block,$D$1264,$E1267)/$E$1264)</f>
        <v/>
      </c>
      <c r="I1267" s="208">
        <f>EXP(SUMPRODUCT((rl_eff&lt;$B1267)*(rl_key=$A$1264)*rl_ln1p))</f>
        <v/>
      </c>
      <c r="J1267" s="208">
        <f>EXP(SUMPRODUCT((rl_eff&lt;=$C1267)*(rl_key=$A$1264)*rl_ln1p))</f>
        <v/>
      </c>
      <c r="K1267" s="201">
        <f>COUNTIFS(rl_key,$A$1264,rl_eff,"&gt;="&amp;$B1267,rl_eff,"&lt;="&amp;$C1267)</f>
        <v/>
      </c>
      <c r="L1267" s="201">
        <f>SUMIFS(rl_daysafter,rl_key,$A$1264,rl_effmonth,$B1267,rl_first,1)</f>
        <v/>
      </c>
      <c r="M1267" s="209">
        <f>IF($K1267=0,0,MIN(1,$L1267/$D1267))</f>
        <v/>
      </c>
      <c r="N1267" s="208">
        <f>IF($K1267=0,$J1267,(1-$M1267)*$I1267+$M1267*$J1267)</f>
        <v/>
      </c>
      <c r="O1267" s="209">
        <f>IF($F1267&lt;$B$1265,$E$1265+$I$1265*($F1267-$A$1265),IF($F1267&lt;$C$1265,$F$1265+$J$1265*($F1267-$B$1265),$G$1265+$K$1265*($F1267-$C$1265)))</f>
        <v/>
      </c>
      <c r="P1267" s="208">
        <f>MIN(1,MAX(0,(nr_MEndPm1-$G1267+0.5)/$C$1264))-MIN(1,MAX(0,(nr_MStartPm1-1-$G1267+0.5)/$C$1264))</f>
        <v/>
      </c>
      <c r="Q1267" s="208">
        <f>MIN(1,MAX(0,(nr_MEndP-$G1267+0.5)/$C$1264))-MIN(1,MAX(0,(nr_MStartP-1-$G1267+0.5)/$C$1264))</f>
        <v/>
      </c>
      <c r="R1267" s="208">
        <f>MIN(1,MAX(0,(nr_MEndP1-$G1267+0.5)/$C$1264))-MIN(1,MAX(0,(nr_MStartP1-1-$G1267+0.5)/$C$1264))</f>
        <v/>
      </c>
      <c r="S1267" s="208">
        <f>IF($L$1264,$N1267*IF($O$1264=1,$O1267/$F$1264,1),"")</f>
        <v/>
      </c>
      <c r="T1267" s="208">
        <f>IF(NOT($L$1264),"",IF($G1267&lt;nr_MStartP,$S1267,$T1255*(1+IF($G1267&lt;nr_MStartP1,$M$1264,$N$1264))))</f>
        <v/>
      </c>
      <c r="U1267" s="208">
        <f>IF($L$1264,$T1267,$N1267)</f>
        <v/>
      </c>
    </row>
    <row r="1268">
      <c r="A1268" s="145" t="n">
        <v>2</v>
      </c>
      <c r="B1268" s="204">
        <f>EDATE($B1267,1)</f>
        <v/>
      </c>
      <c r="C1268" s="205">
        <f>EOMONTH($B1268,0)</f>
        <v/>
      </c>
      <c r="D1268" s="201">
        <f>$C1268-$B1268+1</f>
        <v/>
      </c>
      <c r="E1268" s="201">
        <f>MONTH($B1268)</f>
        <v/>
      </c>
      <c r="F1268" s="235">
        <f>($B1268+$C1268+1)/2</f>
        <v/>
      </c>
      <c r="G1268" s="201">
        <f>YEAR($B1268)*12+MONTH($B1268)-1</f>
        <v/>
      </c>
      <c r="H1268" s="207">
        <f>IF(OR(nr_SeasonOn="OFF",$D$1264=0,$E$1264=0),1,12*INDEX(se_block,$D$1264,$E1268)/$E$1264)</f>
        <v/>
      </c>
      <c r="I1268" s="208">
        <f>EXP(SUMPRODUCT((rl_eff&lt;$B1268)*(rl_key=$A$1264)*rl_ln1p))</f>
        <v/>
      </c>
      <c r="J1268" s="208">
        <f>EXP(SUMPRODUCT((rl_eff&lt;=$C1268)*(rl_key=$A$1264)*rl_ln1p))</f>
        <v/>
      </c>
      <c r="K1268" s="201">
        <f>COUNTIFS(rl_key,$A$1264,rl_eff,"&gt;="&amp;$B1268,rl_eff,"&lt;="&amp;$C1268)</f>
        <v/>
      </c>
      <c r="L1268" s="201">
        <f>SUMIFS(rl_daysafter,rl_key,$A$1264,rl_effmonth,$B1268,rl_first,1)</f>
        <v/>
      </c>
      <c r="M1268" s="209">
        <f>IF($K1268=0,0,MIN(1,$L1268/$D1268))</f>
        <v/>
      </c>
      <c r="N1268" s="208">
        <f>IF($K1268=0,$J1268,(1-$M1268)*$I1268+$M1268*$J1268)</f>
        <v/>
      </c>
      <c r="O1268" s="209">
        <f>IF($F1268&lt;$B$1265,$E$1265+$I$1265*($F1268-$A$1265),IF($F1268&lt;$C$1265,$F$1265+$J$1265*($F1268-$B$1265),$G$1265+$K$1265*($F1268-$C$1265)))</f>
        <v/>
      </c>
      <c r="P1268" s="208">
        <f>MIN(1,MAX(0,(nr_MEndPm1-$G1268+0.5)/$C$1264))-MIN(1,MAX(0,(nr_MStartPm1-1-$G1268+0.5)/$C$1264))</f>
        <v/>
      </c>
      <c r="Q1268" s="208">
        <f>MIN(1,MAX(0,(nr_MEndP-$G1268+0.5)/$C$1264))-MIN(1,MAX(0,(nr_MStartP-1-$G1268+0.5)/$C$1264))</f>
        <v/>
      </c>
      <c r="R1268" s="208">
        <f>MIN(1,MAX(0,(nr_MEndP1-$G1268+0.5)/$C$1264))-MIN(1,MAX(0,(nr_MStartP1-1-$G1268+0.5)/$C$1264))</f>
        <v/>
      </c>
      <c r="S1268" s="208">
        <f>IF($L$1264,$N1268*IF($O$1264=1,$O1268/$F$1264,1),"")</f>
        <v/>
      </c>
      <c r="T1268" s="208">
        <f>IF(NOT($L$1264),"",IF($G1268&lt;nr_MStartP,$S1268,$T1256*(1+IF($G1268&lt;nr_MStartP1,$M$1264,$N$1264))))</f>
        <v/>
      </c>
      <c r="U1268" s="208">
        <f>IF($L$1264,$T1268,$N1268)</f>
        <v/>
      </c>
    </row>
    <row r="1269">
      <c r="A1269" s="145" t="n">
        <v>3</v>
      </c>
      <c r="B1269" s="204">
        <f>EDATE($B1268,1)</f>
        <v/>
      </c>
      <c r="C1269" s="205">
        <f>EOMONTH($B1269,0)</f>
        <v/>
      </c>
      <c r="D1269" s="201">
        <f>$C1269-$B1269+1</f>
        <v/>
      </c>
      <c r="E1269" s="201">
        <f>MONTH($B1269)</f>
        <v/>
      </c>
      <c r="F1269" s="235">
        <f>($B1269+$C1269+1)/2</f>
        <v/>
      </c>
      <c r="G1269" s="201">
        <f>YEAR($B1269)*12+MONTH($B1269)-1</f>
        <v/>
      </c>
      <c r="H1269" s="207">
        <f>IF(OR(nr_SeasonOn="OFF",$D$1264=0,$E$1264=0),1,12*INDEX(se_block,$D$1264,$E1269)/$E$1264)</f>
        <v/>
      </c>
      <c r="I1269" s="208">
        <f>EXP(SUMPRODUCT((rl_eff&lt;$B1269)*(rl_key=$A$1264)*rl_ln1p))</f>
        <v/>
      </c>
      <c r="J1269" s="208">
        <f>EXP(SUMPRODUCT((rl_eff&lt;=$C1269)*(rl_key=$A$1264)*rl_ln1p))</f>
        <v/>
      </c>
      <c r="K1269" s="201">
        <f>COUNTIFS(rl_key,$A$1264,rl_eff,"&gt;="&amp;$B1269,rl_eff,"&lt;="&amp;$C1269)</f>
        <v/>
      </c>
      <c r="L1269" s="201">
        <f>SUMIFS(rl_daysafter,rl_key,$A$1264,rl_effmonth,$B1269,rl_first,1)</f>
        <v/>
      </c>
      <c r="M1269" s="209">
        <f>IF($K1269=0,0,MIN(1,$L1269/$D1269))</f>
        <v/>
      </c>
      <c r="N1269" s="208">
        <f>IF($K1269=0,$J1269,(1-$M1269)*$I1269+$M1269*$J1269)</f>
        <v/>
      </c>
      <c r="O1269" s="209">
        <f>IF($F1269&lt;$B$1265,$E$1265+$I$1265*($F1269-$A$1265),IF($F1269&lt;$C$1265,$F$1265+$J$1265*($F1269-$B$1265),$G$1265+$K$1265*($F1269-$C$1265)))</f>
        <v/>
      </c>
      <c r="P1269" s="208">
        <f>MIN(1,MAX(0,(nr_MEndPm1-$G1269+0.5)/$C$1264))-MIN(1,MAX(0,(nr_MStartPm1-1-$G1269+0.5)/$C$1264))</f>
        <v/>
      </c>
      <c r="Q1269" s="208">
        <f>MIN(1,MAX(0,(nr_MEndP-$G1269+0.5)/$C$1264))-MIN(1,MAX(0,(nr_MStartP-1-$G1269+0.5)/$C$1264))</f>
        <v/>
      </c>
      <c r="R1269" s="208">
        <f>MIN(1,MAX(0,(nr_MEndP1-$G1269+0.5)/$C$1264))-MIN(1,MAX(0,(nr_MStartP1-1-$G1269+0.5)/$C$1264))</f>
        <v/>
      </c>
      <c r="S1269" s="208">
        <f>IF($L$1264,$N1269*IF($O$1264=1,$O1269/$F$1264,1),"")</f>
        <v/>
      </c>
      <c r="T1269" s="208">
        <f>IF(NOT($L$1264),"",IF($G1269&lt;nr_MStartP,$S1269,$T1257*(1+IF($G1269&lt;nr_MStartP1,$M$1264,$N$1264))))</f>
        <v/>
      </c>
      <c r="U1269" s="208">
        <f>IF($L$1264,$T1269,$N1269)</f>
        <v/>
      </c>
    </row>
    <row r="1270">
      <c r="A1270" s="145" t="n">
        <v>4</v>
      </c>
      <c r="B1270" s="204">
        <f>EDATE($B1269,1)</f>
        <v/>
      </c>
      <c r="C1270" s="205">
        <f>EOMONTH($B1270,0)</f>
        <v/>
      </c>
      <c r="D1270" s="201">
        <f>$C1270-$B1270+1</f>
        <v/>
      </c>
      <c r="E1270" s="201">
        <f>MONTH($B1270)</f>
        <v/>
      </c>
      <c r="F1270" s="235">
        <f>($B1270+$C1270+1)/2</f>
        <v/>
      </c>
      <c r="G1270" s="201">
        <f>YEAR($B1270)*12+MONTH($B1270)-1</f>
        <v/>
      </c>
      <c r="H1270" s="207">
        <f>IF(OR(nr_SeasonOn="OFF",$D$1264=0,$E$1264=0),1,12*INDEX(se_block,$D$1264,$E1270)/$E$1264)</f>
        <v/>
      </c>
      <c r="I1270" s="208">
        <f>EXP(SUMPRODUCT((rl_eff&lt;$B1270)*(rl_key=$A$1264)*rl_ln1p))</f>
        <v/>
      </c>
      <c r="J1270" s="208">
        <f>EXP(SUMPRODUCT((rl_eff&lt;=$C1270)*(rl_key=$A$1264)*rl_ln1p))</f>
        <v/>
      </c>
      <c r="K1270" s="201">
        <f>COUNTIFS(rl_key,$A$1264,rl_eff,"&gt;="&amp;$B1270,rl_eff,"&lt;="&amp;$C1270)</f>
        <v/>
      </c>
      <c r="L1270" s="201">
        <f>SUMIFS(rl_daysafter,rl_key,$A$1264,rl_effmonth,$B1270,rl_first,1)</f>
        <v/>
      </c>
      <c r="M1270" s="209">
        <f>IF($K1270=0,0,MIN(1,$L1270/$D1270))</f>
        <v/>
      </c>
      <c r="N1270" s="208">
        <f>IF($K1270=0,$J1270,(1-$M1270)*$I1270+$M1270*$J1270)</f>
        <v/>
      </c>
      <c r="O1270" s="209">
        <f>IF($F1270&lt;$B$1265,$E$1265+$I$1265*($F1270-$A$1265),IF($F1270&lt;$C$1265,$F$1265+$J$1265*($F1270-$B$1265),$G$1265+$K$1265*($F1270-$C$1265)))</f>
        <v/>
      </c>
      <c r="P1270" s="208">
        <f>MIN(1,MAX(0,(nr_MEndPm1-$G1270+0.5)/$C$1264))-MIN(1,MAX(0,(nr_MStartPm1-1-$G1270+0.5)/$C$1264))</f>
        <v/>
      </c>
      <c r="Q1270" s="208">
        <f>MIN(1,MAX(0,(nr_MEndP-$G1270+0.5)/$C$1264))-MIN(1,MAX(0,(nr_MStartP-1-$G1270+0.5)/$C$1264))</f>
        <v/>
      </c>
      <c r="R1270" s="208">
        <f>MIN(1,MAX(0,(nr_MEndP1-$G1270+0.5)/$C$1264))-MIN(1,MAX(0,(nr_MStartP1-1-$G1270+0.5)/$C$1264))</f>
        <v/>
      </c>
      <c r="S1270" s="208">
        <f>IF($L$1264,$N1270*IF($O$1264=1,$O1270/$F$1264,1),"")</f>
        <v/>
      </c>
      <c r="T1270" s="208">
        <f>IF(NOT($L$1264),"",IF($G1270&lt;nr_MStartP,$S1270,$T1258*(1+IF($G1270&lt;nr_MStartP1,$M$1264,$N$1264))))</f>
        <v/>
      </c>
      <c r="U1270" s="208">
        <f>IF($L$1264,$T1270,$N1270)</f>
        <v/>
      </c>
    </row>
    <row r="1271">
      <c r="A1271" s="145" t="n">
        <v>5</v>
      </c>
      <c r="B1271" s="204">
        <f>EDATE($B1270,1)</f>
        <v/>
      </c>
      <c r="C1271" s="205">
        <f>EOMONTH($B1271,0)</f>
        <v/>
      </c>
      <c r="D1271" s="201">
        <f>$C1271-$B1271+1</f>
        <v/>
      </c>
      <c r="E1271" s="201">
        <f>MONTH($B1271)</f>
        <v/>
      </c>
      <c r="F1271" s="235">
        <f>($B1271+$C1271+1)/2</f>
        <v/>
      </c>
      <c r="G1271" s="201">
        <f>YEAR($B1271)*12+MONTH($B1271)-1</f>
        <v/>
      </c>
      <c r="H1271" s="207">
        <f>IF(OR(nr_SeasonOn="OFF",$D$1264=0,$E$1264=0),1,12*INDEX(se_block,$D$1264,$E1271)/$E$1264)</f>
        <v/>
      </c>
      <c r="I1271" s="208">
        <f>EXP(SUMPRODUCT((rl_eff&lt;$B1271)*(rl_key=$A$1264)*rl_ln1p))</f>
        <v/>
      </c>
      <c r="J1271" s="208">
        <f>EXP(SUMPRODUCT((rl_eff&lt;=$C1271)*(rl_key=$A$1264)*rl_ln1p))</f>
        <v/>
      </c>
      <c r="K1271" s="201">
        <f>COUNTIFS(rl_key,$A$1264,rl_eff,"&gt;="&amp;$B1271,rl_eff,"&lt;="&amp;$C1271)</f>
        <v/>
      </c>
      <c r="L1271" s="201">
        <f>SUMIFS(rl_daysafter,rl_key,$A$1264,rl_effmonth,$B1271,rl_first,1)</f>
        <v/>
      </c>
      <c r="M1271" s="209">
        <f>IF($K1271=0,0,MIN(1,$L1271/$D1271))</f>
        <v/>
      </c>
      <c r="N1271" s="208">
        <f>IF($K1271=0,$J1271,(1-$M1271)*$I1271+$M1271*$J1271)</f>
        <v/>
      </c>
      <c r="O1271" s="209">
        <f>IF($F1271&lt;$B$1265,$E$1265+$I$1265*($F1271-$A$1265),IF($F1271&lt;$C$1265,$F$1265+$J$1265*($F1271-$B$1265),$G$1265+$K$1265*($F1271-$C$1265)))</f>
        <v/>
      </c>
      <c r="P1271" s="208">
        <f>MIN(1,MAX(0,(nr_MEndPm1-$G1271+0.5)/$C$1264))-MIN(1,MAX(0,(nr_MStartPm1-1-$G1271+0.5)/$C$1264))</f>
        <v/>
      </c>
      <c r="Q1271" s="208">
        <f>MIN(1,MAX(0,(nr_MEndP-$G1271+0.5)/$C$1264))-MIN(1,MAX(0,(nr_MStartP-1-$G1271+0.5)/$C$1264))</f>
        <v/>
      </c>
      <c r="R1271" s="208">
        <f>MIN(1,MAX(0,(nr_MEndP1-$G1271+0.5)/$C$1264))-MIN(1,MAX(0,(nr_MStartP1-1-$G1271+0.5)/$C$1264))</f>
        <v/>
      </c>
      <c r="S1271" s="208">
        <f>IF($L$1264,$N1271*IF($O$1264=1,$O1271/$F$1264,1),"")</f>
        <v/>
      </c>
      <c r="T1271" s="208">
        <f>IF(NOT($L$1264),"",IF($G1271&lt;nr_MStartP,$S1271,$T1259*(1+IF($G1271&lt;nr_MStartP1,$M$1264,$N$1264))))</f>
        <v/>
      </c>
      <c r="U1271" s="208">
        <f>IF($L$1264,$T1271,$N1271)</f>
        <v/>
      </c>
    </row>
    <row r="1272">
      <c r="A1272" s="145" t="n">
        <v>6</v>
      </c>
      <c r="B1272" s="204">
        <f>EDATE($B1271,1)</f>
        <v/>
      </c>
      <c r="C1272" s="205">
        <f>EOMONTH($B1272,0)</f>
        <v/>
      </c>
      <c r="D1272" s="201">
        <f>$C1272-$B1272+1</f>
        <v/>
      </c>
      <c r="E1272" s="201">
        <f>MONTH($B1272)</f>
        <v/>
      </c>
      <c r="F1272" s="235">
        <f>($B1272+$C1272+1)/2</f>
        <v/>
      </c>
      <c r="G1272" s="201">
        <f>YEAR($B1272)*12+MONTH($B1272)-1</f>
        <v/>
      </c>
      <c r="H1272" s="207">
        <f>IF(OR(nr_SeasonOn="OFF",$D$1264=0,$E$1264=0),1,12*INDEX(se_block,$D$1264,$E1272)/$E$1264)</f>
        <v/>
      </c>
      <c r="I1272" s="208">
        <f>EXP(SUMPRODUCT((rl_eff&lt;$B1272)*(rl_key=$A$1264)*rl_ln1p))</f>
        <v/>
      </c>
      <c r="J1272" s="208">
        <f>EXP(SUMPRODUCT((rl_eff&lt;=$C1272)*(rl_key=$A$1264)*rl_ln1p))</f>
        <v/>
      </c>
      <c r="K1272" s="201">
        <f>COUNTIFS(rl_key,$A$1264,rl_eff,"&gt;="&amp;$B1272,rl_eff,"&lt;="&amp;$C1272)</f>
        <v/>
      </c>
      <c r="L1272" s="201">
        <f>SUMIFS(rl_daysafter,rl_key,$A$1264,rl_effmonth,$B1272,rl_first,1)</f>
        <v/>
      </c>
      <c r="M1272" s="209">
        <f>IF($K1272=0,0,MIN(1,$L1272/$D1272))</f>
        <v/>
      </c>
      <c r="N1272" s="208">
        <f>IF($K1272=0,$J1272,(1-$M1272)*$I1272+$M1272*$J1272)</f>
        <v/>
      </c>
      <c r="O1272" s="209">
        <f>IF($F1272&lt;$B$1265,$E$1265+$I$1265*($F1272-$A$1265),IF($F1272&lt;$C$1265,$F$1265+$J$1265*($F1272-$B$1265),$G$1265+$K$1265*($F1272-$C$1265)))</f>
        <v/>
      </c>
      <c r="P1272" s="208">
        <f>MIN(1,MAX(0,(nr_MEndPm1-$G1272+0.5)/$C$1264))-MIN(1,MAX(0,(nr_MStartPm1-1-$G1272+0.5)/$C$1264))</f>
        <v/>
      </c>
      <c r="Q1272" s="208">
        <f>MIN(1,MAX(0,(nr_MEndP-$G1272+0.5)/$C$1264))-MIN(1,MAX(0,(nr_MStartP-1-$G1272+0.5)/$C$1264))</f>
        <v/>
      </c>
      <c r="R1272" s="208">
        <f>MIN(1,MAX(0,(nr_MEndP1-$G1272+0.5)/$C$1264))-MIN(1,MAX(0,(nr_MStartP1-1-$G1272+0.5)/$C$1264))</f>
        <v/>
      </c>
      <c r="S1272" s="208">
        <f>IF($L$1264,$N1272*IF($O$1264=1,$O1272/$F$1264,1),"")</f>
        <v/>
      </c>
      <c r="T1272" s="208">
        <f>IF(NOT($L$1264),"",IF($G1272&lt;nr_MStartP,$S1272,$T1260*(1+IF($G1272&lt;nr_MStartP1,$M$1264,$N$1264))))</f>
        <v/>
      </c>
      <c r="U1272" s="208">
        <f>IF($L$1264,$T1272,$N1272)</f>
        <v/>
      </c>
    </row>
    <row r="1273">
      <c r="A1273" s="145" t="n">
        <v>7</v>
      </c>
      <c r="B1273" s="204">
        <f>EDATE($B1272,1)</f>
        <v/>
      </c>
      <c r="C1273" s="205">
        <f>EOMONTH($B1273,0)</f>
        <v/>
      </c>
      <c r="D1273" s="201">
        <f>$C1273-$B1273+1</f>
        <v/>
      </c>
      <c r="E1273" s="201">
        <f>MONTH($B1273)</f>
        <v/>
      </c>
      <c r="F1273" s="235">
        <f>($B1273+$C1273+1)/2</f>
        <v/>
      </c>
      <c r="G1273" s="201">
        <f>YEAR($B1273)*12+MONTH($B1273)-1</f>
        <v/>
      </c>
      <c r="H1273" s="207">
        <f>IF(OR(nr_SeasonOn="OFF",$D$1264=0,$E$1264=0),1,12*INDEX(se_block,$D$1264,$E1273)/$E$1264)</f>
        <v/>
      </c>
      <c r="I1273" s="208">
        <f>EXP(SUMPRODUCT((rl_eff&lt;$B1273)*(rl_key=$A$1264)*rl_ln1p))</f>
        <v/>
      </c>
      <c r="J1273" s="208">
        <f>EXP(SUMPRODUCT((rl_eff&lt;=$C1273)*(rl_key=$A$1264)*rl_ln1p))</f>
        <v/>
      </c>
      <c r="K1273" s="201">
        <f>COUNTIFS(rl_key,$A$1264,rl_eff,"&gt;="&amp;$B1273,rl_eff,"&lt;="&amp;$C1273)</f>
        <v/>
      </c>
      <c r="L1273" s="201">
        <f>SUMIFS(rl_daysafter,rl_key,$A$1264,rl_effmonth,$B1273,rl_first,1)</f>
        <v/>
      </c>
      <c r="M1273" s="209">
        <f>IF($K1273=0,0,MIN(1,$L1273/$D1273))</f>
        <v/>
      </c>
      <c r="N1273" s="208">
        <f>IF($K1273=0,$J1273,(1-$M1273)*$I1273+$M1273*$J1273)</f>
        <v/>
      </c>
      <c r="O1273" s="209">
        <f>IF($F1273&lt;$B$1265,$E$1265+$I$1265*($F1273-$A$1265),IF($F1273&lt;$C$1265,$F$1265+$J$1265*($F1273-$B$1265),$G$1265+$K$1265*($F1273-$C$1265)))</f>
        <v/>
      </c>
      <c r="P1273" s="208">
        <f>MIN(1,MAX(0,(nr_MEndPm1-$G1273+0.5)/$C$1264))-MIN(1,MAX(0,(nr_MStartPm1-1-$G1273+0.5)/$C$1264))</f>
        <v/>
      </c>
      <c r="Q1273" s="208">
        <f>MIN(1,MAX(0,(nr_MEndP-$G1273+0.5)/$C$1264))-MIN(1,MAX(0,(nr_MStartP-1-$G1273+0.5)/$C$1264))</f>
        <v/>
      </c>
      <c r="R1273" s="208">
        <f>MIN(1,MAX(0,(nr_MEndP1-$G1273+0.5)/$C$1264))-MIN(1,MAX(0,(nr_MStartP1-1-$G1273+0.5)/$C$1264))</f>
        <v/>
      </c>
      <c r="S1273" s="208">
        <f>IF($L$1264,$N1273*IF($O$1264=1,$O1273/$F$1264,1),"")</f>
        <v/>
      </c>
      <c r="T1273" s="208">
        <f>IF(NOT($L$1264),"",IF($G1273&lt;nr_MStartP,$S1273,$T1261*(1+IF($G1273&lt;nr_MStartP1,$M$1264,$N$1264))))</f>
        <v/>
      </c>
      <c r="U1273" s="208">
        <f>IF($L$1264,$T1273,$N1273)</f>
        <v/>
      </c>
    </row>
    <row r="1274">
      <c r="A1274" s="145" t="n">
        <v>8</v>
      </c>
      <c r="B1274" s="204">
        <f>EDATE($B1273,1)</f>
        <v/>
      </c>
      <c r="C1274" s="205">
        <f>EOMONTH($B1274,0)</f>
        <v/>
      </c>
      <c r="D1274" s="201">
        <f>$C1274-$B1274+1</f>
        <v/>
      </c>
      <c r="E1274" s="201">
        <f>MONTH($B1274)</f>
        <v/>
      </c>
      <c r="F1274" s="235">
        <f>($B1274+$C1274+1)/2</f>
        <v/>
      </c>
      <c r="G1274" s="201">
        <f>YEAR($B1274)*12+MONTH($B1274)-1</f>
        <v/>
      </c>
      <c r="H1274" s="207">
        <f>IF(OR(nr_SeasonOn="OFF",$D$1264=0,$E$1264=0),1,12*INDEX(se_block,$D$1264,$E1274)/$E$1264)</f>
        <v/>
      </c>
      <c r="I1274" s="208">
        <f>EXP(SUMPRODUCT((rl_eff&lt;$B1274)*(rl_key=$A$1264)*rl_ln1p))</f>
        <v/>
      </c>
      <c r="J1274" s="208">
        <f>EXP(SUMPRODUCT((rl_eff&lt;=$C1274)*(rl_key=$A$1264)*rl_ln1p))</f>
        <v/>
      </c>
      <c r="K1274" s="201">
        <f>COUNTIFS(rl_key,$A$1264,rl_eff,"&gt;="&amp;$B1274,rl_eff,"&lt;="&amp;$C1274)</f>
        <v/>
      </c>
      <c r="L1274" s="201">
        <f>SUMIFS(rl_daysafter,rl_key,$A$1264,rl_effmonth,$B1274,rl_first,1)</f>
        <v/>
      </c>
      <c r="M1274" s="209">
        <f>IF($K1274=0,0,MIN(1,$L1274/$D1274))</f>
        <v/>
      </c>
      <c r="N1274" s="208">
        <f>IF($K1274=0,$J1274,(1-$M1274)*$I1274+$M1274*$J1274)</f>
        <v/>
      </c>
      <c r="O1274" s="209">
        <f>IF($F1274&lt;$B$1265,$E$1265+$I$1265*($F1274-$A$1265),IF($F1274&lt;$C$1265,$F$1265+$J$1265*($F1274-$B$1265),$G$1265+$K$1265*($F1274-$C$1265)))</f>
        <v/>
      </c>
      <c r="P1274" s="208">
        <f>MIN(1,MAX(0,(nr_MEndPm1-$G1274+0.5)/$C$1264))-MIN(1,MAX(0,(nr_MStartPm1-1-$G1274+0.5)/$C$1264))</f>
        <v/>
      </c>
      <c r="Q1274" s="208">
        <f>MIN(1,MAX(0,(nr_MEndP-$G1274+0.5)/$C$1264))-MIN(1,MAX(0,(nr_MStartP-1-$G1274+0.5)/$C$1264))</f>
        <v/>
      </c>
      <c r="R1274" s="208">
        <f>MIN(1,MAX(0,(nr_MEndP1-$G1274+0.5)/$C$1264))-MIN(1,MAX(0,(nr_MStartP1-1-$G1274+0.5)/$C$1264))</f>
        <v/>
      </c>
      <c r="S1274" s="208">
        <f>IF($L$1264,$N1274*IF($O$1264=1,$O1274/$F$1264,1),"")</f>
        <v/>
      </c>
      <c r="T1274" s="208">
        <f>IF(NOT($L$1264),"",IF($G1274&lt;nr_MStartP,$S1274,$T1262*(1+IF($G1274&lt;nr_MStartP1,$M$1264,$N$1264))))</f>
        <v/>
      </c>
      <c r="U1274" s="208">
        <f>IF($L$1264,$T1274,$N1274)</f>
        <v/>
      </c>
    </row>
    <row r="1275">
      <c r="A1275" s="145" t="n">
        <v>9</v>
      </c>
      <c r="B1275" s="204">
        <f>EDATE($B1274,1)</f>
        <v/>
      </c>
      <c r="C1275" s="205">
        <f>EOMONTH($B1275,0)</f>
        <v/>
      </c>
      <c r="D1275" s="201">
        <f>$C1275-$B1275+1</f>
        <v/>
      </c>
      <c r="E1275" s="201">
        <f>MONTH($B1275)</f>
        <v/>
      </c>
      <c r="F1275" s="235">
        <f>($B1275+$C1275+1)/2</f>
        <v/>
      </c>
      <c r="G1275" s="201">
        <f>YEAR($B1275)*12+MONTH($B1275)-1</f>
        <v/>
      </c>
      <c r="H1275" s="207">
        <f>IF(OR(nr_SeasonOn="OFF",$D$1264=0,$E$1264=0),1,12*INDEX(se_block,$D$1264,$E1275)/$E$1264)</f>
        <v/>
      </c>
      <c r="I1275" s="208">
        <f>EXP(SUMPRODUCT((rl_eff&lt;$B1275)*(rl_key=$A$1264)*rl_ln1p))</f>
        <v/>
      </c>
      <c r="J1275" s="208">
        <f>EXP(SUMPRODUCT((rl_eff&lt;=$C1275)*(rl_key=$A$1264)*rl_ln1p))</f>
        <v/>
      </c>
      <c r="K1275" s="201">
        <f>COUNTIFS(rl_key,$A$1264,rl_eff,"&gt;="&amp;$B1275,rl_eff,"&lt;="&amp;$C1275)</f>
        <v/>
      </c>
      <c r="L1275" s="201">
        <f>SUMIFS(rl_daysafter,rl_key,$A$1264,rl_effmonth,$B1275,rl_first,1)</f>
        <v/>
      </c>
      <c r="M1275" s="209">
        <f>IF($K1275=0,0,MIN(1,$L1275/$D1275))</f>
        <v/>
      </c>
      <c r="N1275" s="208">
        <f>IF($K1275=0,$J1275,(1-$M1275)*$I1275+$M1275*$J1275)</f>
        <v/>
      </c>
      <c r="O1275" s="209">
        <f>IF($F1275&lt;$B$1265,$E$1265+$I$1265*($F1275-$A$1265),IF($F1275&lt;$C$1265,$F$1265+$J$1265*($F1275-$B$1265),$G$1265+$K$1265*($F1275-$C$1265)))</f>
        <v/>
      </c>
      <c r="P1275" s="208">
        <f>MIN(1,MAX(0,(nr_MEndPm1-$G1275+0.5)/$C$1264))-MIN(1,MAX(0,(nr_MStartPm1-1-$G1275+0.5)/$C$1264))</f>
        <v/>
      </c>
      <c r="Q1275" s="208">
        <f>MIN(1,MAX(0,(nr_MEndP-$G1275+0.5)/$C$1264))-MIN(1,MAX(0,(nr_MStartP-1-$G1275+0.5)/$C$1264))</f>
        <v/>
      </c>
      <c r="R1275" s="208">
        <f>MIN(1,MAX(0,(nr_MEndP1-$G1275+0.5)/$C$1264))-MIN(1,MAX(0,(nr_MStartP1-1-$G1275+0.5)/$C$1264))</f>
        <v/>
      </c>
      <c r="S1275" s="208">
        <f>IF($L$1264,$N1275*IF($O$1264=1,$O1275/$F$1264,1),"")</f>
        <v/>
      </c>
      <c r="T1275" s="208">
        <f>IF(NOT($L$1264),"",IF($G1275&lt;nr_MStartP,$S1275,$T1263*(1+IF($G1275&lt;nr_MStartP1,$M$1264,$N$1264))))</f>
        <v/>
      </c>
      <c r="U1275" s="208">
        <f>IF($L$1264,$T1275,$N1275)</f>
        <v/>
      </c>
    </row>
    <row r="1276">
      <c r="A1276" s="145" t="n">
        <v>10</v>
      </c>
      <c r="B1276" s="204">
        <f>EDATE($B1275,1)</f>
        <v/>
      </c>
      <c r="C1276" s="205">
        <f>EOMONTH($B1276,0)</f>
        <v/>
      </c>
      <c r="D1276" s="201">
        <f>$C1276-$B1276+1</f>
        <v/>
      </c>
      <c r="E1276" s="201">
        <f>MONTH($B1276)</f>
        <v/>
      </c>
      <c r="F1276" s="235">
        <f>($B1276+$C1276+1)/2</f>
        <v/>
      </c>
      <c r="G1276" s="201">
        <f>YEAR($B1276)*12+MONTH($B1276)-1</f>
        <v/>
      </c>
      <c r="H1276" s="207">
        <f>IF(OR(nr_SeasonOn="OFF",$D$1264=0,$E$1264=0),1,12*INDEX(se_block,$D$1264,$E1276)/$E$1264)</f>
        <v/>
      </c>
      <c r="I1276" s="208">
        <f>EXP(SUMPRODUCT((rl_eff&lt;$B1276)*(rl_key=$A$1264)*rl_ln1p))</f>
        <v/>
      </c>
      <c r="J1276" s="208">
        <f>EXP(SUMPRODUCT((rl_eff&lt;=$C1276)*(rl_key=$A$1264)*rl_ln1p))</f>
        <v/>
      </c>
      <c r="K1276" s="201">
        <f>COUNTIFS(rl_key,$A$1264,rl_eff,"&gt;="&amp;$B1276,rl_eff,"&lt;="&amp;$C1276)</f>
        <v/>
      </c>
      <c r="L1276" s="201">
        <f>SUMIFS(rl_daysafter,rl_key,$A$1264,rl_effmonth,$B1276,rl_first,1)</f>
        <v/>
      </c>
      <c r="M1276" s="209">
        <f>IF($K1276=0,0,MIN(1,$L1276/$D1276))</f>
        <v/>
      </c>
      <c r="N1276" s="208">
        <f>IF($K1276=0,$J1276,(1-$M1276)*$I1276+$M1276*$J1276)</f>
        <v/>
      </c>
      <c r="O1276" s="209">
        <f>IF($F1276&lt;$B$1265,$E$1265+$I$1265*($F1276-$A$1265),IF($F1276&lt;$C$1265,$F$1265+$J$1265*($F1276-$B$1265),$G$1265+$K$1265*($F1276-$C$1265)))</f>
        <v/>
      </c>
      <c r="P1276" s="208">
        <f>MIN(1,MAX(0,(nr_MEndPm1-$G1276+0.5)/$C$1264))-MIN(1,MAX(0,(nr_MStartPm1-1-$G1276+0.5)/$C$1264))</f>
        <v/>
      </c>
      <c r="Q1276" s="208">
        <f>MIN(1,MAX(0,(nr_MEndP-$G1276+0.5)/$C$1264))-MIN(1,MAX(0,(nr_MStartP-1-$G1276+0.5)/$C$1264))</f>
        <v/>
      </c>
      <c r="R1276" s="208">
        <f>MIN(1,MAX(0,(nr_MEndP1-$G1276+0.5)/$C$1264))-MIN(1,MAX(0,(nr_MStartP1-1-$G1276+0.5)/$C$1264))</f>
        <v/>
      </c>
      <c r="S1276" s="208">
        <f>IF($L$1264,$N1276*IF($O$1264=1,$O1276/$F$1264,1),"")</f>
        <v/>
      </c>
      <c r="T1276" s="208">
        <f>IF(NOT($L$1264),"",IF($G1276&lt;nr_MStartP,$S1276,$T1264*(1+IF($G1276&lt;nr_MStartP1,$M$1264,$N$1264))))</f>
        <v/>
      </c>
      <c r="U1276" s="208">
        <f>IF($L$1264,$T1276,$N1276)</f>
        <v/>
      </c>
    </row>
    <row r="1277">
      <c r="A1277" s="145" t="n">
        <v>11</v>
      </c>
      <c r="B1277" s="204">
        <f>EDATE($B1276,1)</f>
        <v/>
      </c>
      <c r="C1277" s="205">
        <f>EOMONTH($B1277,0)</f>
        <v/>
      </c>
      <c r="D1277" s="201">
        <f>$C1277-$B1277+1</f>
        <v/>
      </c>
      <c r="E1277" s="201">
        <f>MONTH($B1277)</f>
        <v/>
      </c>
      <c r="F1277" s="235">
        <f>($B1277+$C1277+1)/2</f>
        <v/>
      </c>
      <c r="G1277" s="201">
        <f>YEAR($B1277)*12+MONTH($B1277)-1</f>
        <v/>
      </c>
      <c r="H1277" s="207">
        <f>IF(OR(nr_SeasonOn="OFF",$D$1264=0,$E$1264=0),1,12*INDEX(se_block,$D$1264,$E1277)/$E$1264)</f>
        <v/>
      </c>
      <c r="I1277" s="208">
        <f>EXP(SUMPRODUCT((rl_eff&lt;$B1277)*(rl_key=$A$1264)*rl_ln1p))</f>
        <v/>
      </c>
      <c r="J1277" s="208">
        <f>EXP(SUMPRODUCT((rl_eff&lt;=$C1277)*(rl_key=$A$1264)*rl_ln1p))</f>
        <v/>
      </c>
      <c r="K1277" s="201">
        <f>COUNTIFS(rl_key,$A$1264,rl_eff,"&gt;="&amp;$B1277,rl_eff,"&lt;="&amp;$C1277)</f>
        <v/>
      </c>
      <c r="L1277" s="201">
        <f>SUMIFS(rl_daysafter,rl_key,$A$1264,rl_effmonth,$B1277,rl_first,1)</f>
        <v/>
      </c>
      <c r="M1277" s="209">
        <f>IF($K1277=0,0,MIN(1,$L1277/$D1277))</f>
        <v/>
      </c>
      <c r="N1277" s="208">
        <f>IF($K1277=0,$J1277,(1-$M1277)*$I1277+$M1277*$J1277)</f>
        <v/>
      </c>
      <c r="O1277" s="209">
        <f>IF($F1277&lt;$B$1265,$E$1265+$I$1265*($F1277-$A$1265),IF($F1277&lt;$C$1265,$F$1265+$J$1265*($F1277-$B$1265),$G$1265+$K$1265*($F1277-$C$1265)))</f>
        <v/>
      </c>
      <c r="P1277" s="208">
        <f>MIN(1,MAX(0,(nr_MEndPm1-$G1277+0.5)/$C$1264))-MIN(1,MAX(0,(nr_MStartPm1-1-$G1277+0.5)/$C$1264))</f>
        <v/>
      </c>
      <c r="Q1277" s="208">
        <f>MIN(1,MAX(0,(nr_MEndP-$G1277+0.5)/$C$1264))-MIN(1,MAX(0,(nr_MStartP-1-$G1277+0.5)/$C$1264))</f>
        <v/>
      </c>
      <c r="R1277" s="208">
        <f>MIN(1,MAX(0,(nr_MEndP1-$G1277+0.5)/$C$1264))-MIN(1,MAX(0,(nr_MStartP1-1-$G1277+0.5)/$C$1264))</f>
        <v/>
      </c>
      <c r="S1277" s="208">
        <f>IF($L$1264,$N1277*IF($O$1264=1,$O1277/$F$1264,1),"")</f>
        <v/>
      </c>
      <c r="T1277" s="208">
        <f>IF(NOT($L$1264),"",IF($G1277&lt;nr_MStartP,$S1277,$T1265*(1+IF($G1277&lt;nr_MStartP1,$M$1264,$N$1264))))</f>
        <v/>
      </c>
      <c r="U1277" s="208">
        <f>IF($L$1264,$T1277,$N1277)</f>
        <v/>
      </c>
    </row>
    <row r="1278">
      <c r="A1278" s="145" t="n">
        <v>12</v>
      </c>
      <c r="B1278" s="204">
        <f>EDATE($B1277,1)</f>
        <v/>
      </c>
      <c r="C1278" s="205">
        <f>EOMONTH($B1278,0)</f>
        <v/>
      </c>
      <c r="D1278" s="201">
        <f>$C1278-$B1278+1</f>
        <v/>
      </c>
      <c r="E1278" s="201">
        <f>MONTH($B1278)</f>
        <v/>
      </c>
      <c r="F1278" s="235">
        <f>($B1278+$C1278+1)/2</f>
        <v/>
      </c>
      <c r="G1278" s="201">
        <f>YEAR($B1278)*12+MONTH($B1278)-1</f>
        <v/>
      </c>
      <c r="H1278" s="207">
        <f>IF(OR(nr_SeasonOn="OFF",$D$1264=0,$E$1264=0),1,12*INDEX(se_block,$D$1264,$E1278)/$E$1264)</f>
        <v/>
      </c>
      <c r="I1278" s="208">
        <f>EXP(SUMPRODUCT((rl_eff&lt;$B1278)*(rl_key=$A$1264)*rl_ln1p))</f>
        <v/>
      </c>
      <c r="J1278" s="208">
        <f>EXP(SUMPRODUCT((rl_eff&lt;=$C1278)*(rl_key=$A$1264)*rl_ln1p))</f>
        <v/>
      </c>
      <c r="K1278" s="201">
        <f>COUNTIFS(rl_key,$A$1264,rl_eff,"&gt;="&amp;$B1278,rl_eff,"&lt;="&amp;$C1278)</f>
        <v/>
      </c>
      <c r="L1278" s="201">
        <f>SUMIFS(rl_daysafter,rl_key,$A$1264,rl_effmonth,$B1278,rl_first,1)</f>
        <v/>
      </c>
      <c r="M1278" s="209">
        <f>IF($K1278=0,0,MIN(1,$L1278/$D1278))</f>
        <v/>
      </c>
      <c r="N1278" s="208">
        <f>IF($K1278=0,$J1278,(1-$M1278)*$I1278+$M1278*$J1278)</f>
        <v/>
      </c>
      <c r="O1278" s="209">
        <f>IF($F1278&lt;$B$1265,$E$1265+$I$1265*($F1278-$A$1265),IF($F1278&lt;$C$1265,$F$1265+$J$1265*($F1278-$B$1265),$G$1265+$K$1265*($F1278-$C$1265)))</f>
        <v/>
      </c>
      <c r="P1278" s="208">
        <f>MIN(1,MAX(0,(nr_MEndPm1-$G1278+0.5)/$C$1264))-MIN(1,MAX(0,(nr_MStartPm1-1-$G1278+0.5)/$C$1264))</f>
        <v/>
      </c>
      <c r="Q1278" s="208">
        <f>MIN(1,MAX(0,(nr_MEndP-$G1278+0.5)/$C$1264))-MIN(1,MAX(0,(nr_MStartP-1-$G1278+0.5)/$C$1264))</f>
        <v/>
      </c>
      <c r="R1278" s="208">
        <f>MIN(1,MAX(0,(nr_MEndP1-$G1278+0.5)/$C$1264))-MIN(1,MAX(0,(nr_MStartP1-1-$G1278+0.5)/$C$1264))</f>
        <v/>
      </c>
      <c r="S1278" s="208">
        <f>IF($L$1264,$N1278*IF($O$1264=1,$O1278/$F$1264,1),"")</f>
        <v/>
      </c>
      <c r="T1278" s="208">
        <f>IF(NOT($L$1264),"",IF($G1278&lt;nr_MStartP,$S1278,$T1266*(1+IF($G1278&lt;nr_MStartP1,$M$1264,$N$1264))))</f>
        <v/>
      </c>
      <c r="U1278" s="208">
        <f>IF($L$1264,$T1278,$N1278)</f>
        <v/>
      </c>
    </row>
    <row r="1279">
      <c r="A1279" s="145" t="n">
        <v>13</v>
      </c>
      <c r="B1279" s="204">
        <f>EDATE($B1278,1)</f>
        <v/>
      </c>
      <c r="C1279" s="205">
        <f>EOMONTH($B1279,0)</f>
        <v/>
      </c>
      <c r="D1279" s="201">
        <f>$C1279-$B1279+1</f>
        <v/>
      </c>
      <c r="E1279" s="201">
        <f>MONTH($B1279)</f>
        <v/>
      </c>
      <c r="F1279" s="235">
        <f>($B1279+$C1279+1)/2</f>
        <v/>
      </c>
      <c r="G1279" s="201">
        <f>YEAR($B1279)*12+MONTH($B1279)-1</f>
        <v/>
      </c>
      <c r="H1279" s="207">
        <f>IF(OR(nr_SeasonOn="OFF",$D$1264=0,$E$1264=0),1,12*INDEX(se_block,$D$1264,$E1279)/$E$1264)</f>
        <v/>
      </c>
      <c r="I1279" s="208">
        <f>EXP(SUMPRODUCT((rl_eff&lt;$B1279)*(rl_key=$A$1264)*rl_ln1p))</f>
        <v/>
      </c>
      <c r="J1279" s="208">
        <f>EXP(SUMPRODUCT((rl_eff&lt;=$C1279)*(rl_key=$A$1264)*rl_ln1p))</f>
        <v/>
      </c>
      <c r="K1279" s="201">
        <f>COUNTIFS(rl_key,$A$1264,rl_eff,"&gt;="&amp;$B1279,rl_eff,"&lt;="&amp;$C1279)</f>
        <v/>
      </c>
      <c r="L1279" s="201">
        <f>SUMIFS(rl_daysafter,rl_key,$A$1264,rl_effmonth,$B1279,rl_first,1)</f>
        <v/>
      </c>
      <c r="M1279" s="209">
        <f>IF($K1279=0,0,MIN(1,$L1279/$D1279))</f>
        <v/>
      </c>
      <c r="N1279" s="208">
        <f>IF($K1279=0,$J1279,(1-$M1279)*$I1279+$M1279*$J1279)</f>
        <v/>
      </c>
      <c r="O1279" s="209">
        <f>IF($F1279&lt;$B$1265,$E$1265+$I$1265*($F1279-$A$1265),IF($F1279&lt;$C$1265,$F$1265+$J$1265*($F1279-$B$1265),$G$1265+$K$1265*($F1279-$C$1265)))</f>
        <v/>
      </c>
      <c r="P1279" s="208">
        <f>MIN(1,MAX(0,(nr_MEndPm1-$G1279+0.5)/$C$1264))-MIN(1,MAX(0,(nr_MStartPm1-1-$G1279+0.5)/$C$1264))</f>
        <v/>
      </c>
      <c r="Q1279" s="208">
        <f>MIN(1,MAX(0,(nr_MEndP-$G1279+0.5)/$C$1264))-MIN(1,MAX(0,(nr_MStartP-1-$G1279+0.5)/$C$1264))</f>
        <v/>
      </c>
      <c r="R1279" s="208">
        <f>MIN(1,MAX(0,(nr_MEndP1-$G1279+0.5)/$C$1264))-MIN(1,MAX(0,(nr_MStartP1-1-$G1279+0.5)/$C$1264))</f>
        <v/>
      </c>
      <c r="S1279" s="208">
        <f>IF($L$1264,$N1279*IF($O$1264=1,$O1279/$F$1264,1),"")</f>
        <v/>
      </c>
      <c r="T1279" s="208">
        <f>IF(NOT($L$1264),"",IF($G1279&lt;nr_MStartP,$S1279,$T1267*(1+IF($G1279&lt;nr_MStartP1,$M$1264,$N$1264))))</f>
        <v/>
      </c>
      <c r="U1279" s="208">
        <f>IF($L$1264,$T1279,$N1279)</f>
        <v/>
      </c>
    </row>
    <row r="1280">
      <c r="A1280" s="145" t="n">
        <v>14</v>
      </c>
      <c r="B1280" s="204">
        <f>EDATE($B1279,1)</f>
        <v/>
      </c>
      <c r="C1280" s="205">
        <f>EOMONTH($B1280,0)</f>
        <v/>
      </c>
      <c r="D1280" s="201">
        <f>$C1280-$B1280+1</f>
        <v/>
      </c>
      <c r="E1280" s="201">
        <f>MONTH($B1280)</f>
        <v/>
      </c>
      <c r="F1280" s="235">
        <f>($B1280+$C1280+1)/2</f>
        <v/>
      </c>
      <c r="G1280" s="201">
        <f>YEAR($B1280)*12+MONTH($B1280)-1</f>
        <v/>
      </c>
      <c r="H1280" s="207">
        <f>IF(OR(nr_SeasonOn="OFF",$D$1264=0,$E$1264=0),1,12*INDEX(se_block,$D$1264,$E1280)/$E$1264)</f>
        <v/>
      </c>
      <c r="I1280" s="208">
        <f>EXP(SUMPRODUCT((rl_eff&lt;$B1280)*(rl_key=$A$1264)*rl_ln1p))</f>
        <v/>
      </c>
      <c r="J1280" s="208">
        <f>EXP(SUMPRODUCT((rl_eff&lt;=$C1280)*(rl_key=$A$1264)*rl_ln1p))</f>
        <v/>
      </c>
      <c r="K1280" s="201">
        <f>COUNTIFS(rl_key,$A$1264,rl_eff,"&gt;="&amp;$B1280,rl_eff,"&lt;="&amp;$C1280)</f>
        <v/>
      </c>
      <c r="L1280" s="201">
        <f>SUMIFS(rl_daysafter,rl_key,$A$1264,rl_effmonth,$B1280,rl_first,1)</f>
        <v/>
      </c>
      <c r="M1280" s="209">
        <f>IF($K1280=0,0,MIN(1,$L1280/$D1280))</f>
        <v/>
      </c>
      <c r="N1280" s="208">
        <f>IF($K1280=0,$J1280,(1-$M1280)*$I1280+$M1280*$J1280)</f>
        <v/>
      </c>
      <c r="O1280" s="209">
        <f>IF($F1280&lt;$B$1265,$E$1265+$I$1265*($F1280-$A$1265),IF($F1280&lt;$C$1265,$F$1265+$J$1265*($F1280-$B$1265),$G$1265+$K$1265*($F1280-$C$1265)))</f>
        <v/>
      </c>
      <c r="P1280" s="208">
        <f>MIN(1,MAX(0,(nr_MEndPm1-$G1280+0.5)/$C$1264))-MIN(1,MAX(0,(nr_MStartPm1-1-$G1280+0.5)/$C$1264))</f>
        <v/>
      </c>
      <c r="Q1280" s="208">
        <f>MIN(1,MAX(0,(nr_MEndP-$G1280+0.5)/$C$1264))-MIN(1,MAX(0,(nr_MStartP-1-$G1280+0.5)/$C$1264))</f>
        <v/>
      </c>
      <c r="R1280" s="208">
        <f>MIN(1,MAX(0,(nr_MEndP1-$G1280+0.5)/$C$1264))-MIN(1,MAX(0,(nr_MStartP1-1-$G1280+0.5)/$C$1264))</f>
        <v/>
      </c>
      <c r="S1280" s="208">
        <f>IF($L$1264,$N1280*IF($O$1264=1,$O1280/$F$1264,1),"")</f>
        <v/>
      </c>
      <c r="T1280" s="208">
        <f>IF(NOT($L$1264),"",IF($G1280&lt;nr_MStartP,$S1280,$T1268*(1+IF($G1280&lt;nr_MStartP1,$M$1264,$N$1264))))</f>
        <v/>
      </c>
      <c r="U1280" s="208">
        <f>IF($L$1264,$T1280,$N1280)</f>
        <v/>
      </c>
    </row>
    <row r="1281">
      <c r="A1281" s="145" t="n">
        <v>15</v>
      </c>
      <c r="B1281" s="204">
        <f>EDATE($B1280,1)</f>
        <v/>
      </c>
      <c r="C1281" s="205">
        <f>EOMONTH($B1281,0)</f>
        <v/>
      </c>
      <c r="D1281" s="201">
        <f>$C1281-$B1281+1</f>
        <v/>
      </c>
      <c r="E1281" s="201">
        <f>MONTH($B1281)</f>
        <v/>
      </c>
      <c r="F1281" s="235">
        <f>($B1281+$C1281+1)/2</f>
        <v/>
      </c>
      <c r="G1281" s="201">
        <f>YEAR($B1281)*12+MONTH($B1281)-1</f>
        <v/>
      </c>
      <c r="H1281" s="207">
        <f>IF(OR(nr_SeasonOn="OFF",$D$1264=0,$E$1264=0),1,12*INDEX(se_block,$D$1264,$E1281)/$E$1264)</f>
        <v/>
      </c>
      <c r="I1281" s="208">
        <f>EXP(SUMPRODUCT((rl_eff&lt;$B1281)*(rl_key=$A$1264)*rl_ln1p))</f>
        <v/>
      </c>
      <c r="J1281" s="208">
        <f>EXP(SUMPRODUCT((rl_eff&lt;=$C1281)*(rl_key=$A$1264)*rl_ln1p))</f>
        <v/>
      </c>
      <c r="K1281" s="201">
        <f>COUNTIFS(rl_key,$A$1264,rl_eff,"&gt;="&amp;$B1281,rl_eff,"&lt;="&amp;$C1281)</f>
        <v/>
      </c>
      <c r="L1281" s="201">
        <f>SUMIFS(rl_daysafter,rl_key,$A$1264,rl_effmonth,$B1281,rl_first,1)</f>
        <v/>
      </c>
      <c r="M1281" s="209">
        <f>IF($K1281=0,0,MIN(1,$L1281/$D1281))</f>
        <v/>
      </c>
      <c r="N1281" s="208">
        <f>IF($K1281=0,$J1281,(1-$M1281)*$I1281+$M1281*$J1281)</f>
        <v/>
      </c>
      <c r="O1281" s="209">
        <f>IF($F1281&lt;$B$1265,$E$1265+$I$1265*($F1281-$A$1265),IF($F1281&lt;$C$1265,$F$1265+$J$1265*($F1281-$B$1265),$G$1265+$K$1265*($F1281-$C$1265)))</f>
        <v/>
      </c>
      <c r="P1281" s="208">
        <f>MIN(1,MAX(0,(nr_MEndPm1-$G1281+0.5)/$C$1264))-MIN(1,MAX(0,(nr_MStartPm1-1-$G1281+0.5)/$C$1264))</f>
        <v/>
      </c>
      <c r="Q1281" s="208">
        <f>MIN(1,MAX(0,(nr_MEndP-$G1281+0.5)/$C$1264))-MIN(1,MAX(0,(nr_MStartP-1-$G1281+0.5)/$C$1264))</f>
        <v/>
      </c>
      <c r="R1281" s="208">
        <f>MIN(1,MAX(0,(nr_MEndP1-$G1281+0.5)/$C$1264))-MIN(1,MAX(0,(nr_MStartP1-1-$G1281+0.5)/$C$1264))</f>
        <v/>
      </c>
      <c r="S1281" s="208">
        <f>IF($L$1264,$N1281*IF($O$1264=1,$O1281/$F$1264,1),"")</f>
        <v/>
      </c>
      <c r="T1281" s="208">
        <f>IF(NOT($L$1264),"",IF($G1281&lt;nr_MStartP,$S1281,$T1269*(1+IF($G1281&lt;nr_MStartP1,$M$1264,$N$1264))))</f>
        <v/>
      </c>
      <c r="U1281" s="208">
        <f>IF($L$1264,$T1281,$N1281)</f>
        <v/>
      </c>
    </row>
    <row r="1282">
      <c r="A1282" s="145" t="n">
        <v>16</v>
      </c>
      <c r="B1282" s="204">
        <f>EDATE($B1281,1)</f>
        <v/>
      </c>
      <c r="C1282" s="205">
        <f>EOMONTH($B1282,0)</f>
        <v/>
      </c>
      <c r="D1282" s="201">
        <f>$C1282-$B1282+1</f>
        <v/>
      </c>
      <c r="E1282" s="201">
        <f>MONTH($B1282)</f>
        <v/>
      </c>
      <c r="F1282" s="235">
        <f>($B1282+$C1282+1)/2</f>
        <v/>
      </c>
      <c r="G1282" s="201">
        <f>YEAR($B1282)*12+MONTH($B1282)-1</f>
        <v/>
      </c>
      <c r="H1282" s="207">
        <f>IF(OR(nr_SeasonOn="OFF",$D$1264=0,$E$1264=0),1,12*INDEX(se_block,$D$1264,$E1282)/$E$1264)</f>
        <v/>
      </c>
      <c r="I1282" s="208">
        <f>EXP(SUMPRODUCT((rl_eff&lt;$B1282)*(rl_key=$A$1264)*rl_ln1p))</f>
        <v/>
      </c>
      <c r="J1282" s="208">
        <f>EXP(SUMPRODUCT((rl_eff&lt;=$C1282)*(rl_key=$A$1264)*rl_ln1p))</f>
        <v/>
      </c>
      <c r="K1282" s="201">
        <f>COUNTIFS(rl_key,$A$1264,rl_eff,"&gt;="&amp;$B1282,rl_eff,"&lt;="&amp;$C1282)</f>
        <v/>
      </c>
      <c r="L1282" s="201">
        <f>SUMIFS(rl_daysafter,rl_key,$A$1264,rl_effmonth,$B1282,rl_first,1)</f>
        <v/>
      </c>
      <c r="M1282" s="209">
        <f>IF($K1282=0,0,MIN(1,$L1282/$D1282))</f>
        <v/>
      </c>
      <c r="N1282" s="208">
        <f>IF($K1282=0,$J1282,(1-$M1282)*$I1282+$M1282*$J1282)</f>
        <v/>
      </c>
      <c r="O1282" s="209">
        <f>IF($F1282&lt;$B$1265,$E$1265+$I$1265*($F1282-$A$1265),IF($F1282&lt;$C$1265,$F$1265+$J$1265*($F1282-$B$1265),$G$1265+$K$1265*($F1282-$C$1265)))</f>
        <v/>
      </c>
      <c r="P1282" s="208">
        <f>MIN(1,MAX(0,(nr_MEndPm1-$G1282+0.5)/$C$1264))-MIN(1,MAX(0,(nr_MStartPm1-1-$G1282+0.5)/$C$1264))</f>
        <v/>
      </c>
      <c r="Q1282" s="208">
        <f>MIN(1,MAX(0,(nr_MEndP-$G1282+0.5)/$C$1264))-MIN(1,MAX(0,(nr_MStartP-1-$G1282+0.5)/$C$1264))</f>
        <v/>
      </c>
      <c r="R1282" s="208">
        <f>MIN(1,MAX(0,(nr_MEndP1-$G1282+0.5)/$C$1264))-MIN(1,MAX(0,(nr_MStartP1-1-$G1282+0.5)/$C$1264))</f>
        <v/>
      </c>
      <c r="S1282" s="208">
        <f>IF($L$1264,$N1282*IF($O$1264=1,$O1282/$F$1264,1),"")</f>
        <v/>
      </c>
      <c r="T1282" s="208">
        <f>IF(NOT($L$1264),"",IF($G1282&lt;nr_MStartP,$S1282,$T1270*(1+IF($G1282&lt;nr_MStartP1,$M$1264,$N$1264))))</f>
        <v/>
      </c>
      <c r="U1282" s="208">
        <f>IF($L$1264,$T1282,$N1282)</f>
        <v/>
      </c>
    </row>
    <row r="1283">
      <c r="A1283" s="145" t="n">
        <v>17</v>
      </c>
      <c r="B1283" s="204">
        <f>EDATE($B1282,1)</f>
        <v/>
      </c>
      <c r="C1283" s="205">
        <f>EOMONTH($B1283,0)</f>
        <v/>
      </c>
      <c r="D1283" s="201">
        <f>$C1283-$B1283+1</f>
        <v/>
      </c>
      <c r="E1283" s="201">
        <f>MONTH($B1283)</f>
        <v/>
      </c>
      <c r="F1283" s="235">
        <f>($B1283+$C1283+1)/2</f>
        <v/>
      </c>
      <c r="G1283" s="201">
        <f>YEAR($B1283)*12+MONTH($B1283)-1</f>
        <v/>
      </c>
      <c r="H1283" s="207">
        <f>IF(OR(nr_SeasonOn="OFF",$D$1264=0,$E$1264=0),1,12*INDEX(se_block,$D$1264,$E1283)/$E$1264)</f>
        <v/>
      </c>
      <c r="I1283" s="208">
        <f>EXP(SUMPRODUCT((rl_eff&lt;$B1283)*(rl_key=$A$1264)*rl_ln1p))</f>
        <v/>
      </c>
      <c r="J1283" s="208">
        <f>EXP(SUMPRODUCT((rl_eff&lt;=$C1283)*(rl_key=$A$1264)*rl_ln1p))</f>
        <v/>
      </c>
      <c r="K1283" s="201">
        <f>COUNTIFS(rl_key,$A$1264,rl_eff,"&gt;="&amp;$B1283,rl_eff,"&lt;="&amp;$C1283)</f>
        <v/>
      </c>
      <c r="L1283" s="201">
        <f>SUMIFS(rl_daysafter,rl_key,$A$1264,rl_effmonth,$B1283,rl_first,1)</f>
        <v/>
      </c>
      <c r="M1283" s="209">
        <f>IF($K1283=0,0,MIN(1,$L1283/$D1283))</f>
        <v/>
      </c>
      <c r="N1283" s="208">
        <f>IF($K1283=0,$J1283,(1-$M1283)*$I1283+$M1283*$J1283)</f>
        <v/>
      </c>
      <c r="O1283" s="209">
        <f>IF($F1283&lt;$B$1265,$E$1265+$I$1265*($F1283-$A$1265),IF($F1283&lt;$C$1265,$F$1265+$J$1265*($F1283-$B$1265),$G$1265+$K$1265*($F1283-$C$1265)))</f>
        <v/>
      </c>
      <c r="P1283" s="208">
        <f>MIN(1,MAX(0,(nr_MEndPm1-$G1283+0.5)/$C$1264))-MIN(1,MAX(0,(nr_MStartPm1-1-$G1283+0.5)/$C$1264))</f>
        <v/>
      </c>
      <c r="Q1283" s="208">
        <f>MIN(1,MAX(0,(nr_MEndP-$G1283+0.5)/$C$1264))-MIN(1,MAX(0,(nr_MStartP-1-$G1283+0.5)/$C$1264))</f>
        <v/>
      </c>
      <c r="R1283" s="208">
        <f>MIN(1,MAX(0,(nr_MEndP1-$G1283+0.5)/$C$1264))-MIN(1,MAX(0,(nr_MStartP1-1-$G1283+0.5)/$C$1264))</f>
        <v/>
      </c>
      <c r="S1283" s="208">
        <f>IF($L$1264,$N1283*IF($O$1264=1,$O1283/$F$1264,1),"")</f>
        <v/>
      </c>
      <c r="T1283" s="208">
        <f>IF(NOT($L$1264),"",IF($G1283&lt;nr_MStartP,$S1283,$T1271*(1+IF($G1283&lt;nr_MStartP1,$M$1264,$N$1264))))</f>
        <v/>
      </c>
      <c r="U1283" s="208">
        <f>IF($L$1264,$T1283,$N1283)</f>
        <v/>
      </c>
    </row>
    <row r="1284">
      <c r="A1284" s="145" t="n">
        <v>18</v>
      </c>
      <c r="B1284" s="204">
        <f>EDATE($B1283,1)</f>
        <v/>
      </c>
      <c r="C1284" s="205">
        <f>EOMONTH($B1284,0)</f>
        <v/>
      </c>
      <c r="D1284" s="201">
        <f>$C1284-$B1284+1</f>
        <v/>
      </c>
      <c r="E1284" s="201">
        <f>MONTH($B1284)</f>
        <v/>
      </c>
      <c r="F1284" s="235">
        <f>($B1284+$C1284+1)/2</f>
        <v/>
      </c>
      <c r="G1284" s="201">
        <f>YEAR($B1284)*12+MONTH($B1284)-1</f>
        <v/>
      </c>
      <c r="H1284" s="207">
        <f>IF(OR(nr_SeasonOn="OFF",$D$1264=0,$E$1264=0),1,12*INDEX(se_block,$D$1264,$E1284)/$E$1264)</f>
        <v/>
      </c>
      <c r="I1284" s="208">
        <f>EXP(SUMPRODUCT((rl_eff&lt;$B1284)*(rl_key=$A$1264)*rl_ln1p))</f>
        <v/>
      </c>
      <c r="J1284" s="208">
        <f>EXP(SUMPRODUCT((rl_eff&lt;=$C1284)*(rl_key=$A$1264)*rl_ln1p))</f>
        <v/>
      </c>
      <c r="K1284" s="201">
        <f>COUNTIFS(rl_key,$A$1264,rl_eff,"&gt;="&amp;$B1284,rl_eff,"&lt;="&amp;$C1284)</f>
        <v/>
      </c>
      <c r="L1284" s="201">
        <f>SUMIFS(rl_daysafter,rl_key,$A$1264,rl_effmonth,$B1284,rl_first,1)</f>
        <v/>
      </c>
      <c r="M1284" s="209">
        <f>IF($K1284=0,0,MIN(1,$L1284/$D1284))</f>
        <v/>
      </c>
      <c r="N1284" s="208">
        <f>IF($K1284=0,$J1284,(1-$M1284)*$I1284+$M1284*$J1284)</f>
        <v/>
      </c>
      <c r="O1284" s="209">
        <f>IF($F1284&lt;$B$1265,$E$1265+$I$1265*($F1284-$A$1265),IF($F1284&lt;$C$1265,$F$1265+$J$1265*($F1284-$B$1265),$G$1265+$K$1265*($F1284-$C$1265)))</f>
        <v/>
      </c>
      <c r="P1284" s="208">
        <f>MIN(1,MAX(0,(nr_MEndPm1-$G1284+0.5)/$C$1264))-MIN(1,MAX(0,(nr_MStartPm1-1-$G1284+0.5)/$C$1264))</f>
        <v/>
      </c>
      <c r="Q1284" s="208">
        <f>MIN(1,MAX(0,(nr_MEndP-$G1284+0.5)/$C$1264))-MIN(1,MAX(0,(nr_MStartP-1-$G1284+0.5)/$C$1264))</f>
        <v/>
      </c>
      <c r="R1284" s="208">
        <f>MIN(1,MAX(0,(nr_MEndP1-$G1284+0.5)/$C$1264))-MIN(1,MAX(0,(nr_MStartP1-1-$G1284+0.5)/$C$1264))</f>
        <v/>
      </c>
      <c r="S1284" s="208">
        <f>IF($L$1264,$N1284*IF($O$1264=1,$O1284/$F$1264,1),"")</f>
        <v/>
      </c>
      <c r="T1284" s="208">
        <f>IF(NOT($L$1264),"",IF($G1284&lt;nr_MStartP,$S1284,$T1272*(1+IF($G1284&lt;nr_MStartP1,$M$1264,$N$1264))))</f>
        <v/>
      </c>
      <c r="U1284" s="208">
        <f>IF($L$1264,$T1284,$N1284)</f>
        <v/>
      </c>
    </row>
    <row r="1285">
      <c r="A1285" s="145" t="n">
        <v>19</v>
      </c>
      <c r="B1285" s="204">
        <f>EDATE($B1284,1)</f>
        <v/>
      </c>
      <c r="C1285" s="205">
        <f>EOMONTH($B1285,0)</f>
        <v/>
      </c>
      <c r="D1285" s="201">
        <f>$C1285-$B1285+1</f>
        <v/>
      </c>
      <c r="E1285" s="201">
        <f>MONTH($B1285)</f>
        <v/>
      </c>
      <c r="F1285" s="235">
        <f>($B1285+$C1285+1)/2</f>
        <v/>
      </c>
      <c r="G1285" s="201">
        <f>YEAR($B1285)*12+MONTH($B1285)-1</f>
        <v/>
      </c>
      <c r="H1285" s="207">
        <f>IF(OR(nr_SeasonOn="OFF",$D$1264=0,$E$1264=0),1,12*INDEX(se_block,$D$1264,$E1285)/$E$1264)</f>
        <v/>
      </c>
      <c r="I1285" s="208">
        <f>EXP(SUMPRODUCT((rl_eff&lt;$B1285)*(rl_key=$A$1264)*rl_ln1p))</f>
        <v/>
      </c>
      <c r="J1285" s="208">
        <f>EXP(SUMPRODUCT((rl_eff&lt;=$C1285)*(rl_key=$A$1264)*rl_ln1p))</f>
        <v/>
      </c>
      <c r="K1285" s="201">
        <f>COUNTIFS(rl_key,$A$1264,rl_eff,"&gt;="&amp;$B1285,rl_eff,"&lt;="&amp;$C1285)</f>
        <v/>
      </c>
      <c r="L1285" s="201">
        <f>SUMIFS(rl_daysafter,rl_key,$A$1264,rl_effmonth,$B1285,rl_first,1)</f>
        <v/>
      </c>
      <c r="M1285" s="209">
        <f>IF($K1285=0,0,MIN(1,$L1285/$D1285))</f>
        <v/>
      </c>
      <c r="N1285" s="208">
        <f>IF($K1285=0,$J1285,(1-$M1285)*$I1285+$M1285*$J1285)</f>
        <v/>
      </c>
      <c r="O1285" s="209">
        <f>IF($F1285&lt;$B$1265,$E$1265+$I$1265*($F1285-$A$1265),IF($F1285&lt;$C$1265,$F$1265+$J$1265*($F1285-$B$1265),$G$1265+$K$1265*($F1285-$C$1265)))</f>
        <v/>
      </c>
      <c r="P1285" s="208">
        <f>MIN(1,MAX(0,(nr_MEndPm1-$G1285+0.5)/$C$1264))-MIN(1,MAX(0,(nr_MStartPm1-1-$G1285+0.5)/$C$1264))</f>
        <v/>
      </c>
      <c r="Q1285" s="208">
        <f>MIN(1,MAX(0,(nr_MEndP-$G1285+0.5)/$C$1264))-MIN(1,MAX(0,(nr_MStartP-1-$G1285+0.5)/$C$1264))</f>
        <v/>
      </c>
      <c r="R1285" s="208">
        <f>MIN(1,MAX(0,(nr_MEndP1-$G1285+0.5)/$C$1264))-MIN(1,MAX(0,(nr_MStartP1-1-$G1285+0.5)/$C$1264))</f>
        <v/>
      </c>
      <c r="S1285" s="208">
        <f>IF($L$1264,$N1285*IF($O$1264=1,$O1285/$F$1264,1),"")</f>
        <v/>
      </c>
      <c r="T1285" s="208">
        <f>IF(NOT($L$1264),"",IF($G1285&lt;nr_MStartP,$S1285,$T1273*(1+IF($G1285&lt;nr_MStartP1,$M$1264,$N$1264))))</f>
        <v/>
      </c>
      <c r="U1285" s="208">
        <f>IF($L$1264,$T1285,$N1285)</f>
        <v/>
      </c>
    </row>
    <row r="1286">
      <c r="A1286" s="145" t="n">
        <v>20</v>
      </c>
      <c r="B1286" s="204">
        <f>EDATE($B1285,1)</f>
        <v/>
      </c>
      <c r="C1286" s="205">
        <f>EOMONTH($B1286,0)</f>
        <v/>
      </c>
      <c r="D1286" s="201">
        <f>$C1286-$B1286+1</f>
        <v/>
      </c>
      <c r="E1286" s="201">
        <f>MONTH($B1286)</f>
        <v/>
      </c>
      <c r="F1286" s="235">
        <f>($B1286+$C1286+1)/2</f>
        <v/>
      </c>
      <c r="G1286" s="201">
        <f>YEAR($B1286)*12+MONTH($B1286)-1</f>
        <v/>
      </c>
      <c r="H1286" s="207">
        <f>IF(OR(nr_SeasonOn="OFF",$D$1264=0,$E$1264=0),1,12*INDEX(se_block,$D$1264,$E1286)/$E$1264)</f>
        <v/>
      </c>
      <c r="I1286" s="208">
        <f>EXP(SUMPRODUCT((rl_eff&lt;$B1286)*(rl_key=$A$1264)*rl_ln1p))</f>
        <v/>
      </c>
      <c r="J1286" s="208">
        <f>EXP(SUMPRODUCT((rl_eff&lt;=$C1286)*(rl_key=$A$1264)*rl_ln1p))</f>
        <v/>
      </c>
      <c r="K1286" s="201">
        <f>COUNTIFS(rl_key,$A$1264,rl_eff,"&gt;="&amp;$B1286,rl_eff,"&lt;="&amp;$C1286)</f>
        <v/>
      </c>
      <c r="L1286" s="201">
        <f>SUMIFS(rl_daysafter,rl_key,$A$1264,rl_effmonth,$B1286,rl_first,1)</f>
        <v/>
      </c>
      <c r="M1286" s="209">
        <f>IF($K1286=0,0,MIN(1,$L1286/$D1286))</f>
        <v/>
      </c>
      <c r="N1286" s="208">
        <f>IF($K1286=0,$J1286,(1-$M1286)*$I1286+$M1286*$J1286)</f>
        <v/>
      </c>
      <c r="O1286" s="209">
        <f>IF($F1286&lt;$B$1265,$E$1265+$I$1265*($F1286-$A$1265),IF($F1286&lt;$C$1265,$F$1265+$J$1265*($F1286-$B$1265),$G$1265+$K$1265*($F1286-$C$1265)))</f>
        <v/>
      </c>
      <c r="P1286" s="208">
        <f>MIN(1,MAX(0,(nr_MEndPm1-$G1286+0.5)/$C$1264))-MIN(1,MAX(0,(nr_MStartPm1-1-$G1286+0.5)/$C$1264))</f>
        <v/>
      </c>
      <c r="Q1286" s="208">
        <f>MIN(1,MAX(0,(nr_MEndP-$G1286+0.5)/$C$1264))-MIN(1,MAX(0,(nr_MStartP-1-$G1286+0.5)/$C$1264))</f>
        <v/>
      </c>
      <c r="R1286" s="208">
        <f>MIN(1,MAX(0,(nr_MEndP1-$G1286+0.5)/$C$1264))-MIN(1,MAX(0,(nr_MStartP1-1-$G1286+0.5)/$C$1264))</f>
        <v/>
      </c>
      <c r="S1286" s="208">
        <f>IF($L$1264,$N1286*IF($O$1264=1,$O1286/$F$1264,1),"")</f>
        <v/>
      </c>
      <c r="T1286" s="208">
        <f>IF(NOT($L$1264),"",IF($G1286&lt;nr_MStartP,$S1286,$T1274*(1+IF($G1286&lt;nr_MStartP1,$M$1264,$N$1264))))</f>
        <v/>
      </c>
      <c r="U1286" s="208">
        <f>IF($L$1264,$T1286,$N1286)</f>
        <v/>
      </c>
    </row>
    <row r="1287">
      <c r="A1287" s="145" t="n">
        <v>21</v>
      </c>
      <c r="B1287" s="204">
        <f>EDATE($B1286,1)</f>
        <v/>
      </c>
      <c r="C1287" s="205">
        <f>EOMONTH($B1287,0)</f>
        <v/>
      </c>
      <c r="D1287" s="201">
        <f>$C1287-$B1287+1</f>
        <v/>
      </c>
      <c r="E1287" s="201">
        <f>MONTH($B1287)</f>
        <v/>
      </c>
      <c r="F1287" s="235">
        <f>($B1287+$C1287+1)/2</f>
        <v/>
      </c>
      <c r="G1287" s="201">
        <f>YEAR($B1287)*12+MONTH($B1287)-1</f>
        <v/>
      </c>
      <c r="H1287" s="207">
        <f>IF(OR(nr_SeasonOn="OFF",$D$1264=0,$E$1264=0),1,12*INDEX(se_block,$D$1264,$E1287)/$E$1264)</f>
        <v/>
      </c>
      <c r="I1287" s="208">
        <f>EXP(SUMPRODUCT((rl_eff&lt;$B1287)*(rl_key=$A$1264)*rl_ln1p))</f>
        <v/>
      </c>
      <c r="J1287" s="208">
        <f>EXP(SUMPRODUCT((rl_eff&lt;=$C1287)*(rl_key=$A$1264)*rl_ln1p))</f>
        <v/>
      </c>
      <c r="K1287" s="201">
        <f>COUNTIFS(rl_key,$A$1264,rl_eff,"&gt;="&amp;$B1287,rl_eff,"&lt;="&amp;$C1287)</f>
        <v/>
      </c>
      <c r="L1287" s="201">
        <f>SUMIFS(rl_daysafter,rl_key,$A$1264,rl_effmonth,$B1287,rl_first,1)</f>
        <v/>
      </c>
      <c r="M1287" s="209">
        <f>IF($K1287=0,0,MIN(1,$L1287/$D1287))</f>
        <v/>
      </c>
      <c r="N1287" s="208">
        <f>IF($K1287=0,$J1287,(1-$M1287)*$I1287+$M1287*$J1287)</f>
        <v/>
      </c>
      <c r="O1287" s="209">
        <f>IF($F1287&lt;$B$1265,$E$1265+$I$1265*($F1287-$A$1265),IF($F1287&lt;$C$1265,$F$1265+$J$1265*($F1287-$B$1265),$G$1265+$K$1265*($F1287-$C$1265)))</f>
        <v/>
      </c>
      <c r="P1287" s="208">
        <f>MIN(1,MAX(0,(nr_MEndPm1-$G1287+0.5)/$C$1264))-MIN(1,MAX(0,(nr_MStartPm1-1-$G1287+0.5)/$C$1264))</f>
        <v/>
      </c>
      <c r="Q1287" s="208">
        <f>MIN(1,MAX(0,(nr_MEndP-$G1287+0.5)/$C$1264))-MIN(1,MAX(0,(nr_MStartP-1-$G1287+0.5)/$C$1264))</f>
        <v/>
      </c>
      <c r="R1287" s="208">
        <f>MIN(1,MAX(0,(nr_MEndP1-$G1287+0.5)/$C$1264))-MIN(1,MAX(0,(nr_MStartP1-1-$G1287+0.5)/$C$1264))</f>
        <v/>
      </c>
      <c r="S1287" s="208">
        <f>IF($L$1264,$N1287*IF($O$1264=1,$O1287/$F$1264,1),"")</f>
        <v/>
      </c>
      <c r="T1287" s="208">
        <f>IF(NOT($L$1264),"",IF($G1287&lt;nr_MStartP,$S1287,$T1275*(1+IF($G1287&lt;nr_MStartP1,$M$1264,$N$1264))))</f>
        <v/>
      </c>
      <c r="U1287" s="208">
        <f>IF($L$1264,$T1287,$N1287)</f>
        <v/>
      </c>
    </row>
    <row r="1288">
      <c r="A1288" s="145" t="n">
        <v>22</v>
      </c>
      <c r="B1288" s="204">
        <f>EDATE($B1287,1)</f>
        <v/>
      </c>
      <c r="C1288" s="205">
        <f>EOMONTH($B1288,0)</f>
        <v/>
      </c>
      <c r="D1288" s="201">
        <f>$C1288-$B1288+1</f>
        <v/>
      </c>
      <c r="E1288" s="201">
        <f>MONTH($B1288)</f>
        <v/>
      </c>
      <c r="F1288" s="235">
        <f>($B1288+$C1288+1)/2</f>
        <v/>
      </c>
      <c r="G1288" s="201">
        <f>YEAR($B1288)*12+MONTH($B1288)-1</f>
        <v/>
      </c>
      <c r="H1288" s="207">
        <f>IF(OR(nr_SeasonOn="OFF",$D$1264=0,$E$1264=0),1,12*INDEX(se_block,$D$1264,$E1288)/$E$1264)</f>
        <v/>
      </c>
      <c r="I1288" s="208">
        <f>EXP(SUMPRODUCT((rl_eff&lt;$B1288)*(rl_key=$A$1264)*rl_ln1p))</f>
        <v/>
      </c>
      <c r="J1288" s="208">
        <f>EXP(SUMPRODUCT((rl_eff&lt;=$C1288)*(rl_key=$A$1264)*rl_ln1p))</f>
        <v/>
      </c>
      <c r="K1288" s="201">
        <f>COUNTIFS(rl_key,$A$1264,rl_eff,"&gt;="&amp;$B1288,rl_eff,"&lt;="&amp;$C1288)</f>
        <v/>
      </c>
      <c r="L1288" s="201">
        <f>SUMIFS(rl_daysafter,rl_key,$A$1264,rl_effmonth,$B1288,rl_first,1)</f>
        <v/>
      </c>
      <c r="M1288" s="209">
        <f>IF($K1288=0,0,MIN(1,$L1288/$D1288))</f>
        <v/>
      </c>
      <c r="N1288" s="208">
        <f>IF($K1288=0,$J1288,(1-$M1288)*$I1288+$M1288*$J1288)</f>
        <v/>
      </c>
      <c r="O1288" s="209">
        <f>IF($F1288&lt;$B$1265,$E$1265+$I$1265*($F1288-$A$1265),IF($F1288&lt;$C$1265,$F$1265+$J$1265*($F1288-$B$1265),$G$1265+$K$1265*($F1288-$C$1265)))</f>
        <v/>
      </c>
      <c r="P1288" s="208">
        <f>MIN(1,MAX(0,(nr_MEndPm1-$G1288+0.5)/$C$1264))-MIN(1,MAX(0,(nr_MStartPm1-1-$G1288+0.5)/$C$1264))</f>
        <v/>
      </c>
      <c r="Q1288" s="208">
        <f>MIN(1,MAX(0,(nr_MEndP-$G1288+0.5)/$C$1264))-MIN(1,MAX(0,(nr_MStartP-1-$G1288+0.5)/$C$1264))</f>
        <v/>
      </c>
      <c r="R1288" s="208">
        <f>MIN(1,MAX(0,(nr_MEndP1-$G1288+0.5)/$C$1264))-MIN(1,MAX(0,(nr_MStartP1-1-$G1288+0.5)/$C$1264))</f>
        <v/>
      </c>
      <c r="S1288" s="208">
        <f>IF($L$1264,$N1288*IF($O$1264=1,$O1288/$F$1264,1),"")</f>
        <v/>
      </c>
      <c r="T1288" s="208">
        <f>IF(NOT($L$1264),"",IF($G1288&lt;nr_MStartP,$S1288,$T1276*(1+IF($G1288&lt;nr_MStartP1,$M$1264,$N$1264))))</f>
        <v/>
      </c>
      <c r="U1288" s="208">
        <f>IF($L$1264,$T1288,$N1288)</f>
        <v/>
      </c>
    </row>
    <row r="1289">
      <c r="A1289" s="145" t="n">
        <v>23</v>
      </c>
      <c r="B1289" s="204">
        <f>EDATE($B1288,1)</f>
        <v/>
      </c>
      <c r="C1289" s="205">
        <f>EOMONTH($B1289,0)</f>
        <v/>
      </c>
      <c r="D1289" s="201">
        <f>$C1289-$B1289+1</f>
        <v/>
      </c>
      <c r="E1289" s="201">
        <f>MONTH($B1289)</f>
        <v/>
      </c>
      <c r="F1289" s="235">
        <f>($B1289+$C1289+1)/2</f>
        <v/>
      </c>
      <c r="G1289" s="201">
        <f>YEAR($B1289)*12+MONTH($B1289)-1</f>
        <v/>
      </c>
      <c r="H1289" s="207">
        <f>IF(OR(nr_SeasonOn="OFF",$D$1264=0,$E$1264=0),1,12*INDEX(se_block,$D$1264,$E1289)/$E$1264)</f>
        <v/>
      </c>
      <c r="I1289" s="208">
        <f>EXP(SUMPRODUCT((rl_eff&lt;$B1289)*(rl_key=$A$1264)*rl_ln1p))</f>
        <v/>
      </c>
      <c r="J1289" s="208">
        <f>EXP(SUMPRODUCT((rl_eff&lt;=$C1289)*(rl_key=$A$1264)*rl_ln1p))</f>
        <v/>
      </c>
      <c r="K1289" s="201">
        <f>COUNTIFS(rl_key,$A$1264,rl_eff,"&gt;="&amp;$B1289,rl_eff,"&lt;="&amp;$C1289)</f>
        <v/>
      </c>
      <c r="L1289" s="201">
        <f>SUMIFS(rl_daysafter,rl_key,$A$1264,rl_effmonth,$B1289,rl_first,1)</f>
        <v/>
      </c>
      <c r="M1289" s="209">
        <f>IF($K1289=0,0,MIN(1,$L1289/$D1289))</f>
        <v/>
      </c>
      <c r="N1289" s="208">
        <f>IF($K1289=0,$J1289,(1-$M1289)*$I1289+$M1289*$J1289)</f>
        <v/>
      </c>
      <c r="O1289" s="209">
        <f>IF($F1289&lt;$B$1265,$E$1265+$I$1265*($F1289-$A$1265),IF($F1289&lt;$C$1265,$F$1265+$J$1265*($F1289-$B$1265),$G$1265+$K$1265*($F1289-$C$1265)))</f>
        <v/>
      </c>
      <c r="P1289" s="208">
        <f>MIN(1,MAX(0,(nr_MEndPm1-$G1289+0.5)/$C$1264))-MIN(1,MAX(0,(nr_MStartPm1-1-$G1289+0.5)/$C$1264))</f>
        <v/>
      </c>
      <c r="Q1289" s="208">
        <f>MIN(1,MAX(0,(nr_MEndP-$G1289+0.5)/$C$1264))-MIN(1,MAX(0,(nr_MStartP-1-$G1289+0.5)/$C$1264))</f>
        <v/>
      </c>
      <c r="R1289" s="208">
        <f>MIN(1,MAX(0,(nr_MEndP1-$G1289+0.5)/$C$1264))-MIN(1,MAX(0,(nr_MStartP1-1-$G1289+0.5)/$C$1264))</f>
        <v/>
      </c>
      <c r="S1289" s="208">
        <f>IF($L$1264,$N1289*IF($O$1264=1,$O1289/$F$1264,1),"")</f>
        <v/>
      </c>
      <c r="T1289" s="208">
        <f>IF(NOT($L$1264),"",IF($G1289&lt;nr_MStartP,$S1289,$T1277*(1+IF($G1289&lt;nr_MStartP1,$M$1264,$N$1264))))</f>
        <v/>
      </c>
      <c r="U1289" s="208">
        <f>IF($L$1264,$T1289,$N1289)</f>
        <v/>
      </c>
    </row>
    <row r="1290">
      <c r="A1290" s="145" t="n">
        <v>24</v>
      </c>
      <c r="B1290" s="204">
        <f>EDATE($B1289,1)</f>
        <v/>
      </c>
      <c r="C1290" s="205">
        <f>EOMONTH($B1290,0)</f>
        <v/>
      </c>
      <c r="D1290" s="201">
        <f>$C1290-$B1290+1</f>
        <v/>
      </c>
      <c r="E1290" s="201">
        <f>MONTH($B1290)</f>
        <v/>
      </c>
      <c r="F1290" s="235">
        <f>($B1290+$C1290+1)/2</f>
        <v/>
      </c>
      <c r="G1290" s="201">
        <f>YEAR($B1290)*12+MONTH($B1290)-1</f>
        <v/>
      </c>
      <c r="H1290" s="207">
        <f>IF(OR(nr_SeasonOn="OFF",$D$1264=0,$E$1264=0),1,12*INDEX(se_block,$D$1264,$E1290)/$E$1264)</f>
        <v/>
      </c>
      <c r="I1290" s="208">
        <f>EXP(SUMPRODUCT((rl_eff&lt;$B1290)*(rl_key=$A$1264)*rl_ln1p))</f>
        <v/>
      </c>
      <c r="J1290" s="208">
        <f>EXP(SUMPRODUCT((rl_eff&lt;=$C1290)*(rl_key=$A$1264)*rl_ln1p))</f>
        <v/>
      </c>
      <c r="K1290" s="201">
        <f>COUNTIFS(rl_key,$A$1264,rl_eff,"&gt;="&amp;$B1290,rl_eff,"&lt;="&amp;$C1290)</f>
        <v/>
      </c>
      <c r="L1290" s="201">
        <f>SUMIFS(rl_daysafter,rl_key,$A$1264,rl_effmonth,$B1290,rl_first,1)</f>
        <v/>
      </c>
      <c r="M1290" s="209">
        <f>IF($K1290=0,0,MIN(1,$L1290/$D1290))</f>
        <v/>
      </c>
      <c r="N1290" s="208">
        <f>IF($K1290=0,$J1290,(1-$M1290)*$I1290+$M1290*$J1290)</f>
        <v/>
      </c>
      <c r="O1290" s="209">
        <f>IF($F1290&lt;$B$1265,$E$1265+$I$1265*($F1290-$A$1265),IF($F1290&lt;$C$1265,$F$1265+$J$1265*($F1290-$B$1265),$G$1265+$K$1265*($F1290-$C$1265)))</f>
        <v/>
      </c>
      <c r="P1290" s="208">
        <f>MIN(1,MAX(0,(nr_MEndPm1-$G1290+0.5)/$C$1264))-MIN(1,MAX(0,(nr_MStartPm1-1-$G1290+0.5)/$C$1264))</f>
        <v/>
      </c>
      <c r="Q1290" s="208">
        <f>MIN(1,MAX(0,(nr_MEndP-$G1290+0.5)/$C$1264))-MIN(1,MAX(0,(nr_MStartP-1-$G1290+0.5)/$C$1264))</f>
        <v/>
      </c>
      <c r="R1290" s="208">
        <f>MIN(1,MAX(0,(nr_MEndP1-$G1290+0.5)/$C$1264))-MIN(1,MAX(0,(nr_MStartP1-1-$G1290+0.5)/$C$1264))</f>
        <v/>
      </c>
      <c r="S1290" s="208">
        <f>IF($L$1264,$N1290*IF($O$1264=1,$O1290/$F$1264,1),"")</f>
        <v/>
      </c>
      <c r="T1290" s="208">
        <f>IF(NOT($L$1264),"",IF($G1290&lt;nr_MStartP,$S1290,$T1278*(1+IF($G1290&lt;nr_MStartP1,$M$1264,$N$1264))))</f>
        <v/>
      </c>
      <c r="U1290" s="208">
        <f>IF($L$1264,$T1290,$N1290)</f>
        <v/>
      </c>
    </row>
    <row r="1291">
      <c r="A1291" s="145" t="n">
        <v>25</v>
      </c>
      <c r="B1291" s="204">
        <f>EDATE($B1290,1)</f>
        <v/>
      </c>
      <c r="C1291" s="205">
        <f>EOMONTH($B1291,0)</f>
        <v/>
      </c>
      <c r="D1291" s="201">
        <f>$C1291-$B1291+1</f>
        <v/>
      </c>
      <c r="E1291" s="201">
        <f>MONTH($B1291)</f>
        <v/>
      </c>
      <c r="F1291" s="235">
        <f>($B1291+$C1291+1)/2</f>
        <v/>
      </c>
      <c r="G1291" s="201">
        <f>YEAR($B1291)*12+MONTH($B1291)-1</f>
        <v/>
      </c>
      <c r="H1291" s="207">
        <f>IF(OR(nr_SeasonOn="OFF",$D$1264=0,$E$1264=0),1,12*INDEX(se_block,$D$1264,$E1291)/$E$1264)</f>
        <v/>
      </c>
      <c r="I1291" s="208">
        <f>EXP(SUMPRODUCT((rl_eff&lt;$B1291)*(rl_key=$A$1264)*rl_ln1p))</f>
        <v/>
      </c>
      <c r="J1291" s="208">
        <f>EXP(SUMPRODUCT((rl_eff&lt;=$C1291)*(rl_key=$A$1264)*rl_ln1p))</f>
        <v/>
      </c>
      <c r="K1291" s="201">
        <f>COUNTIFS(rl_key,$A$1264,rl_eff,"&gt;="&amp;$B1291,rl_eff,"&lt;="&amp;$C1291)</f>
        <v/>
      </c>
      <c r="L1291" s="201">
        <f>SUMIFS(rl_daysafter,rl_key,$A$1264,rl_effmonth,$B1291,rl_first,1)</f>
        <v/>
      </c>
      <c r="M1291" s="209">
        <f>IF($K1291=0,0,MIN(1,$L1291/$D1291))</f>
        <v/>
      </c>
      <c r="N1291" s="208">
        <f>IF($K1291=0,$J1291,(1-$M1291)*$I1291+$M1291*$J1291)</f>
        <v/>
      </c>
      <c r="O1291" s="209">
        <f>IF($F1291&lt;$B$1265,$E$1265+$I$1265*($F1291-$A$1265),IF($F1291&lt;$C$1265,$F$1265+$J$1265*($F1291-$B$1265),$G$1265+$K$1265*($F1291-$C$1265)))</f>
        <v/>
      </c>
      <c r="P1291" s="208">
        <f>MIN(1,MAX(0,(nr_MEndPm1-$G1291+0.5)/$C$1264))-MIN(1,MAX(0,(nr_MStartPm1-1-$G1291+0.5)/$C$1264))</f>
        <v/>
      </c>
      <c r="Q1291" s="208">
        <f>MIN(1,MAX(0,(nr_MEndP-$G1291+0.5)/$C$1264))-MIN(1,MAX(0,(nr_MStartP-1-$G1291+0.5)/$C$1264))</f>
        <v/>
      </c>
      <c r="R1291" s="208">
        <f>MIN(1,MAX(0,(nr_MEndP1-$G1291+0.5)/$C$1264))-MIN(1,MAX(0,(nr_MStartP1-1-$G1291+0.5)/$C$1264))</f>
        <v/>
      </c>
      <c r="S1291" s="208">
        <f>IF($L$1264,$N1291*IF($O$1264=1,$O1291/$F$1264,1),"")</f>
        <v/>
      </c>
      <c r="T1291" s="208">
        <f>IF(NOT($L$1264),"",IF($G1291&lt;nr_MStartP,$S1291,$T1279*(1+IF($G1291&lt;nr_MStartP1,$M$1264,$N$1264))))</f>
        <v/>
      </c>
      <c r="U1291" s="208">
        <f>IF($L$1264,$T1291,$N1291)</f>
        <v/>
      </c>
    </row>
    <row r="1292">
      <c r="A1292" s="145" t="n">
        <v>26</v>
      </c>
      <c r="B1292" s="204">
        <f>EDATE($B1291,1)</f>
        <v/>
      </c>
      <c r="C1292" s="205">
        <f>EOMONTH($B1292,0)</f>
        <v/>
      </c>
      <c r="D1292" s="201">
        <f>$C1292-$B1292+1</f>
        <v/>
      </c>
      <c r="E1292" s="201">
        <f>MONTH($B1292)</f>
        <v/>
      </c>
      <c r="F1292" s="235">
        <f>($B1292+$C1292+1)/2</f>
        <v/>
      </c>
      <c r="G1292" s="201">
        <f>YEAR($B1292)*12+MONTH($B1292)-1</f>
        <v/>
      </c>
      <c r="H1292" s="207">
        <f>IF(OR(nr_SeasonOn="OFF",$D$1264=0,$E$1264=0),1,12*INDEX(se_block,$D$1264,$E1292)/$E$1264)</f>
        <v/>
      </c>
      <c r="I1292" s="208">
        <f>EXP(SUMPRODUCT((rl_eff&lt;$B1292)*(rl_key=$A$1264)*rl_ln1p))</f>
        <v/>
      </c>
      <c r="J1292" s="208">
        <f>EXP(SUMPRODUCT((rl_eff&lt;=$C1292)*(rl_key=$A$1264)*rl_ln1p))</f>
        <v/>
      </c>
      <c r="K1292" s="201">
        <f>COUNTIFS(rl_key,$A$1264,rl_eff,"&gt;="&amp;$B1292,rl_eff,"&lt;="&amp;$C1292)</f>
        <v/>
      </c>
      <c r="L1292" s="201">
        <f>SUMIFS(rl_daysafter,rl_key,$A$1264,rl_effmonth,$B1292,rl_first,1)</f>
        <v/>
      </c>
      <c r="M1292" s="209">
        <f>IF($K1292=0,0,MIN(1,$L1292/$D1292))</f>
        <v/>
      </c>
      <c r="N1292" s="208">
        <f>IF($K1292=0,$J1292,(1-$M1292)*$I1292+$M1292*$J1292)</f>
        <v/>
      </c>
      <c r="O1292" s="209">
        <f>IF($F1292&lt;$B$1265,$E$1265+$I$1265*($F1292-$A$1265),IF($F1292&lt;$C$1265,$F$1265+$J$1265*($F1292-$B$1265),$G$1265+$K$1265*($F1292-$C$1265)))</f>
        <v/>
      </c>
      <c r="P1292" s="208">
        <f>MIN(1,MAX(0,(nr_MEndPm1-$G1292+0.5)/$C$1264))-MIN(1,MAX(0,(nr_MStartPm1-1-$G1292+0.5)/$C$1264))</f>
        <v/>
      </c>
      <c r="Q1292" s="208">
        <f>MIN(1,MAX(0,(nr_MEndP-$G1292+0.5)/$C$1264))-MIN(1,MAX(0,(nr_MStartP-1-$G1292+0.5)/$C$1264))</f>
        <v/>
      </c>
      <c r="R1292" s="208">
        <f>MIN(1,MAX(0,(nr_MEndP1-$G1292+0.5)/$C$1264))-MIN(1,MAX(0,(nr_MStartP1-1-$G1292+0.5)/$C$1264))</f>
        <v/>
      </c>
      <c r="S1292" s="208">
        <f>IF($L$1264,$N1292*IF($O$1264=1,$O1292/$F$1264,1),"")</f>
        <v/>
      </c>
      <c r="T1292" s="208">
        <f>IF(NOT($L$1264),"",IF($G1292&lt;nr_MStartP,$S1292,$T1280*(1+IF($G1292&lt;nr_MStartP1,$M$1264,$N$1264))))</f>
        <v/>
      </c>
      <c r="U1292" s="208">
        <f>IF($L$1264,$T1292,$N1292)</f>
        <v/>
      </c>
    </row>
    <row r="1293">
      <c r="A1293" s="145" t="n">
        <v>27</v>
      </c>
      <c r="B1293" s="204">
        <f>EDATE($B1292,1)</f>
        <v/>
      </c>
      <c r="C1293" s="205">
        <f>EOMONTH($B1293,0)</f>
        <v/>
      </c>
      <c r="D1293" s="201">
        <f>$C1293-$B1293+1</f>
        <v/>
      </c>
      <c r="E1293" s="201">
        <f>MONTH($B1293)</f>
        <v/>
      </c>
      <c r="F1293" s="235">
        <f>($B1293+$C1293+1)/2</f>
        <v/>
      </c>
      <c r="G1293" s="201">
        <f>YEAR($B1293)*12+MONTH($B1293)-1</f>
        <v/>
      </c>
      <c r="H1293" s="207">
        <f>IF(OR(nr_SeasonOn="OFF",$D$1264=0,$E$1264=0),1,12*INDEX(se_block,$D$1264,$E1293)/$E$1264)</f>
        <v/>
      </c>
      <c r="I1293" s="208">
        <f>EXP(SUMPRODUCT((rl_eff&lt;$B1293)*(rl_key=$A$1264)*rl_ln1p))</f>
        <v/>
      </c>
      <c r="J1293" s="208">
        <f>EXP(SUMPRODUCT((rl_eff&lt;=$C1293)*(rl_key=$A$1264)*rl_ln1p))</f>
        <v/>
      </c>
      <c r="K1293" s="201">
        <f>COUNTIFS(rl_key,$A$1264,rl_eff,"&gt;="&amp;$B1293,rl_eff,"&lt;="&amp;$C1293)</f>
        <v/>
      </c>
      <c r="L1293" s="201">
        <f>SUMIFS(rl_daysafter,rl_key,$A$1264,rl_effmonth,$B1293,rl_first,1)</f>
        <v/>
      </c>
      <c r="M1293" s="209">
        <f>IF($K1293=0,0,MIN(1,$L1293/$D1293))</f>
        <v/>
      </c>
      <c r="N1293" s="208">
        <f>IF($K1293=0,$J1293,(1-$M1293)*$I1293+$M1293*$J1293)</f>
        <v/>
      </c>
      <c r="O1293" s="209">
        <f>IF($F1293&lt;$B$1265,$E$1265+$I$1265*($F1293-$A$1265),IF($F1293&lt;$C$1265,$F$1265+$J$1265*($F1293-$B$1265),$G$1265+$K$1265*($F1293-$C$1265)))</f>
        <v/>
      </c>
      <c r="P1293" s="208">
        <f>MIN(1,MAX(0,(nr_MEndPm1-$G1293+0.5)/$C$1264))-MIN(1,MAX(0,(nr_MStartPm1-1-$G1293+0.5)/$C$1264))</f>
        <v/>
      </c>
      <c r="Q1293" s="208">
        <f>MIN(1,MAX(0,(nr_MEndP-$G1293+0.5)/$C$1264))-MIN(1,MAX(0,(nr_MStartP-1-$G1293+0.5)/$C$1264))</f>
        <v/>
      </c>
      <c r="R1293" s="208">
        <f>MIN(1,MAX(0,(nr_MEndP1-$G1293+0.5)/$C$1264))-MIN(1,MAX(0,(nr_MStartP1-1-$G1293+0.5)/$C$1264))</f>
        <v/>
      </c>
      <c r="S1293" s="208">
        <f>IF($L$1264,$N1293*IF($O$1264=1,$O1293/$F$1264,1),"")</f>
        <v/>
      </c>
      <c r="T1293" s="208">
        <f>IF(NOT($L$1264),"",IF($G1293&lt;nr_MStartP,$S1293,$T1281*(1+IF($G1293&lt;nr_MStartP1,$M$1264,$N$1264))))</f>
        <v/>
      </c>
      <c r="U1293" s="208">
        <f>IF($L$1264,$T1293,$N1293)</f>
        <v/>
      </c>
    </row>
    <row r="1294">
      <c r="A1294" s="145" t="n">
        <v>28</v>
      </c>
      <c r="B1294" s="204">
        <f>EDATE($B1293,1)</f>
        <v/>
      </c>
      <c r="C1294" s="205">
        <f>EOMONTH($B1294,0)</f>
        <v/>
      </c>
      <c r="D1294" s="201">
        <f>$C1294-$B1294+1</f>
        <v/>
      </c>
      <c r="E1294" s="201">
        <f>MONTH($B1294)</f>
        <v/>
      </c>
      <c r="F1294" s="235">
        <f>($B1294+$C1294+1)/2</f>
        <v/>
      </c>
      <c r="G1294" s="201">
        <f>YEAR($B1294)*12+MONTH($B1294)-1</f>
        <v/>
      </c>
      <c r="H1294" s="207">
        <f>IF(OR(nr_SeasonOn="OFF",$D$1264=0,$E$1264=0),1,12*INDEX(se_block,$D$1264,$E1294)/$E$1264)</f>
        <v/>
      </c>
      <c r="I1294" s="208">
        <f>EXP(SUMPRODUCT((rl_eff&lt;$B1294)*(rl_key=$A$1264)*rl_ln1p))</f>
        <v/>
      </c>
      <c r="J1294" s="208">
        <f>EXP(SUMPRODUCT((rl_eff&lt;=$C1294)*(rl_key=$A$1264)*rl_ln1p))</f>
        <v/>
      </c>
      <c r="K1294" s="201">
        <f>COUNTIFS(rl_key,$A$1264,rl_eff,"&gt;="&amp;$B1294,rl_eff,"&lt;="&amp;$C1294)</f>
        <v/>
      </c>
      <c r="L1294" s="201">
        <f>SUMIFS(rl_daysafter,rl_key,$A$1264,rl_effmonth,$B1294,rl_first,1)</f>
        <v/>
      </c>
      <c r="M1294" s="209">
        <f>IF($K1294=0,0,MIN(1,$L1294/$D1294))</f>
        <v/>
      </c>
      <c r="N1294" s="208">
        <f>IF($K1294=0,$J1294,(1-$M1294)*$I1294+$M1294*$J1294)</f>
        <v/>
      </c>
      <c r="O1294" s="209">
        <f>IF($F1294&lt;$B$1265,$E$1265+$I$1265*($F1294-$A$1265),IF($F1294&lt;$C$1265,$F$1265+$J$1265*($F1294-$B$1265),$G$1265+$K$1265*($F1294-$C$1265)))</f>
        <v/>
      </c>
      <c r="P1294" s="208">
        <f>MIN(1,MAX(0,(nr_MEndPm1-$G1294+0.5)/$C$1264))-MIN(1,MAX(0,(nr_MStartPm1-1-$G1294+0.5)/$C$1264))</f>
        <v/>
      </c>
      <c r="Q1294" s="208">
        <f>MIN(1,MAX(0,(nr_MEndP-$G1294+0.5)/$C$1264))-MIN(1,MAX(0,(nr_MStartP-1-$G1294+0.5)/$C$1264))</f>
        <v/>
      </c>
      <c r="R1294" s="208">
        <f>MIN(1,MAX(0,(nr_MEndP1-$G1294+0.5)/$C$1264))-MIN(1,MAX(0,(nr_MStartP1-1-$G1294+0.5)/$C$1264))</f>
        <v/>
      </c>
      <c r="S1294" s="208">
        <f>IF($L$1264,$N1294*IF($O$1264=1,$O1294/$F$1264,1),"")</f>
        <v/>
      </c>
      <c r="T1294" s="208">
        <f>IF(NOT($L$1264),"",IF($G1294&lt;nr_MStartP,$S1294,$T1282*(1+IF($G1294&lt;nr_MStartP1,$M$1264,$N$1264))))</f>
        <v/>
      </c>
      <c r="U1294" s="208">
        <f>IF($L$1264,$T1294,$N1294)</f>
        <v/>
      </c>
    </row>
    <row r="1295">
      <c r="A1295" s="145" t="n">
        <v>29</v>
      </c>
      <c r="B1295" s="204">
        <f>EDATE($B1294,1)</f>
        <v/>
      </c>
      <c r="C1295" s="205">
        <f>EOMONTH($B1295,0)</f>
        <v/>
      </c>
      <c r="D1295" s="201">
        <f>$C1295-$B1295+1</f>
        <v/>
      </c>
      <c r="E1295" s="201">
        <f>MONTH($B1295)</f>
        <v/>
      </c>
      <c r="F1295" s="235">
        <f>($B1295+$C1295+1)/2</f>
        <v/>
      </c>
      <c r="G1295" s="201">
        <f>YEAR($B1295)*12+MONTH($B1295)-1</f>
        <v/>
      </c>
      <c r="H1295" s="207">
        <f>IF(OR(nr_SeasonOn="OFF",$D$1264=0,$E$1264=0),1,12*INDEX(se_block,$D$1264,$E1295)/$E$1264)</f>
        <v/>
      </c>
      <c r="I1295" s="208">
        <f>EXP(SUMPRODUCT((rl_eff&lt;$B1295)*(rl_key=$A$1264)*rl_ln1p))</f>
        <v/>
      </c>
      <c r="J1295" s="208">
        <f>EXP(SUMPRODUCT((rl_eff&lt;=$C1295)*(rl_key=$A$1264)*rl_ln1p))</f>
        <v/>
      </c>
      <c r="K1295" s="201">
        <f>COUNTIFS(rl_key,$A$1264,rl_eff,"&gt;="&amp;$B1295,rl_eff,"&lt;="&amp;$C1295)</f>
        <v/>
      </c>
      <c r="L1295" s="201">
        <f>SUMIFS(rl_daysafter,rl_key,$A$1264,rl_effmonth,$B1295,rl_first,1)</f>
        <v/>
      </c>
      <c r="M1295" s="209">
        <f>IF($K1295=0,0,MIN(1,$L1295/$D1295))</f>
        <v/>
      </c>
      <c r="N1295" s="208">
        <f>IF($K1295=0,$J1295,(1-$M1295)*$I1295+$M1295*$J1295)</f>
        <v/>
      </c>
      <c r="O1295" s="209">
        <f>IF($F1295&lt;$B$1265,$E$1265+$I$1265*($F1295-$A$1265),IF($F1295&lt;$C$1265,$F$1265+$J$1265*($F1295-$B$1265),$G$1265+$K$1265*($F1295-$C$1265)))</f>
        <v/>
      </c>
      <c r="P1295" s="208">
        <f>MIN(1,MAX(0,(nr_MEndPm1-$G1295+0.5)/$C$1264))-MIN(1,MAX(0,(nr_MStartPm1-1-$G1295+0.5)/$C$1264))</f>
        <v/>
      </c>
      <c r="Q1295" s="208">
        <f>MIN(1,MAX(0,(nr_MEndP-$G1295+0.5)/$C$1264))-MIN(1,MAX(0,(nr_MStartP-1-$G1295+0.5)/$C$1264))</f>
        <v/>
      </c>
      <c r="R1295" s="208">
        <f>MIN(1,MAX(0,(nr_MEndP1-$G1295+0.5)/$C$1264))-MIN(1,MAX(0,(nr_MStartP1-1-$G1295+0.5)/$C$1264))</f>
        <v/>
      </c>
      <c r="S1295" s="208">
        <f>IF($L$1264,$N1295*IF($O$1264=1,$O1295/$F$1264,1),"")</f>
        <v/>
      </c>
      <c r="T1295" s="208">
        <f>IF(NOT($L$1264),"",IF($G1295&lt;nr_MStartP,$S1295,$T1283*(1+IF($G1295&lt;nr_MStartP1,$M$1264,$N$1264))))</f>
        <v/>
      </c>
      <c r="U1295" s="208">
        <f>IF($L$1264,$T1295,$N1295)</f>
        <v/>
      </c>
    </row>
    <row r="1296">
      <c r="A1296" s="145" t="n">
        <v>30</v>
      </c>
      <c r="B1296" s="204">
        <f>EDATE($B1295,1)</f>
        <v/>
      </c>
      <c r="C1296" s="205">
        <f>EOMONTH($B1296,0)</f>
        <v/>
      </c>
      <c r="D1296" s="201">
        <f>$C1296-$B1296+1</f>
        <v/>
      </c>
      <c r="E1296" s="201">
        <f>MONTH($B1296)</f>
        <v/>
      </c>
      <c r="F1296" s="235">
        <f>($B1296+$C1296+1)/2</f>
        <v/>
      </c>
      <c r="G1296" s="201">
        <f>YEAR($B1296)*12+MONTH($B1296)-1</f>
        <v/>
      </c>
      <c r="H1296" s="207">
        <f>IF(OR(nr_SeasonOn="OFF",$D$1264=0,$E$1264=0),1,12*INDEX(se_block,$D$1264,$E1296)/$E$1264)</f>
        <v/>
      </c>
      <c r="I1296" s="208">
        <f>EXP(SUMPRODUCT((rl_eff&lt;$B1296)*(rl_key=$A$1264)*rl_ln1p))</f>
        <v/>
      </c>
      <c r="J1296" s="208">
        <f>EXP(SUMPRODUCT((rl_eff&lt;=$C1296)*(rl_key=$A$1264)*rl_ln1p))</f>
        <v/>
      </c>
      <c r="K1296" s="201">
        <f>COUNTIFS(rl_key,$A$1264,rl_eff,"&gt;="&amp;$B1296,rl_eff,"&lt;="&amp;$C1296)</f>
        <v/>
      </c>
      <c r="L1296" s="201">
        <f>SUMIFS(rl_daysafter,rl_key,$A$1264,rl_effmonth,$B1296,rl_first,1)</f>
        <v/>
      </c>
      <c r="M1296" s="209">
        <f>IF($K1296=0,0,MIN(1,$L1296/$D1296))</f>
        <v/>
      </c>
      <c r="N1296" s="208">
        <f>IF($K1296=0,$J1296,(1-$M1296)*$I1296+$M1296*$J1296)</f>
        <v/>
      </c>
      <c r="O1296" s="209">
        <f>IF($F1296&lt;$B$1265,$E$1265+$I$1265*($F1296-$A$1265),IF($F1296&lt;$C$1265,$F$1265+$J$1265*($F1296-$B$1265),$G$1265+$K$1265*($F1296-$C$1265)))</f>
        <v/>
      </c>
      <c r="P1296" s="208">
        <f>MIN(1,MAX(0,(nr_MEndPm1-$G1296+0.5)/$C$1264))-MIN(1,MAX(0,(nr_MStartPm1-1-$G1296+0.5)/$C$1264))</f>
        <v/>
      </c>
      <c r="Q1296" s="208">
        <f>MIN(1,MAX(0,(nr_MEndP-$G1296+0.5)/$C$1264))-MIN(1,MAX(0,(nr_MStartP-1-$G1296+0.5)/$C$1264))</f>
        <v/>
      </c>
      <c r="R1296" s="208">
        <f>MIN(1,MAX(0,(nr_MEndP1-$G1296+0.5)/$C$1264))-MIN(1,MAX(0,(nr_MStartP1-1-$G1296+0.5)/$C$1264))</f>
        <v/>
      </c>
      <c r="S1296" s="208">
        <f>IF($L$1264,$N1296*IF($O$1264=1,$O1296/$F$1264,1),"")</f>
        <v/>
      </c>
      <c r="T1296" s="208">
        <f>IF(NOT($L$1264),"",IF($G1296&lt;nr_MStartP,$S1296,$T1284*(1+IF($G1296&lt;nr_MStartP1,$M$1264,$N$1264))))</f>
        <v/>
      </c>
      <c r="U1296" s="208">
        <f>IF($L$1264,$T1296,$N1296)</f>
        <v/>
      </c>
    </row>
    <row r="1297">
      <c r="A1297" s="145" t="n">
        <v>31</v>
      </c>
      <c r="B1297" s="204">
        <f>EDATE($B1296,1)</f>
        <v/>
      </c>
      <c r="C1297" s="205">
        <f>EOMONTH($B1297,0)</f>
        <v/>
      </c>
      <c r="D1297" s="201">
        <f>$C1297-$B1297+1</f>
        <v/>
      </c>
      <c r="E1297" s="201">
        <f>MONTH($B1297)</f>
        <v/>
      </c>
      <c r="F1297" s="235">
        <f>($B1297+$C1297+1)/2</f>
        <v/>
      </c>
      <c r="G1297" s="201">
        <f>YEAR($B1297)*12+MONTH($B1297)-1</f>
        <v/>
      </c>
      <c r="H1297" s="207">
        <f>IF(OR(nr_SeasonOn="OFF",$D$1264=0,$E$1264=0),1,12*INDEX(se_block,$D$1264,$E1297)/$E$1264)</f>
        <v/>
      </c>
      <c r="I1297" s="208">
        <f>EXP(SUMPRODUCT((rl_eff&lt;$B1297)*(rl_key=$A$1264)*rl_ln1p))</f>
        <v/>
      </c>
      <c r="J1297" s="208">
        <f>EXP(SUMPRODUCT((rl_eff&lt;=$C1297)*(rl_key=$A$1264)*rl_ln1p))</f>
        <v/>
      </c>
      <c r="K1297" s="201">
        <f>COUNTIFS(rl_key,$A$1264,rl_eff,"&gt;="&amp;$B1297,rl_eff,"&lt;="&amp;$C1297)</f>
        <v/>
      </c>
      <c r="L1297" s="201">
        <f>SUMIFS(rl_daysafter,rl_key,$A$1264,rl_effmonth,$B1297,rl_first,1)</f>
        <v/>
      </c>
      <c r="M1297" s="209">
        <f>IF($K1297=0,0,MIN(1,$L1297/$D1297))</f>
        <v/>
      </c>
      <c r="N1297" s="208">
        <f>IF($K1297=0,$J1297,(1-$M1297)*$I1297+$M1297*$J1297)</f>
        <v/>
      </c>
      <c r="O1297" s="209">
        <f>IF($F1297&lt;$B$1265,$E$1265+$I$1265*($F1297-$A$1265),IF($F1297&lt;$C$1265,$F$1265+$J$1265*($F1297-$B$1265),$G$1265+$K$1265*($F1297-$C$1265)))</f>
        <v/>
      </c>
      <c r="P1297" s="208">
        <f>MIN(1,MAX(0,(nr_MEndPm1-$G1297+0.5)/$C$1264))-MIN(1,MAX(0,(nr_MStartPm1-1-$G1297+0.5)/$C$1264))</f>
        <v/>
      </c>
      <c r="Q1297" s="208">
        <f>MIN(1,MAX(0,(nr_MEndP-$G1297+0.5)/$C$1264))-MIN(1,MAX(0,(nr_MStartP-1-$G1297+0.5)/$C$1264))</f>
        <v/>
      </c>
      <c r="R1297" s="208">
        <f>MIN(1,MAX(0,(nr_MEndP1-$G1297+0.5)/$C$1264))-MIN(1,MAX(0,(nr_MStartP1-1-$G1297+0.5)/$C$1264))</f>
        <v/>
      </c>
      <c r="S1297" s="208">
        <f>IF($L$1264,$N1297*IF($O$1264=1,$O1297/$F$1264,1),"")</f>
        <v/>
      </c>
      <c r="T1297" s="208">
        <f>IF(NOT($L$1264),"",IF($G1297&lt;nr_MStartP,$S1297,$T1285*(1+IF($G1297&lt;nr_MStartP1,$M$1264,$N$1264))))</f>
        <v/>
      </c>
      <c r="U1297" s="208">
        <f>IF($L$1264,$T1297,$N1297)</f>
        <v/>
      </c>
    </row>
    <row r="1298">
      <c r="A1298" s="145" t="n">
        <v>32</v>
      </c>
      <c r="B1298" s="204">
        <f>EDATE($B1297,1)</f>
        <v/>
      </c>
      <c r="C1298" s="205">
        <f>EOMONTH($B1298,0)</f>
        <v/>
      </c>
      <c r="D1298" s="201">
        <f>$C1298-$B1298+1</f>
        <v/>
      </c>
      <c r="E1298" s="201">
        <f>MONTH($B1298)</f>
        <v/>
      </c>
      <c r="F1298" s="235">
        <f>($B1298+$C1298+1)/2</f>
        <v/>
      </c>
      <c r="G1298" s="201">
        <f>YEAR($B1298)*12+MONTH($B1298)-1</f>
        <v/>
      </c>
      <c r="H1298" s="207">
        <f>IF(OR(nr_SeasonOn="OFF",$D$1264=0,$E$1264=0),1,12*INDEX(se_block,$D$1264,$E1298)/$E$1264)</f>
        <v/>
      </c>
      <c r="I1298" s="208">
        <f>EXP(SUMPRODUCT((rl_eff&lt;$B1298)*(rl_key=$A$1264)*rl_ln1p))</f>
        <v/>
      </c>
      <c r="J1298" s="208">
        <f>EXP(SUMPRODUCT((rl_eff&lt;=$C1298)*(rl_key=$A$1264)*rl_ln1p))</f>
        <v/>
      </c>
      <c r="K1298" s="201">
        <f>COUNTIFS(rl_key,$A$1264,rl_eff,"&gt;="&amp;$B1298,rl_eff,"&lt;="&amp;$C1298)</f>
        <v/>
      </c>
      <c r="L1298" s="201">
        <f>SUMIFS(rl_daysafter,rl_key,$A$1264,rl_effmonth,$B1298,rl_first,1)</f>
        <v/>
      </c>
      <c r="M1298" s="209">
        <f>IF($K1298=0,0,MIN(1,$L1298/$D1298))</f>
        <v/>
      </c>
      <c r="N1298" s="208">
        <f>IF($K1298=0,$J1298,(1-$M1298)*$I1298+$M1298*$J1298)</f>
        <v/>
      </c>
      <c r="O1298" s="209">
        <f>IF($F1298&lt;$B$1265,$E$1265+$I$1265*($F1298-$A$1265),IF($F1298&lt;$C$1265,$F$1265+$J$1265*($F1298-$B$1265),$G$1265+$K$1265*($F1298-$C$1265)))</f>
        <v/>
      </c>
      <c r="P1298" s="208">
        <f>MIN(1,MAX(0,(nr_MEndPm1-$G1298+0.5)/$C$1264))-MIN(1,MAX(0,(nr_MStartPm1-1-$G1298+0.5)/$C$1264))</f>
        <v/>
      </c>
      <c r="Q1298" s="208">
        <f>MIN(1,MAX(0,(nr_MEndP-$G1298+0.5)/$C$1264))-MIN(1,MAX(0,(nr_MStartP-1-$G1298+0.5)/$C$1264))</f>
        <v/>
      </c>
      <c r="R1298" s="208">
        <f>MIN(1,MAX(0,(nr_MEndP1-$G1298+0.5)/$C$1264))-MIN(1,MAX(0,(nr_MStartP1-1-$G1298+0.5)/$C$1264))</f>
        <v/>
      </c>
      <c r="S1298" s="208">
        <f>IF($L$1264,$N1298*IF($O$1264=1,$O1298/$F$1264,1),"")</f>
        <v/>
      </c>
      <c r="T1298" s="208">
        <f>IF(NOT($L$1264),"",IF($G1298&lt;nr_MStartP,$S1298,$T1286*(1+IF($G1298&lt;nr_MStartP1,$M$1264,$N$1264))))</f>
        <v/>
      </c>
      <c r="U1298" s="208">
        <f>IF($L$1264,$T1298,$N1298)</f>
        <v/>
      </c>
    </row>
    <row r="1299">
      <c r="A1299" s="145" t="n">
        <v>33</v>
      </c>
      <c r="B1299" s="204">
        <f>EDATE($B1298,1)</f>
        <v/>
      </c>
      <c r="C1299" s="205">
        <f>EOMONTH($B1299,0)</f>
        <v/>
      </c>
      <c r="D1299" s="201">
        <f>$C1299-$B1299+1</f>
        <v/>
      </c>
      <c r="E1299" s="201">
        <f>MONTH($B1299)</f>
        <v/>
      </c>
      <c r="F1299" s="235">
        <f>($B1299+$C1299+1)/2</f>
        <v/>
      </c>
      <c r="G1299" s="201">
        <f>YEAR($B1299)*12+MONTH($B1299)-1</f>
        <v/>
      </c>
      <c r="H1299" s="207">
        <f>IF(OR(nr_SeasonOn="OFF",$D$1264=0,$E$1264=0),1,12*INDEX(se_block,$D$1264,$E1299)/$E$1264)</f>
        <v/>
      </c>
      <c r="I1299" s="208">
        <f>EXP(SUMPRODUCT((rl_eff&lt;$B1299)*(rl_key=$A$1264)*rl_ln1p))</f>
        <v/>
      </c>
      <c r="J1299" s="208">
        <f>EXP(SUMPRODUCT((rl_eff&lt;=$C1299)*(rl_key=$A$1264)*rl_ln1p))</f>
        <v/>
      </c>
      <c r="K1299" s="201">
        <f>COUNTIFS(rl_key,$A$1264,rl_eff,"&gt;="&amp;$B1299,rl_eff,"&lt;="&amp;$C1299)</f>
        <v/>
      </c>
      <c r="L1299" s="201">
        <f>SUMIFS(rl_daysafter,rl_key,$A$1264,rl_effmonth,$B1299,rl_first,1)</f>
        <v/>
      </c>
      <c r="M1299" s="209">
        <f>IF($K1299=0,0,MIN(1,$L1299/$D1299))</f>
        <v/>
      </c>
      <c r="N1299" s="208">
        <f>IF($K1299=0,$J1299,(1-$M1299)*$I1299+$M1299*$J1299)</f>
        <v/>
      </c>
      <c r="O1299" s="209">
        <f>IF($F1299&lt;$B$1265,$E$1265+$I$1265*($F1299-$A$1265),IF($F1299&lt;$C$1265,$F$1265+$J$1265*($F1299-$B$1265),$G$1265+$K$1265*($F1299-$C$1265)))</f>
        <v/>
      </c>
      <c r="P1299" s="208">
        <f>MIN(1,MAX(0,(nr_MEndPm1-$G1299+0.5)/$C$1264))-MIN(1,MAX(0,(nr_MStartPm1-1-$G1299+0.5)/$C$1264))</f>
        <v/>
      </c>
      <c r="Q1299" s="208">
        <f>MIN(1,MAX(0,(nr_MEndP-$G1299+0.5)/$C$1264))-MIN(1,MAX(0,(nr_MStartP-1-$G1299+0.5)/$C$1264))</f>
        <v/>
      </c>
      <c r="R1299" s="208">
        <f>MIN(1,MAX(0,(nr_MEndP1-$G1299+0.5)/$C$1264))-MIN(1,MAX(0,(nr_MStartP1-1-$G1299+0.5)/$C$1264))</f>
        <v/>
      </c>
      <c r="S1299" s="208">
        <f>IF($L$1264,$N1299*IF($O$1264=1,$O1299/$F$1264,1),"")</f>
        <v/>
      </c>
      <c r="T1299" s="208">
        <f>IF(NOT($L$1264),"",IF($G1299&lt;nr_MStartP,$S1299,$T1287*(1+IF($G1299&lt;nr_MStartP1,$M$1264,$N$1264))))</f>
        <v/>
      </c>
      <c r="U1299" s="208">
        <f>IF($L$1264,$T1299,$N1299)</f>
        <v/>
      </c>
    </row>
    <row r="1300">
      <c r="A1300" s="145" t="n">
        <v>34</v>
      </c>
      <c r="B1300" s="204">
        <f>EDATE($B1299,1)</f>
        <v/>
      </c>
      <c r="C1300" s="205">
        <f>EOMONTH($B1300,0)</f>
        <v/>
      </c>
      <c r="D1300" s="201">
        <f>$C1300-$B1300+1</f>
        <v/>
      </c>
      <c r="E1300" s="201">
        <f>MONTH($B1300)</f>
        <v/>
      </c>
      <c r="F1300" s="235">
        <f>($B1300+$C1300+1)/2</f>
        <v/>
      </c>
      <c r="G1300" s="201">
        <f>YEAR($B1300)*12+MONTH($B1300)-1</f>
        <v/>
      </c>
      <c r="H1300" s="207">
        <f>IF(OR(nr_SeasonOn="OFF",$D$1264=0,$E$1264=0),1,12*INDEX(se_block,$D$1264,$E1300)/$E$1264)</f>
        <v/>
      </c>
      <c r="I1300" s="208">
        <f>EXP(SUMPRODUCT((rl_eff&lt;$B1300)*(rl_key=$A$1264)*rl_ln1p))</f>
        <v/>
      </c>
      <c r="J1300" s="208">
        <f>EXP(SUMPRODUCT((rl_eff&lt;=$C1300)*(rl_key=$A$1264)*rl_ln1p))</f>
        <v/>
      </c>
      <c r="K1300" s="201">
        <f>COUNTIFS(rl_key,$A$1264,rl_eff,"&gt;="&amp;$B1300,rl_eff,"&lt;="&amp;$C1300)</f>
        <v/>
      </c>
      <c r="L1300" s="201">
        <f>SUMIFS(rl_daysafter,rl_key,$A$1264,rl_effmonth,$B1300,rl_first,1)</f>
        <v/>
      </c>
      <c r="M1300" s="209">
        <f>IF($K1300=0,0,MIN(1,$L1300/$D1300))</f>
        <v/>
      </c>
      <c r="N1300" s="208">
        <f>IF($K1300=0,$J1300,(1-$M1300)*$I1300+$M1300*$J1300)</f>
        <v/>
      </c>
      <c r="O1300" s="209">
        <f>IF($F1300&lt;$B$1265,$E$1265+$I$1265*($F1300-$A$1265),IF($F1300&lt;$C$1265,$F$1265+$J$1265*($F1300-$B$1265),$G$1265+$K$1265*($F1300-$C$1265)))</f>
        <v/>
      </c>
      <c r="P1300" s="208">
        <f>MIN(1,MAX(0,(nr_MEndPm1-$G1300+0.5)/$C$1264))-MIN(1,MAX(0,(nr_MStartPm1-1-$G1300+0.5)/$C$1264))</f>
        <v/>
      </c>
      <c r="Q1300" s="208">
        <f>MIN(1,MAX(0,(nr_MEndP-$G1300+0.5)/$C$1264))-MIN(1,MAX(0,(nr_MStartP-1-$G1300+0.5)/$C$1264))</f>
        <v/>
      </c>
      <c r="R1300" s="208">
        <f>MIN(1,MAX(0,(nr_MEndP1-$G1300+0.5)/$C$1264))-MIN(1,MAX(0,(nr_MStartP1-1-$G1300+0.5)/$C$1264))</f>
        <v/>
      </c>
      <c r="S1300" s="208">
        <f>IF($L$1264,$N1300*IF($O$1264=1,$O1300/$F$1264,1),"")</f>
        <v/>
      </c>
      <c r="T1300" s="208">
        <f>IF(NOT($L$1264),"",IF($G1300&lt;nr_MStartP,$S1300,$T1288*(1+IF($G1300&lt;nr_MStartP1,$M$1264,$N$1264))))</f>
        <v/>
      </c>
      <c r="U1300" s="208">
        <f>IF($L$1264,$T1300,$N1300)</f>
        <v/>
      </c>
    </row>
    <row r="1301">
      <c r="A1301" s="145" t="n">
        <v>35</v>
      </c>
      <c r="B1301" s="204">
        <f>EDATE($B1300,1)</f>
        <v/>
      </c>
      <c r="C1301" s="205">
        <f>EOMONTH($B1301,0)</f>
        <v/>
      </c>
      <c r="D1301" s="201">
        <f>$C1301-$B1301+1</f>
        <v/>
      </c>
      <c r="E1301" s="201">
        <f>MONTH($B1301)</f>
        <v/>
      </c>
      <c r="F1301" s="235">
        <f>($B1301+$C1301+1)/2</f>
        <v/>
      </c>
      <c r="G1301" s="201">
        <f>YEAR($B1301)*12+MONTH($B1301)-1</f>
        <v/>
      </c>
      <c r="H1301" s="207">
        <f>IF(OR(nr_SeasonOn="OFF",$D$1264=0,$E$1264=0),1,12*INDEX(se_block,$D$1264,$E1301)/$E$1264)</f>
        <v/>
      </c>
      <c r="I1301" s="208">
        <f>EXP(SUMPRODUCT((rl_eff&lt;$B1301)*(rl_key=$A$1264)*rl_ln1p))</f>
        <v/>
      </c>
      <c r="J1301" s="208">
        <f>EXP(SUMPRODUCT((rl_eff&lt;=$C1301)*(rl_key=$A$1264)*rl_ln1p))</f>
        <v/>
      </c>
      <c r="K1301" s="201">
        <f>COUNTIFS(rl_key,$A$1264,rl_eff,"&gt;="&amp;$B1301,rl_eff,"&lt;="&amp;$C1301)</f>
        <v/>
      </c>
      <c r="L1301" s="201">
        <f>SUMIFS(rl_daysafter,rl_key,$A$1264,rl_effmonth,$B1301,rl_first,1)</f>
        <v/>
      </c>
      <c r="M1301" s="209">
        <f>IF($K1301=0,0,MIN(1,$L1301/$D1301))</f>
        <v/>
      </c>
      <c r="N1301" s="208">
        <f>IF($K1301=0,$J1301,(1-$M1301)*$I1301+$M1301*$J1301)</f>
        <v/>
      </c>
      <c r="O1301" s="209">
        <f>IF($F1301&lt;$B$1265,$E$1265+$I$1265*($F1301-$A$1265),IF($F1301&lt;$C$1265,$F$1265+$J$1265*($F1301-$B$1265),$G$1265+$K$1265*($F1301-$C$1265)))</f>
        <v/>
      </c>
      <c r="P1301" s="208">
        <f>MIN(1,MAX(0,(nr_MEndPm1-$G1301+0.5)/$C$1264))-MIN(1,MAX(0,(nr_MStartPm1-1-$G1301+0.5)/$C$1264))</f>
        <v/>
      </c>
      <c r="Q1301" s="208">
        <f>MIN(1,MAX(0,(nr_MEndP-$G1301+0.5)/$C$1264))-MIN(1,MAX(0,(nr_MStartP-1-$G1301+0.5)/$C$1264))</f>
        <v/>
      </c>
      <c r="R1301" s="208">
        <f>MIN(1,MAX(0,(nr_MEndP1-$G1301+0.5)/$C$1264))-MIN(1,MAX(0,(nr_MStartP1-1-$G1301+0.5)/$C$1264))</f>
        <v/>
      </c>
      <c r="S1301" s="208">
        <f>IF($L$1264,$N1301*IF($O$1264=1,$O1301/$F$1264,1),"")</f>
        <v/>
      </c>
      <c r="T1301" s="208">
        <f>IF(NOT($L$1264),"",IF($G1301&lt;nr_MStartP,$S1301,$T1289*(1+IF($G1301&lt;nr_MStartP1,$M$1264,$N$1264))))</f>
        <v/>
      </c>
      <c r="U1301" s="208">
        <f>IF($L$1264,$T1301,$N1301)</f>
        <v/>
      </c>
    </row>
    <row r="1302">
      <c r="A1302" s="145" t="n">
        <v>36</v>
      </c>
      <c r="B1302" s="204">
        <f>EDATE($B1301,1)</f>
        <v/>
      </c>
      <c r="C1302" s="205">
        <f>EOMONTH($B1302,0)</f>
        <v/>
      </c>
      <c r="D1302" s="201">
        <f>$C1302-$B1302+1</f>
        <v/>
      </c>
      <c r="E1302" s="201">
        <f>MONTH($B1302)</f>
        <v/>
      </c>
      <c r="F1302" s="235">
        <f>($B1302+$C1302+1)/2</f>
        <v/>
      </c>
      <c r="G1302" s="201">
        <f>YEAR($B1302)*12+MONTH($B1302)-1</f>
        <v/>
      </c>
      <c r="H1302" s="207">
        <f>IF(OR(nr_SeasonOn="OFF",$D$1264=0,$E$1264=0),1,12*INDEX(se_block,$D$1264,$E1302)/$E$1264)</f>
        <v/>
      </c>
      <c r="I1302" s="208">
        <f>EXP(SUMPRODUCT((rl_eff&lt;$B1302)*(rl_key=$A$1264)*rl_ln1p))</f>
        <v/>
      </c>
      <c r="J1302" s="208">
        <f>EXP(SUMPRODUCT((rl_eff&lt;=$C1302)*(rl_key=$A$1264)*rl_ln1p))</f>
        <v/>
      </c>
      <c r="K1302" s="201">
        <f>COUNTIFS(rl_key,$A$1264,rl_eff,"&gt;="&amp;$B1302,rl_eff,"&lt;="&amp;$C1302)</f>
        <v/>
      </c>
      <c r="L1302" s="201">
        <f>SUMIFS(rl_daysafter,rl_key,$A$1264,rl_effmonth,$B1302,rl_first,1)</f>
        <v/>
      </c>
      <c r="M1302" s="209">
        <f>IF($K1302=0,0,MIN(1,$L1302/$D1302))</f>
        <v/>
      </c>
      <c r="N1302" s="208">
        <f>IF($K1302=0,$J1302,(1-$M1302)*$I1302+$M1302*$J1302)</f>
        <v/>
      </c>
      <c r="O1302" s="209">
        <f>IF($F1302&lt;$B$1265,$E$1265+$I$1265*($F1302-$A$1265),IF($F1302&lt;$C$1265,$F$1265+$J$1265*($F1302-$B$1265),$G$1265+$K$1265*($F1302-$C$1265)))</f>
        <v/>
      </c>
      <c r="P1302" s="208">
        <f>MIN(1,MAX(0,(nr_MEndPm1-$G1302+0.5)/$C$1264))-MIN(1,MAX(0,(nr_MStartPm1-1-$G1302+0.5)/$C$1264))</f>
        <v/>
      </c>
      <c r="Q1302" s="208">
        <f>MIN(1,MAX(0,(nr_MEndP-$G1302+0.5)/$C$1264))-MIN(1,MAX(0,(nr_MStartP-1-$G1302+0.5)/$C$1264))</f>
        <v/>
      </c>
      <c r="R1302" s="208">
        <f>MIN(1,MAX(0,(nr_MEndP1-$G1302+0.5)/$C$1264))-MIN(1,MAX(0,(nr_MStartP1-1-$G1302+0.5)/$C$1264))</f>
        <v/>
      </c>
      <c r="S1302" s="208">
        <f>IF($L$1264,$N1302*IF($O$1264=1,$O1302/$F$1264,1),"")</f>
        <v/>
      </c>
      <c r="T1302" s="208">
        <f>IF(NOT($L$1264),"",IF($G1302&lt;nr_MStartP,$S1302,$T1290*(1+IF($G1302&lt;nr_MStartP1,$M$1264,$N$1264))))</f>
        <v/>
      </c>
      <c r="U1302" s="208">
        <f>IF($L$1264,$T1302,$N1302)</f>
        <v/>
      </c>
    </row>
    <row r="1303">
      <c r="A1303" s="145" t="n">
        <v>37</v>
      </c>
      <c r="B1303" s="204">
        <f>EDATE($B1302,1)</f>
        <v/>
      </c>
      <c r="C1303" s="205">
        <f>EOMONTH($B1303,0)</f>
        <v/>
      </c>
      <c r="D1303" s="201">
        <f>$C1303-$B1303+1</f>
        <v/>
      </c>
      <c r="E1303" s="201">
        <f>MONTH($B1303)</f>
        <v/>
      </c>
      <c r="F1303" s="235">
        <f>($B1303+$C1303+1)/2</f>
        <v/>
      </c>
      <c r="G1303" s="201">
        <f>YEAR($B1303)*12+MONTH($B1303)-1</f>
        <v/>
      </c>
      <c r="H1303" s="207">
        <f>IF(OR(nr_SeasonOn="OFF",$D$1264=0,$E$1264=0),1,12*INDEX(se_block,$D$1264,$E1303)/$E$1264)</f>
        <v/>
      </c>
      <c r="I1303" s="208">
        <f>EXP(SUMPRODUCT((rl_eff&lt;$B1303)*(rl_key=$A$1264)*rl_ln1p))</f>
        <v/>
      </c>
      <c r="J1303" s="208">
        <f>EXP(SUMPRODUCT((rl_eff&lt;=$C1303)*(rl_key=$A$1264)*rl_ln1p))</f>
        <v/>
      </c>
      <c r="K1303" s="201">
        <f>COUNTIFS(rl_key,$A$1264,rl_eff,"&gt;="&amp;$B1303,rl_eff,"&lt;="&amp;$C1303)</f>
        <v/>
      </c>
      <c r="L1303" s="201">
        <f>SUMIFS(rl_daysafter,rl_key,$A$1264,rl_effmonth,$B1303,rl_first,1)</f>
        <v/>
      </c>
      <c r="M1303" s="209">
        <f>IF($K1303=0,0,MIN(1,$L1303/$D1303))</f>
        <v/>
      </c>
      <c r="N1303" s="208">
        <f>IF($K1303=0,$J1303,(1-$M1303)*$I1303+$M1303*$J1303)</f>
        <v/>
      </c>
      <c r="O1303" s="209">
        <f>IF($F1303&lt;$B$1265,$E$1265+$I$1265*($F1303-$A$1265),IF($F1303&lt;$C$1265,$F$1265+$J$1265*($F1303-$B$1265),$G$1265+$K$1265*($F1303-$C$1265)))</f>
        <v/>
      </c>
      <c r="P1303" s="208">
        <f>MIN(1,MAX(0,(nr_MEndPm1-$G1303+0.5)/$C$1264))-MIN(1,MAX(0,(nr_MStartPm1-1-$G1303+0.5)/$C$1264))</f>
        <v/>
      </c>
      <c r="Q1303" s="208">
        <f>MIN(1,MAX(0,(nr_MEndP-$G1303+0.5)/$C$1264))-MIN(1,MAX(0,(nr_MStartP-1-$G1303+0.5)/$C$1264))</f>
        <v/>
      </c>
      <c r="R1303" s="208">
        <f>MIN(1,MAX(0,(nr_MEndP1-$G1303+0.5)/$C$1264))-MIN(1,MAX(0,(nr_MStartP1-1-$G1303+0.5)/$C$1264))</f>
        <v/>
      </c>
      <c r="S1303" s="208">
        <f>IF($L$1264,$N1303*IF($O$1264=1,$O1303/$F$1264,1),"")</f>
        <v/>
      </c>
      <c r="T1303" s="208">
        <f>IF(NOT($L$1264),"",IF($G1303&lt;nr_MStartP,$S1303,$T1291*(1+IF($G1303&lt;nr_MStartP1,$M$1264,$N$1264))))</f>
        <v/>
      </c>
      <c r="U1303" s="208">
        <f>IF($L$1264,$T1303,$N1303)</f>
        <v/>
      </c>
    </row>
    <row r="1304">
      <c r="A1304" s="145" t="n">
        <v>38</v>
      </c>
      <c r="B1304" s="204">
        <f>EDATE($B1303,1)</f>
        <v/>
      </c>
      <c r="C1304" s="205">
        <f>EOMONTH($B1304,0)</f>
        <v/>
      </c>
      <c r="D1304" s="201">
        <f>$C1304-$B1304+1</f>
        <v/>
      </c>
      <c r="E1304" s="201">
        <f>MONTH($B1304)</f>
        <v/>
      </c>
      <c r="F1304" s="235">
        <f>($B1304+$C1304+1)/2</f>
        <v/>
      </c>
      <c r="G1304" s="201">
        <f>YEAR($B1304)*12+MONTH($B1304)-1</f>
        <v/>
      </c>
      <c r="H1304" s="207">
        <f>IF(OR(nr_SeasonOn="OFF",$D$1264=0,$E$1264=0),1,12*INDEX(se_block,$D$1264,$E1304)/$E$1264)</f>
        <v/>
      </c>
      <c r="I1304" s="208">
        <f>EXP(SUMPRODUCT((rl_eff&lt;$B1304)*(rl_key=$A$1264)*rl_ln1p))</f>
        <v/>
      </c>
      <c r="J1304" s="208">
        <f>EXP(SUMPRODUCT((rl_eff&lt;=$C1304)*(rl_key=$A$1264)*rl_ln1p))</f>
        <v/>
      </c>
      <c r="K1304" s="201">
        <f>COUNTIFS(rl_key,$A$1264,rl_eff,"&gt;="&amp;$B1304,rl_eff,"&lt;="&amp;$C1304)</f>
        <v/>
      </c>
      <c r="L1304" s="201">
        <f>SUMIFS(rl_daysafter,rl_key,$A$1264,rl_effmonth,$B1304,rl_first,1)</f>
        <v/>
      </c>
      <c r="M1304" s="209">
        <f>IF($K1304=0,0,MIN(1,$L1304/$D1304))</f>
        <v/>
      </c>
      <c r="N1304" s="208">
        <f>IF($K1304=0,$J1304,(1-$M1304)*$I1304+$M1304*$J1304)</f>
        <v/>
      </c>
      <c r="O1304" s="209">
        <f>IF($F1304&lt;$B$1265,$E$1265+$I$1265*($F1304-$A$1265),IF($F1304&lt;$C$1265,$F$1265+$J$1265*($F1304-$B$1265),$G$1265+$K$1265*($F1304-$C$1265)))</f>
        <v/>
      </c>
      <c r="P1304" s="208">
        <f>MIN(1,MAX(0,(nr_MEndPm1-$G1304+0.5)/$C$1264))-MIN(1,MAX(0,(nr_MStartPm1-1-$G1304+0.5)/$C$1264))</f>
        <v/>
      </c>
      <c r="Q1304" s="208">
        <f>MIN(1,MAX(0,(nr_MEndP-$G1304+0.5)/$C$1264))-MIN(1,MAX(0,(nr_MStartP-1-$G1304+0.5)/$C$1264))</f>
        <v/>
      </c>
      <c r="R1304" s="208">
        <f>MIN(1,MAX(0,(nr_MEndP1-$G1304+0.5)/$C$1264))-MIN(1,MAX(0,(nr_MStartP1-1-$G1304+0.5)/$C$1264))</f>
        <v/>
      </c>
      <c r="S1304" s="208">
        <f>IF($L$1264,$N1304*IF($O$1264=1,$O1304/$F$1264,1),"")</f>
        <v/>
      </c>
      <c r="T1304" s="208">
        <f>IF(NOT($L$1264),"",IF($G1304&lt;nr_MStartP,$S1304,$T1292*(1+IF($G1304&lt;nr_MStartP1,$M$1264,$N$1264))))</f>
        <v/>
      </c>
      <c r="U1304" s="208">
        <f>IF($L$1264,$T1304,$N1304)</f>
        <v/>
      </c>
    </row>
    <row r="1305">
      <c r="A1305" s="145" t="n">
        <v>39</v>
      </c>
      <c r="B1305" s="204">
        <f>EDATE($B1304,1)</f>
        <v/>
      </c>
      <c r="C1305" s="205">
        <f>EOMONTH($B1305,0)</f>
        <v/>
      </c>
      <c r="D1305" s="201">
        <f>$C1305-$B1305+1</f>
        <v/>
      </c>
      <c r="E1305" s="201">
        <f>MONTH($B1305)</f>
        <v/>
      </c>
      <c r="F1305" s="235">
        <f>($B1305+$C1305+1)/2</f>
        <v/>
      </c>
      <c r="G1305" s="201">
        <f>YEAR($B1305)*12+MONTH($B1305)-1</f>
        <v/>
      </c>
      <c r="H1305" s="207">
        <f>IF(OR(nr_SeasonOn="OFF",$D$1264=0,$E$1264=0),1,12*INDEX(se_block,$D$1264,$E1305)/$E$1264)</f>
        <v/>
      </c>
      <c r="I1305" s="208">
        <f>EXP(SUMPRODUCT((rl_eff&lt;$B1305)*(rl_key=$A$1264)*rl_ln1p))</f>
        <v/>
      </c>
      <c r="J1305" s="208">
        <f>EXP(SUMPRODUCT((rl_eff&lt;=$C1305)*(rl_key=$A$1264)*rl_ln1p))</f>
        <v/>
      </c>
      <c r="K1305" s="201">
        <f>COUNTIFS(rl_key,$A$1264,rl_eff,"&gt;="&amp;$B1305,rl_eff,"&lt;="&amp;$C1305)</f>
        <v/>
      </c>
      <c r="L1305" s="201">
        <f>SUMIFS(rl_daysafter,rl_key,$A$1264,rl_effmonth,$B1305,rl_first,1)</f>
        <v/>
      </c>
      <c r="M1305" s="209">
        <f>IF($K1305=0,0,MIN(1,$L1305/$D1305))</f>
        <v/>
      </c>
      <c r="N1305" s="208">
        <f>IF($K1305=0,$J1305,(1-$M1305)*$I1305+$M1305*$J1305)</f>
        <v/>
      </c>
      <c r="O1305" s="209">
        <f>IF($F1305&lt;$B$1265,$E$1265+$I$1265*($F1305-$A$1265),IF($F1305&lt;$C$1265,$F$1265+$J$1265*($F1305-$B$1265),$G$1265+$K$1265*($F1305-$C$1265)))</f>
        <v/>
      </c>
      <c r="P1305" s="208">
        <f>MIN(1,MAX(0,(nr_MEndPm1-$G1305+0.5)/$C$1264))-MIN(1,MAX(0,(nr_MStartPm1-1-$G1305+0.5)/$C$1264))</f>
        <v/>
      </c>
      <c r="Q1305" s="208">
        <f>MIN(1,MAX(0,(nr_MEndP-$G1305+0.5)/$C$1264))-MIN(1,MAX(0,(nr_MStartP-1-$G1305+0.5)/$C$1264))</f>
        <v/>
      </c>
      <c r="R1305" s="208">
        <f>MIN(1,MAX(0,(nr_MEndP1-$G1305+0.5)/$C$1264))-MIN(1,MAX(0,(nr_MStartP1-1-$G1305+0.5)/$C$1264))</f>
        <v/>
      </c>
      <c r="S1305" s="208">
        <f>IF($L$1264,$N1305*IF($O$1264=1,$O1305/$F$1264,1),"")</f>
        <v/>
      </c>
      <c r="T1305" s="208">
        <f>IF(NOT($L$1264),"",IF($G1305&lt;nr_MStartP,$S1305,$T1293*(1+IF($G1305&lt;nr_MStartP1,$M$1264,$N$1264))))</f>
        <v/>
      </c>
      <c r="U1305" s="208">
        <f>IF($L$1264,$T1305,$N1305)</f>
        <v/>
      </c>
    </row>
    <row r="1306">
      <c r="A1306" s="145" t="n">
        <v>40</v>
      </c>
      <c r="B1306" s="204">
        <f>EDATE($B1305,1)</f>
        <v/>
      </c>
      <c r="C1306" s="205">
        <f>EOMONTH($B1306,0)</f>
        <v/>
      </c>
      <c r="D1306" s="201">
        <f>$C1306-$B1306+1</f>
        <v/>
      </c>
      <c r="E1306" s="201">
        <f>MONTH($B1306)</f>
        <v/>
      </c>
      <c r="F1306" s="235">
        <f>($B1306+$C1306+1)/2</f>
        <v/>
      </c>
      <c r="G1306" s="201">
        <f>YEAR($B1306)*12+MONTH($B1306)-1</f>
        <v/>
      </c>
      <c r="H1306" s="207">
        <f>IF(OR(nr_SeasonOn="OFF",$D$1264=0,$E$1264=0),1,12*INDEX(se_block,$D$1264,$E1306)/$E$1264)</f>
        <v/>
      </c>
      <c r="I1306" s="208">
        <f>EXP(SUMPRODUCT((rl_eff&lt;$B1306)*(rl_key=$A$1264)*rl_ln1p))</f>
        <v/>
      </c>
      <c r="J1306" s="208">
        <f>EXP(SUMPRODUCT((rl_eff&lt;=$C1306)*(rl_key=$A$1264)*rl_ln1p))</f>
        <v/>
      </c>
      <c r="K1306" s="201">
        <f>COUNTIFS(rl_key,$A$1264,rl_eff,"&gt;="&amp;$B1306,rl_eff,"&lt;="&amp;$C1306)</f>
        <v/>
      </c>
      <c r="L1306" s="201">
        <f>SUMIFS(rl_daysafter,rl_key,$A$1264,rl_effmonth,$B1306,rl_first,1)</f>
        <v/>
      </c>
      <c r="M1306" s="209">
        <f>IF($K1306=0,0,MIN(1,$L1306/$D1306))</f>
        <v/>
      </c>
      <c r="N1306" s="208">
        <f>IF($K1306=0,$J1306,(1-$M1306)*$I1306+$M1306*$J1306)</f>
        <v/>
      </c>
      <c r="O1306" s="209">
        <f>IF($F1306&lt;$B$1265,$E$1265+$I$1265*($F1306-$A$1265),IF($F1306&lt;$C$1265,$F$1265+$J$1265*($F1306-$B$1265),$G$1265+$K$1265*($F1306-$C$1265)))</f>
        <v/>
      </c>
      <c r="P1306" s="208">
        <f>MIN(1,MAX(0,(nr_MEndPm1-$G1306+0.5)/$C$1264))-MIN(1,MAX(0,(nr_MStartPm1-1-$G1306+0.5)/$C$1264))</f>
        <v/>
      </c>
      <c r="Q1306" s="208">
        <f>MIN(1,MAX(0,(nr_MEndP-$G1306+0.5)/$C$1264))-MIN(1,MAX(0,(nr_MStartP-1-$G1306+0.5)/$C$1264))</f>
        <v/>
      </c>
      <c r="R1306" s="208">
        <f>MIN(1,MAX(0,(nr_MEndP1-$G1306+0.5)/$C$1264))-MIN(1,MAX(0,(nr_MStartP1-1-$G1306+0.5)/$C$1264))</f>
        <v/>
      </c>
      <c r="S1306" s="208">
        <f>IF($L$1264,$N1306*IF($O$1264=1,$O1306/$F$1264,1),"")</f>
        <v/>
      </c>
      <c r="T1306" s="208">
        <f>IF(NOT($L$1264),"",IF($G1306&lt;nr_MStartP,$S1306,$T1294*(1+IF($G1306&lt;nr_MStartP1,$M$1264,$N$1264))))</f>
        <v/>
      </c>
      <c r="U1306" s="208">
        <f>IF($L$1264,$T1306,$N1306)</f>
        <v/>
      </c>
    </row>
    <row r="1307">
      <c r="A1307" s="145" t="n">
        <v>41</v>
      </c>
      <c r="B1307" s="204">
        <f>EDATE($B1306,1)</f>
        <v/>
      </c>
      <c r="C1307" s="205">
        <f>EOMONTH($B1307,0)</f>
        <v/>
      </c>
      <c r="D1307" s="201">
        <f>$C1307-$B1307+1</f>
        <v/>
      </c>
      <c r="E1307" s="201">
        <f>MONTH($B1307)</f>
        <v/>
      </c>
      <c r="F1307" s="235">
        <f>($B1307+$C1307+1)/2</f>
        <v/>
      </c>
      <c r="G1307" s="201">
        <f>YEAR($B1307)*12+MONTH($B1307)-1</f>
        <v/>
      </c>
      <c r="H1307" s="207">
        <f>IF(OR(nr_SeasonOn="OFF",$D$1264=0,$E$1264=0),1,12*INDEX(se_block,$D$1264,$E1307)/$E$1264)</f>
        <v/>
      </c>
      <c r="I1307" s="208">
        <f>EXP(SUMPRODUCT((rl_eff&lt;$B1307)*(rl_key=$A$1264)*rl_ln1p))</f>
        <v/>
      </c>
      <c r="J1307" s="208">
        <f>EXP(SUMPRODUCT((rl_eff&lt;=$C1307)*(rl_key=$A$1264)*rl_ln1p))</f>
        <v/>
      </c>
      <c r="K1307" s="201">
        <f>COUNTIFS(rl_key,$A$1264,rl_eff,"&gt;="&amp;$B1307,rl_eff,"&lt;="&amp;$C1307)</f>
        <v/>
      </c>
      <c r="L1307" s="201">
        <f>SUMIFS(rl_daysafter,rl_key,$A$1264,rl_effmonth,$B1307,rl_first,1)</f>
        <v/>
      </c>
      <c r="M1307" s="209">
        <f>IF($K1307=0,0,MIN(1,$L1307/$D1307))</f>
        <v/>
      </c>
      <c r="N1307" s="208">
        <f>IF($K1307=0,$J1307,(1-$M1307)*$I1307+$M1307*$J1307)</f>
        <v/>
      </c>
      <c r="O1307" s="209">
        <f>IF($F1307&lt;$B$1265,$E$1265+$I$1265*($F1307-$A$1265),IF($F1307&lt;$C$1265,$F$1265+$J$1265*($F1307-$B$1265),$G$1265+$K$1265*($F1307-$C$1265)))</f>
        <v/>
      </c>
      <c r="P1307" s="208">
        <f>MIN(1,MAX(0,(nr_MEndPm1-$G1307+0.5)/$C$1264))-MIN(1,MAX(0,(nr_MStartPm1-1-$G1307+0.5)/$C$1264))</f>
        <v/>
      </c>
      <c r="Q1307" s="208">
        <f>MIN(1,MAX(0,(nr_MEndP-$G1307+0.5)/$C$1264))-MIN(1,MAX(0,(nr_MStartP-1-$G1307+0.5)/$C$1264))</f>
        <v/>
      </c>
      <c r="R1307" s="208">
        <f>MIN(1,MAX(0,(nr_MEndP1-$G1307+0.5)/$C$1264))-MIN(1,MAX(0,(nr_MStartP1-1-$G1307+0.5)/$C$1264))</f>
        <v/>
      </c>
      <c r="S1307" s="208">
        <f>IF($L$1264,$N1307*IF($O$1264=1,$O1307/$F$1264,1),"")</f>
        <v/>
      </c>
      <c r="T1307" s="208">
        <f>IF(NOT($L$1264),"",IF($G1307&lt;nr_MStartP,$S1307,$T1295*(1+IF($G1307&lt;nr_MStartP1,$M$1264,$N$1264))))</f>
        <v/>
      </c>
      <c r="U1307" s="208">
        <f>IF($L$1264,$T1307,$N1307)</f>
        <v/>
      </c>
    </row>
    <row r="1308">
      <c r="A1308" s="145" t="n">
        <v>42</v>
      </c>
      <c r="B1308" s="204">
        <f>EDATE($B1307,1)</f>
        <v/>
      </c>
      <c r="C1308" s="205">
        <f>EOMONTH($B1308,0)</f>
        <v/>
      </c>
      <c r="D1308" s="201">
        <f>$C1308-$B1308+1</f>
        <v/>
      </c>
      <c r="E1308" s="201">
        <f>MONTH($B1308)</f>
        <v/>
      </c>
      <c r="F1308" s="235">
        <f>($B1308+$C1308+1)/2</f>
        <v/>
      </c>
      <c r="G1308" s="201">
        <f>YEAR($B1308)*12+MONTH($B1308)-1</f>
        <v/>
      </c>
      <c r="H1308" s="207">
        <f>IF(OR(nr_SeasonOn="OFF",$D$1264=0,$E$1264=0),1,12*INDEX(se_block,$D$1264,$E1308)/$E$1264)</f>
        <v/>
      </c>
      <c r="I1308" s="208">
        <f>EXP(SUMPRODUCT((rl_eff&lt;$B1308)*(rl_key=$A$1264)*rl_ln1p))</f>
        <v/>
      </c>
      <c r="J1308" s="208">
        <f>EXP(SUMPRODUCT((rl_eff&lt;=$C1308)*(rl_key=$A$1264)*rl_ln1p))</f>
        <v/>
      </c>
      <c r="K1308" s="201">
        <f>COUNTIFS(rl_key,$A$1264,rl_eff,"&gt;="&amp;$B1308,rl_eff,"&lt;="&amp;$C1308)</f>
        <v/>
      </c>
      <c r="L1308" s="201">
        <f>SUMIFS(rl_daysafter,rl_key,$A$1264,rl_effmonth,$B1308,rl_first,1)</f>
        <v/>
      </c>
      <c r="M1308" s="209">
        <f>IF($K1308=0,0,MIN(1,$L1308/$D1308))</f>
        <v/>
      </c>
      <c r="N1308" s="208">
        <f>IF($K1308=0,$J1308,(1-$M1308)*$I1308+$M1308*$J1308)</f>
        <v/>
      </c>
      <c r="O1308" s="209">
        <f>IF($F1308&lt;$B$1265,$E$1265+$I$1265*($F1308-$A$1265),IF($F1308&lt;$C$1265,$F$1265+$J$1265*($F1308-$B$1265),$G$1265+$K$1265*($F1308-$C$1265)))</f>
        <v/>
      </c>
      <c r="P1308" s="208">
        <f>MIN(1,MAX(0,(nr_MEndPm1-$G1308+0.5)/$C$1264))-MIN(1,MAX(0,(nr_MStartPm1-1-$G1308+0.5)/$C$1264))</f>
        <v/>
      </c>
      <c r="Q1308" s="208">
        <f>MIN(1,MAX(0,(nr_MEndP-$G1308+0.5)/$C$1264))-MIN(1,MAX(0,(nr_MStartP-1-$G1308+0.5)/$C$1264))</f>
        <v/>
      </c>
      <c r="R1308" s="208">
        <f>MIN(1,MAX(0,(nr_MEndP1-$G1308+0.5)/$C$1264))-MIN(1,MAX(0,(nr_MStartP1-1-$G1308+0.5)/$C$1264))</f>
        <v/>
      </c>
      <c r="S1308" s="208">
        <f>IF($L$1264,$N1308*IF($O$1264=1,$O1308/$F$1264,1),"")</f>
        <v/>
      </c>
      <c r="T1308" s="208">
        <f>IF(NOT($L$1264),"",IF($G1308&lt;nr_MStartP,$S1308,$T1296*(1+IF($G1308&lt;nr_MStartP1,$M$1264,$N$1264))))</f>
        <v/>
      </c>
      <c r="U1308" s="208">
        <f>IF($L$1264,$T1308,$N1308)</f>
        <v/>
      </c>
    </row>
    <row r="1309">
      <c r="A1309" s="145" t="n">
        <v>43</v>
      </c>
      <c r="B1309" s="204">
        <f>EDATE($B1308,1)</f>
        <v/>
      </c>
      <c r="C1309" s="205">
        <f>EOMONTH($B1309,0)</f>
        <v/>
      </c>
      <c r="D1309" s="201">
        <f>$C1309-$B1309+1</f>
        <v/>
      </c>
      <c r="E1309" s="201">
        <f>MONTH($B1309)</f>
        <v/>
      </c>
      <c r="F1309" s="235">
        <f>($B1309+$C1309+1)/2</f>
        <v/>
      </c>
      <c r="G1309" s="201">
        <f>YEAR($B1309)*12+MONTH($B1309)-1</f>
        <v/>
      </c>
      <c r="H1309" s="207">
        <f>IF(OR(nr_SeasonOn="OFF",$D$1264=0,$E$1264=0),1,12*INDEX(se_block,$D$1264,$E1309)/$E$1264)</f>
        <v/>
      </c>
      <c r="I1309" s="208">
        <f>EXP(SUMPRODUCT((rl_eff&lt;$B1309)*(rl_key=$A$1264)*rl_ln1p))</f>
        <v/>
      </c>
      <c r="J1309" s="208">
        <f>EXP(SUMPRODUCT((rl_eff&lt;=$C1309)*(rl_key=$A$1264)*rl_ln1p))</f>
        <v/>
      </c>
      <c r="K1309" s="201">
        <f>COUNTIFS(rl_key,$A$1264,rl_eff,"&gt;="&amp;$B1309,rl_eff,"&lt;="&amp;$C1309)</f>
        <v/>
      </c>
      <c r="L1309" s="201">
        <f>SUMIFS(rl_daysafter,rl_key,$A$1264,rl_effmonth,$B1309,rl_first,1)</f>
        <v/>
      </c>
      <c r="M1309" s="209">
        <f>IF($K1309=0,0,MIN(1,$L1309/$D1309))</f>
        <v/>
      </c>
      <c r="N1309" s="208">
        <f>IF($K1309=0,$J1309,(1-$M1309)*$I1309+$M1309*$J1309)</f>
        <v/>
      </c>
      <c r="O1309" s="209">
        <f>IF($F1309&lt;$B$1265,$E$1265+$I$1265*($F1309-$A$1265),IF($F1309&lt;$C$1265,$F$1265+$J$1265*($F1309-$B$1265),$G$1265+$K$1265*($F1309-$C$1265)))</f>
        <v/>
      </c>
      <c r="P1309" s="208">
        <f>MIN(1,MAX(0,(nr_MEndPm1-$G1309+0.5)/$C$1264))-MIN(1,MAX(0,(nr_MStartPm1-1-$G1309+0.5)/$C$1264))</f>
        <v/>
      </c>
      <c r="Q1309" s="208">
        <f>MIN(1,MAX(0,(nr_MEndP-$G1309+0.5)/$C$1264))-MIN(1,MAX(0,(nr_MStartP-1-$G1309+0.5)/$C$1264))</f>
        <v/>
      </c>
      <c r="R1309" s="208">
        <f>MIN(1,MAX(0,(nr_MEndP1-$G1309+0.5)/$C$1264))-MIN(1,MAX(0,(nr_MStartP1-1-$G1309+0.5)/$C$1264))</f>
        <v/>
      </c>
      <c r="S1309" s="208">
        <f>IF($L$1264,$N1309*IF($O$1264=1,$O1309/$F$1264,1),"")</f>
        <v/>
      </c>
      <c r="T1309" s="208">
        <f>IF(NOT($L$1264),"",IF($G1309&lt;nr_MStartP,$S1309,$T1297*(1+IF($G1309&lt;nr_MStartP1,$M$1264,$N$1264))))</f>
        <v/>
      </c>
      <c r="U1309" s="208">
        <f>IF($L$1264,$T1309,$N1309)</f>
        <v/>
      </c>
    </row>
    <row r="1310">
      <c r="A1310" s="145" t="n">
        <v>44</v>
      </c>
      <c r="B1310" s="204">
        <f>EDATE($B1309,1)</f>
        <v/>
      </c>
      <c r="C1310" s="205">
        <f>EOMONTH($B1310,0)</f>
        <v/>
      </c>
      <c r="D1310" s="201">
        <f>$C1310-$B1310+1</f>
        <v/>
      </c>
      <c r="E1310" s="201">
        <f>MONTH($B1310)</f>
        <v/>
      </c>
      <c r="F1310" s="235">
        <f>($B1310+$C1310+1)/2</f>
        <v/>
      </c>
      <c r="G1310" s="201">
        <f>YEAR($B1310)*12+MONTH($B1310)-1</f>
        <v/>
      </c>
      <c r="H1310" s="207">
        <f>IF(OR(nr_SeasonOn="OFF",$D$1264=0,$E$1264=0),1,12*INDEX(se_block,$D$1264,$E1310)/$E$1264)</f>
        <v/>
      </c>
      <c r="I1310" s="208">
        <f>EXP(SUMPRODUCT((rl_eff&lt;$B1310)*(rl_key=$A$1264)*rl_ln1p))</f>
        <v/>
      </c>
      <c r="J1310" s="208">
        <f>EXP(SUMPRODUCT((rl_eff&lt;=$C1310)*(rl_key=$A$1264)*rl_ln1p))</f>
        <v/>
      </c>
      <c r="K1310" s="201">
        <f>COUNTIFS(rl_key,$A$1264,rl_eff,"&gt;="&amp;$B1310,rl_eff,"&lt;="&amp;$C1310)</f>
        <v/>
      </c>
      <c r="L1310" s="201">
        <f>SUMIFS(rl_daysafter,rl_key,$A$1264,rl_effmonth,$B1310,rl_first,1)</f>
        <v/>
      </c>
      <c r="M1310" s="209">
        <f>IF($K1310=0,0,MIN(1,$L1310/$D1310))</f>
        <v/>
      </c>
      <c r="N1310" s="208">
        <f>IF($K1310=0,$J1310,(1-$M1310)*$I1310+$M1310*$J1310)</f>
        <v/>
      </c>
      <c r="O1310" s="209">
        <f>IF($F1310&lt;$B$1265,$E$1265+$I$1265*($F1310-$A$1265),IF($F1310&lt;$C$1265,$F$1265+$J$1265*($F1310-$B$1265),$G$1265+$K$1265*($F1310-$C$1265)))</f>
        <v/>
      </c>
      <c r="P1310" s="208">
        <f>MIN(1,MAX(0,(nr_MEndPm1-$G1310+0.5)/$C$1264))-MIN(1,MAX(0,(nr_MStartPm1-1-$G1310+0.5)/$C$1264))</f>
        <v/>
      </c>
      <c r="Q1310" s="208">
        <f>MIN(1,MAX(0,(nr_MEndP-$G1310+0.5)/$C$1264))-MIN(1,MAX(0,(nr_MStartP-1-$G1310+0.5)/$C$1264))</f>
        <v/>
      </c>
      <c r="R1310" s="208">
        <f>MIN(1,MAX(0,(nr_MEndP1-$G1310+0.5)/$C$1264))-MIN(1,MAX(0,(nr_MStartP1-1-$G1310+0.5)/$C$1264))</f>
        <v/>
      </c>
      <c r="S1310" s="208">
        <f>IF($L$1264,$N1310*IF($O$1264=1,$O1310/$F$1264,1),"")</f>
        <v/>
      </c>
      <c r="T1310" s="208">
        <f>IF(NOT($L$1264),"",IF($G1310&lt;nr_MStartP,$S1310,$T1298*(1+IF($G1310&lt;nr_MStartP1,$M$1264,$N$1264))))</f>
        <v/>
      </c>
      <c r="U1310" s="208">
        <f>IF($L$1264,$T1310,$N1310)</f>
        <v/>
      </c>
    </row>
    <row r="1311">
      <c r="A1311" s="145" t="n">
        <v>45</v>
      </c>
      <c r="B1311" s="204">
        <f>EDATE($B1310,1)</f>
        <v/>
      </c>
      <c r="C1311" s="205">
        <f>EOMONTH($B1311,0)</f>
        <v/>
      </c>
      <c r="D1311" s="201">
        <f>$C1311-$B1311+1</f>
        <v/>
      </c>
      <c r="E1311" s="201">
        <f>MONTH($B1311)</f>
        <v/>
      </c>
      <c r="F1311" s="235">
        <f>($B1311+$C1311+1)/2</f>
        <v/>
      </c>
      <c r="G1311" s="201">
        <f>YEAR($B1311)*12+MONTH($B1311)-1</f>
        <v/>
      </c>
      <c r="H1311" s="207">
        <f>IF(OR(nr_SeasonOn="OFF",$D$1264=0,$E$1264=0),1,12*INDEX(se_block,$D$1264,$E1311)/$E$1264)</f>
        <v/>
      </c>
      <c r="I1311" s="208">
        <f>EXP(SUMPRODUCT((rl_eff&lt;$B1311)*(rl_key=$A$1264)*rl_ln1p))</f>
        <v/>
      </c>
      <c r="J1311" s="208">
        <f>EXP(SUMPRODUCT((rl_eff&lt;=$C1311)*(rl_key=$A$1264)*rl_ln1p))</f>
        <v/>
      </c>
      <c r="K1311" s="201">
        <f>COUNTIFS(rl_key,$A$1264,rl_eff,"&gt;="&amp;$B1311,rl_eff,"&lt;="&amp;$C1311)</f>
        <v/>
      </c>
      <c r="L1311" s="201">
        <f>SUMIFS(rl_daysafter,rl_key,$A$1264,rl_effmonth,$B1311,rl_first,1)</f>
        <v/>
      </c>
      <c r="M1311" s="209">
        <f>IF($K1311=0,0,MIN(1,$L1311/$D1311))</f>
        <v/>
      </c>
      <c r="N1311" s="208">
        <f>IF($K1311=0,$J1311,(1-$M1311)*$I1311+$M1311*$J1311)</f>
        <v/>
      </c>
      <c r="O1311" s="209">
        <f>IF($F1311&lt;$B$1265,$E$1265+$I$1265*($F1311-$A$1265),IF($F1311&lt;$C$1265,$F$1265+$J$1265*($F1311-$B$1265),$G$1265+$K$1265*($F1311-$C$1265)))</f>
        <v/>
      </c>
      <c r="P1311" s="208">
        <f>MIN(1,MAX(0,(nr_MEndPm1-$G1311+0.5)/$C$1264))-MIN(1,MAX(0,(nr_MStartPm1-1-$G1311+0.5)/$C$1264))</f>
        <v/>
      </c>
      <c r="Q1311" s="208">
        <f>MIN(1,MAX(0,(nr_MEndP-$G1311+0.5)/$C$1264))-MIN(1,MAX(0,(nr_MStartP-1-$G1311+0.5)/$C$1264))</f>
        <v/>
      </c>
      <c r="R1311" s="208">
        <f>MIN(1,MAX(0,(nr_MEndP1-$G1311+0.5)/$C$1264))-MIN(1,MAX(0,(nr_MStartP1-1-$G1311+0.5)/$C$1264))</f>
        <v/>
      </c>
      <c r="S1311" s="208">
        <f>IF($L$1264,$N1311*IF($O$1264=1,$O1311/$F$1264,1),"")</f>
        <v/>
      </c>
      <c r="T1311" s="208">
        <f>IF(NOT($L$1264),"",IF($G1311&lt;nr_MStartP,$S1311,$T1299*(1+IF($G1311&lt;nr_MStartP1,$M$1264,$N$1264))))</f>
        <v/>
      </c>
      <c r="U1311" s="208">
        <f>IF($L$1264,$T1311,$N1311)</f>
        <v/>
      </c>
    </row>
    <row r="1312">
      <c r="A1312" s="145" t="n">
        <v>46</v>
      </c>
      <c r="B1312" s="204">
        <f>EDATE($B1311,1)</f>
        <v/>
      </c>
      <c r="C1312" s="205">
        <f>EOMONTH($B1312,0)</f>
        <v/>
      </c>
      <c r="D1312" s="201">
        <f>$C1312-$B1312+1</f>
        <v/>
      </c>
      <c r="E1312" s="201">
        <f>MONTH($B1312)</f>
        <v/>
      </c>
      <c r="F1312" s="235">
        <f>($B1312+$C1312+1)/2</f>
        <v/>
      </c>
      <c r="G1312" s="201">
        <f>YEAR($B1312)*12+MONTH($B1312)-1</f>
        <v/>
      </c>
      <c r="H1312" s="207">
        <f>IF(OR(nr_SeasonOn="OFF",$D$1264=0,$E$1264=0),1,12*INDEX(se_block,$D$1264,$E1312)/$E$1264)</f>
        <v/>
      </c>
      <c r="I1312" s="208">
        <f>EXP(SUMPRODUCT((rl_eff&lt;$B1312)*(rl_key=$A$1264)*rl_ln1p))</f>
        <v/>
      </c>
      <c r="J1312" s="208">
        <f>EXP(SUMPRODUCT((rl_eff&lt;=$C1312)*(rl_key=$A$1264)*rl_ln1p))</f>
        <v/>
      </c>
      <c r="K1312" s="201">
        <f>COUNTIFS(rl_key,$A$1264,rl_eff,"&gt;="&amp;$B1312,rl_eff,"&lt;="&amp;$C1312)</f>
        <v/>
      </c>
      <c r="L1312" s="201">
        <f>SUMIFS(rl_daysafter,rl_key,$A$1264,rl_effmonth,$B1312,rl_first,1)</f>
        <v/>
      </c>
      <c r="M1312" s="209">
        <f>IF($K1312=0,0,MIN(1,$L1312/$D1312))</f>
        <v/>
      </c>
      <c r="N1312" s="208">
        <f>IF($K1312=0,$J1312,(1-$M1312)*$I1312+$M1312*$J1312)</f>
        <v/>
      </c>
      <c r="O1312" s="209">
        <f>IF($F1312&lt;$B$1265,$E$1265+$I$1265*($F1312-$A$1265),IF($F1312&lt;$C$1265,$F$1265+$J$1265*($F1312-$B$1265),$G$1265+$K$1265*($F1312-$C$1265)))</f>
        <v/>
      </c>
      <c r="P1312" s="208">
        <f>MIN(1,MAX(0,(nr_MEndPm1-$G1312+0.5)/$C$1264))-MIN(1,MAX(0,(nr_MStartPm1-1-$G1312+0.5)/$C$1264))</f>
        <v/>
      </c>
      <c r="Q1312" s="208">
        <f>MIN(1,MAX(0,(nr_MEndP-$G1312+0.5)/$C$1264))-MIN(1,MAX(0,(nr_MStartP-1-$G1312+0.5)/$C$1264))</f>
        <v/>
      </c>
      <c r="R1312" s="208">
        <f>MIN(1,MAX(0,(nr_MEndP1-$G1312+0.5)/$C$1264))-MIN(1,MAX(0,(nr_MStartP1-1-$G1312+0.5)/$C$1264))</f>
        <v/>
      </c>
      <c r="S1312" s="208">
        <f>IF($L$1264,$N1312*IF($O$1264=1,$O1312/$F$1264,1),"")</f>
        <v/>
      </c>
      <c r="T1312" s="208">
        <f>IF(NOT($L$1264),"",IF($G1312&lt;nr_MStartP,$S1312,$T1300*(1+IF($G1312&lt;nr_MStartP1,$M$1264,$N$1264))))</f>
        <v/>
      </c>
      <c r="U1312" s="208">
        <f>IF($L$1264,$T1312,$N1312)</f>
        <v/>
      </c>
    </row>
    <row r="1313">
      <c r="A1313" s="145" t="n">
        <v>47</v>
      </c>
      <c r="B1313" s="204">
        <f>EDATE($B1312,1)</f>
        <v/>
      </c>
      <c r="C1313" s="205">
        <f>EOMONTH($B1313,0)</f>
        <v/>
      </c>
      <c r="D1313" s="201">
        <f>$C1313-$B1313+1</f>
        <v/>
      </c>
      <c r="E1313" s="201">
        <f>MONTH($B1313)</f>
        <v/>
      </c>
      <c r="F1313" s="235">
        <f>($B1313+$C1313+1)/2</f>
        <v/>
      </c>
      <c r="G1313" s="201">
        <f>YEAR($B1313)*12+MONTH($B1313)-1</f>
        <v/>
      </c>
      <c r="H1313" s="207">
        <f>IF(OR(nr_SeasonOn="OFF",$D$1264=0,$E$1264=0),1,12*INDEX(se_block,$D$1264,$E1313)/$E$1264)</f>
        <v/>
      </c>
      <c r="I1313" s="208">
        <f>EXP(SUMPRODUCT((rl_eff&lt;$B1313)*(rl_key=$A$1264)*rl_ln1p))</f>
        <v/>
      </c>
      <c r="J1313" s="208">
        <f>EXP(SUMPRODUCT((rl_eff&lt;=$C1313)*(rl_key=$A$1264)*rl_ln1p))</f>
        <v/>
      </c>
      <c r="K1313" s="201">
        <f>COUNTIFS(rl_key,$A$1264,rl_eff,"&gt;="&amp;$B1313,rl_eff,"&lt;="&amp;$C1313)</f>
        <v/>
      </c>
      <c r="L1313" s="201">
        <f>SUMIFS(rl_daysafter,rl_key,$A$1264,rl_effmonth,$B1313,rl_first,1)</f>
        <v/>
      </c>
      <c r="M1313" s="209">
        <f>IF($K1313=0,0,MIN(1,$L1313/$D1313))</f>
        <v/>
      </c>
      <c r="N1313" s="208">
        <f>IF($K1313=0,$J1313,(1-$M1313)*$I1313+$M1313*$J1313)</f>
        <v/>
      </c>
      <c r="O1313" s="209">
        <f>IF($F1313&lt;$B$1265,$E$1265+$I$1265*($F1313-$A$1265),IF($F1313&lt;$C$1265,$F$1265+$J$1265*($F1313-$B$1265),$G$1265+$K$1265*($F1313-$C$1265)))</f>
        <v/>
      </c>
      <c r="P1313" s="208">
        <f>MIN(1,MAX(0,(nr_MEndPm1-$G1313+0.5)/$C$1264))-MIN(1,MAX(0,(nr_MStartPm1-1-$G1313+0.5)/$C$1264))</f>
        <v/>
      </c>
      <c r="Q1313" s="208">
        <f>MIN(1,MAX(0,(nr_MEndP-$G1313+0.5)/$C$1264))-MIN(1,MAX(0,(nr_MStartP-1-$G1313+0.5)/$C$1264))</f>
        <v/>
      </c>
      <c r="R1313" s="208">
        <f>MIN(1,MAX(0,(nr_MEndP1-$G1313+0.5)/$C$1264))-MIN(1,MAX(0,(nr_MStartP1-1-$G1313+0.5)/$C$1264))</f>
        <v/>
      </c>
      <c r="S1313" s="208">
        <f>IF($L$1264,$N1313*IF($O$1264=1,$O1313/$F$1264,1),"")</f>
        <v/>
      </c>
      <c r="T1313" s="208">
        <f>IF(NOT($L$1264),"",IF($G1313&lt;nr_MStartP,$S1313,$T1301*(1+IF($G1313&lt;nr_MStartP1,$M$1264,$N$1264))))</f>
        <v/>
      </c>
      <c r="U1313" s="208">
        <f>IF($L$1264,$T1313,$N1313)</f>
        <v/>
      </c>
    </row>
    <row r="1314">
      <c r="A1314" s="145" t="n">
        <v>48</v>
      </c>
      <c r="B1314" s="204">
        <f>EDATE($B1313,1)</f>
        <v/>
      </c>
      <c r="C1314" s="205">
        <f>EOMONTH($B1314,0)</f>
        <v/>
      </c>
      <c r="D1314" s="201">
        <f>$C1314-$B1314+1</f>
        <v/>
      </c>
      <c r="E1314" s="201">
        <f>MONTH($B1314)</f>
        <v/>
      </c>
      <c r="F1314" s="235">
        <f>($B1314+$C1314+1)/2</f>
        <v/>
      </c>
      <c r="G1314" s="201">
        <f>YEAR($B1314)*12+MONTH($B1314)-1</f>
        <v/>
      </c>
      <c r="H1314" s="207">
        <f>IF(OR(nr_SeasonOn="OFF",$D$1264=0,$E$1264=0),1,12*INDEX(se_block,$D$1264,$E1314)/$E$1264)</f>
        <v/>
      </c>
      <c r="I1314" s="208">
        <f>EXP(SUMPRODUCT((rl_eff&lt;$B1314)*(rl_key=$A$1264)*rl_ln1p))</f>
        <v/>
      </c>
      <c r="J1314" s="208">
        <f>EXP(SUMPRODUCT((rl_eff&lt;=$C1314)*(rl_key=$A$1264)*rl_ln1p))</f>
        <v/>
      </c>
      <c r="K1314" s="201">
        <f>COUNTIFS(rl_key,$A$1264,rl_eff,"&gt;="&amp;$B1314,rl_eff,"&lt;="&amp;$C1314)</f>
        <v/>
      </c>
      <c r="L1314" s="201">
        <f>SUMIFS(rl_daysafter,rl_key,$A$1264,rl_effmonth,$B1314,rl_first,1)</f>
        <v/>
      </c>
      <c r="M1314" s="209">
        <f>IF($K1314=0,0,MIN(1,$L1314/$D1314))</f>
        <v/>
      </c>
      <c r="N1314" s="208">
        <f>IF($K1314=0,$J1314,(1-$M1314)*$I1314+$M1314*$J1314)</f>
        <v/>
      </c>
      <c r="O1314" s="209">
        <f>IF($F1314&lt;$B$1265,$E$1265+$I$1265*($F1314-$A$1265),IF($F1314&lt;$C$1265,$F$1265+$J$1265*($F1314-$B$1265),$G$1265+$K$1265*($F1314-$C$1265)))</f>
        <v/>
      </c>
      <c r="P1314" s="208">
        <f>MIN(1,MAX(0,(nr_MEndPm1-$G1314+0.5)/$C$1264))-MIN(1,MAX(0,(nr_MStartPm1-1-$G1314+0.5)/$C$1264))</f>
        <v/>
      </c>
      <c r="Q1314" s="208">
        <f>MIN(1,MAX(0,(nr_MEndP-$G1314+0.5)/$C$1264))-MIN(1,MAX(0,(nr_MStartP-1-$G1314+0.5)/$C$1264))</f>
        <v/>
      </c>
      <c r="R1314" s="208">
        <f>MIN(1,MAX(0,(nr_MEndP1-$G1314+0.5)/$C$1264))-MIN(1,MAX(0,(nr_MStartP1-1-$G1314+0.5)/$C$1264))</f>
        <v/>
      </c>
      <c r="S1314" s="208">
        <f>IF($L$1264,$N1314*IF($O$1264=1,$O1314/$F$1264,1),"")</f>
        <v/>
      </c>
      <c r="T1314" s="208">
        <f>IF(NOT($L$1264),"",IF($G1314&lt;nr_MStartP,$S1314,$T1302*(1+IF($G1314&lt;nr_MStartP1,$M$1264,$N$1264))))</f>
        <v/>
      </c>
      <c r="U1314" s="208">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184">
        <f>SUMPRODUCT($H$1267:$H$1314,$Q$1267:$Q$1314,$O$1267:$O$1314)/SUMPRODUCT($H$1267:$H$1314,$Q$1267:$Q$1314)</f>
        <v/>
      </c>
      <c r="G1315" s="184">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184">
        <f>IF(N(INDEX(lr_mind,24))=0,1,INDEX(lr_mind,24))</f>
        <v/>
      </c>
      <c r="G1318" s="184">
        <f>IF(N(INDEX(lr_m0,24))=0,1,INDEX(lr_m0,24))</f>
        <v/>
      </c>
      <c r="H1318" s="73">
        <f>IF(N(INDEX(lr_m0asof,24))=0,DATE(nr_PlanYear-1,10,1),INDEX(lr_m0asof,24))</f>
        <v/>
      </c>
      <c r="I1318" s="184">
        <f>IF(N(INDEX(lr_m1,24))=0,1,INDEX(lr_m1,24))</f>
        <v/>
      </c>
      <c r="J1318" s="184">
        <f>INDEX(lr_mprior,24)</f>
        <v/>
      </c>
      <c r="K1318" s="184">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145" t="n">
        <v>1</v>
      </c>
      <c r="B1321" s="204">
        <f>DATE(nr_PlanYear-2,1,1)</f>
        <v/>
      </c>
      <c r="C1321" s="205">
        <f>EOMONTH($B1321,0)</f>
        <v/>
      </c>
      <c r="D1321" s="201">
        <f>$C1321-$B1321+1</f>
        <v/>
      </c>
      <c r="E1321" s="201">
        <f>MONTH($B1321)</f>
        <v/>
      </c>
      <c r="F1321" s="235">
        <f>($B1321+$C1321+1)/2</f>
        <v/>
      </c>
      <c r="G1321" s="201">
        <f>YEAR($B1321)*12+MONTH($B1321)-1</f>
        <v/>
      </c>
      <c r="H1321" s="207">
        <f>IF(OR(nr_SeasonOn="OFF",$D$1318=0,$E$1318=0),1,12*INDEX(se_block,$D$1318,$E1321)/$E$1318)</f>
        <v/>
      </c>
      <c r="I1321" s="208">
        <f>EXP(SUMPRODUCT((rl_eff&lt;$B1321)*(rl_key=$A$1318)*rl_ln1p))</f>
        <v/>
      </c>
      <c r="J1321" s="208">
        <f>EXP(SUMPRODUCT((rl_eff&lt;=$C1321)*(rl_key=$A$1318)*rl_ln1p))</f>
        <v/>
      </c>
      <c r="K1321" s="201">
        <f>COUNTIFS(rl_key,$A$1318,rl_eff,"&gt;="&amp;$B1321,rl_eff,"&lt;="&amp;$C1321)</f>
        <v/>
      </c>
      <c r="L1321" s="201">
        <f>SUMIFS(rl_daysafter,rl_key,$A$1318,rl_effmonth,$B1321,rl_first,1)</f>
        <v/>
      </c>
      <c r="M1321" s="209">
        <f>IF($K1321=0,0,MIN(1,$L1321/$D1321))</f>
        <v/>
      </c>
      <c r="N1321" s="208">
        <f>IF($K1321=0,$J1321,(1-$M1321)*$I1321+$M1321*$J1321)</f>
        <v/>
      </c>
      <c r="O1321" s="209">
        <f>IF($F1321&lt;$B$1319,$E$1319+$I$1319*($F1321-$A$1319),IF($F1321&lt;$C$1319,$F$1319+$J$1319*($F1321-$B$1319),$G$1319+$K$1319*($F1321-$C$1319)))</f>
        <v/>
      </c>
      <c r="P1321" s="208">
        <f>MIN(1,MAX(0,(nr_MEndPm1-$G1321+0.5)/$C$1318))-MIN(1,MAX(0,(nr_MStartPm1-1-$G1321+0.5)/$C$1318))</f>
        <v/>
      </c>
      <c r="Q1321" s="208">
        <f>MIN(1,MAX(0,(nr_MEndP-$G1321+0.5)/$C$1318))-MIN(1,MAX(0,(nr_MStartP-1-$G1321+0.5)/$C$1318))</f>
        <v/>
      </c>
      <c r="R1321" s="208">
        <f>MIN(1,MAX(0,(nr_MEndP1-$G1321+0.5)/$C$1318))-MIN(1,MAX(0,(nr_MStartP1-1-$G1321+0.5)/$C$1318))</f>
        <v/>
      </c>
      <c r="S1321" s="208">
        <f>IF($L$1318,$N1321*IF($O$1318=1,$O1321/$F$1318,1),"")</f>
        <v/>
      </c>
      <c r="T1321" s="208">
        <f>IF(NOT($L$1318),"",IF($G1321&lt;nr_MStartP,$S1321,$T1309*(1+IF($G1321&lt;nr_MStartP1,$M$1318,$N$1318))))</f>
        <v/>
      </c>
      <c r="U1321" s="208">
        <f>IF($L$1318,$T1321,$N1321)</f>
        <v/>
      </c>
    </row>
    <row r="1322">
      <c r="A1322" s="145" t="n">
        <v>2</v>
      </c>
      <c r="B1322" s="204">
        <f>EDATE($B1321,1)</f>
        <v/>
      </c>
      <c r="C1322" s="205">
        <f>EOMONTH($B1322,0)</f>
        <v/>
      </c>
      <c r="D1322" s="201">
        <f>$C1322-$B1322+1</f>
        <v/>
      </c>
      <c r="E1322" s="201">
        <f>MONTH($B1322)</f>
        <v/>
      </c>
      <c r="F1322" s="235">
        <f>($B1322+$C1322+1)/2</f>
        <v/>
      </c>
      <c r="G1322" s="201">
        <f>YEAR($B1322)*12+MONTH($B1322)-1</f>
        <v/>
      </c>
      <c r="H1322" s="207">
        <f>IF(OR(nr_SeasonOn="OFF",$D$1318=0,$E$1318=0),1,12*INDEX(se_block,$D$1318,$E1322)/$E$1318)</f>
        <v/>
      </c>
      <c r="I1322" s="208">
        <f>EXP(SUMPRODUCT((rl_eff&lt;$B1322)*(rl_key=$A$1318)*rl_ln1p))</f>
        <v/>
      </c>
      <c r="J1322" s="208">
        <f>EXP(SUMPRODUCT((rl_eff&lt;=$C1322)*(rl_key=$A$1318)*rl_ln1p))</f>
        <v/>
      </c>
      <c r="K1322" s="201">
        <f>COUNTIFS(rl_key,$A$1318,rl_eff,"&gt;="&amp;$B1322,rl_eff,"&lt;="&amp;$C1322)</f>
        <v/>
      </c>
      <c r="L1322" s="201">
        <f>SUMIFS(rl_daysafter,rl_key,$A$1318,rl_effmonth,$B1322,rl_first,1)</f>
        <v/>
      </c>
      <c r="M1322" s="209">
        <f>IF($K1322=0,0,MIN(1,$L1322/$D1322))</f>
        <v/>
      </c>
      <c r="N1322" s="208">
        <f>IF($K1322=0,$J1322,(1-$M1322)*$I1322+$M1322*$J1322)</f>
        <v/>
      </c>
      <c r="O1322" s="209">
        <f>IF($F1322&lt;$B$1319,$E$1319+$I$1319*($F1322-$A$1319),IF($F1322&lt;$C$1319,$F$1319+$J$1319*($F1322-$B$1319),$G$1319+$K$1319*($F1322-$C$1319)))</f>
        <v/>
      </c>
      <c r="P1322" s="208">
        <f>MIN(1,MAX(0,(nr_MEndPm1-$G1322+0.5)/$C$1318))-MIN(1,MAX(0,(nr_MStartPm1-1-$G1322+0.5)/$C$1318))</f>
        <v/>
      </c>
      <c r="Q1322" s="208">
        <f>MIN(1,MAX(0,(nr_MEndP-$G1322+0.5)/$C$1318))-MIN(1,MAX(0,(nr_MStartP-1-$G1322+0.5)/$C$1318))</f>
        <v/>
      </c>
      <c r="R1322" s="208">
        <f>MIN(1,MAX(0,(nr_MEndP1-$G1322+0.5)/$C$1318))-MIN(1,MAX(0,(nr_MStartP1-1-$G1322+0.5)/$C$1318))</f>
        <v/>
      </c>
      <c r="S1322" s="208">
        <f>IF($L$1318,$N1322*IF($O$1318=1,$O1322/$F$1318,1),"")</f>
        <v/>
      </c>
      <c r="T1322" s="208">
        <f>IF(NOT($L$1318),"",IF($G1322&lt;nr_MStartP,$S1322,$T1310*(1+IF($G1322&lt;nr_MStartP1,$M$1318,$N$1318))))</f>
        <v/>
      </c>
      <c r="U1322" s="208">
        <f>IF($L$1318,$T1322,$N1322)</f>
        <v/>
      </c>
    </row>
    <row r="1323">
      <c r="A1323" s="145" t="n">
        <v>3</v>
      </c>
      <c r="B1323" s="204">
        <f>EDATE($B1322,1)</f>
        <v/>
      </c>
      <c r="C1323" s="205">
        <f>EOMONTH($B1323,0)</f>
        <v/>
      </c>
      <c r="D1323" s="201">
        <f>$C1323-$B1323+1</f>
        <v/>
      </c>
      <c r="E1323" s="201">
        <f>MONTH($B1323)</f>
        <v/>
      </c>
      <c r="F1323" s="235">
        <f>($B1323+$C1323+1)/2</f>
        <v/>
      </c>
      <c r="G1323" s="201">
        <f>YEAR($B1323)*12+MONTH($B1323)-1</f>
        <v/>
      </c>
      <c r="H1323" s="207">
        <f>IF(OR(nr_SeasonOn="OFF",$D$1318=0,$E$1318=0),1,12*INDEX(se_block,$D$1318,$E1323)/$E$1318)</f>
        <v/>
      </c>
      <c r="I1323" s="208">
        <f>EXP(SUMPRODUCT((rl_eff&lt;$B1323)*(rl_key=$A$1318)*rl_ln1p))</f>
        <v/>
      </c>
      <c r="J1323" s="208">
        <f>EXP(SUMPRODUCT((rl_eff&lt;=$C1323)*(rl_key=$A$1318)*rl_ln1p))</f>
        <v/>
      </c>
      <c r="K1323" s="201">
        <f>COUNTIFS(rl_key,$A$1318,rl_eff,"&gt;="&amp;$B1323,rl_eff,"&lt;="&amp;$C1323)</f>
        <v/>
      </c>
      <c r="L1323" s="201">
        <f>SUMIFS(rl_daysafter,rl_key,$A$1318,rl_effmonth,$B1323,rl_first,1)</f>
        <v/>
      </c>
      <c r="M1323" s="209">
        <f>IF($K1323=0,0,MIN(1,$L1323/$D1323))</f>
        <v/>
      </c>
      <c r="N1323" s="208">
        <f>IF($K1323=0,$J1323,(1-$M1323)*$I1323+$M1323*$J1323)</f>
        <v/>
      </c>
      <c r="O1323" s="209">
        <f>IF($F1323&lt;$B$1319,$E$1319+$I$1319*($F1323-$A$1319),IF($F1323&lt;$C$1319,$F$1319+$J$1319*($F1323-$B$1319),$G$1319+$K$1319*($F1323-$C$1319)))</f>
        <v/>
      </c>
      <c r="P1323" s="208">
        <f>MIN(1,MAX(0,(nr_MEndPm1-$G1323+0.5)/$C$1318))-MIN(1,MAX(0,(nr_MStartPm1-1-$G1323+0.5)/$C$1318))</f>
        <v/>
      </c>
      <c r="Q1323" s="208">
        <f>MIN(1,MAX(0,(nr_MEndP-$G1323+0.5)/$C$1318))-MIN(1,MAX(0,(nr_MStartP-1-$G1323+0.5)/$C$1318))</f>
        <v/>
      </c>
      <c r="R1323" s="208">
        <f>MIN(1,MAX(0,(nr_MEndP1-$G1323+0.5)/$C$1318))-MIN(1,MAX(0,(nr_MStartP1-1-$G1323+0.5)/$C$1318))</f>
        <v/>
      </c>
      <c r="S1323" s="208">
        <f>IF($L$1318,$N1323*IF($O$1318=1,$O1323/$F$1318,1),"")</f>
        <v/>
      </c>
      <c r="T1323" s="208">
        <f>IF(NOT($L$1318),"",IF($G1323&lt;nr_MStartP,$S1323,$T1311*(1+IF($G1323&lt;nr_MStartP1,$M$1318,$N$1318))))</f>
        <v/>
      </c>
      <c r="U1323" s="208">
        <f>IF($L$1318,$T1323,$N1323)</f>
        <v/>
      </c>
    </row>
    <row r="1324">
      <c r="A1324" s="145" t="n">
        <v>4</v>
      </c>
      <c r="B1324" s="204">
        <f>EDATE($B1323,1)</f>
        <v/>
      </c>
      <c r="C1324" s="205">
        <f>EOMONTH($B1324,0)</f>
        <v/>
      </c>
      <c r="D1324" s="201">
        <f>$C1324-$B1324+1</f>
        <v/>
      </c>
      <c r="E1324" s="201">
        <f>MONTH($B1324)</f>
        <v/>
      </c>
      <c r="F1324" s="235">
        <f>($B1324+$C1324+1)/2</f>
        <v/>
      </c>
      <c r="G1324" s="201">
        <f>YEAR($B1324)*12+MONTH($B1324)-1</f>
        <v/>
      </c>
      <c r="H1324" s="207">
        <f>IF(OR(nr_SeasonOn="OFF",$D$1318=0,$E$1318=0),1,12*INDEX(se_block,$D$1318,$E1324)/$E$1318)</f>
        <v/>
      </c>
      <c r="I1324" s="208">
        <f>EXP(SUMPRODUCT((rl_eff&lt;$B1324)*(rl_key=$A$1318)*rl_ln1p))</f>
        <v/>
      </c>
      <c r="J1324" s="208">
        <f>EXP(SUMPRODUCT((rl_eff&lt;=$C1324)*(rl_key=$A$1318)*rl_ln1p))</f>
        <v/>
      </c>
      <c r="K1324" s="201">
        <f>COUNTIFS(rl_key,$A$1318,rl_eff,"&gt;="&amp;$B1324,rl_eff,"&lt;="&amp;$C1324)</f>
        <v/>
      </c>
      <c r="L1324" s="201">
        <f>SUMIFS(rl_daysafter,rl_key,$A$1318,rl_effmonth,$B1324,rl_first,1)</f>
        <v/>
      </c>
      <c r="M1324" s="209">
        <f>IF($K1324=0,0,MIN(1,$L1324/$D1324))</f>
        <v/>
      </c>
      <c r="N1324" s="208">
        <f>IF($K1324=0,$J1324,(1-$M1324)*$I1324+$M1324*$J1324)</f>
        <v/>
      </c>
      <c r="O1324" s="209">
        <f>IF($F1324&lt;$B$1319,$E$1319+$I$1319*($F1324-$A$1319),IF($F1324&lt;$C$1319,$F$1319+$J$1319*($F1324-$B$1319),$G$1319+$K$1319*($F1324-$C$1319)))</f>
        <v/>
      </c>
      <c r="P1324" s="208">
        <f>MIN(1,MAX(0,(nr_MEndPm1-$G1324+0.5)/$C$1318))-MIN(1,MAX(0,(nr_MStartPm1-1-$G1324+0.5)/$C$1318))</f>
        <v/>
      </c>
      <c r="Q1324" s="208">
        <f>MIN(1,MAX(0,(nr_MEndP-$G1324+0.5)/$C$1318))-MIN(1,MAX(0,(nr_MStartP-1-$G1324+0.5)/$C$1318))</f>
        <v/>
      </c>
      <c r="R1324" s="208">
        <f>MIN(1,MAX(0,(nr_MEndP1-$G1324+0.5)/$C$1318))-MIN(1,MAX(0,(nr_MStartP1-1-$G1324+0.5)/$C$1318))</f>
        <v/>
      </c>
      <c r="S1324" s="208">
        <f>IF($L$1318,$N1324*IF($O$1318=1,$O1324/$F$1318,1),"")</f>
        <v/>
      </c>
      <c r="T1324" s="208">
        <f>IF(NOT($L$1318),"",IF($G1324&lt;nr_MStartP,$S1324,$T1312*(1+IF($G1324&lt;nr_MStartP1,$M$1318,$N$1318))))</f>
        <v/>
      </c>
      <c r="U1324" s="208">
        <f>IF($L$1318,$T1324,$N1324)</f>
        <v/>
      </c>
    </row>
    <row r="1325">
      <c r="A1325" s="145" t="n">
        <v>5</v>
      </c>
      <c r="B1325" s="204">
        <f>EDATE($B1324,1)</f>
        <v/>
      </c>
      <c r="C1325" s="205">
        <f>EOMONTH($B1325,0)</f>
        <v/>
      </c>
      <c r="D1325" s="201">
        <f>$C1325-$B1325+1</f>
        <v/>
      </c>
      <c r="E1325" s="201">
        <f>MONTH($B1325)</f>
        <v/>
      </c>
      <c r="F1325" s="235">
        <f>($B1325+$C1325+1)/2</f>
        <v/>
      </c>
      <c r="G1325" s="201">
        <f>YEAR($B1325)*12+MONTH($B1325)-1</f>
        <v/>
      </c>
      <c r="H1325" s="207">
        <f>IF(OR(nr_SeasonOn="OFF",$D$1318=0,$E$1318=0),1,12*INDEX(se_block,$D$1318,$E1325)/$E$1318)</f>
        <v/>
      </c>
      <c r="I1325" s="208">
        <f>EXP(SUMPRODUCT((rl_eff&lt;$B1325)*(rl_key=$A$1318)*rl_ln1p))</f>
        <v/>
      </c>
      <c r="J1325" s="208">
        <f>EXP(SUMPRODUCT((rl_eff&lt;=$C1325)*(rl_key=$A$1318)*rl_ln1p))</f>
        <v/>
      </c>
      <c r="K1325" s="201">
        <f>COUNTIFS(rl_key,$A$1318,rl_eff,"&gt;="&amp;$B1325,rl_eff,"&lt;="&amp;$C1325)</f>
        <v/>
      </c>
      <c r="L1325" s="201">
        <f>SUMIFS(rl_daysafter,rl_key,$A$1318,rl_effmonth,$B1325,rl_first,1)</f>
        <v/>
      </c>
      <c r="M1325" s="209">
        <f>IF($K1325=0,0,MIN(1,$L1325/$D1325))</f>
        <v/>
      </c>
      <c r="N1325" s="208">
        <f>IF($K1325=0,$J1325,(1-$M1325)*$I1325+$M1325*$J1325)</f>
        <v/>
      </c>
      <c r="O1325" s="209">
        <f>IF($F1325&lt;$B$1319,$E$1319+$I$1319*($F1325-$A$1319),IF($F1325&lt;$C$1319,$F$1319+$J$1319*($F1325-$B$1319),$G$1319+$K$1319*($F1325-$C$1319)))</f>
        <v/>
      </c>
      <c r="P1325" s="208">
        <f>MIN(1,MAX(0,(nr_MEndPm1-$G1325+0.5)/$C$1318))-MIN(1,MAX(0,(nr_MStartPm1-1-$G1325+0.5)/$C$1318))</f>
        <v/>
      </c>
      <c r="Q1325" s="208">
        <f>MIN(1,MAX(0,(nr_MEndP-$G1325+0.5)/$C$1318))-MIN(1,MAX(0,(nr_MStartP-1-$G1325+0.5)/$C$1318))</f>
        <v/>
      </c>
      <c r="R1325" s="208">
        <f>MIN(1,MAX(0,(nr_MEndP1-$G1325+0.5)/$C$1318))-MIN(1,MAX(0,(nr_MStartP1-1-$G1325+0.5)/$C$1318))</f>
        <v/>
      </c>
      <c r="S1325" s="208">
        <f>IF($L$1318,$N1325*IF($O$1318=1,$O1325/$F$1318,1),"")</f>
        <v/>
      </c>
      <c r="T1325" s="208">
        <f>IF(NOT($L$1318),"",IF($G1325&lt;nr_MStartP,$S1325,$T1313*(1+IF($G1325&lt;nr_MStartP1,$M$1318,$N$1318))))</f>
        <v/>
      </c>
      <c r="U1325" s="208">
        <f>IF($L$1318,$T1325,$N1325)</f>
        <v/>
      </c>
    </row>
    <row r="1326">
      <c r="A1326" s="145" t="n">
        <v>6</v>
      </c>
      <c r="B1326" s="204">
        <f>EDATE($B1325,1)</f>
        <v/>
      </c>
      <c r="C1326" s="205">
        <f>EOMONTH($B1326,0)</f>
        <v/>
      </c>
      <c r="D1326" s="201">
        <f>$C1326-$B1326+1</f>
        <v/>
      </c>
      <c r="E1326" s="201">
        <f>MONTH($B1326)</f>
        <v/>
      </c>
      <c r="F1326" s="235">
        <f>($B1326+$C1326+1)/2</f>
        <v/>
      </c>
      <c r="G1326" s="201">
        <f>YEAR($B1326)*12+MONTH($B1326)-1</f>
        <v/>
      </c>
      <c r="H1326" s="207">
        <f>IF(OR(nr_SeasonOn="OFF",$D$1318=0,$E$1318=0),1,12*INDEX(se_block,$D$1318,$E1326)/$E$1318)</f>
        <v/>
      </c>
      <c r="I1326" s="208">
        <f>EXP(SUMPRODUCT((rl_eff&lt;$B1326)*(rl_key=$A$1318)*rl_ln1p))</f>
        <v/>
      </c>
      <c r="J1326" s="208">
        <f>EXP(SUMPRODUCT((rl_eff&lt;=$C1326)*(rl_key=$A$1318)*rl_ln1p))</f>
        <v/>
      </c>
      <c r="K1326" s="201">
        <f>COUNTIFS(rl_key,$A$1318,rl_eff,"&gt;="&amp;$B1326,rl_eff,"&lt;="&amp;$C1326)</f>
        <v/>
      </c>
      <c r="L1326" s="201">
        <f>SUMIFS(rl_daysafter,rl_key,$A$1318,rl_effmonth,$B1326,rl_first,1)</f>
        <v/>
      </c>
      <c r="M1326" s="209">
        <f>IF($K1326=0,0,MIN(1,$L1326/$D1326))</f>
        <v/>
      </c>
      <c r="N1326" s="208">
        <f>IF($K1326=0,$J1326,(1-$M1326)*$I1326+$M1326*$J1326)</f>
        <v/>
      </c>
      <c r="O1326" s="209">
        <f>IF($F1326&lt;$B$1319,$E$1319+$I$1319*($F1326-$A$1319),IF($F1326&lt;$C$1319,$F$1319+$J$1319*($F1326-$B$1319),$G$1319+$K$1319*($F1326-$C$1319)))</f>
        <v/>
      </c>
      <c r="P1326" s="208">
        <f>MIN(1,MAX(0,(nr_MEndPm1-$G1326+0.5)/$C$1318))-MIN(1,MAX(0,(nr_MStartPm1-1-$G1326+0.5)/$C$1318))</f>
        <v/>
      </c>
      <c r="Q1326" s="208">
        <f>MIN(1,MAX(0,(nr_MEndP-$G1326+0.5)/$C$1318))-MIN(1,MAX(0,(nr_MStartP-1-$G1326+0.5)/$C$1318))</f>
        <v/>
      </c>
      <c r="R1326" s="208">
        <f>MIN(1,MAX(0,(nr_MEndP1-$G1326+0.5)/$C$1318))-MIN(1,MAX(0,(nr_MStartP1-1-$G1326+0.5)/$C$1318))</f>
        <v/>
      </c>
      <c r="S1326" s="208">
        <f>IF($L$1318,$N1326*IF($O$1318=1,$O1326/$F$1318,1),"")</f>
        <v/>
      </c>
      <c r="T1326" s="208">
        <f>IF(NOT($L$1318),"",IF($G1326&lt;nr_MStartP,$S1326,$T1314*(1+IF($G1326&lt;nr_MStartP1,$M$1318,$N$1318))))</f>
        <v/>
      </c>
      <c r="U1326" s="208">
        <f>IF($L$1318,$T1326,$N1326)</f>
        <v/>
      </c>
    </row>
    <row r="1327">
      <c r="A1327" s="145" t="n">
        <v>7</v>
      </c>
      <c r="B1327" s="204">
        <f>EDATE($B1326,1)</f>
        <v/>
      </c>
      <c r="C1327" s="205">
        <f>EOMONTH($B1327,0)</f>
        <v/>
      </c>
      <c r="D1327" s="201">
        <f>$C1327-$B1327+1</f>
        <v/>
      </c>
      <c r="E1327" s="201">
        <f>MONTH($B1327)</f>
        <v/>
      </c>
      <c r="F1327" s="235">
        <f>($B1327+$C1327+1)/2</f>
        <v/>
      </c>
      <c r="G1327" s="201">
        <f>YEAR($B1327)*12+MONTH($B1327)-1</f>
        <v/>
      </c>
      <c r="H1327" s="207">
        <f>IF(OR(nr_SeasonOn="OFF",$D$1318=0,$E$1318=0),1,12*INDEX(se_block,$D$1318,$E1327)/$E$1318)</f>
        <v/>
      </c>
      <c r="I1327" s="208">
        <f>EXP(SUMPRODUCT((rl_eff&lt;$B1327)*(rl_key=$A$1318)*rl_ln1p))</f>
        <v/>
      </c>
      <c r="J1327" s="208">
        <f>EXP(SUMPRODUCT((rl_eff&lt;=$C1327)*(rl_key=$A$1318)*rl_ln1p))</f>
        <v/>
      </c>
      <c r="K1327" s="201">
        <f>COUNTIFS(rl_key,$A$1318,rl_eff,"&gt;="&amp;$B1327,rl_eff,"&lt;="&amp;$C1327)</f>
        <v/>
      </c>
      <c r="L1327" s="201">
        <f>SUMIFS(rl_daysafter,rl_key,$A$1318,rl_effmonth,$B1327,rl_first,1)</f>
        <v/>
      </c>
      <c r="M1327" s="209">
        <f>IF($K1327=0,0,MIN(1,$L1327/$D1327))</f>
        <v/>
      </c>
      <c r="N1327" s="208">
        <f>IF($K1327=0,$J1327,(1-$M1327)*$I1327+$M1327*$J1327)</f>
        <v/>
      </c>
      <c r="O1327" s="209">
        <f>IF($F1327&lt;$B$1319,$E$1319+$I$1319*($F1327-$A$1319),IF($F1327&lt;$C$1319,$F$1319+$J$1319*($F1327-$B$1319),$G$1319+$K$1319*($F1327-$C$1319)))</f>
        <v/>
      </c>
      <c r="P1327" s="208">
        <f>MIN(1,MAX(0,(nr_MEndPm1-$G1327+0.5)/$C$1318))-MIN(1,MAX(0,(nr_MStartPm1-1-$G1327+0.5)/$C$1318))</f>
        <v/>
      </c>
      <c r="Q1327" s="208">
        <f>MIN(1,MAX(0,(nr_MEndP-$G1327+0.5)/$C$1318))-MIN(1,MAX(0,(nr_MStartP-1-$G1327+0.5)/$C$1318))</f>
        <v/>
      </c>
      <c r="R1327" s="208">
        <f>MIN(1,MAX(0,(nr_MEndP1-$G1327+0.5)/$C$1318))-MIN(1,MAX(0,(nr_MStartP1-1-$G1327+0.5)/$C$1318))</f>
        <v/>
      </c>
      <c r="S1327" s="208">
        <f>IF($L$1318,$N1327*IF($O$1318=1,$O1327/$F$1318,1),"")</f>
        <v/>
      </c>
      <c r="T1327" s="208">
        <f>IF(NOT($L$1318),"",IF($G1327&lt;nr_MStartP,$S1327,$T1315*(1+IF($G1327&lt;nr_MStartP1,$M$1318,$N$1318))))</f>
        <v/>
      </c>
      <c r="U1327" s="208">
        <f>IF($L$1318,$T1327,$N1327)</f>
        <v/>
      </c>
    </row>
    <row r="1328">
      <c r="A1328" s="145" t="n">
        <v>8</v>
      </c>
      <c r="B1328" s="204">
        <f>EDATE($B1327,1)</f>
        <v/>
      </c>
      <c r="C1328" s="205">
        <f>EOMONTH($B1328,0)</f>
        <v/>
      </c>
      <c r="D1328" s="201">
        <f>$C1328-$B1328+1</f>
        <v/>
      </c>
      <c r="E1328" s="201">
        <f>MONTH($B1328)</f>
        <v/>
      </c>
      <c r="F1328" s="235">
        <f>($B1328+$C1328+1)/2</f>
        <v/>
      </c>
      <c r="G1328" s="201">
        <f>YEAR($B1328)*12+MONTH($B1328)-1</f>
        <v/>
      </c>
      <c r="H1328" s="207">
        <f>IF(OR(nr_SeasonOn="OFF",$D$1318=0,$E$1318=0),1,12*INDEX(se_block,$D$1318,$E1328)/$E$1318)</f>
        <v/>
      </c>
      <c r="I1328" s="208">
        <f>EXP(SUMPRODUCT((rl_eff&lt;$B1328)*(rl_key=$A$1318)*rl_ln1p))</f>
        <v/>
      </c>
      <c r="J1328" s="208">
        <f>EXP(SUMPRODUCT((rl_eff&lt;=$C1328)*(rl_key=$A$1318)*rl_ln1p))</f>
        <v/>
      </c>
      <c r="K1328" s="201">
        <f>COUNTIFS(rl_key,$A$1318,rl_eff,"&gt;="&amp;$B1328,rl_eff,"&lt;="&amp;$C1328)</f>
        <v/>
      </c>
      <c r="L1328" s="201">
        <f>SUMIFS(rl_daysafter,rl_key,$A$1318,rl_effmonth,$B1328,rl_first,1)</f>
        <v/>
      </c>
      <c r="M1328" s="209">
        <f>IF($K1328=0,0,MIN(1,$L1328/$D1328))</f>
        <v/>
      </c>
      <c r="N1328" s="208">
        <f>IF($K1328=0,$J1328,(1-$M1328)*$I1328+$M1328*$J1328)</f>
        <v/>
      </c>
      <c r="O1328" s="209">
        <f>IF($F1328&lt;$B$1319,$E$1319+$I$1319*($F1328-$A$1319),IF($F1328&lt;$C$1319,$F$1319+$J$1319*($F1328-$B$1319),$G$1319+$K$1319*($F1328-$C$1319)))</f>
        <v/>
      </c>
      <c r="P1328" s="208">
        <f>MIN(1,MAX(0,(nr_MEndPm1-$G1328+0.5)/$C$1318))-MIN(1,MAX(0,(nr_MStartPm1-1-$G1328+0.5)/$C$1318))</f>
        <v/>
      </c>
      <c r="Q1328" s="208">
        <f>MIN(1,MAX(0,(nr_MEndP-$G1328+0.5)/$C$1318))-MIN(1,MAX(0,(nr_MStartP-1-$G1328+0.5)/$C$1318))</f>
        <v/>
      </c>
      <c r="R1328" s="208">
        <f>MIN(1,MAX(0,(nr_MEndP1-$G1328+0.5)/$C$1318))-MIN(1,MAX(0,(nr_MStartP1-1-$G1328+0.5)/$C$1318))</f>
        <v/>
      </c>
      <c r="S1328" s="208">
        <f>IF($L$1318,$N1328*IF($O$1318=1,$O1328/$F$1318,1),"")</f>
        <v/>
      </c>
      <c r="T1328" s="208">
        <f>IF(NOT($L$1318),"",IF($G1328&lt;nr_MStartP,$S1328,$T1316*(1+IF($G1328&lt;nr_MStartP1,$M$1318,$N$1318))))</f>
        <v/>
      </c>
      <c r="U1328" s="208">
        <f>IF($L$1318,$T1328,$N1328)</f>
        <v/>
      </c>
    </row>
    <row r="1329">
      <c r="A1329" s="145" t="n">
        <v>9</v>
      </c>
      <c r="B1329" s="204">
        <f>EDATE($B1328,1)</f>
        <v/>
      </c>
      <c r="C1329" s="205">
        <f>EOMONTH($B1329,0)</f>
        <v/>
      </c>
      <c r="D1329" s="201">
        <f>$C1329-$B1329+1</f>
        <v/>
      </c>
      <c r="E1329" s="201">
        <f>MONTH($B1329)</f>
        <v/>
      </c>
      <c r="F1329" s="235">
        <f>($B1329+$C1329+1)/2</f>
        <v/>
      </c>
      <c r="G1329" s="201">
        <f>YEAR($B1329)*12+MONTH($B1329)-1</f>
        <v/>
      </c>
      <c r="H1329" s="207">
        <f>IF(OR(nr_SeasonOn="OFF",$D$1318=0,$E$1318=0),1,12*INDEX(se_block,$D$1318,$E1329)/$E$1318)</f>
        <v/>
      </c>
      <c r="I1329" s="208">
        <f>EXP(SUMPRODUCT((rl_eff&lt;$B1329)*(rl_key=$A$1318)*rl_ln1p))</f>
        <v/>
      </c>
      <c r="J1329" s="208">
        <f>EXP(SUMPRODUCT((rl_eff&lt;=$C1329)*(rl_key=$A$1318)*rl_ln1p))</f>
        <v/>
      </c>
      <c r="K1329" s="201">
        <f>COUNTIFS(rl_key,$A$1318,rl_eff,"&gt;="&amp;$B1329,rl_eff,"&lt;="&amp;$C1329)</f>
        <v/>
      </c>
      <c r="L1329" s="201">
        <f>SUMIFS(rl_daysafter,rl_key,$A$1318,rl_effmonth,$B1329,rl_first,1)</f>
        <v/>
      </c>
      <c r="M1329" s="209">
        <f>IF($K1329=0,0,MIN(1,$L1329/$D1329))</f>
        <v/>
      </c>
      <c r="N1329" s="208">
        <f>IF($K1329=0,$J1329,(1-$M1329)*$I1329+$M1329*$J1329)</f>
        <v/>
      </c>
      <c r="O1329" s="209">
        <f>IF($F1329&lt;$B$1319,$E$1319+$I$1319*($F1329-$A$1319),IF($F1329&lt;$C$1319,$F$1319+$J$1319*($F1329-$B$1319),$G$1319+$K$1319*($F1329-$C$1319)))</f>
        <v/>
      </c>
      <c r="P1329" s="208">
        <f>MIN(1,MAX(0,(nr_MEndPm1-$G1329+0.5)/$C$1318))-MIN(1,MAX(0,(nr_MStartPm1-1-$G1329+0.5)/$C$1318))</f>
        <v/>
      </c>
      <c r="Q1329" s="208">
        <f>MIN(1,MAX(0,(nr_MEndP-$G1329+0.5)/$C$1318))-MIN(1,MAX(0,(nr_MStartP-1-$G1329+0.5)/$C$1318))</f>
        <v/>
      </c>
      <c r="R1329" s="208">
        <f>MIN(1,MAX(0,(nr_MEndP1-$G1329+0.5)/$C$1318))-MIN(1,MAX(0,(nr_MStartP1-1-$G1329+0.5)/$C$1318))</f>
        <v/>
      </c>
      <c r="S1329" s="208">
        <f>IF($L$1318,$N1329*IF($O$1318=1,$O1329/$F$1318,1),"")</f>
        <v/>
      </c>
      <c r="T1329" s="208">
        <f>IF(NOT($L$1318),"",IF($G1329&lt;nr_MStartP,$S1329,$T1317*(1+IF($G1329&lt;nr_MStartP1,$M$1318,$N$1318))))</f>
        <v/>
      </c>
      <c r="U1329" s="208">
        <f>IF($L$1318,$T1329,$N1329)</f>
        <v/>
      </c>
    </row>
    <row r="1330">
      <c r="A1330" s="145" t="n">
        <v>10</v>
      </c>
      <c r="B1330" s="204">
        <f>EDATE($B1329,1)</f>
        <v/>
      </c>
      <c r="C1330" s="205">
        <f>EOMONTH($B1330,0)</f>
        <v/>
      </c>
      <c r="D1330" s="201">
        <f>$C1330-$B1330+1</f>
        <v/>
      </c>
      <c r="E1330" s="201">
        <f>MONTH($B1330)</f>
        <v/>
      </c>
      <c r="F1330" s="235">
        <f>($B1330+$C1330+1)/2</f>
        <v/>
      </c>
      <c r="G1330" s="201">
        <f>YEAR($B1330)*12+MONTH($B1330)-1</f>
        <v/>
      </c>
      <c r="H1330" s="207">
        <f>IF(OR(nr_SeasonOn="OFF",$D$1318=0,$E$1318=0),1,12*INDEX(se_block,$D$1318,$E1330)/$E$1318)</f>
        <v/>
      </c>
      <c r="I1330" s="208">
        <f>EXP(SUMPRODUCT((rl_eff&lt;$B1330)*(rl_key=$A$1318)*rl_ln1p))</f>
        <v/>
      </c>
      <c r="J1330" s="208">
        <f>EXP(SUMPRODUCT((rl_eff&lt;=$C1330)*(rl_key=$A$1318)*rl_ln1p))</f>
        <v/>
      </c>
      <c r="K1330" s="201">
        <f>COUNTIFS(rl_key,$A$1318,rl_eff,"&gt;="&amp;$B1330,rl_eff,"&lt;="&amp;$C1330)</f>
        <v/>
      </c>
      <c r="L1330" s="201">
        <f>SUMIFS(rl_daysafter,rl_key,$A$1318,rl_effmonth,$B1330,rl_first,1)</f>
        <v/>
      </c>
      <c r="M1330" s="209">
        <f>IF($K1330=0,0,MIN(1,$L1330/$D1330))</f>
        <v/>
      </c>
      <c r="N1330" s="208">
        <f>IF($K1330=0,$J1330,(1-$M1330)*$I1330+$M1330*$J1330)</f>
        <v/>
      </c>
      <c r="O1330" s="209">
        <f>IF($F1330&lt;$B$1319,$E$1319+$I$1319*($F1330-$A$1319),IF($F1330&lt;$C$1319,$F$1319+$J$1319*($F1330-$B$1319),$G$1319+$K$1319*($F1330-$C$1319)))</f>
        <v/>
      </c>
      <c r="P1330" s="208">
        <f>MIN(1,MAX(0,(nr_MEndPm1-$G1330+0.5)/$C$1318))-MIN(1,MAX(0,(nr_MStartPm1-1-$G1330+0.5)/$C$1318))</f>
        <v/>
      </c>
      <c r="Q1330" s="208">
        <f>MIN(1,MAX(0,(nr_MEndP-$G1330+0.5)/$C$1318))-MIN(1,MAX(0,(nr_MStartP-1-$G1330+0.5)/$C$1318))</f>
        <v/>
      </c>
      <c r="R1330" s="208">
        <f>MIN(1,MAX(0,(nr_MEndP1-$G1330+0.5)/$C$1318))-MIN(1,MAX(0,(nr_MStartP1-1-$G1330+0.5)/$C$1318))</f>
        <v/>
      </c>
      <c r="S1330" s="208">
        <f>IF($L$1318,$N1330*IF($O$1318=1,$O1330/$F$1318,1),"")</f>
        <v/>
      </c>
      <c r="T1330" s="208">
        <f>IF(NOT($L$1318),"",IF($G1330&lt;nr_MStartP,$S1330,$T1318*(1+IF($G1330&lt;nr_MStartP1,$M$1318,$N$1318))))</f>
        <v/>
      </c>
      <c r="U1330" s="208">
        <f>IF($L$1318,$T1330,$N1330)</f>
        <v/>
      </c>
    </row>
    <row r="1331">
      <c r="A1331" s="145" t="n">
        <v>11</v>
      </c>
      <c r="B1331" s="204">
        <f>EDATE($B1330,1)</f>
        <v/>
      </c>
      <c r="C1331" s="205">
        <f>EOMONTH($B1331,0)</f>
        <v/>
      </c>
      <c r="D1331" s="201">
        <f>$C1331-$B1331+1</f>
        <v/>
      </c>
      <c r="E1331" s="201">
        <f>MONTH($B1331)</f>
        <v/>
      </c>
      <c r="F1331" s="235">
        <f>($B1331+$C1331+1)/2</f>
        <v/>
      </c>
      <c r="G1331" s="201">
        <f>YEAR($B1331)*12+MONTH($B1331)-1</f>
        <v/>
      </c>
      <c r="H1331" s="207">
        <f>IF(OR(nr_SeasonOn="OFF",$D$1318=0,$E$1318=0),1,12*INDEX(se_block,$D$1318,$E1331)/$E$1318)</f>
        <v/>
      </c>
      <c r="I1331" s="208">
        <f>EXP(SUMPRODUCT((rl_eff&lt;$B1331)*(rl_key=$A$1318)*rl_ln1p))</f>
        <v/>
      </c>
      <c r="J1331" s="208">
        <f>EXP(SUMPRODUCT((rl_eff&lt;=$C1331)*(rl_key=$A$1318)*rl_ln1p))</f>
        <v/>
      </c>
      <c r="K1331" s="201">
        <f>COUNTIFS(rl_key,$A$1318,rl_eff,"&gt;="&amp;$B1331,rl_eff,"&lt;="&amp;$C1331)</f>
        <v/>
      </c>
      <c r="L1331" s="201">
        <f>SUMIFS(rl_daysafter,rl_key,$A$1318,rl_effmonth,$B1331,rl_first,1)</f>
        <v/>
      </c>
      <c r="M1331" s="209">
        <f>IF($K1331=0,0,MIN(1,$L1331/$D1331))</f>
        <v/>
      </c>
      <c r="N1331" s="208">
        <f>IF($K1331=0,$J1331,(1-$M1331)*$I1331+$M1331*$J1331)</f>
        <v/>
      </c>
      <c r="O1331" s="209">
        <f>IF($F1331&lt;$B$1319,$E$1319+$I$1319*($F1331-$A$1319),IF($F1331&lt;$C$1319,$F$1319+$J$1319*($F1331-$B$1319),$G$1319+$K$1319*($F1331-$C$1319)))</f>
        <v/>
      </c>
      <c r="P1331" s="208">
        <f>MIN(1,MAX(0,(nr_MEndPm1-$G1331+0.5)/$C$1318))-MIN(1,MAX(0,(nr_MStartPm1-1-$G1331+0.5)/$C$1318))</f>
        <v/>
      </c>
      <c r="Q1331" s="208">
        <f>MIN(1,MAX(0,(nr_MEndP-$G1331+0.5)/$C$1318))-MIN(1,MAX(0,(nr_MStartP-1-$G1331+0.5)/$C$1318))</f>
        <v/>
      </c>
      <c r="R1331" s="208">
        <f>MIN(1,MAX(0,(nr_MEndP1-$G1331+0.5)/$C$1318))-MIN(1,MAX(0,(nr_MStartP1-1-$G1331+0.5)/$C$1318))</f>
        <v/>
      </c>
      <c r="S1331" s="208">
        <f>IF($L$1318,$N1331*IF($O$1318=1,$O1331/$F$1318,1),"")</f>
        <v/>
      </c>
      <c r="T1331" s="208">
        <f>IF(NOT($L$1318),"",IF($G1331&lt;nr_MStartP,$S1331,$T1319*(1+IF($G1331&lt;nr_MStartP1,$M$1318,$N$1318))))</f>
        <v/>
      </c>
      <c r="U1331" s="208">
        <f>IF($L$1318,$T1331,$N1331)</f>
        <v/>
      </c>
    </row>
    <row r="1332">
      <c r="A1332" s="145" t="n">
        <v>12</v>
      </c>
      <c r="B1332" s="204">
        <f>EDATE($B1331,1)</f>
        <v/>
      </c>
      <c r="C1332" s="205">
        <f>EOMONTH($B1332,0)</f>
        <v/>
      </c>
      <c r="D1332" s="201">
        <f>$C1332-$B1332+1</f>
        <v/>
      </c>
      <c r="E1332" s="201">
        <f>MONTH($B1332)</f>
        <v/>
      </c>
      <c r="F1332" s="235">
        <f>($B1332+$C1332+1)/2</f>
        <v/>
      </c>
      <c r="G1332" s="201">
        <f>YEAR($B1332)*12+MONTH($B1332)-1</f>
        <v/>
      </c>
      <c r="H1332" s="207">
        <f>IF(OR(nr_SeasonOn="OFF",$D$1318=0,$E$1318=0),1,12*INDEX(se_block,$D$1318,$E1332)/$E$1318)</f>
        <v/>
      </c>
      <c r="I1332" s="208">
        <f>EXP(SUMPRODUCT((rl_eff&lt;$B1332)*(rl_key=$A$1318)*rl_ln1p))</f>
        <v/>
      </c>
      <c r="J1332" s="208">
        <f>EXP(SUMPRODUCT((rl_eff&lt;=$C1332)*(rl_key=$A$1318)*rl_ln1p))</f>
        <v/>
      </c>
      <c r="K1332" s="201">
        <f>COUNTIFS(rl_key,$A$1318,rl_eff,"&gt;="&amp;$B1332,rl_eff,"&lt;="&amp;$C1332)</f>
        <v/>
      </c>
      <c r="L1332" s="201">
        <f>SUMIFS(rl_daysafter,rl_key,$A$1318,rl_effmonth,$B1332,rl_first,1)</f>
        <v/>
      </c>
      <c r="M1332" s="209">
        <f>IF($K1332=0,0,MIN(1,$L1332/$D1332))</f>
        <v/>
      </c>
      <c r="N1332" s="208">
        <f>IF($K1332=0,$J1332,(1-$M1332)*$I1332+$M1332*$J1332)</f>
        <v/>
      </c>
      <c r="O1332" s="209">
        <f>IF($F1332&lt;$B$1319,$E$1319+$I$1319*($F1332-$A$1319),IF($F1332&lt;$C$1319,$F$1319+$J$1319*($F1332-$B$1319),$G$1319+$K$1319*($F1332-$C$1319)))</f>
        <v/>
      </c>
      <c r="P1332" s="208">
        <f>MIN(1,MAX(0,(nr_MEndPm1-$G1332+0.5)/$C$1318))-MIN(1,MAX(0,(nr_MStartPm1-1-$G1332+0.5)/$C$1318))</f>
        <v/>
      </c>
      <c r="Q1332" s="208">
        <f>MIN(1,MAX(0,(nr_MEndP-$G1332+0.5)/$C$1318))-MIN(1,MAX(0,(nr_MStartP-1-$G1332+0.5)/$C$1318))</f>
        <v/>
      </c>
      <c r="R1332" s="208">
        <f>MIN(1,MAX(0,(nr_MEndP1-$G1332+0.5)/$C$1318))-MIN(1,MAX(0,(nr_MStartP1-1-$G1332+0.5)/$C$1318))</f>
        <v/>
      </c>
      <c r="S1332" s="208">
        <f>IF($L$1318,$N1332*IF($O$1318=1,$O1332/$F$1318,1),"")</f>
        <v/>
      </c>
      <c r="T1332" s="208">
        <f>IF(NOT($L$1318),"",IF($G1332&lt;nr_MStartP,$S1332,$T1320*(1+IF($G1332&lt;nr_MStartP1,$M$1318,$N$1318))))</f>
        <v/>
      </c>
      <c r="U1332" s="208">
        <f>IF($L$1318,$T1332,$N1332)</f>
        <v/>
      </c>
    </row>
    <row r="1333">
      <c r="A1333" s="145" t="n">
        <v>13</v>
      </c>
      <c r="B1333" s="204">
        <f>EDATE($B1332,1)</f>
        <v/>
      </c>
      <c r="C1333" s="205">
        <f>EOMONTH($B1333,0)</f>
        <v/>
      </c>
      <c r="D1333" s="201">
        <f>$C1333-$B1333+1</f>
        <v/>
      </c>
      <c r="E1333" s="201">
        <f>MONTH($B1333)</f>
        <v/>
      </c>
      <c r="F1333" s="235">
        <f>($B1333+$C1333+1)/2</f>
        <v/>
      </c>
      <c r="G1333" s="201">
        <f>YEAR($B1333)*12+MONTH($B1333)-1</f>
        <v/>
      </c>
      <c r="H1333" s="207">
        <f>IF(OR(nr_SeasonOn="OFF",$D$1318=0,$E$1318=0),1,12*INDEX(se_block,$D$1318,$E1333)/$E$1318)</f>
        <v/>
      </c>
      <c r="I1333" s="208">
        <f>EXP(SUMPRODUCT((rl_eff&lt;$B1333)*(rl_key=$A$1318)*rl_ln1p))</f>
        <v/>
      </c>
      <c r="J1333" s="208">
        <f>EXP(SUMPRODUCT((rl_eff&lt;=$C1333)*(rl_key=$A$1318)*rl_ln1p))</f>
        <v/>
      </c>
      <c r="K1333" s="201">
        <f>COUNTIFS(rl_key,$A$1318,rl_eff,"&gt;="&amp;$B1333,rl_eff,"&lt;="&amp;$C1333)</f>
        <v/>
      </c>
      <c r="L1333" s="201">
        <f>SUMIFS(rl_daysafter,rl_key,$A$1318,rl_effmonth,$B1333,rl_first,1)</f>
        <v/>
      </c>
      <c r="M1333" s="209">
        <f>IF($K1333=0,0,MIN(1,$L1333/$D1333))</f>
        <v/>
      </c>
      <c r="N1333" s="208">
        <f>IF($K1333=0,$J1333,(1-$M1333)*$I1333+$M1333*$J1333)</f>
        <v/>
      </c>
      <c r="O1333" s="209">
        <f>IF($F1333&lt;$B$1319,$E$1319+$I$1319*($F1333-$A$1319),IF($F1333&lt;$C$1319,$F$1319+$J$1319*($F1333-$B$1319),$G$1319+$K$1319*($F1333-$C$1319)))</f>
        <v/>
      </c>
      <c r="P1333" s="208">
        <f>MIN(1,MAX(0,(nr_MEndPm1-$G1333+0.5)/$C$1318))-MIN(1,MAX(0,(nr_MStartPm1-1-$G1333+0.5)/$C$1318))</f>
        <v/>
      </c>
      <c r="Q1333" s="208">
        <f>MIN(1,MAX(0,(nr_MEndP-$G1333+0.5)/$C$1318))-MIN(1,MAX(0,(nr_MStartP-1-$G1333+0.5)/$C$1318))</f>
        <v/>
      </c>
      <c r="R1333" s="208">
        <f>MIN(1,MAX(0,(nr_MEndP1-$G1333+0.5)/$C$1318))-MIN(1,MAX(0,(nr_MStartP1-1-$G1333+0.5)/$C$1318))</f>
        <v/>
      </c>
      <c r="S1333" s="208">
        <f>IF($L$1318,$N1333*IF($O$1318=1,$O1333/$F$1318,1),"")</f>
        <v/>
      </c>
      <c r="T1333" s="208">
        <f>IF(NOT($L$1318),"",IF($G1333&lt;nr_MStartP,$S1333,$T1321*(1+IF($G1333&lt;nr_MStartP1,$M$1318,$N$1318))))</f>
        <v/>
      </c>
      <c r="U1333" s="208">
        <f>IF($L$1318,$T1333,$N1333)</f>
        <v/>
      </c>
    </row>
    <row r="1334">
      <c r="A1334" s="145" t="n">
        <v>14</v>
      </c>
      <c r="B1334" s="204">
        <f>EDATE($B1333,1)</f>
        <v/>
      </c>
      <c r="C1334" s="205">
        <f>EOMONTH($B1334,0)</f>
        <v/>
      </c>
      <c r="D1334" s="201">
        <f>$C1334-$B1334+1</f>
        <v/>
      </c>
      <c r="E1334" s="201">
        <f>MONTH($B1334)</f>
        <v/>
      </c>
      <c r="F1334" s="235">
        <f>($B1334+$C1334+1)/2</f>
        <v/>
      </c>
      <c r="G1334" s="201">
        <f>YEAR($B1334)*12+MONTH($B1334)-1</f>
        <v/>
      </c>
      <c r="H1334" s="207">
        <f>IF(OR(nr_SeasonOn="OFF",$D$1318=0,$E$1318=0),1,12*INDEX(se_block,$D$1318,$E1334)/$E$1318)</f>
        <v/>
      </c>
      <c r="I1334" s="208">
        <f>EXP(SUMPRODUCT((rl_eff&lt;$B1334)*(rl_key=$A$1318)*rl_ln1p))</f>
        <v/>
      </c>
      <c r="J1334" s="208">
        <f>EXP(SUMPRODUCT((rl_eff&lt;=$C1334)*(rl_key=$A$1318)*rl_ln1p))</f>
        <v/>
      </c>
      <c r="K1334" s="201">
        <f>COUNTIFS(rl_key,$A$1318,rl_eff,"&gt;="&amp;$B1334,rl_eff,"&lt;="&amp;$C1334)</f>
        <v/>
      </c>
      <c r="L1334" s="201">
        <f>SUMIFS(rl_daysafter,rl_key,$A$1318,rl_effmonth,$B1334,rl_first,1)</f>
        <v/>
      </c>
      <c r="M1334" s="209">
        <f>IF($K1334=0,0,MIN(1,$L1334/$D1334))</f>
        <v/>
      </c>
      <c r="N1334" s="208">
        <f>IF($K1334=0,$J1334,(1-$M1334)*$I1334+$M1334*$J1334)</f>
        <v/>
      </c>
      <c r="O1334" s="209">
        <f>IF($F1334&lt;$B$1319,$E$1319+$I$1319*($F1334-$A$1319),IF($F1334&lt;$C$1319,$F$1319+$J$1319*($F1334-$B$1319),$G$1319+$K$1319*($F1334-$C$1319)))</f>
        <v/>
      </c>
      <c r="P1334" s="208">
        <f>MIN(1,MAX(0,(nr_MEndPm1-$G1334+0.5)/$C$1318))-MIN(1,MAX(0,(nr_MStartPm1-1-$G1334+0.5)/$C$1318))</f>
        <v/>
      </c>
      <c r="Q1334" s="208">
        <f>MIN(1,MAX(0,(nr_MEndP-$G1334+0.5)/$C$1318))-MIN(1,MAX(0,(nr_MStartP-1-$G1334+0.5)/$C$1318))</f>
        <v/>
      </c>
      <c r="R1334" s="208">
        <f>MIN(1,MAX(0,(nr_MEndP1-$G1334+0.5)/$C$1318))-MIN(1,MAX(0,(nr_MStartP1-1-$G1334+0.5)/$C$1318))</f>
        <v/>
      </c>
      <c r="S1334" s="208">
        <f>IF($L$1318,$N1334*IF($O$1318=1,$O1334/$F$1318,1),"")</f>
        <v/>
      </c>
      <c r="T1334" s="208">
        <f>IF(NOT($L$1318),"",IF($G1334&lt;nr_MStartP,$S1334,$T1322*(1+IF($G1334&lt;nr_MStartP1,$M$1318,$N$1318))))</f>
        <v/>
      </c>
      <c r="U1334" s="208">
        <f>IF($L$1318,$T1334,$N1334)</f>
        <v/>
      </c>
    </row>
    <row r="1335">
      <c r="A1335" s="145" t="n">
        <v>15</v>
      </c>
      <c r="B1335" s="204">
        <f>EDATE($B1334,1)</f>
        <v/>
      </c>
      <c r="C1335" s="205">
        <f>EOMONTH($B1335,0)</f>
        <v/>
      </c>
      <c r="D1335" s="201">
        <f>$C1335-$B1335+1</f>
        <v/>
      </c>
      <c r="E1335" s="201">
        <f>MONTH($B1335)</f>
        <v/>
      </c>
      <c r="F1335" s="235">
        <f>($B1335+$C1335+1)/2</f>
        <v/>
      </c>
      <c r="G1335" s="201">
        <f>YEAR($B1335)*12+MONTH($B1335)-1</f>
        <v/>
      </c>
      <c r="H1335" s="207">
        <f>IF(OR(nr_SeasonOn="OFF",$D$1318=0,$E$1318=0),1,12*INDEX(se_block,$D$1318,$E1335)/$E$1318)</f>
        <v/>
      </c>
      <c r="I1335" s="208">
        <f>EXP(SUMPRODUCT((rl_eff&lt;$B1335)*(rl_key=$A$1318)*rl_ln1p))</f>
        <v/>
      </c>
      <c r="J1335" s="208">
        <f>EXP(SUMPRODUCT((rl_eff&lt;=$C1335)*(rl_key=$A$1318)*rl_ln1p))</f>
        <v/>
      </c>
      <c r="K1335" s="201">
        <f>COUNTIFS(rl_key,$A$1318,rl_eff,"&gt;="&amp;$B1335,rl_eff,"&lt;="&amp;$C1335)</f>
        <v/>
      </c>
      <c r="L1335" s="201">
        <f>SUMIFS(rl_daysafter,rl_key,$A$1318,rl_effmonth,$B1335,rl_first,1)</f>
        <v/>
      </c>
      <c r="M1335" s="209">
        <f>IF($K1335=0,0,MIN(1,$L1335/$D1335))</f>
        <v/>
      </c>
      <c r="N1335" s="208">
        <f>IF($K1335=0,$J1335,(1-$M1335)*$I1335+$M1335*$J1335)</f>
        <v/>
      </c>
      <c r="O1335" s="209">
        <f>IF($F1335&lt;$B$1319,$E$1319+$I$1319*($F1335-$A$1319),IF($F1335&lt;$C$1319,$F$1319+$J$1319*($F1335-$B$1319),$G$1319+$K$1319*($F1335-$C$1319)))</f>
        <v/>
      </c>
      <c r="P1335" s="208">
        <f>MIN(1,MAX(0,(nr_MEndPm1-$G1335+0.5)/$C$1318))-MIN(1,MAX(0,(nr_MStartPm1-1-$G1335+0.5)/$C$1318))</f>
        <v/>
      </c>
      <c r="Q1335" s="208">
        <f>MIN(1,MAX(0,(nr_MEndP-$G1335+0.5)/$C$1318))-MIN(1,MAX(0,(nr_MStartP-1-$G1335+0.5)/$C$1318))</f>
        <v/>
      </c>
      <c r="R1335" s="208">
        <f>MIN(1,MAX(0,(nr_MEndP1-$G1335+0.5)/$C$1318))-MIN(1,MAX(0,(nr_MStartP1-1-$G1335+0.5)/$C$1318))</f>
        <v/>
      </c>
      <c r="S1335" s="208">
        <f>IF($L$1318,$N1335*IF($O$1318=1,$O1335/$F$1318,1),"")</f>
        <v/>
      </c>
      <c r="T1335" s="208">
        <f>IF(NOT($L$1318),"",IF($G1335&lt;nr_MStartP,$S1335,$T1323*(1+IF($G1335&lt;nr_MStartP1,$M$1318,$N$1318))))</f>
        <v/>
      </c>
      <c r="U1335" s="208">
        <f>IF($L$1318,$T1335,$N1335)</f>
        <v/>
      </c>
    </row>
    <row r="1336">
      <c r="A1336" s="145" t="n">
        <v>16</v>
      </c>
      <c r="B1336" s="204">
        <f>EDATE($B1335,1)</f>
        <v/>
      </c>
      <c r="C1336" s="205">
        <f>EOMONTH($B1336,0)</f>
        <v/>
      </c>
      <c r="D1336" s="201">
        <f>$C1336-$B1336+1</f>
        <v/>
      </c>
      <c r="E1336" s="201">
        <f>MONTH($B1336)</f>
        <v/>
      </c>
      <c r="F1336" s="235">
        <f>($B1336+$C1336+1)/2</f>
        <v/>
      </c>
      <c r="G1336" s="201">
        <f>YEAR($B1336)*12+MONTH($B1336)-1</f>
        <v/>
      </c>
      <c r="H1336" s="207">
        <f>IF(OR(nr_SeasonOn="OFF",$D$1318=0,$E$1318=0),1,12*INDEX(se_block,$D$1318,$E1336)/$E$1318)</f>
        <v/>
      </c>
      <c r="I1336" s="208">
        <f>EXP(SUMPRODUCT((rl_eff&lt;$B1336)*(rl_key=$A$1318)*rl_ln1p))</f>
        <v/>
      </c>
      <c r="J1336" s="208">
        <f>EXP(SUMPRODUCT((rl_eff&lt;=$C1336)*(rl_key=$A$1318)*rl_ln1p))</f>
        <v/>
      </c>
      <c r="K1336" s="201">
        <f>COUNTIFS(rl_key,$A$1318,rl_eff,"&gt;="&amp;$B1336,rl_eff,"&lt;="&amp;$C1336)</f>
        <v/>
      </c>
      <c r="L1336" s="201">
        <f>SUMIFS(rl_daysafter,rl_key,$A$1318,rl_effmonth,$B1336,rl_first,1)</f>
        <v/>
      </c>
      <c r="M1336" s="209">
        <f>IF($K1336=0,0,MIN(1,$L1336/$D1336))</f>
        <v/>
      </c>
      <c r="N1336" s="208">
        <f>IF($K1336=0,$J1336,(1-$M1336)*$I1336+$M1336*$J1336)</f>
        <v/>
      </c>
      <c r="O1336" s="209">
        <f>IF($F1336&lt;$B$1319,$E$1319+$I$1319*($F1336-$A$1319),IF($F1336&lt;$C$1319,$F$1319+$J$1319*($F1336-$B$1319),$G$1319+$K$1319*($F1336-$C$1319)))</f>
        <v/>
      </c>
      <c r="P1336" s="208">
        <f>MIN(1,MAX(0,(nr_MEndPm1-$G1336+0.5)/$C$1318))-MIN(1,MAX(0,(nr_MStartPm1-1-$G1336+0.5)/$C$1318))</f>
        <v/>
      </c>
      <c r="Q1336" s="208">
        <f>MIN(1,MAX(0,(nr_MEndP-$G1336+0.5)/$C$1318))-MIN(1,MAX(0,(nr_MStartP-1-$G1336+0.5)/$C$1318))</f>
        <v/>
      </c>
      <c r="R1336" s="208">
        <f>MIN(1,MAX(0,(nr_MEndP1-$G1336+0.5)/$C$1318))-MIN(1,MAX(0,(nr_MStartP1-1-$G1336+0.5)/$C$1318))</f>
        <v/>
      </c>
      <c r="S1336" s="208">
        <f>IF($L$1318,$N1336*IF($O$1318=1,$O1336/$F$1318,1),"")</f>
        <v/>
      </c>
      <c r="T1336" s="208">
        <f>IF(NOT($L$1318),"",IF($G1336&lt;nr_MStartP,$S1336,$T1324*(1+IF($G1336&lt;nr_MStartP1,$M$1318,$N$1318))))</f>
        <v/>
      </c>
      <c r="U1336" s="208">
        <f>IF($L$1318,$T1336,$N1336)</f>
        <v/>
      </c>
    </row>
    <row r="1337">
      <c r="A1337" s="145" t="n">
        <v>17</v>
      </c>
      <c r="B1337" s="204">
        <f>EDATE($B1336,1)</f>
        <v/>
      </c>
      <c r="C1337" s="205">
        <f>EOMONTH($B1337,0)</f>
        <v/>
      </c>
      <c r="D1337" s="201">
        <f>$C1337-$B1337+1</f>
        <v/>
      </c>
      <c r="E1337" s="201">
        <f>MONTH($B1337)</f>
        <v/>
      </c>
      <c r="F1337" s="235">
        <f>($B1337+$C1337+1)/2</f>
        <v/>
      </c>
      <c r="G1337" s="201">
        <f>YEAR($B1337)*12+MONTH($B1337)-1</f>
        <v/>
      </c>
      <c r="H1337" s="207">
        <f>IF(OR(nr_SeasonOn="OFF",$D$1318=0,$E$1318=0),1,12*INDEX(se_block,$D$1318,$E1337)/$E$1318)</f>
        <v/>
      </c>
      <c r="I1337" s="208">
        <f>EXP(SUMPRODUCT((rl_eff&lt;$B1337)*(rl_key=$A$1318)*rl_ln1p))</f>
        <v/>
      </c>
      <c r="J1337" s="208">
        <f>EXP(SUMPRODUCT((rl_eff&lt;=$C1337)*(rl_key=$A$1318)*rl_ln1p))</f>
        <v/>
      </c>
      <c r="K1337" s="201">
        <f>COUNTIFS(rl_key,$A$1318,rl_eff,"&gt;="&amp;$B1337,rl_eff,"&lt;="&amp;$C1337)</f>
        <v/>
      </c>
      <c r="L1337" s="201">
        <f>SUMIFS(rl_daysafter,rl_key,$A$1318,rl_effmonth,$B1337,rl_first,1)</f>
        <v/>
      </c>
      <c r="M1337" s="209">
        <f>IF($K1337=0,0,MIN(1,$L1337/$D1337))</f>
        <v/>
      </c>
      <c r="N1337" s="208">
        <f>IF($K1337=0,$J1337,(1-$M1337)*$I1337+$M1337*$J1337)</f>
        <v/>
      </c>
      <c r="O1337" s="209">
        <f>IF($F1337&lt;$B$1319,$E$1319+$I$1319*($F1337-$A$1319),IF($F1337&lt;$C$1319,$F$1319+$J$1319*($F1337-$B$1319),$G$1319+$K$1319*($F1337-$C$1319)))</f>
        <v/>
      </c>
      <c r="P1337" s="208">
        <f>MIN(1,MAX(0,(nr_MEndPm1-$G1337+0.5)/$C$1318))-MIN(1,MAX(0,(nr_MStartPm1-1-$G1337+0.5)/$C$1318))</f>
        <v/>
      </c>
      <c r="Q1337" s="208">
        <f>MIN(1,MAX(0,(nr_MEndP-$G1337+0.5)/$C$1318))-MIN(1,MAX(0,(nr_MStartP-1-$G1337+0.5)/$C$1318))</f>
        <v/>
      </c>
      <c r="R1337" s="208">
        <f>MIN(1,MAX(0,(nr_MEndP1-$G1337+0.5)/$C$1318))-MIN(1,MAX(0,(nr_MStartP1-1-$G1337+0.5)/$C$1318))</f>
        <v/>
      </c>
      <c r="S1337" s="208">
        <f>IF($L$1318,$N1337*IF($O$1318=1,$O1337/$F$1318,1),"")</f>
        <v/>
      </c>
      <c r="T1337" s="208">
        <f>IF(NOT($L$1318),"",IF($G1337&lt;nr_MStartP,$S1337,$T1325*(1+IF($G1337&lt;nr_MStartP1,$M$1318,$N$1318))))</f>
        <v/>
      </c>
      <c r="U1337" s="208">
        <f>IF($L$1318,$T1337,$N1337)</f>
        <v/>
      </c>
    </row>
    <row r="1338">
      <c r="A1338" s="145" t="n">
        <v>18</v>
      </c>
      <c r="B1338" s="204">
        <f>EDATE($B1337,1)</f>
        <v/>
      </c>
      <c r="C1338" s="205">
        <f>EOMONTH($B1338,0)</f>
        <v/>
      </c>
      <c r="D1338" s="201">
        <f>$C1338-$B1338+1</f>
        <v/>
      </c>
      <c r="E1338" s="201">
        <f>MONTH($B1338)</f>
        <v/>
      </c>
      <c r="F1338" s="235">
        <f>($B1338+$C1338+1)/2</f>
        <v/>
      </c>
      <c r="G1338" s="201">
        <f>YEAR($B1338)*12+MONTH($B1338)-1</f>
        <v/>
      </c>
      <c r="H1338" s="207">
        <f>IF(OR(nr_SeasonOn="OFF",$D$1318=0,$E$1318=0),1,12*INDEX(se_block,$D$1318,$E1338)/$E$1318)</f>
        <v/>
      </c>
      <c r="I1338" s="208">
        <f>EXP(SUMPRODUCT((rl_eff&lt;$B1338)*(rl_key=$A$1318)*rl_ln1p))</f>
        <v/>
      </c>
      <c r="J1338" s="208">
        <f>EXP(SUMPRODUCT((rl_eff&lt;=$C1338)*(rl_key=$A$1318)*rl_ln1p))</f>
        <v/>
      </c>
      <c r="K1338" s="201">
        <f>COUNTIFS(rl_key,$A$1318,rl_eff,"&gt;="&amp;$B1338,rl_eff,"&lt;="&amp;$C1338)</f>
        <v/>
      </c>
      <c r="L1338" s="201">
        <f>SUMIFS(rl_daysafter,rl_key,$A$1318,rl_effmonth,$B1338,rl_first,1)</f>
        <v/>
      </c>
      <c r="M1338" s="209">
        <f>IF($K1338=0,0,MIN(1,$L1338/$D1338))</f>
        <v/>
      </c>
      <c r="N1338" s="208">
        <f>IF($K1338=0,$J1338,(1-$M1338)*$I1338+$M1338*$J1338)</f>
        <v/>
      </c>
      <c r="O1338" s="209">
        <f>IF($F1338&lt;$B$1319,$E$1319+$I$1319*($F1338-$A$1319),IF($F1338&lt;$C$1319,$F$1319+$J$1319*($F1338-$B$1319),$G$1319+$K$1319*($F1338-$C$1319)))</f>
        <v/>
      </c>
      <c r="P1338" s="208">
        <f>MIN(1,MAX(0,(nr_MEndPm1-$G1338+0.5)/$C$1318))-MIN(1,MAX(0,(nr_MStartPm1-1-$G1338+0.5)/$C$1318))</f>
        <v/>
      </c>
      <c r="Q1338" s="208">
        <f>MIN(1,MAX(0,(nr_MEndP-$G1338+0.5)/$C$1318))-MIN(1,MAX(0,(nr_MStartP-1-$G1338+0.5)/$C$1318))</f>
        <v/>
      </c>
      <c r="R1338" s="208">
        <f>MIN(1,MAX(0,(nr_MEndP1-$G1338+0.5)/$C$1318))-MIN(1,MAX(0,(nr_MStartP1-1-$G1338+0.5)/$C$1318))</f>
        <v/>
      </c>
      <c r="S1338" s="208">
        <f>IF($L$1318,$N1338*IF($O$1318=1,$O1338/$F$1318,1),"")</f>
        <v/>
      </c>
      <c r="T1338" s="208">
        <f>IF(NOT($L$1318),"",IF($G1338&lt;nr_MStartP,$S1338,$T1326*(1+IF($G1338&lt;nr_MStartP1,$M$1318,$N$1318))))</f>
        <v/>
      </c>
      <c r="U1338" s="208">
        <f>IF($L$1318,$T1338,$N1338)</f>
        <v/>
      </c>
    </row>
    <row r="1339">
      <c r="A1339" s="145" t="n">
        <v>19</v>
      </c>
      <c r="B1339" s="204">
        <f>EDATE($B1338,1)</f>
        <v/>
      </c>
      <c r="C1339" s="205">
        <f>EOMONTH($B1339,0)</f>
        <v/>
      </c>
      <c r="D1339" s="201">
        <f>$C1339-$B1339+1</f>
        <v/>
      </c>
      <c r="E1339" s="201">
        <f>MONTH($B1339)</f>
        <v/>
      </c>
      <c r="F1339" s="235">
        <f>($B1339+$C1339+1)/2</f>
        <v/>
      </c>
      <c r="G1339" s="201">
        <f>YEAR($B1339)*12+MONTH($B1339)-1</f>
        <v/>
      </c>
      <c r="H1339" s="207">
        <f>IF(OR(nr_SeasonOn="OFF",$D$1318=0,$E$1318=0),1,12*INDEX(se_block,$D$1318,$E1339)/$E$1318)</f>
        <v/>
      </c>
      <c r="I1339" s="208">
        <f>EXP(SUMPRODUCT((rl_eff&lt;$B1339)*(rl_key=$A$1318)*rl_ln1p))</f>
        <v/>
      </c>
      <c r="J1339" s="208">
        <f>EXP(SUMPRODUCT((rl_eff&lt;=$C1339)*(rl_key=$A$1318)*rl_ln1p))</f>
        <v/>
      </c>
      <c r="K1339" s="201">
        <f>COUNTIFS(rl_key,$A$1318,rl_eff,"&gt;="&amp;$B1339,rl_eff,"&lt;="&amp;$C1339)</f>
        <v/>
      </c>
      <c r="L1339" s="201">
        <f>SUMIFS(rl_daysafter,rl_key,$A$1318,rl_effmonth,$B1339,rl_first,1)</f>
        <v/>
      </c>
      <c r="M1339" s="209">
        <f>IF($K1339=0,0,MIN(1,$L1339/$D1339))</f>
        <v/>
      </c>
      <c r="N1339" s="208">
        <f>IF($K1339=0,$J1339,(1-$M1339)*$I1339+$M1339*$J1339)</f>
        <v/>
      </c>
      <c r="O1339" s="209">
        <f>IF($F1339&lt;$B$1319,$E$1319+$I$1319*($F1339-$A$1319),IF($F1339&lt;$C$1319,$F$1319+$J$1319*($F1339-$B$1319),$G$1319+$K$1319*($F1339-$C$1319)))</f>
        <v/>
      </c>
      <c r="P1339" s="208">
        <f>MIN(1,MAX(0,(nr_MEndPm1-$G1339+0.5)/$C$1318))-MIN(1,MAX(0,(nr_MStartPm1-1-$G1339+0.5)/$C$1318))</f>
        <v/>
      </c>
      <c r="Q1339" s="208">
        <f>MIN(1,MAX(0,(nr_MEndP-$G1339+0.5)/$C$1318))-MIN(1,MAX(0,(nr_MStartP-1-$G1339+0.5)/$C$1318))</f>
        <v/>
      </c>
      <c r="R1339" s="208">
        <f>MIN(1,MAX(0,(nr_MEndP1-$G1339+0.5)/$C$1318))-MIN(1,MAX(0,(nr_MStartP1-1-$G1339+0.5)/$C$1318))</f>
        <v/>
      </c>
      <c r="S1339" s="208">
        <f>IF($L$1318,$N1339*IF($O$1318=1,$O1339/$F$1318,1),"")</f>
        <v/>
      </c>
      <c r="T1339" s="208">
        <f>IF(NOT($L$1318),"",IF($G1339&lt;nr_MStartP,$S1339,$T1327*(1+IF($G1339&lt;nr_MStartP1,$M$1318,$N$1318))))</f>
        <v/>
      </c>
      <c r="U1339" s="208">
        <f>IF($L$1318,$T1339,$N1339)</f>
        <v/>
      </c>
    </row>
    <row r="1340">
      <c r="A1340" s="145" t="n">
        <v>20</v>
      </c>
      <c r="B1340" s="204">
        <f>EDATE($B1339,1)</f>
        <v/>
      </c>
      <c r="C1340" s="205">
        <f>EOMONTH($B1340,0)</f>
        <v/>
      </c>
      <c r="D1340" s="201">
        <f>$C1340-$B1340+1</f>
        <v/>
      </c>
      <c r="E1340" s="201">
        <f>MONTH($B1340)</f>
        <v/>
      </c>
      <c r="F1340" s="235">
        <f>($B1340+$C1340+1)/2</f>
        <v/>
      </c>
      <c r="G1340" s="201">
        <f>YEAR($B1340)*12+MONTH($B1340)-1</f>
        <v/>
      </c>
      <c r="H1340" s="207">
        <f>IF(OR(nr_SeasonOn="OFF",$D$1318=0,$E$1318=0),1,12*INDEX(se_block,$D$1318,$E1340)/$E$1318)</f>
        <v/>
      </c>
      <c r="I1340" s="208">
        <f>EXP(SUMPRODUCT((rl_eff&lt;$B1340)*(rl_key=$A$1318)*rl_ln1p))</f>
        <v/>
      </c>
      <c r="J1340" s="208">
        <f>EXP(SUMPRODUCT((rl_eff&lt;=$C1340)*(rl_key=$A$1318)*rl_ln1p))</f>
        <v/>
      </c>
      <c r="K1340" s="201">
        <f>COUNTIFS(rl_key,$A$1318,rl_eff,"&gt;="&amp;$B1340,rl_eff,"&lt;="&amp;$C1340)</f>
        <v/>
      </c>
      <c r="L1340" s="201">
        <f>SUMIFS(rl_daysafter,rl_key,$A$1318,rl_effmonth,$B1340,rl_first,1)</f>
        <v/>
      </c>
      <c r="M1340" s="209">
        <f>IF($K1340=0,0,MIN(1,$L1340/$D1340))</f>
        <v/>
      </c>
      <c r="N1340" s="208">
        <f>IF($K1340=0,$J1340,(1-$M1340)*$I1340+$M1340*$J1340)</f>
        <v/>
      </c>
      <c r="O1340" s="209">
        <f>IF($F1340&lt;$B$1319,$E$1319+$I$1319*($F1340-$A$1319),IF($F1340&lt;$C$1319,$F$1319+$J$1319*($F1340-$B$1319),$G$1319+$K$1319*($F1340-$C$1319)))</f>
        <v/>
      </c>
      <c r="P1340" s="208">
        <f>MIN(1,MAX(0,(nr_MEndPm1-$G1340+0.5)/$C$1318))-MIN(1,MAX(0,(nr_MStartPm1-1-$G1340+0.5)/$C$1318))</f>
        <v/>
      </c>
      <c r="Q1340" s="208">
        <f>MIN(1,MAX(0,(nr_MEndP-$G1340+0.5)/$C$1318))-MIN(1,MAX(0,(nr_MStartP-1-$G1340+0.5)/$C$1318))</f>
        <v/>
      </c>
      <c r="R1340" s="208">
        <f>MIN(1,MAX(0,(nr_MEndP1-$G1340+0.5)/$C$1318))-MIN(1,MAX(0,(nr_MStartP1-1-$G1340+0.5)/$C$1318))</f>
        <v/>
      </c>
      <c r="S1340" s="208">
        <f>IF($L$1318,$N1340*IF($O$1318=1,$O1340/$F$1318,1),"")</f>
        <v/>
      </c>
      <c r="T1340" s="208">
        <f>IF(NOT($L$1318),"",IF($G1340&lt;nr_MStartP,$S1340,$T1328*(1+IF($G1340&lt;nr_MStartP1,$M$1318,$N$1318))))</f>
        <v/>
      </c>
      <c r="U1340" s="208">
        <f>IF($L$1318,$T1340,$N1340)</f>
        <v/>
      </c>
    </row>
    <row r="1341">
      <c r="A1341" s="145" t="n">
        <v>21</v>
      </c>
      <c r="B1341" s="204">
        <f>EDATE($B1340,1)</f>
        <v/>
      </c>
      <c r="C1341" s="205">
        <f>EOMONTH($B1341,0)</f>
        <v/>
      </c>
      <c r="D1341" s="201">
        <f>$C1341-$B1341+1</f>
        <v/>
      </c>
      <c r="E1341" s="201">
        <f>MONTH($B1341)</f>
        <v/>
      </c>
      <c r="F1341" s="235">
        <f>($B1341+$C1341+1)/2</f>
        <v/>
      </c>
      <c r="G1341" s="201">
        <f>YEAR($B1341)*12+MONTH($B1341)-1</f>
        <v/>
      </c>
      <c r="H1341" s="207">
        <f>IF(OR(nr_SeasonOn="OFF",$D$1318=0,$E$1318=0),1,12*INDEX(se_block,$D$1318,$E1341)/$E$1318)</f>
        <v/>
      </c>
      <c r="I1341" s="208">
        <f>EXP(SUMPRODUCT((rl_eff&lt;$B1341)*(rl_key=$A$1318)*rl_ln1p))</f>
        <v/>
      </c>
      <c r="J1341" s="208">
        <f>EXP(SUMPRODUCT((rl_eff&lt;=$C1341)*(rl_key=$A$1318)*rl_ln1p))</f>
        <v/>
      </c>
      <c r="K1341" s="201">
        <f>COUNTIFS(rl_key,$A$1318,rl_eff,"&gt;="&amp;$B1341,rl_eff,"&lt;="&amp;$C1341)</f>
        <v/>
      </c>
      <c r="L1341" s="201">
        <f>SUMIFS(rl_daysafter,rl_key,$A$1318,rl_effmonth,$B1341,rl_first,1)</f>
        <v/>
      </c>
      <c r="M1341" s="209">
        <f>IF($K1341=0,0,MIN(1,$L1341/$D1341))</f>
        <v/>
      </c>
      <c r="N1341" s="208">
        <f>IF($K1341=0,$J1341,(1-$M1341)*$I1341+$M1341*$J1341)</f>
        <v/>
      </c>
      <c r="O1341" s="209">
        <f>IF($F1341&lt;$B$1319,$E$1319+$I$1319*($F1341-$A$1319),IF($F1341&lt;$C$1319,$F$1319+$J$1319*($F1341-$B$1319),$G$1319+$K$1319*($F1341-$C$1319)))</f>
        <v/>
      </c>
      <c r="P1341" s="208">
        <f>MIN(1,MAX(0,(nr_MEndPm1-$G1341+0.5)/$C$1318))-MIN(1,MAX(0,(nr_MStartPm1-1-$G1341+0.5)/$C$1318))</f>
        <v/>
      </c>
      <c r="Q1341" s="208">
        <f>MIN(1,MAX(0,(nr_MEndP-$G1341+0.5)/$C$1318))-MIN(1,MAX(0,(nr_MStartP-1-$G1341+0.5)/$C$1318))</f>
        <v/>
      </c>
      <c r="R1341" s="208">
        <f>MIN(1,MAX(0,(nr_MEndP1-$G1341+0.5)/$C$1318))-MIN(1,MAX(0,(nr_MStartP1-1-$G1341+0.5)/$C$1318))</f>
        <v/>
      </c>
      <c r="S1341" s="208">
        <f>IF($L$1318,$N1341*IF($O$1318=1,$O1341/$F$1318,1),"")</f>
        <v/>
      </c>
      <c r="T1341" s="208">
        <f>IF(NOT($L$1318),"",IF($G1341&lt;nr_MStartP,$S1341,$T1329*(1+IF($G1341&lt;nr_MStartP1,$M$1318,$N$1318))))</f>
        <v/>
      </c>
      <c r="U1341" s="208">
        <f>IF($L$1318,$T1341,$N1341)</f>
        <v/>
      </c>
    </row>
    <row r="1342">
      <c r="A1342" s="145" t="n">
        <v>22</v>
      </c>
      <c r="B1342" s="204">
        <f>EDATE($B1341,1)</f>
        <v/>
      </c>
      <c r="C1342" s="205">
        <f>EOMONTH($B1342,0)</f>
        <v/>
      </c>
      <c r="D1342" s="201">
        <f>$C1342-$B1342+1</f>
        <v/>
      </c>
      <c r="E1342" s="201">
        <f>MONTH($B1342)</f>
        <v/>
      </c>
      <c r="F1342" s="235">
        <f>($B1342+$C1342+1)/2</f>
        <v/>
      </c>
      <c r="G1342" s="201">
        <f>YEAR($B1342)*12+MONTH($B1342)-1</f>
        <v/>
      </c>
      <c r="H1342" s="207">
        <f>IF(OR(nr_SeasonOn="OFF",$D$1318=0,$E$1318=0),1,12*INDEX(se_block,$D$1318,$E1342)/$E$1318)</f>
        <v/>
      </c>
      <c r="I1342" s="208">
        <f>EXP(SUMPRODUCT((rl_eff&lt;$B1342)*(rl_key=$A$1318)*rl_ln1p))</f>
        <v/>
      </c>
      <c r="J1342" s="208">
        <f>EXP(SUMPRODUCT((rl_eff&lt;=$C1342)*(rl_key=$A$1318)*rl_ln1p))</f>
        <v/>
      </c>
      <c r="K1342" s="201">
        <f>COUNTIFS(rl_key,$A$1318,rl_eff,"&gt;="&amp;$B1342,rl_eff,"&lt;="&amp;$C1342)</f>
        <v/>
      </c>
      <c r="L1342" s="201">
        <f>SUMIFS(rl_daysafter,rl_key,$A$1318,rl_effmonth,$B1342,rl_first,1)</f>
        <v/>
      </c>
      <c r="M1342" s="209">
        <f>IF($K1342=0,0,MIN(1,$L1342/$D1342))</f>
        <v/>
      </c>
      <c r="N1342" s="208">
        <f>IF($K1342=0,$J1342,(1-$M1342)*$I1342+$M1342*$J1342)</f>
        <v/>
      </c>
      <c r="O1342" s="209">
        <f>IF($F1342&lt;$B$1319,$E$1319+$I$1319*($F1342-$A$1319),IF($F1342&lt;$C$1319,$F$1319+$J$1319*($F1342-$B$1319),$G$1319+$K$1319*($F1342-$C$1319)))</f>
        <v/>
      </c>
      <c r="P1342" s="208">
        <f>MIN(1,MAX(0,(nr_MEndPm1-$G1342+0.5)/$C$1318))-MIN(1,MAX(0,(nr_MStartPm1-1-$G1342+0.5)/$C$1318))</f>
        <v/>
      </c>
      <c r="Q1342" s="208">
        <f>MIN(1,MAX(0,(nr_MEndP-$G1342+0.5)/$C$1318))-MIN(1,MAX(0,(nr_MStartP-1-$G1342+0.5)/$C$1318))</f>
        <v/>
      </c>
      <c r="R1342" s="208">
        <f>MIN(1,MAX(0,(nr_MEndP1-$G1342+0.5)/$C$1318))-MIN(1,MAX(0,(nr_MStartP1-1-$G1342+0.5)/$C$1318))</f>
        <v/>
      </c>
      <c r="S1342" s="208">
        <f>IF($L$1318,$N1342*IF($O$1318=1,$O1342/$F$1318,1),"")</f>
        <v/>
      </c>
      <c r="T1342" s="208">
        <f>IF(NOT($L$1318),"",IF($G1342&lt;nr_MStartP,$S1342,$T1330*(1+IF($G1342&lt;nr_MStartP1,$M$1318,$N$1318))))</f>
        <v/>
      </c>
      <c r="U1342" s="208">
        <f>IF($L$1318,$T1342,$N1342)</f>
        <v/>
      </c>
    </row>
    <row r="1343">
      <c r="A1343" s="145" t="n">
        <v>23</v>
      </c>
      <c r="B1343" s="204">
        <f>EDATE($B1342,1)</f>
        <v/>
      </c>
      <c r="C1343" s="205">
        <f>EOMONTH($B1343,0)</f>
        <v/>
      </c>
      <c r="D1343" s="201">
        <f>$C1343-$B1343+1</f>
        <v/>
      </c>
      <c r="E1343" s="201">
        <f>MONTH($B1343)</f>
        <v/>
      </c>
      <c r="F1343" s="235">
        <f>($B1343+$C1343+1)/2</f>
        <v/>
      </c>
      <c r="G1343" s="201">
        <f>YEAR($B1343)*12+MONTH($B1343)-1</f>
        <v/>
      </c>
      <c r="H1343" s="207">
        <f>IF(OR(nr_SeasonOn="OFF",$D$1318=0,$E$1318=0),1,12*INDEX(se_block,$D$1318,$E1343)/$E$1318)</f>
        <v/>
      </c>
      <c r="I1343" s="208">
        <f>EXP(SUMPRODUCT((rl_eff&lt;$B1343)*(rl_key=$A$1318)*rl_ln1p))</f>
        <v/>
      </c>
      <c r="J1343" s="208">
        <f>EXP(SUMPRODUCT((rl_eff&lt;=$C1343)*(rl_key=$A$1318)*rl_ln1p))</f>
        <v/>
      </c>
      <c r="K1343" s="201">
        <f>COUNTIFS(rl_key,$A$1318,rl_eff,"&gt;="&amp;$B1343,rl_eff,"&lt;="&amp;$C1343)</f>
        <v/>
      </c>
      <c r="L1343" s="201">
        <f>SUMIFS(rl_daysafter,rl_key,$A$1318,rl_effmonth,$B1343,rl_first,1)</f>
        <v/>
      </c>
      <c r="M1343" s="209">
        <f>IF($K1343=0,0,MIN(1,$L1343/$D1343))</f>
        <v/>
      </c>
      <c r="N1343" s="208">
        <f>IF($K1343=0,$J1343,(1-$M1343)*$I1343+$M1343*$J1343)</f>
        <v/>
      </c>
      <c r="O1343" s="209">
        <f>IF($F1343&lt;$B$1319,$E$1319+$I$1319*($F1343-$A$1319),IF($F1343&lt;$C$1319,$F$1319+$J$1319*($F1343-$B$1319),$G$1319+$K$1319*($F1343-$C$1319)))</f>
        <v/>
      </c>
      <c r="P1343" s="208">
        <f>MIN(1,MAX(0,(nr_MEndPm1-$G1343+0.5)/$C$1318))-MIN(1,MAX(0,(nr_MStartPm1-1-$G1343+0.5)/$C$1318))</f>
        <v/>
      </c>
      <c r="Q1343" s="208">
        <f>MIN(1,MAX(0,(nr_MEndP-$G1343+0.5)/$C$1318))-MIN(1,MAX(0,(nr_MStartP-1-$G1343+0.5)/$C$1318))</f>
        <v/>
      </c>
      <c r="R1343" s="208">
        <f>MIN(1,MAX(0,(nr_MEndP1-$G1343+0.5)/$C$1318))-MIN(1,MAX(0,(nr_MStartP1-1-$G1343+0.5)/$C$1318))</f>
        <v/>
      </c>
      <c r="S1343" s="208">
        <f>IF($L$1318,$N1343*IF($O$1318=1,$O1343/$F$1318,1),"")</f>
        <v/>
      </c>
      <c r="T1343" s="208">
        <f>IF(NOT($L$1318),"",IF($G1343&lt;nr_MStartP,$S1343,$T1331*(1+IF($G1343&lt;nr_MStartP1,$M$1318,$N$1318))))</f>
        <v/>
      </c>
      <c r="U1343" s="208">
        <f>IF($L$1318,$T1343,$N1343)</f>
        <v/>
      </c>
    </row>
    <row r="1344">
      <c r="A1344" s="145" t="n">
        <v>24</v>
      </c>
      <c r="B1344" s="204">
        <f>EDATE($B1343,1)</f>
        <v/>
      </c>
      <c r="C1344" s="205">
        <f>EOMONTH($B1344,0)</f>
        <v/>
      </c>
      <c r="D1344" s="201">
        <f>$C1344-$B1344+1</f>
        <v/>
      </c>
      <c r="E1344" s="201">
        <f>MONTH($B1344)</f>
        <v/>
      </c>
      <c r="F1344" s="235">
        <f>($B1344+$C1344+1)/2</f>
        <v/>
      </c>
      <c r="G1344" s="201">
        <f>YEAR($B1344)*12+MONTH($B1344)-1</f>
        <v/>
      </c>
      <c r="H1344" s="207">
        <f>IF(OR(nr_SeasonOn="OFF",$D$1318=0,$E$1318=0),1,12*INDEX(se_block,$D$1318,$E1344)/$E$1318)</f>
        <v/>
      </c>
      <c r="I1344" s="208">
        <f>EXP(SUMPRODUCT((rl_eff&lt;$B1344)*(rl_key=$A$1318)*rl_ln1p))</f>
        <v/>
      </c>
      <c r="J1344" s="208">
        <f>EXP(SUMPRODUCT((rl_eff&lt;=$C1344)*(rl_key=$A$1318)*rl_ln1p))</f>
        <v/>
      </c>
      <c r="K1344" s="201">
        <f>COUNTIFS(rl_key,$A$1318,rl_eff,"&gt;="&amp;$B1344,rl_eff,"&lt;="&amp;$C1344)</f>
        <v/>
      </c>
      <c r="L1344" s="201">
        <f>SUMIFS(rl_daysafter,rl_key,$A$1318,rl_effmonth,$B1344,rl_first,1)</f>
        <v/>
      </c>
      <c r="M1344" s="209">
        <f>IF($K1344=0,0,MIN(1,$L1344/$D1344))</f>
        <v/>
      </c>
      <c r="N1344" s="208">
        <f>IF($K1344=0,$J1344,(1-$M1344)*$I1344+$M1344*$J1344)</f>
        <v/>
      </c>
      <c r="O1344" s="209">
        <f>IF($F1344&lt;$B$1319,$E$1319+$I$1319*($F1344-$A$1319),IF($F1344&lt;$C$1319,$F$1319+$J$1319*($F1344-$B$1319),$G$1319+$K$1319*($F1344-$C$1319)))</f>
        <v/>
      </c>
      <c r="P1344" s="208">
        <f>MIN(1,MAX(0,(nr_MEndPm1-$G1344+0.5)/$C$1318))-MIN(1,MAX(0,(nr_MStartPm1-1-$G1344+0.5)/$C$1318))</f>
        <v/>
      </c>
      <c r="Q1344" s="208">
        <f>MIN(1,MAX(0,(nr_MEndP-$G1344+0.5)/$C$1318))-MIN(1,MAX(0,(nr_MStartP-1-$G1344+0.5)/$C$1318))</f>
        <v/>
      </c>
      <c r="R1344" s="208">
        <f>MIN(1,MAX(0,(nr_MEndP1-$G1344+0.5)/$C$1318))-MIN(1,MAX(0,(nr_MStartP1-1-$G1344+0.5)/$C$1318))</f>
        <v/>
      </c>
      <c r="S1344" s="208">
        <f>IF($L$1318,$N1344*IF($O$1318=1,$O1344/$F$1318,1),"")</f>
        <v/>
      </c>
      <c r="T1344" s="208">
        <f>IF(NOT($L$1318),"",IF($G1344&lt;nr_MStartP,$S1344,$T1332*(1+IF($G1344&lt;nr_MStartP1,$M$1318,$N$1318))))</f>
        <v/>
      </c>
      <c r="U1344" s="208">
        <f>IF($L$1318,$T1344,$N1344)</f>
        <v/>
      </c>
    </row>
    <row r="1345">
      <c r="A1345" s="145" t="n">
        <v>25</v>
      </c>
      <c r="B1345" s="204">
        <f>EDATE($B1344,1)</f>
        <v/>
      </c>
      <c r="C1345" s="205">
        <f>EOMONTH($B1345,0)</f>
        <v/>
      </c>
      <c r="D1345" s="201">
        <f>$C1345-$B1345+1</f>
        <v/>
      </c>
      <c r="E1345" s="201">
        <f>MONTH($B1345)</f>
        <v/>
      </c>
      <c r="F1345" s="235">
        <f>($B1345+$C1345+1)/2</f>
        <v/>
      </c>
      <c r="G1345" s="201">
        <f>YEAR($B1345)*12+MONTH($B1345)-1</f>
        <v/>
      </c>
      <c r="H1345" s="207">
        <f>IF(OR(nr_SeasonOn="OFF",$D$1318=0,$E$1318=0),1,12*INDEX(se_block,$D$1318,$E1345)/$E$1318)</f>
        <v/>
      </c>
      <c r="I1345" s="208">
        <f>EXP(SUMPRODUCT((rl_eff&lt;$B1345)*(rl_key=$A$1318)*rl_ln1p))</f>
        <v/>
      </c>
      <c r="J1345" s="208">
        <f>EXP(SUMPRODUCT((rl_eff&lt;=$C1345)*(rl_key=$A$1318)*rl_ln1p))</f>
        <v/>
      </c>
      <c r="K1345" s="201">
        <f>COUNTIFS(rl_key,$A$1318,rl_eff,"&gt;="&amp;$B1345,rl_eff,"&lt;="&amp;$C1345)</f>
        <v/>
      </c>
      <c r="L1345" s="201">
        <f>SUMIFS(rl_daysafter,rl_key,$A$1318,rl_effmonth,$B1345,rl_first,1)</f>
        <v/>
      </c>
      <c r="M1345" s="209">
        <f>IF($K1345=0,0,MIN(1,$L1345/$D1345))</f>
        <v/>
      </c>
      <c r="N1345" s="208">
        <f>IF($K1345=0,$J1345,(1-$M1345)*$I1345+$M1345*$J1345)</f>
        <v/>
      </c>
      <c r="O1345" s="209">
        <f>IF($F1345&lt;$B$1319,$E$1319+$I$1319*($F1345-$A$1319),IF($F1345&lt;$C$1319,$F$1319+$J$1319*($F1345-$B$1319),$G$1319+$K$1319*($F1345-$C$1319)))</f>
        <v/>
      </c>
      <c r="P1345" s="208">
        <f>MIN(1,MAX(0,(nr_MEndPm1-$G1345+0.5)/$C$1318))-MIN(1,MAX(0,(nr_MStartPm1-1-$G1345+0.5)/$C$1318))</f>
        <v/>
      </c>
      <c r="Q1345" s="208">
        <f>MIN(1,MAX(0,(nr_MEndP-$G1345+0.5)/$C$1318))-MIN(1,MAX(0,(nr_MStartP-1-$G1345+0.5)/$C$1318))</f>
        <v/>
      </c>
      <c r="R1345" s="208">
        <f>MIN(1,MAX(0,(nr_MEndP1-$G1345+0.5)/$C$1318))-MIN(1,MAX(0,(nr_MStartP1-1-$G1345+0.5)/$C$1318))</f>
        <v/>
      </c>
      <c r="S1345" s="208">
        <f>IF($L$1318,$N1345*IF($O$1318=1,$O1345/$F$1318,1),"")</f>
        <v/>
      </c>
      <c r="T1345" s="208">
        <f>IF(NOT($L$1318),"",IF($G1345&lt;nr_MStartP,$S1345,$T1333*(1+IF($G1345&lt;nr_MStartP1,$M$1318,$N$1318))))</f>
        <v/>
      </c>
      <c r="U1345" s="208">
        <f>IF($L$1318,$T1345,$N1345)</f>
        <v/>
      </c>
    </row>
    <row r="1346">
      <c r="A1346" s="145" t="n">
        <v>26</v>
      </c>
      <c r="B1346" s="204">
        <f>EDATE($B1345,1)</f>
        <v/>
      </c>
      <c r="C1346" s="205">
        <f>EOMONTH($B1346,0)</f>
        <v/>
      </c>
      <c r="D1346" s="201">
        <f>$C1346-$B1346+1</f>
        <v/>
      </c>
      <c r="E1346" s="201">
        <f>MONTH($B1346)</f>
        <v/>
      </c>
      <c r="F1346" s="235">
        <f>($B1346+$C1346+1)/2</f>
        <v/>
      </c>
      <c r="G1346" s="201">
        <f>YEAR($B1346)*12+MONTH($B1346)-1</f>
        <v/>
      </c>
      <c r="H1346" s="207">
        <f>IF(OR(nr_SeasonOn="OFF",$D$1318=0,$E$1318=0),1,12*INDEX(se_block,$D$1318,$E1346)/$E$1318)</f>
        <v/>
      </c>
      <c r="I1346" s="208">
        <f>EXP(SUMPRODUCT((rl_eff&lt;$B1346)*(rl_key=$A$1318)*rl_ln1p))</f>
        <v/>
      </c>
      <c r="J1346" s="208">
        <f>EXP(SUMPRODUCT((rl_eff&lt;=$C1346)*(rl_key=$A$1318)*rl_ln1p))</f>
        <v/>
      </c>
      <c r="K1346" s="201">
        <f>COUNTIFS(rl_key,$A$1318,rl_eff,"&gt;="&amp;$B1346,rl_eff,"&lt;="&amp;$C1346)</f>
        <v/>
      </c>
      <c r="L1346" s="201">
        <f>SUMIFS(rl_daysafter,rl_key,$A$1318,rl_effmonth,$B1346,rl_first,1)</f>
        <v/>
      </c>
      <c r="M1346" s="209">
        <f>IF($K1346=0,0,MIN(1,$L1346/$D1346))</f>
        <v/>
      </c>
      <c r="N1346" s="208">
        <f>IF($K1346=0,$J1346,(1-$M1346)*$I1346+$M1346*$J1346)</f>
        <v/>
      </c>
      <c r="O1346" s="209">
        <f>IF($F1346&lt;$B$1319,$E$1319+$I$1319*($F1346-$A$1319),IF($F1346&lt;$C$1319,$F$1319+$J$1319*($F1346-$B$1319),$G$1319+$K$1319*($F1346-$C$1319)))</f>
        <v/>
      </c>
      <c r="P1346" s="208">
        <f>MIN(1,MAX(0,(nr_MEndPm1-$G1346+0.5)/$C$1318))-MIN(1,MAX(0,(nr_MStartPm1-1-$G1346+0.5)/$C$1318))</f>
        <v/>
      </c>
      <c r="Q1346" s="208">
        <f>MIN(1,MAX(0,(nr_MEndP-$G1346+0.5)/$C$1318))-MIN(1,MAX(0,(nr_MStartP-1-$G1346+0.5)/$C$1318))</f>
        <v/>
      </c>
      <c r="R1346" s="208">
        <f>MIN(1,MAX(0,(nr_MEndP1-$G1346+0.5)/$C$1318))-MIN(1,MAX(0,(nr_MStartP1-1-$G1346+0.5)/$C$1318))</f>
        <v/>
      </c>
      <c r="S1346" s="208">
        <f>IF($L$1318,$N1346*IF($O$1318=1,$O1346/$F$1318,1),"")</f>
        <v/>
      </c>
      <c r="T1346" s="208">
        <f>IF(NOT($L$1318),"",IF($G1346&lt;nr_MStartP,$S1346,$T1334*(1+IF($G1346&lt;nr_MStartP1,$M$1318,$N$1318))))</f>
        <v/>
      </c>
      <c r="U1346" s="208">
        <f>IF($L$1318,$T1346,$N1346)</f>
        <v/>
      </c>
    </row>
    <row r="1347">
      <c r="A1347" s="145" t="n">
        <v>27</v>
      </c>
      <c r="B1347" s="204">
        <f>EDATE($B1346,1)</f>
        <v/>
      </c>
      <c r="C1347" s="205">
        <f>EOMONTH($B1347,0)</f>
        <v/>
      </c>
      <c r="D1347" s="201">
        <f>$C1347-$B1347+1</f>
        <v/>
      </c>
      <c r="E1347" s="201">
        <f>MONTH($B1347)</f>
        <v/>
      </c>
      <c r="F1347" s="235">
        <f>($B1347+$C1347+1)/2</f>
        <v/>
      </c>
      <c r="G1347" s="201">
        <f>YEAR($B1347)*12+MONTH($B1347)-1</f>
        <v/>
      </c>
      <c r="H1347" s="207">
        <f>IF(OR(nr_SeasonOn="OFF",$D$1318=0,$E$1318=0),1,12*INDEX(se_block,$D$1318,$E1347)/$E$1318)</f>
        <v/>
      </c>
      <c r="I1347" s="208">
        <f>EXP(SUMPRODUCT((rl_eff&lt;$B1347)*(rl_key=$A$1318)*rl_ln1p))</f>
        <v/>
      </c>
      <c r="J1347" s="208">
        <f>EXP(SUMPRODUCT((rl_eff&lt;=$C1347)*(rl_key=$A$1318)*rl_ln1p))</f>
        <v/>
      </c>
      <c r="K1347" s="201">
        <f>COUNTIFS(rl_key,$A$1318,rl_eff,"&gt;="&amp;$B1347,rl_eff,"&lt;="&amp;$C1347)</f>
        <v/>
      </c>
      <c r="L1347" s="201">
        <f>SUMIFS(rl_daysafter,rl_key,$A$1318,rl_effmonth,$B1347,rl_first,1)</f>
        <v/>
      </c>
      <c r="M1347" s="209">
        <f>IF($K1347=0,0,MIN(1,$L1347/$D1347))</f>
        <v/>
      </c>
      <c r="N1347" s="208">
        <f>IF($K1347=0,$J1347,(1-$M1347)*$I1347+$M1347*$J1347)</f>
        <v/>
      </c>
      <c r="O1347" s="209">
        <f>IF($F1347&lt;$B$1319,$E$1319+$I$1319*($F1347-$A$1319),IF($F1347&lt;$C$1319,$F$1319+$J$1319*($F1347-$B$1319),$G$1319+$K$1319*($F1347-$C$1319)))</f>
        <v/>
      </c>
      <c r="P1347" s="208">
        <f>MIN(1,MAX(0,(nr_MEndPm1-$G1347+0.5)/$C$1318))-MIN(1,MAX(0,(nr_MStartPm1-1-$G1347+0.5)/$C$1318))</f>
        <v/>
      </c>
      <c r="Q1347" s="208">
        <f>MIN(1,MAX(0,(nr_MEndP-$G1347+0.5)/$C$1318))-MIN(1,MAX(0,(nr_MStartP-1-$G1347+0.5)/$C$1318))</f>
        <v/>
      </c>
      <c r="R1347" s="208">
        <f>MIN(1,MAX(0,(nr_MEndP1-$G1347+0.5)/$C$1318))-MIN(1,MAX(0,(nr_MStartP1-1-$G1347+0.5)/$C$1318))</f>
        <v/>
      </c>
      <c r="S1347" s="208">
        <f>IF($L$1318,$N1347*IF($O$1318=1,$O1347/$F$1318,1),"")</f>
        <v/>
      </c>
      <c r="T1347" s="208">
        <f>IF(NOT($L$1318),"",IF($G1347&lt;nr_MStartP,$S1347,$T1335*(1+IF($G1347&lt;nr_MStartP1,$M$1318,$N$1318))))</f>
        <v/>
      </c>
      <c r="U1347" s="208">
        <f>IF($L$1318,$T1347,$N1347)</f>
        <v/>
      </c>
    </row>
    <row r="1348">
      <c r="A1348" s="145" t="n">
        <v>28</v>
      </c>
      <c r="B1348" s="204">
        <f>EDATE($B1347,1)</f>
        <v/>
      </c>
      <c r="C1348" s="205">
        <f>EOMONTH($B1348,0)</f>
        <v/>
      </c>
      <c r="D1348" s="201">
        <f>$C1348-$B1348+1</f>
        <v/>
      </c>
      <c r="E1348" s="201">
        <f>MONTH($B1348)</f>
        <v/>
      </c>
      <c r="F1348" s="235">
        <f>($B1348+$C1348+1)/2</f>
        <v/>
      </c>
      <c r="G1348" s="201">
        <f>YEAR($B1348)*12+MONTH($B1348)-1</f>
        <v/>
      </c>
      <c r="H1348" s="207">
        <f>IF(OR(nr_SeasonOn="OFF",$D$1318=0,$E$1318=0),1,12*INDEX(se_block,$D$1318,$E1348)/$E$1318)</f>
        <v/>
      </c>
      <c r="I1348" s="208">
        <f>EXP(SUMPRODUCT((rl_eff&lt;$B1348)*(rl_key=$A$1318)*rl_ln1p))</f>
        <v/>
      </c>
      <c r="J1348" s="208">
        <f>EXP(SUMPRODUCT((rl_eff&lt;=$C1348)*(rl_key=$A$1318)*rl_ln1p))</f>
        <v/>
      </c>
      <c r="K1348" s="201">
        <f>COUNTIFS(rl_key,$A$1318,rl_eff,"&gt;="&amp;$B1348,rl_eff,"&lt;="&amp;$C1348)</f>
        <v/>
      </c>
      <c r="L1348" s="201">
        <f>SUMIFS(rl_daysafter,rl_key,$A$1318,rl_effmonth,$B1348,rl_first,1)</f>
        <v/>
      </c>
      <c r="M1348" s="209">
        <f>IF($K1348=0,0,MIN(1,$L1348/$D1348))</f>
        <v/>
      </c>
      <c r="N1348" s="208">
        <f>IF($K1348=0,$J1348,(1-$M1348)*$I1348+$M1348*$J1348)</f>
        <v/>
      </c>
      <c r="O1348" s="209">
        <f>IF($F1348&lt;$B$1319,$E$1319+$I$1319*($F1348-$A$1319),IF($F1348&lt;$C$1319,$F$1319+$J$1319*($F1348-$B$1319),$G$1319+$K$1319*($F1348-$C$1319)))</f>
        <v/>
      </c>
      <c r="P1348" s="208">
        <f>MIN(1,MAX(0,(nr_MEndPm1-$G1348+0.5)/$C$1318))-MIN(1,MAX(0,(nr_MStartPm1-1-$G1348+0.5)/$C$1318))</f>
        <v/>
      </c>
      <c r="Q1348" s="208">
        <f>MIN(1,MAX(0,(nr_MEndP-$G1348+0.5)/$C$1318))-MIN(1,MAX(0,(nr_MStartP-1-$G1348+0.5)/$C$1318))</f>
        <v/>
      </c>
      <c r="R1348" s="208">
        <f>MIN(1,MAX(0,(nr_MEndP1-$G1348+0.5)/$C$1318))-MIN(1,MAX(0,(nr_MStartP1-1-$G1348+0.5)/$C$1318))</f>
        <v/>
      </c>
      <c r="S1348" s="208">
        <f>IF($L$1318,$N1348*IF($O$1318=1,$O1348/$F$1318,1),"")</f>
        <v/>
      </c>
      <c r="T1348" s="208">
        <f>IF(NOT($L$1318),"",IF($G1348&lt;nr_MStartP,$S1348,$T1336*(1+IF($G1348&lt;nr_MStartP1,$M$1318,$N$1318))))</f>
        <v/>
      </c>
      <c r="U1348" s="208">
        <f>IF($L$1318,$T1348,$N1348)</f>
        <v/>
      </c>
    </row>
    <row r="1349">
      <c r="A1349" s="145" t="n">
        <v>29</v>
      </c>
      <c r="B1349" s="204">
        <f>EDATE($B1348,1)</f>
        <v/>
      </c>
      <c r="C1349" s="205">
        <f>EOMONTH($B1349,0)</f>
        <v/>
      </c>
      <c r="D1349" s="201">
        <f>$C1349-$B1349+1</f>
        <v/>
      </c>
      <c r="E1349" s="201">
        <f>MONTH($B1349)</f>
        <v/>
      </c>
      <c r="F1349" s="235">
        <f>($B1349+$C1349+1)/2</f>
        <v/>
      </c>
      <c r="G1349" s="201">
        <f>YEAR($B1349)*12+MONTH($B1349)-1</f>
        <v/>
      </c>
      <c r="H1349" s="207">
        <f>IF(OR(nr_SeasonOn="OFF",$D$1318=0,$E$1318=0),1,12*INDEX(se_block,$D$1318,$E1349)/$E$1318)</f>
        <v/>
      </c>
      <c r="I1349" s="208">
        <f>EXP(SUMPRODUCT((rl_eff&lt;$B1349)*(rl_key=$A$1318)*rl_ln1p))</f>
        <v/>
      </c>
      <c r="J1349" s="208">
        <f>EXP(SUMPRODUCT((rl_eff&lt;=$C1349)*(rl_key=$A$1318)*rl_ln1p))</f>
        <v/>
      </c>
      <c r="K1349" s="201">
        <f>COUNTIFS(rl_key,$A$1318,rl_eff,"&gt;="&amp;$B1349,rl_eff,"&lt;="&amp;$C1349)</f>
        <v/>
      </c>
      <c r="L1349" s="201">
        <f>SUMIFS(rl_daysafter,rl_key,$A$1318,rl_effmonth,$B1349,rl_first,1)</f>
        <v/>
      </c>
      <c r="M1349" s="209">
        <f>IF($K1349=0,0,MIN(1,$L1349/$D1349))</f>
        <v/>
      </c>
      <c r="N1349" s="208">
        <f>IF($K1349=0,$J1349,(1-$M1349)*$I1349+$M1349*$J1349)</f>
        <v/>
      </c>
      <c r="O1349" s="209">
        <f>IF($F1349&lt;$B$1319,$E$1319+$I$1319*($F1349-$A$1319),IF($F1349&lt;$C$1319,$F$1319+$J$1319*($F1349-$B$1319),$G$1319+$K$1319*($F1349-$C$1319)))</f>
        <v/>
      </c>
      <c r="P1349" s="208">
        <f>MIN(1,MAX(0,(nr_MEndPm1-$G1349+0.5)/$C$1318))-MIN(1,MAX(0,(nr_MStartPm1-1-$G1349+0.5)/$C$1318))</f>
        <v/>
      </c>
      <c r="Q1349" s="208">
        <f>MIN(1,MAX(0,(nr_MEndP-$G1349+0.5)/$C$1318))-MIN(1,MAX(0,(nr_MStartP-1-$G1349+0.5)/$C$1318))</f>
        <v/>
      </c>
      <c r="R1349" s="208">
        <f>MIN(1,MAX(0,(nr_MEndP1-$G1349+0.5)/$C$1318))-MIN(1,MAX(0,(nr_MStartP1-1-$G1349+0.5)/$C$1318))</f>
        <v/>
      </c>
      <c r="S1349" s="208">
        <f>IF($L$1318,$N1349*IF($O$1318=1,$O1349/$F$1318,1),"")</f>
        <v/>
      </c>
      <c r="T1349" s="208">
        <f>IF(NOT($L$1318),"",IF($G1349&lt;nr_MStartP,$S1349,$T1337*(1+IF($G1349&lt;nr_MStartP1,$M$1318,$N$1318))))</f>
        <v/>
      </c>
      <c r="U1349" s="208">
        <f>IF($L$1318,$T1349,$N1349)</f>
        <v/>
      </c>
    </row>
    <row r="1350">
      <c r="A1350" s="145" t="n">
        <v>30</v>
      </c>
      <c r="B1350" s="204">
        <f>EDATE($B1349,1)</f>
        <v/>
      </c>
      <c r="C1350" s="205">
        <f>EOMONTH($B1350,0)</f>
        <v/>
      </c>
      <c r="D1350" s="201">
        <f>$C1350-$B1350+1</f>
        <v/>
      </c>
      <c r="E1350" s="201">
        <f>MONTH($B1350)</f>
        <v/>
      </c>
      <c r="F1350" s="235">
        <f>($B1350+$C1350+1)/2</f>
        <v/>
      </c>
      <c r="G1350" s="201">
        <f>YEAR($B1350)*12+MONTH($B1350)-1</f>
        <v/>
      </c>
      <c r="H1350" s="207">
        <f>IF(OR(nr_SeasonOn="OFF",$D$1318=0,$E$1318=0),1,12*INDEX(se_block,$D$1318,$E1350)/$E$1318)</f>
        <v/>
      </c>
      <c r="I1350" s="208">
        <f>EXP(SUMPRODUCT((rl_eff&lt;$B1350)*(rl_key=$A$1318)*rl_ln1p))</f>
        <v/>
      </c>
      <c r="J1350" s="208">
        <f>EXP(SUMPRODUCT((rl_eff&lt;=$C1350)*(rl_key=$A$1318)*rl_ln1p))</f>
        <v/>
      </c>
      <c r="K1350" s="201">
        <f>COUNTIFS(rl_key,$A$1318,rl_eff,"&gt;="&amp;$B1350,rl_eff,"&lt;="&amp;$C1350)</f>
        <v/>
      </c>
      <c r="L1350" s="201">
        <f>SUMIFS(rl_daysafter,rl_key,$A$1318,rl_effmonth,$B1350,rl_first,1)</f>
        <v/>
      </c>
      <c r="M1350" s="209">
        <f>IF($K1350=0,0,MIN(1,$L1350/$D1350))</f>
        <v/>
      </c>
      <c r="N1350" s="208">
        <f>IF($K1350=0,$J1350,(1-$M1350)*$I1350+$M1350*$J1350)</f>
        <v/>
      </c>
      <c r="O1350" s="209">
        <f>IF($F1350&lt;$B$1319,$E$1319+$I$1319*($F1350-$A$1319),IF($F1350&lt;$C$1319,$F$1319+$J$1319*($F1350-$B$1319),$G$1319+$K$1319*($F1350-$C$1319)))</f>
        <v/>
      </c>
      <c r="P1350" s="208">
        <f>MIN(1,MAX(0,(nr_MEndPm1-$G1350+0.5)/$C$1318))-MIN(1,MAX(0,(nr_MStartPm1-1-$G1350+0.5)/$C$1318))</f>
        <v/>
      </c>
      <c r="Q1350" s="208">
        <f>MIN(1,MAX(0,(nr_MEndP-$G1350+0.5)/$C$1318))-MIN(1,MAX(0,(nr_MStartP-1-$G1350+0.5)/$C$1318))</f>
        <v/>
      </c>
      <c r="R1350" s="208">
        <f>MIN(1,MAX(0,(nr_MEndP1-$G1350+0.5)/$C$1318))-MIN(1,MAX(0,(nr_MStartP1-1-$G1350+0.5)/$C$1318))</f>
        <v/>
      </c>
      <c r="S1350" s="208">
        <f>IF($L$1318,$N1350*IF($O$1318=1,$O1350/$F$1318,1),"")</f>
        <v/>
      </c>
      <c r="T1350" s="208">
        <f>IF(NOT($L$1318),"",IF($G1350&lt;nr_MStartP,$S1350,$T1338*(1+IF($G1350&lt;nr_MStartP1,$M$1318,$N$1318))))</f>
        <v/>
      </c>
      <c r="U1350" s="208">
        <f>IF($L$1318,$T1350,$N1350)</f>
        <v/>
      </c>
    </row>
    <row r="1351">
      <c r="A1351" s="145" t="n">
        <v>31</v>
      </c>
      <c r="B1351" s="204">
        <f>EDATE($B1350,1)</f>
        <v/>
      </c>
      <c r="C1351" s="205">
        <f>EOMONTH($B1351,0)</f>
        <v/>
      </c>
      <c r="D1351" s="201">
        <f>$C1351-$B1351+1</f>
        <v/>
      </c>
      <c r="E1351" s="201">
        <f>MONTH($B1351)</f>
        <v/>
      </c>
      <c r="F1351" s="235">
        <f>($B1351+$C1351+1)/2</f>
        <v/>
      </c>
      <c r="G1351" s="201">
        <f>YEAR($B1351)*12+MONTH($B1351)-1</f>
        <v/>
      </c>
      <c r="H1351" s="207">
        <f>IF(OR(nr_SeasonOn="OFF",$D$1318=0,$E$1318=0),1,12*INDEX(se_block,$D$1318,$E1351)/$E$1318)</f>
        <v/>
      </c>
      <c r="I1351" s="208">
        <f>EXP(SUMPRODUCT((rl_eff&lt;$B1351)*(rl_key=$A$1318)*rl_ln1p))</f>
        <v/>
      </c>
      <c r="J1351" s="208">
        <f>EXP(SUMPRODUCT((rl_eff&lt;=$C1351)*(rl_key=$A$1318)*rl_ln1p))</f>
        <v/>
      </c>
      <c r="K1351" s="201">
        <f>COUNTIFS(rl_key,$A$1318,rl_eff,"&gt;="&amp;$B1351,rl_eff,"&lt;="&amp;$C1351)</f>
        <v/>
      </c>
      <c r="L1351" s="201">
        <f>SUMIFS(rl_daysafter,rl_key,$A$1318,rl_effmonth,$B1351,rl_first,1)</f>
        <v/>
      </c>
      <c r="M1351" s="209">
        <f>IF($K1351=0,0,MIN(1,$L1351/$D1351))</f>
        <v/>
      </c>
      <c r="N1351" s="208">
        <f>IF($K1351=0,$J1351,(1-$M1351)*$I1351+$M1351*$J1351)</f>
        <v/>
      </c>
      <c r="O1351" s="209">
        <f>IF($F1351&lt;$B$1319,$E$1319+$I$1319*($F1351-$A$1319),IF($F1351&lt;$C$1319,$F$1319+$J$1319*($F1351-$B$1319),$G$1319+$K$1319*($F1351-$C$1319)))</f>
        <v/>
      </c>
      <c r="P1351" s="208">
        <f>MIN(1,MAX(0,(nr_MEndPm1-$G1351+0.5)/$C$1318))-MIN(1,MAX(0,(nr_MStartPm1-1-$G1351+0.5)/$C$1318))</f>
        <v/>
      </c>
      <c r="Q1351" s="208">
        <f>MIN(1,MAX(0,(nr_MEndP-$G1351+0.5)/$C$1318))-MIN(1,MAX(0,(nr_MStartP-1-$G1351+0.5)/$C$1318))</f>
        <v/>
      </c>
      <c r="R1351" s="208">
        <f>MIN(1,MAX(0,(nr_MEndP1-$G1351+0.5)/$C$1318))-MIN(1,MAX(0,(nr_MStartP1-1-$G1351+0.5)/$C$1318))</f>
        <v/>
      </c>
      <c r="S1351" s="208">
        <f>IF($L$1318,$N1351*IF($O$1318=1,$O1351/$F$1318,1),"")</f>
        <v/>
      </c>
      <c r="T1351" s="208">
        <f>IF(NOT($L$1318),"",IF($G1351&lt;nr_MStartP,$S1351,$T1339*(1+IF($G1351&lt;nr_MStartP1,$M$1318,$N$1318))))</f>
        <v/>
      </c>
      <c r="U1351" s="208">
        <f>IF($L$1318,$T1351,$N1351)</f>
        <v/>
      </c>
    </row>
    <row r="1352">
      <c r="A1352" s="145" t="n">
        <v>32</v>
      </c>
      <c r="B1352" s="204">
        <f>EDATE($B1351,1)</f>
        <v/>
      </c>
      <c r="C1352" s="205">
        <f>EOMONTH($B1352,0)</f>
        <v/>
      </c>
      <c r="D1352" s="201">
        <f>$C1352-$B1352+1</f>
        <v/>
      </c>
      <c r="E1352" s="201">
        <f>MONTH($B1352)</f>
        <v/>
      </c>
      <c r="F1352" s="235">
        <f>($B1352+$C1352+1)/2</f>
        <v/>
      </c>
      <c r="G1352" s="201">
        <f>YEAR($B1352)*12+MONTH($B1352)-1</f>
        <v/>
      </c>
      <c r="H1352" s="207">
        <f>IF(OR(nr_SeasonOn="OFF",$D$1318=0,$E$1318=0),1,12*INDEX(se_block,$D$1318,$E1352)/$E$1318)</f>
        <v/>
      </c>
      <c r="I1352" s="208">
        <f>EXP(SUMPRODUCT((rl_eff&lt;$B1352)*(rl_key=$A$1318)*rl_ln1p))</f>
        <v/>
      </c>
      <c r="J1352" s="208">
        <f>EXP(SUMPRODUCT((rl_eff&lt;=$C1352)*(rl_key=$A$1318)*rl_ln1p))</f>
        <v/>
      </c>
      <c r="K1352" s="201">
        <f>COUNTIFS(rl_key,$A$1318,rl_eff,"&gt;="&amp;$B1352,rl_eff,"&lt;="&amp;$C1352)</f>
        <v/>
      </c>
      <c r="L1352" s="201">
        <f>SUMIFS(rl_daysafter,rl_key,$A$1318,rl_effmonth,$B1352,rl_first,1)</f>
        <v/>
      </c>
      <c r="M1352" s="209">
        <f>IF($K1352=0,0,MIN(1,$L1352/$D1352))</f>
        <v/>
      </c>
      <c r="N1352" s="208">
        <f>IF($K1352=0,$J1352,(1-$M1352)*$I1352+$M1352*$J1352)</f>
        <v/>
      </c>
      <c r="O1352" s="209">
        <f>IF($F1352&lt;$B$1319,$E$1319+$I$1319*($F1352-$A$1319),IF($F1352&lt;$C$1319,$F$1319+$J$1319*($F1352-$B$1319),$G$1319+$K$1319*($F1352-$C$1319)))</f>
        <v/>
      </c>
      <c r="P1352" s="208">
        <f>MIN(1,MAX(0,(nr_MEndPm1-$G1352+0.5)/$C$1318))-MIN(1,MAX(0,(nr_MStartPm1-1-$G1352+0.5)/$C$1318))</f>
        <v/>
      </c>
      <c r="Q1352" s="208">
        <f>MIN(1,MAX(0,(nr_MEndP-$G1352+0.5)/$C$1318))-MIN(1,MAX(0,(nr_MStartP-1-$G1352+0.5)/$C$1318))</f>
        <v/>
      </c>
      <c r="R1352" s="208">
        <f>MIN(1,MAX(0,(nr_MEndP1-$G1352+0.5)/$C$1318))-MIN(1,MAX(0,(nr_MStartP1-1-$G1352+0.5)/$C$1318))</f>
        <v/>
      </c>
      <c r="S1352" s="208">
        <f>IF($L$1318,$N1352*IF($O$1318=1,$O1352/$F$1318,1),"")</f>
        <v/>
      </c>
      <c r="T1352" s="208">
        <f>IF(NOT($L$1318),"",IF($G1352&lt;nr_MStartP,$S1352,$T1340*(1+IF($G1352&lt;nr_MStartP1,$M$1318,$N$1318))))</f>
        <v/>
      </c>
      <c r="U1352" s="208">
        <f>IF($L$1318,$T1352,$N1352)</f>
        <v/>
      </c>
    </row>
    <row r="1353">
      <c r="A1353" s="145" t="n">
        <v>33</v>
      </c>
      <c r="B1353" s="204">
        <f>EDATE($B1352,1)</f>
        <v/>
      </c>
      <c r="C1353" s="205">
        <f>EOMONTH($B1353,0)</f>
        <v/>
      </c>
      <c r="D1353" s="201">
        <f>$C1353-$B1353+1</f>
        <v/>
      </c>
      <c r="E1353" s="201">
        <f>MONTH($B1353)</f>
        <v/>
      </c>
      <c r="F1353" s="235">
        <f>($B1353+$C1353+1)/2</f>
        <v/>
      </c>
      <c r="G1353" s="201">
        <f>YEAR($B1353)*12+MONTH($B1353)-1</f>
        <v/>
      </c>
      <c r="H1353" s="207">
        <f>IF(OR(nr_SeasonOn="OFF",$D$1318=0,$E$1318=0),1,12*INDEX(se_block,$D$1318,$E1353)/$E$1318)</f>
        <v/>
      </c>
      <c r="I1353" s="208">
        <f>EXP(SUMPRODUCT((rl_eff&lt;$B1353)*(rl_key=$A$1318)*rl_ln1p))</f>
        <v/>
      </c>
      <c r="J1353" s="208">
        <f>EXP(SUMPRODUCT((rl_eff&lt;=$C1353)*(rl_key=$A$1318)*rl_ln1p))</f>
        <v/>
      </c>
      <c r="K1353" s="201">
        <f>COUNTIFS(rl_key,$A$1318,rl_eff,"&gt;="&amp;$B1353,rl_eff,"&lt;="&amp;$C1353)</f>
        <v/>
      </c>
      <c r="L1353" s="201">
        <f>SUMIFS(rl_daysafter,rl_key,$A$1318,rl_effmonth,$B1353,rl_first,1)</f>
        <v/>
      </c>
      <c r="M1353" s="209">
        <f>IF($K1353=0,0,MIN(1,$L1353/$D1353))</f>
        <v/>
      </c>
      <c r="N1353" s="208">
        <f>IF($K1353=0,$J1353,(1-$M1353)*$I1353+$M1353*$J1353)</f>
        <v/>
      </c>
      <c r="O1353" s="209">
        <f>IF($F1353&lt;$B$1319,$E$1319+$I$1319*($F1353-$A$1319),IF($F1353&lt;$C$1319,$F$1319+$J$1319*($F1353-$B$1319),$G$1319+$K$1319*($F1353-$C$1319)))</f>
        <v/>
      </c>
      <c r="P1353" s="208">
        <f>MIN(1,MAX(0,(nr_MEndPm1-$G1353+0.5)/$C$1318))-MIN(1,MAX(0,(nr_MStartPm1-1-$G1353+0.5)/$C$1318))</f>
        <v/>
      </c>
      <c r="Q1353" s="208">
        <f>MIN(1,MAX(0,(nr_MEndP-$G1353+0.5)/$C$1318))-MIN(1,MAX(0,(nr_MStartP-1-$G1353+0.5)/$C$1318))</f>
        <v/>
      </c>
      <c r="R1353" s="208">
        <f>MIN(1,MAX(0,(nr_MEndP1-$G1353+0.5)/$C$1318))-MIN(1,MAX(0,(nr_MStartP1-1-$G1353+0.5)/$C$1318))</f>
        <v/>
      </c>
      <c r="S1353" s="208">
        <f>IF($L$1318,$N1353*IF($O$1318=1,$O1353/$F$1318,1),"")</f>
        <v/>
      </c>
      <c r="T1353" s="208">
        <f>IF(NOT($L$1318),"",IF($G1353&lt;nr_MStartP,$S1353,$T1341*(1+IF($G1353&lt;nr_MStartP1,$M$1318,$N$1318))))</f>
        <v/>
      </c>
      <c r="U1353" s="208">
        <f>IF($L$1318,$T1353,$N1353)</f>
        <v/>
      </c>
    </row>
    <row r="1354">
      <c r="A1354" s="145" t="n">
        <v>34</v>
      </c>
      <c r="B1354" s="204">
        <f>EDATE($B1353,1)</f>
        <v/>
      </c>
      <c r="C1354" s="205">
        <f>EOMONTH($B1354,0)</f>
        <v/>
      </c>
      <c r="D1354" s="201">
        <f>$C1354-$B1354+1</f>
        <v/>
      </c>
      <c r="E1354" s="201">
        <f>MONTH($B1354)</f>
        <v/>
      </c>
      <c r="F1354" s="235">
        <f>($B1354+$C1354+1)/2</f>
        <v/>
      </c>
      <c r="G1354" s="201">
        <f>YEAR($B1354)*12+MONTH($B1354)-1</f>
        <v/>
      </c>
      <c r="H1354" s="207">
        <f>IF(OR(nr_SeasonOn="OFF",$D$1318=0,$E$1318=0),1,12*INDEX(se_block,$D$1318,$E1354)/$E$1318)</f>
        <v/>
      </c>
      <c r="I1354" s="208">
        <f>EXP(SUMPRODUCT((rl_eff&lt;$B1354)*(rl_key=$A$1318)*rl_ln1p))</f>
        <v/>
      </c>
      <c r="J1354" s="208">
        <f>EXP(SUMPRODUCT((rl_eff&lt;=$C1354)*(rl_key=$A$1318)*rl_ln1p))</f>
        <v/>
      </c>
      <c r="K1354" s="201">
        <f>COUNTIFS(rl_key,$A$1318,rl_eff,"&gt;="&amp;$B1354,rl_eff,"&lt;="&amp;$C1354)</f>
        <v/>
      </c>
      <c r="L1354" s="201">
        <f>SUMIFS(rl_daysafter,rl_key,$A$1318,rl_effmonth,$B1354,rl_first,1)</f>
        <v/>
      </c>
      <c r="M1354" s="209">
        <f>IF($K1354=0,0,MIN(1,$L1354/$D1354))</f>
        <v/>
      </c>
      <c r="N1354" s="208">
        <f>IF($K1354=0,$J1354,(1-$M1354)*$I1354+$M1354*$J1354)</f>
        <v/>
      </c>
      <c r="O1354" s="209">
        <f>IF($F1354&lt;$B$1319,$E$1319+$I$1319*($F1354-$A$1319),IF($F1354&lt;$C$1319,$F$1319+$J$1319*($F1354-$B$1319),$G$1319+$K$1319*($F1354-$C$1319)))</f>
        <v/>
      </c>
      <c r="P1354" s="208">
        <f>MIN(1,MAX(0,(nr_MEndPm1-$G1354+0.5)/$C$1318))-MIN(1,MAX(0,(nr_MStartPm1-1-$G1354+0.5)/$C$1318))</f>
        <v/>
      </c>
      <c r="Q1354" s="208">
        <f>MIN(1,MAX(0,(nr_MEndP-$G1354+0.5)/$C$1318))-MIN(1,MAX(0,(nr_MStartP-1-$G1354+0.5)/$C$1318))</f>
        <v/>
      </c>
      <c r="R1354" s="208">
        <f>MIN(1,MAX(0,(nr_MEndP1-$G1354+0.5)/$C$1318))-MIN(1,MAX(0,(nr_MStartP1-1-$G1354+0.5)/$C$1318))</f>
        <v/>
      </c>
      <c r="S1354" s="208">
        <f>IF($L$1318,$N1354*IF($O$1318=1,$O1354/$F$1318,1),"")</f>
        <v/>
      </c>
      <c r="T1354" s="208">
        <f>IF(NOT($L$1318),"",IF($G1354&lt;nr_MStartP,$S1354,$T1342*(1+IF($G1354&lt;nr_MStartP1,$M$1318,$N$1318))))</f>
        <v/>
      </c>
      <c r="U1354" s="208">
        <f>IF($L$1318,$T1354,$N1354)</f>
        <v/>
      </c>
    </row>
    <row r="1355">
      <c r="A1355" s="145" t="n">
        <v>35</v>
      </c>
      <c r="B1355" s="204">
        <f>EDATE($B1354,1)</f>
        <v/>
      </c>
      <c r="C1355" s="205">
        <f>EOMONTH($B1355,0)</f>
        <v/>
      </c>
      <c r="D1355" s="201">
        <f>$C1355-$B1355+1</f>
        <v/>
      </c>
      <c r="E1355" s="201">
        <f>MONTH($B1355)</f>
        <v/>
      </c>
      <c r="F1355" s="235">
        <f>($B1355+$C1355+1)/2</f>
        <v/>
      </c>
      <c r="G1355" s="201">
        <f>YEAR($B1355)*12+MONTH($B1355)-1</f>
        <v/>
      </c>
      <c r="H1355" s="207">
        <f>IF(OR(nr_SeasonOn="OFF",$D$1318=0,$E$1318=0),1,12*INDEX(se_block,$D$1318,$E1355)/$E$1318)</f>
        <v/>
      </c>
      <c r="I1355" s="208">
        <f>EXP(SUMPRODUCT((rl_eff&lt;$B1355)*(rl_key=$A$1318)*rl_ln1p))</f>
        <v/>
      </c>
      <c r="J1355" s="208">
        <f>EXP(SUMPRODUCT((rl_eff&lt;=$C1355)*(rl_key=$A$1318)*rl_ln1p))</f>
        <v/>
      </c>
      <c r="K1355" s="201">
        <f>COUNTIFS(rl_key,$A$1318,rl_eff,"&gt;="&amp;$B1355,rl_eff,"&lt;="&amp;$C1355)</f>
        <v/>
      </c>
      <c r="L1355" s="201">
        <f>SUMIFS(rl_daysafter,rl_key,$A$1318,rl_effmonth,$B1355,rl_first,1)</f>
        <v/>
      </c>
      <c r="M1355" s="209">
        <f>IF($K1355=0,0,MIN(1,$L1355/$D1355))</f>
        <v/>
      </c>
      <c r="N1355" s="208">
        <f>IF($K1355=0,$J1355,(1-$M1355)*$I1355+$M1355*$J1355)</f>
        <v/>
      </c>
      <c r="O1355" s="209">
        <f>IF($F1355&lt;$B$1319,$E$1319+$I$1319*($F1355-$A$1319),IF($F1355&lt;$C$1319,$F$1319+$J$1319*($F1355-$B$1319),$G$1319+$K$1319*($F1355-$C$1319)))</f>
        <v/>
      </c>
      <c r="P1355" s="208">
        <f>MIN(1,MAX(0,(nr_MEndPm1-$G1355+0.5)/$C$1318))-MIN(1,MAX(0,(nr_MStartPm1-1-$G1355+0.5)/$C$1318))</f>
        <v/>
      </c>
      <c r="Q1355" s="208">
        <f>MIN(1,MAX(0,(nr_MEndP-$G1355+0.5)/$C$1318))-MIN(1,MAX(0,(nr_MStartP-1-$G1355+0.5)/$C$1318))</f>
        <v/>
      </c>
      <c r="R1355" s="208">
        <f>MIN(1,MAX(0,(nr_MEndP1-$G1355+0.5)/$C$1318))-MIN(1,MAX(0,(nr_MStartP1-1-$G1355+0.5)/$C$1318))</f>
        <v/>
      </c>
      <c r="S1355" s="208">
        <f>IF($L$1318,$N1355*IF($O$1318=1,$O1355/$F$1318,1),"")</f>
        <v/>
      </c>
      <c r="T1355" s="208">
        <f>IF(NOT($L$1318),"",IF($G1355&lt;nr_MStartP,$S1355,$T1343*(1+IF($G1355&lt;nr_MStartP1,$M$1318,$N$1318))))</f>
        <v/>
      </c>
      <c r="U1355" s="208">
        <f>IF($L$1318,$T1355,$N1355)</f>
        <v/>
      </c>
    </row>
    <row r="1356">
      <c r="A1356" s="145" t="n">
        <v>36</v>
      </c>
      <c r="B1356" s="204">
        <f>EDATE($B1355,1)</f>
        <v/>
      </c>
      <c r="C1356" s="205">
        <f>EOMONTH($B1356,0)</f>
        <v/>
      </c>
      <c r="D1356" s="201">
        <f>$C1356-$B1356+1</f>
        <v/>
      </c>
      <c r="E1356" s="201">
        <f>MONTH($B1356)</f>
        <v/>
      </c>
      <c r="F1356" s="235">
        <f>($B1356+$C1356+1)/2</f>
        <v/>
      </c>
      <c r="G1356" s="201">
        <f>YEAR($B1356)*12+MONTH($B1356)-1</f>
        <v/>
      </c>
      <c r="H1356" s="207">
        <f>IF(OR(nr_SeasonOn="OFF",$D$1318=0,$E$1318=0),1,12*INDEX(se_block,$D$1318,$E1356)/$E$1318)</f>
        <v/>
      </c>
      <c r="I1356" s="208">
        <f>EXP(SUMPRODUCT((rl_eff&lt;$B1356)*(rl_key=$A$1318)*rl_ln1p))</f>
        <v/>
      </c>
      <c r="J1356" s="208">
        <f>EXP(SUMPRODUCT((rl_eff&lt;=$C1356)*(rl_key=$A$1318)*rl_ln1p))</f>
        <v/>
      </c>
      <c r="K1356" s="201">
        <f>COUNTIFS(rl_key,$A$1318,rl_eff,"&gt;="&amp;$B1356,rl_eff,"&lt;="&amp;$C1356)</f>
        <v/>
      </c>
      <c r="L1356" s="201">
        <f>SUMIFS(rl_daysafter,rl_key,$A$1318,rl_effmonth,$B1356,rl_first,1)</f>
        <v/>
      </c>
      <c r="M1356" s="209">
        <f>IF($K1356=0,0,MIN(1,$L1356/$D1356))</f>
        <v/>
      </c>
      <c r="N1356" s="208">
        <f>IF($K1356=0,$J1356,(1-$M1356)*$I1356+$M1356*$J1356)</f>
        <v/>
      </c>
      <c r="O1356" s="209">
        <f>IF($F1356&lt;$B$1319,$E$1319+$I$1319*($F1356-$A$1319),IF($F1356&lt;$C$1319,$F$1319+$J$1319*($F1356-$B$1319),$G$1319+$K$1319*($F1356-$C$1319)))</f>
        <v/>
      </c>
      <c r="P1356" s="208">
        <f>MIN(1,MAX(0,(nr_MEndPm1-$G1356+0.5)/$C$1318))-MIN(1,MAX(0,(nr_MStartPm1-1-$G1356+0.5)/$C$1318))</f>
        <v/>
      </c>
      <c r="Q1356" s="208">
        <f>MIN(1,MAX(0,(nr_MEndP-$G1356+0.5)/$C$1318))-MIN(1,MAX(0,(nr_MStartP-1-$G1356+0.5)/$C$1318))</f>
        <v/>
      </c>
      <c r="R1356" s="208">
        <f>MIN(1,MAX(0,(nr_MEndP1-$G1356+0.5)/$C$1318))-MIN(1,MAX(0,(nr_MStartP1-1-$G1356+0.5)/$C$1318))</f>
        <v/>
      </c>
      <c r="S1356" s="208">
        <f>IF($L$1318,$N1356*IF($O$1318=1,$O1356/$F$1318,1),"")</f>
        <v/>
      </c>
      <c r="T1356" s="208">
        <f>IF(NOT($L$1318),"",IF($G1356&lt;nr_MStartP,$S1356,$T1344*(1+IF($G1356&lt;nr_MStartP1,$M$1318,$N$1318))))</f>
        <v/>
      </c>
      <c r="U1356" s="208">
        <f>IF($L$1318,$T1356,$N1356)</f>
        <v/>
      </c>
    </row>
    <row r="1357">
      <c r="A1357" s="145" t="n">
        <v>37</v>
      </c>
      <c r="B1357" s="204">
        <f>EDATE($B1356,1)</f>
        <v/>
      </c>
      <c r="C1357" s="205">
        <f>EOMONTH($B1357,0)</f>
        <v/>
      </c>
      <c r="D1357" s="201">
        <f>$C1357-$B1357+1</f>
        <v/>
      </c>
      <c r="E1357" s="201">
        <f>MONTH($B1357)</f>
        <v/>
      </c>
      <c r="F1357" s="235">
        <f>($B1357+$C1357+1)/2</f>
        <v/>
      </c>
      <c r="G1357" s="201">
        <f>YEAR($B1357)*12+MONTH($B1357)-1</f>
        <v/>
      </c>
      <c r="H1357" s="207">
        <f>IF(OR(nr_SeasonOn="OFF",$D$1318=0,$E$1318=0),1,12*INDEX(se_block,$D$1318,$E1357)/$E$1318)</f>
        <v/>
      </c>
      <c r="I1357" s="208">
        <f>EXP(SUMPRODUCT((rl_eff&lt;$B1357)*(rl_key=$A$1318)*rl_ln1p))</f>
        <v/>
      </c>
      <c r="J1357" s="208">
        <f>EXP(SUMPRODUCT((rl_eff&lt;=$C1357)*(rl_key=$A$1318)*rl_ln1p))</f>
        <v/>
      </c>
      <c r="K1357" s="201">
        <f>COUNTIFS(rl_key,$A$1318,rl_eff,"&gt;="&amp;$B1357,rl_eff,"&lt;="&amp;$C1357)</f>
        <v/>
      </c>
      <c r="L1357" s="201">
        <f>SUMIFS(rl_daysafter,rl_key,$A$1318,rl_effmonth,$B1357,rl_first,1)</f>
        <v/>
      </c>
      <c r="M1357" s="209">
        <f>IF($K1357=0,0,MIN(1,$L1357/$D1357))</f>
        <v/>
      </c>
      <c r="N1357" s="208">
        <f>IF($K1357=0,$J1357,(1-$M1357)*$I1357+$M1357*$J1357)</f>
        <v/>
      </c>
      <c r="O1357" s="209">
        <f>IF($F1357&lt;$B$1319,$E$1319+$I$1319*($F1357-$A$1319),IF($F1357&lt;$C$1319,$F$1319+$J$1319*($F1357-$B$1319),$G$1319+$K$1319*($F1357-$C$1319)))</f>
        <v/>
      </c>
      <c r="P1357" s="208">
        <f>MIN(1,MAX(0,(nr_MEndPm1-$G1357+0.5)/$C$1318))-MIN(1,MAX(0,(nr_MStartPm1-1-$G1357+0.5)/$C$1318))</f>
        <v/>
      </c>
      <c r="Q1357" s="208">
        <f>MIN(1,MAX(0,(nr_MEndP-$G1357+0.5)/$C$1318))-MIN(1,MAX(0,(nr_MStartP-1-$G1357+0.5)/$C$1318))</f>
        <v/>
      </c>
      <c r="R1357" s="208">
        <f>MIN(1,MAX(0,(nr_MEndP1-$G1357+0.5)/$C$1318))-MIN(1,MAX(0,(nr_MStartP1-1-$G1357+0.5)/$C$1318))</f>
        <v/>
      </c>
      <c r="S1357" s="208">
        <f>IF($L$1318,$N1357*IF($O$1318=1,$O1357/$F$1318,1),"")</f>
        <v/>
      </c>
      <c r="T1357" s="208">
        <f>IF(NOT($L$1318),"",IF($G1357&lt;nr_MStartP,$S1357,$T1345*(1+IF($G1357&lt;nr_MStartP1,$M$1318,$N$1318))))</f>
        <v/>
      </c>
      <c r="U1357" s="208">
        <f>IF($L$1318,$T1357,$N1357)</f>
        <v/>
      </c>
    </row>
    <row r="1358">
      <c r="A1358" s="145" t="n">
        <v>38</v>
      </c>
      <c r="B1358" s="204">
        <f>EDATE($B1357,1)</f>
        <v/>
      </c>
      <c r="C1358" s="205">
        <f>EOMONTH($B1358,0)</f>
        <v/>
      </c>
      <c r="D1358" s="201">
        <f>$C1358-$B1358+1</f>
        <v/>
      </c>
      <c r="E1358" s="201">
        <f>MONTH($B1358)</f>
        <v/>
      </c>
      <c r="F1358" s="235">
        <f>($B1358+$C1358+1)/2</f>
        <v/>
      </c>
      <c r="G1358" s="201">
        <f>YEAR($B1358)*12+MONTH($B1358)-1</f>
        <v/>
      </c>
      <c r="H1358" s="207">
        <f>IF(OR(nr_SeasonOn="OFF",$D$1318=0,$E$1318=0),1,12*INDEX(se_block,$D$1318,$E1358)/$E$1318)</f>
        <v/>
      </c>
      <c r="I1358" s="208">
        <f>EXP(SUMPRODUCT((rl_eff&lt;$B1358)*(rl_key=$A$1318)*rl_ln1p))</f>
        <v/>
      </c>
      <c r="J1358" s="208">
        <f>EXP(SUMPRODUCT((rl_eff&lt;=$C1358)*(rl_key=$A$1318)*rl_ln1p))</f>
        <v/>
      </c>
      <c r="K1358" s="201">
        <f>COUNTIFS(rl_key,$A$1318,rl_eff,"&gt;="&amp;$B1358,rl_eff,"&lt;="&amp;$C1358)</f>
        <v/>
      </c>
      <c r="L1358" s="201">
        <f>SUMIFS(rl_daysafter,rl_key,$A$1318,rl_effmonth,$B1358,rl_first,1)</f>
        <v/>
      </c>
      <c r="M1358" s="209">
        <f>IF($K1358=0,0,MIN(1,$L1358/$D1358))</f>
        <v/>
      </c>
      <c r="N1358" s="208">
        <f>IF($K1358=0,$J1358,(1-$M1358)*$I1358+$M1358*$J1358)</f>
        <v/>
      </c>
      <c r="O1358" s="209">
        <f>IF($F1358&lt;$B$1319,$E$1319+$I$1319*($F1358-$A$1319),IF($F1358&lt;$C$1319,$F$1319+$J$1319*($F1358-$B$1319),$G$1319+$K$1319*($F1358-$C$1319)))</f>
        <v/>
      </c>
      <c r="P1358" s="208">
        <f>MIN(1,MAX(0,(nr_MEndPm1-$G1358+0.5)/$C$1318))-MIN(1,MAX(0,(nr_MStartPm1-1-$G1358+0.5)/$C$1318))</f>
        <v/>
      </c>
      <c r="Q1358" s="208">
        <f>MIN(1,MAX(0,(nr_MEndP-$G1358+0.5)/$C$1318))-MIN(1,MAX(0,(nr_MStartP-1-$G1358+0.5)/$C$1318))</f>
        <v/>
      </c>
      <c r="R1358" s="208">
        <f>MIN(1,MAX(0,(nr_MEndP1-$G1358+0.5)/$C$1318))-MIN(1,MAX(0,(nr_MStartP1-1-$G1358+0.5)/$C$1318))</f>
        <v/>
      </c>
      <c r="S1358" s="208">
        <f>IF($L$1318,$N1358*IF($O$1318=1,$O1358/$F$1318,1),"")</f>
        <v/>
      </c>
      <c r="T1358" s="208">
        <f>IF(NOT($L$1318),"",IF($G1358&lt;nr_MStartP,$S1358,$T1346*(1+IF($G1358&lt;nr_MStartP1,$M$1318,$N$1318))))</f>
        <v/>
      </c>
      <c r="U1358" s="208">
        <f>IF($L$1318,$T1358,$N1358)</f>
        <v/>
      </c>
    </row>
    <row r="1359">
      <c r="A1359" s="145" t="n">
        <v>39</v>
      </c>
      <c r="B1359" s="204">
        <f>EDATE($B1358,1)</f>
        <v/>
      </c>
      <c r="C1359" s="205">
        <f>EOMONTH($B1359,0)</f>
        <v/>
      </c>
      <c r="D1359" s="201">
        <f>$C1359-$B1359+1</f>
        <v/>
      </c>
      <c r="E1359" s="201">
        <f>MONTH($B1359)</f>
        <v/>
      </c>
      <c r="F1359" s="235">
        <f>($B1359+$C1359+1)/2</f>
        <v/>
      </c>
      <c r="G1359" s="201">
        <f>YEAR($B1359)*12+MONTH($B1359)-1</f>
        <v/>
      </c>
      <c r="H1359" s="207">
        <f>IF(OR(nr_SeasonOn="OFF",$D$1318=0,$E$1318=0),1,12*INDEX(se_block,$D$1318,$E1359)/$E$1318)</f>
        <v/>
      </c>
      <c r="I1359" s="208">
        <f>EXP(SUMPRODUCT((rl_eff&lt;$B1359)*(rl_key=$A$1318)*rl_ln1p))</f>
        <v/>
      </c>
      <c r="J1359" s="208">
        <f>EXP(SUMPRODUCT((rl_eff&lt;=$C1359)*(rl_key=$A$1318)*rl_ln1p))</f>
        <v/>
      </c>
      <c r="K1359" s="201">
        <f>COUNTIFS(rl_key,$A$1318,rl_eff,"&gt;="&amp;$B1359,rl_eff,"&lt;="&amp;$C1359)</f>
        <v/>
      </c>
      <c r="L1359" s="201">
        <f>SUMIFS(rl_daysafter,rl_key,$A$1318,rl_effmonth,$B1359,rl_first,1)</f>
        <v/>
      </c>
      <c r="M1359" s="209">
        <f>IF($K1359=0,0,MIN(1,$L1359/$D1359))</f>
        <v/>
      </c>
      <c r="N1359" s="208">
        <f>IF($K1359=0,$J1359,(1-$M1359)*$I1359+$M1359*$J1359)</f>
        <v/>
      </c>
      <c r="O1359" s="209">
        <f>IF($F1359&lt;$B$1319,$E$1319+$I$1319*($F1359-$A$1319),IF($F1359&lt;$C$1319,$F$1319+$J$1319*($F1359-$B$1319),$G$1319+$K$1319*($F1359-$C$1319)))</f>
        <v/>
      </c>
      <c r="P1359" s="208">
        <f>MIN(1,MAX(0,(nr_MEndPm1-$G1359+0.5)/$C$1318))-MIN(1,MAX(0,(nr_MStartPm1-1-$G1359+0.5)/$C$1318))</f>
        <v/>
      </c>
      <c r="Q1359" s="208">
        <f>MIN(1,MAX(0,(nr_MEndP-$G1359+0.5)/$C$1318))-MIN(1,MAX(0,(nr_MStartP-1-$G1359+0.5)/$C$1318))</f>
        <v/>
      </c>
      <c r="R1359" s="208">
        <f>MIN(1,MAX(0,(nr_MEndP1-$G1359+0.5)/$C$1318))-MIN(1,MAX(0,(nr_MStartP1-1-$G1359+0.5)/$C$1318))</f>
        <v/>
      </c>
      <c r="S1359" s="208">
        <f>IF($L$1318,$N1359*IF($O$1318=1,$O1359/$F$1318,1),"")</f>
        <v/>
      </c>
      <c r="T1359" s="208">
        <f>IF(NOT($L$1318),"",IF($G1359&lt;nr_MStartP,$S1359,$T1347*(1+IF($G1359&lt;nr_MStartP1,$M$1318,$N$1318))))</f>
        <v/>
      </c>
      <c r="U1359" s="208">
        <f>IF($L$1318,$T1359,$N1359)</f>
        <v/>
      </c>
    </row>
    <row r="1360">
      <c r="A1360" s="145" t="n">
        <v>40</v>
      </c>
      <c r="B1360" s="204">
        <f>EDATE($B1359,1)</f>
        <v/>
      </c>
      <c r="C1360" s="205">
        <f>EOMONTH($B1360,0)</f>
        <v/>
      </c>
      <c r="D1360" s="201">
        <f>$C1360-$B1360+1</f>
        <v/>
      </c>
      <c r="E1360" s="201">
        <f>MONTH($B1360)</f>
        <v/>
      </c>
      <c r="F1360" s="235">
        <f>($B1360+$C1360+1)/2</f>
        <v/>
      </c>
      <c r="G1360" s="201">
        <f>YEAR($B1360)*12+MONTH($B1360)-1</f>
        <v/>
      </c>
      <c r="H1360" s="207">
        <f>IF(OR(nr_SeasonOn="OFF",$D$1318=0,$E$1318=0),1,12*INDEX(se_block,$D$1318,$E1360)/$E$1318)</f>
        <v/>
      </c>
      <c r="I1360" s="208">
        <f>EXP(SUMPRODUCT((rl_eff&lt;$B1360)*(rl_key=$A$1318)*rl_ln1p))</f>
        <v/>
      </c>
      <c r="J1360" s="208">
        <f>EXP(SUMPRODUCT((rl_eff&lt;=$C1360)*(rl_key=$A$1318)*rl_ln1p))</f>
        <v/>
      </c>
      <c r="K1360" s="201">
        <f>COUNTIFS(rl_key,$A$1318,rl_eff,"&gt;="&amp;$B1360,rl_eff,"&lt;="&amp;$C1360)</f>
        <v/>
      </c>
      <c r="L1360" s="201">
        <f>SUMIFS(rl_daysafter,rl_key,$A$1318,rl_effmonth,$B1360,rl_first,1)</f>
        <v/>
      </c>
      <c r="M1360" s="209">
        <f>IF($K1360=0,0,MIN(1,$L1360/$D1360))</f>
        <v/>
      </c>
      <c r="N1360" s="208">
        <f>IF($K1360=0,$J1360,(1-$M1360)*$I1360+$M1360*$J1360)</f>
        <v/>
      </c>
      <c r="O1360" s="209">
        <f>IF($F1360&lt;$B$1319,$E$1319+$I$1319*($F1360-$A$1319),IF($F1360&lt;$C$1319,$F$1319+$J$1319*($F1360-$B$1319),$G$1319+$K$1319*($F1360-$C$1319)))</f>
        <v/>
      </c>
      <c r="P1360" s="208">
        <f>MIN(1,MAX(0,(nr_MEndPm1-$G1360+0.5)/$C$1318))-MIN(1,MAX(0,(nr_MStartPm1-1-$G1360+0.5)/$C$1318))</f>
        <v/>
      </c>
      <c r="Q1360" s="208">
        <f>MIN(1,MAX(0,(nr_MEndP-$G1360+0.5)/$C$1318))-MIN(1,MAX(0,(nr_MStartP-1-$G1360+0.5)/$C$1318))</f>
        <v/>
      </c>
      <c r="R1360" s="208">
        <f>MIN(1,MAX(0,(nr_MEndP1-$G1360+0.5)/$C$1318))-MIN(1,MAX(0,(nr_MStartP1-1-$G1360+0.5)/$C$1318))</f>
        <v/>
      </c>
      <c r="S1360" s="208">
        <f>IF($L$1318,$N1360*IF($O$1318=1,$O1360/$F$1318,1),"")</f>
        <v/>
      </c>
      <c r="T1360" s="208">
        <f>IF(NOT($L$1318),"",IF($G1360&lt;nr_MStartP,$S1360,$T1348*(1+IF($G1360&lt;nr_MStartP1,$M$1318,$N$1318))))</f>
        <v/>
      </c>
      <c r="U1360" s="208">
        <f>IF($L$1318,$T1360,$N1360)</f>
        <v/>
      </c>
    </row>
    <row r="1361">
      <c r="A1361" s="145" t="n">
        <v>41</v>
      </c>
      <c r="B1361" s="204">
        <f>EDATE($B1360,1)</f>
        <v/>
      </c>
      <c r="C1361" s="205">
        <f>EOMONTH($B1361,0)</f>
        <v/>
      </c>
      <c r="D1361" s="201">
        <f>$C1361-$B1361+1</f>
        <v/>
      </c>
      <c r="E1361" s="201">
        <f>MONTH($B1361)</f>
        <v/>
      </c>
      <c r="F1361" s="235">
        <f>($B1361+$C1361+1)/2</f>
        <v/>
      </c>
      <c r="G1361" s="201">
        <f>YEAR($B1361)*12+MONTH($B1361)-1</f>
        <v/>
      </c>
      <c r="H1361" s="207">
        <f>IF(OR(nr_SeasonOn="OFF",$D$1318=0,$E$1318=0),1,12*INDEX(se_block,$D$1318,$E1361)/$E$1318)</f>
        <v/>
      </c>
      <c r="I1361" s="208">
        <f>EXP(SUMPRODUCT((rl_eff&lt;$B1361)*(rl_key=$A$1318)*rl_ln1p))</f>
        <v/>
      </c>
      <c r="J1361" s="208">
        <f>EXP(SUMPRODUCT((rl_eff&lt;=$C1361)*(rl_key=$A$1318)*rl_ln1p))</f>
        <v/>
      </c>
      <c r="K1361" s="201">
        <f>COUNTIFS(rl_key,$A$1318,rl_eff,"&gt;="&amp;$B1361,rl_eff,"&lt;="&amp;$C1361)</f>
        <v/>
      </c>
      <c r="L1361" s="201">
        <f>SUMIFS(rl_daysafter,rl_key,$A$1318,rl_effmonth,$B1361,rl_first,1)</f>
        <v/>
      </c>
      <c r="M1361" s="209">
        <f>IF($K1361=0,0,MIN(1,$L1361/$D1361))</f>
        <v/>
      </c>
      <c r="N1361" s="208">
        <f>IF($K1361=0,$J1361,(1-$M1361)*$I1361+$M1361*$J1361)</f>
        <v/>
      </c>
      <c r="O1361" s="209">
        <f>IF($F1361&lt;$B$1319,$E$1319+$I$1319*($F1361-$A$1319),IF($F1361&lt;$C$1319,$F$1319+$J$1319*($F1361-$B$1319),$G$1319+$K$1319*($F1361-$C$1319)))</f>
        <v/>
      </c>
      <c r="P1361" s="208">
        <f>MIN(1,MAX(0,(nr_MEndPm1-$G1361+0.5)/$C$1318))-MIN(1,MAX(0,(nr_MStartPm1-1-$G1361+0.5)/$C$1318))</f>
        <v/>
      </c>
      <c r="Q1361" s="208">
        <f>MIN(1,MAX(0,(nr_MEndP-$G1361+0.5)/$C$1318))-MIN(1,MAX(0,(nr_MStartP-1-$G1361+0.5)/$C$1318))</f>
        <v/>
      </c>
      <c r="R1361" s="208">
        <f>MIN(1,MAX(0,(nr_MEndP1-$G1361+0.5)/$C$1318))-MIN(1,MAX(0,(nr_MStartP1-1-$G1361+0.5)/$C$1318))</f>
        <v/>
      </c>
      <c r="S1361" s="208">
        <f>IF($L$1318,$N1361*IF($O$1318=1,$O1361/$F$1318,1),"")</f>
        <v/>
      </c>
      <c r="T1361" s="208">
        <f>IF(NOT($L$1318),"",IF($G1361&lt;nr_MStartP,$S1361,$T1349*(1+IF($G1361&lt;nr_MStartP1,$M$1318,$N$1318))))</f>
        <v/>
      </c>
      <c r="U1361" s="208">
        <f>IF($L$1318,$T1361,$N1361)</f>
        <v/>
      </c>
    </row>
    <row r="1362">
      <c r="A1362" s="145" t="n">
        <v>42</v>
      </c>
      <c r="B1362" s="204">
        <f>EDATE($B1361,1)</f>
        <v/>
      </c>
      <c r="C1362" s="205">
        <f>EOMONTH($B1362,0)</f>
        <v/>
      </c>
      <c r="D1362" s="201">
        <f>$C1362-$B1362+1</f>
        <v/>
      </c>
      <c r="E1362" s="201">
        <f>MONTH($B1362)</f>
        <v/>
      </c>
      <c r="F1362" s="235">
        <f>($B1362+$C1362+1)/2</f>
        <v/>
      </c>
      <c r="G1362" s="201">
        <f>YEAR($B1362)*12+MONTH($B1362)-1</f>
        <v/>
      </c>
      <c r="H1362" s="207">
        <f>IF(OR(nr_SeasonOn="OFF",$D$1318=0,$E$1318=0),1,12*INDEX(se_block,$D$1318,$E1362)/$E$1318)</f>
        <v/>
      </c>
      <c r="I1362" s="208">
        <f>EXP(SUMPRODUCT((rl_eff&lt;$B1362)*(rl_key=$A$1318)*rl_ln1p))</f>
        <v/>
      </c>
      <c r="J1362" s="208">
        <f>EXP(SUMPRODUCT((rl_eff&lt;=$C1362)*(rl_key=$A$1318)*rl_ln1p))</f>
        <v/>
      </c>
      <c r="K1362" s="201">
        <f>COUNTIFS(rl_key,$A$1318,rl_eff,"&gt;="&amp;$B1362,rl_eff,"&lt;="&amp;$C1362)</f>
        <v/>
      </c>
      <c r="L1362" s="201">
        <f>SUMIFS(rl_daysafter,rl_key,$A$1318,rl_effmonth,$B1362,rl_first,1)</f>
        <v/>
      </c>
      <c r="M1362" s="209">
        <f>IF($K1362=0,0,MIN(1,$L1362/$D1362))</f>
        <v/>
      </c>
      <c r="N1362" s="208">
        <f>IF($K1362=0,$J1362,(1-$M1362)*$I1362+$M1362*$J1362)</f>
        <v/>
      </c>
      <c r="O1362" s="209">
        <f>IF($F1362&lt;$B$1319,$E$1319+$I$1319*($F1362-$A$1319),IF($F1362&lt;$C$1319,$F$1319+$J$1319*($F1362-$B$1319),$G$1319+$K$1319*($F1362-$C$1319)))</f>
        <v/>
      </c>
      <c r="P1362" s="208">
        <f>MIN(1,MAX(0,(nr_MEndPm1-$G1362+0.5)/$C$1318))-MIN(1,MAX(0,(nr_MStartPm1-1-$G1362+0.5)/$C$1318))</f>
        <v/>
      </c>
      <c r="Q1362" s="208">
        <f>MIN(1,MAX(0,(nr_MEndP-$G1362+0.5)/$C$1318))-MIN(1,MAX(0,(nr_MStartP-1-$G1362+0.5)/$C$1318))</f>
        <v/>
      </c>
      <c r="R1362" s="208">
        <f>MIN(1,MAX(0,(nr_MEndP1-$G1362+0.5)/$C$1318))-MIN(1,MAX(0,(nr_MStartP1-1-$G1362+0.5)/$C$1318))</f>
        <v/>
      </c>
      <c r="S1362" s="208">
        <f>IF($L$1318,$N1362*IF($O$1318=1,$O1362/$F$1318,1),"")</f>
        <v/>
      </c>
      <c r="T1362" s="208">
        <f>IF(NOT($L$1318),"",IF($G1362&lt;nr_MStartP,$S1362,$T1350*(1+IF($G1362&lt;nr_MStartP1,$M$1318,$N$1318))))</f>
        <v/>
      </c>
      <c r="U1362" s="208">
        <f>IF($L$1318,$T1362,$N1362)</f>
        <v/>
      </c>
    </row>
    <row r="1363">
      <c r="A1363" s="145" t="n">
        <v>43</v>
      </c>
      <c r="B1363" s="204">
        <f>EDATE($B1362,1)</f>
        <v/>
      </c>
      <c r="C1363" s="205">
        <f>EOMONTH($B1363,0)</f>
        <v/>
      </c>
      <c r="D1363" s="201">
        <f>$C1363-$B1363+1</f>
        <v/>
      </c>
      <c r="E1363" s="201">
        <f>MONTH($B1363)</f>
        <v/>
      </c>
      <c r="F1363" s="235">
        <f>($B1363+$C1363+1)/2</f>
        <v/>
      </c>
      <c r="G1363" s="201">
        <f>YEAR($B1363)*12+MONTH($B1363)-1</f>
        <v/>
      </c>
      <c r="H1363" s="207">
        <f>IF(OR(nr_SeasonOn="OFF",$D$1318=0,$E$1318=0),1,12*INDEX(se_block,$D$1318,$E1363)/$E$1318)</f>
        <v/>
      </c>
      <c r="I1363" s="208">
        <f>EXP(SUMPRODUCT((rl_eff&lt;$B1363)*(rl_key=$A$1318)*rl_ln1p))</f>
        <v/>
      </c>
      <c r="J1363" s="208">
        <f>EXP(SUMPRODUCT((rl_eff&lt;=$C1363)*(rl_key=$A$1318)*rl_ln1p))</f>
        <v/>
      </c>
      <c r="K1363" s="201">
        <f>COUNTIFS(rl_key,$A$1318,rl_eff,"&gt;="&amp;$B1363,rl_eff,"&lt;="&amp;$C1363)</f>
        <v/>
      </c>
      <c r="L1363" s="201">
        <f>SUMIFS(rl_daysafter,rl_key,$A$1318,rl_effmonth,$B1363,rl_first,1)</f>
        <v/>
      </c>
      <c r="M1363" s="209">
        <f>IF($K1363=0,0,MIN(1,$L1363/$D1363))</f>
        <v/>
      </c>
      <c r="N1363" s="208">
        <f>IF($K1363=0,$J1363,(1-$M1363)*$I1363+$M1363*$J1363)</f>
        <v/>
      </c>
      <c r="O1363" s="209">
        <f>IF($F1363&lt;$B$1319,$E$1319+$I$1319*($F1363-$A$1319),IF($F1363&lt;$C$1319,$F$1319+$J$1319*($F1363-$B$1319),$G$1319+$K$1319*($F1363-$C$1319)))</f>
        <v/>
      </c>
      <c r="P1363" s="208">
        <f>MIN(1,MAX(0,(nr_MEndPm1-$G1363+0.5)/$C$1318))-MIN(1,MAX(0,(nr_MStartPm1-1-$G1363+0.5)/$C$1318))</f>
        <v/>
      </c>
      <c r="Q1363" s="208">
        <f>MIN(1,MAX(0,(nr_MEndP-$G1363+0.5)/$C$1318))-MIN(1,MAX(0,(nr_MStartP-1-$G1363+0.5)/$C$1318))</f>
        <v/>
      </c>
      <c r="R1363" s="208">
        <f>MIN(1,MAX(0,(nr_MEndP1-$G1363+0.5)/$C$1318))-MIN(1,MAX(0,(nr_MStartP1-1-$G1363+0.5)/$C$1318))</f>
        <v/>
      </c>
      <c r="S1363" s="208">
        <f>IF($L$1318,$N1363*IF($O$1318=1,$O1363/$F$1318,1),"")</f>
        <v/>
      </c>
      <c r="T1363" s="208">
        <f>IF(NOT($L$1318),"",IF($G1363&lt;nr_MStartP,$S1363,$T1351*(1+IF($G1363&lt;nr_MStartP1,$M$1318,$N$1318))))</f>
        <v/>
      </c>
      <c r="U1363" s="208">
        <f>IF($L$1318,$T1363,$N1363)</f>
        <v/>
      </c>
    </row>
    <row r="1364">
      <c r="A1364" s="145" t="n">
        <v>44</v>
      </c>
      <c r="B1364" s="204">
        <f>EDATE($B1363,1)</f>
        <v/>
      </c>
      <c r="C1364" s="205">
        <f>EOMONTH($B1364,0)</f>
        <v/>
      </c>
      <c r="D1364" s="201">
        <f>$C1364-$B1364+1</f>
        <v/>
      </c>
      <c r="E1364" s="201">
        <f>MONTH($B1364)</f>
        <v/>
      </c>
      <c r="F1364" s="235">
        <f>($B1364+$C1364+1)/2</f>
        <v/>
      </c>
      <c r="G1364" s="201">
        <f>YEAR($B1364)*12+MONTH($B1364)-1</f>
        <v/>
      </c>
      <c r="H1364" s="207">
        <f>IF(OR(nr_SeasonOn="OFF",$D$1318=0,$E$1318=0),1,12*INDEX(se_block,$D$1318,$E1364)/$E$1318)</f>
        <v/>
      </c>
      <c r="I1364" s="208">
        <f>EXP(SUMPRODUCT((rl_eff&lt;$B1364)*(rl_key=$A$1318)*rl_ln1p))</f>
        <v/>
      </c>
      <c r="J1364" s="208">
        <f>EXP(SUMPRODUCT((rl_eff&lt;=$C1364)*(rl_key=$A$1318)*rl_ln1p))</f>
        <v/>
      </c>
      <c r="K1364" s="201">
        <f>COUNTIFS(rl_key,$A$1318,rl_eff,"&gt;="&amp;$B1364,rl_eff,"&lt;="&amp;$C1364)</f>
        <v/>
      </c>
      <c r="L1364" s="201">
        <f>SUMIFS(rl_daysafter,rl_key,$A$1318,rl_effmonth,$B1364,rl_first,1)</f>
        <v/>
      </c>
      <c r="M1364" s="209">
        <f>IF($K1364=0,0,MIN(1,$L1364/$D1364))</f>
        <v/>
      </c>
      <c r="N1364" s="208">
        <f>IF($K1364=0,$J1364,(1-$M1364)*$I1364+$M1364*$J1364)</f>
        <v/>
      </c>
      <c r="O1364" s="209">
        <f>IF($F1364&lt;$B$1319,$E$1319+$I$1319*($F1364-$A$1319),IF($F1364&lt;$C$1319,$F$1319+$J$1319*($F1364-$B$1319),$G$1319+$K$1319*($F1364-$C$1319)))</f>
        <v/>
      </c>
      <c r="P1364" s="208">
        <f>MIN(1,MAX(0,(nr_MEndPm1-$G1364+0.5)/$C$1318))-MIN(1,MAX(0,(nr_MStartPm1-1-$G1364+0.5)/$C$1318))</f>
        <v/>
      </c>
      <c r="Q1364" s="208">
        <f>MIN(1,MAX(0,(nr_MEndP-$G1364+0.5)/$C$1318))-MIN(1,MAX(0,(nr_MStartP-1-$G1364+0.5)/$C$1318))</f>
        <v/>
      </c>
      <c r="R1364" s="208">
        <f>MIN(1,MAX(0,(nr_MEndP1-$G1364+0.5)/$C$1318))-MIN(1,MAX(0,(nr_MStartP1-1-$G1364+0.5)/$C$1318))</f>
        <v/>
      </c>
      <c r="S1364" s="208">
        <f>IF($L$1318,$N1364*IF($O$1318=1,$O1364/$F$1318,1),"")</f>
        <v/>
      </c>
      <c r="T1364" s="208">
        <f>IF(NOT($L$1318),"",IF($G1364&lt;nr_MStartP,$S1364,$T1352*(1+IF($G1364&lt;nr_MStartP1,$M$1318,$N$1318))))</f>
        <v/>
      </c>
      <c r="U1364" s="208">
        <f>IF($L$1318,$T1364,$N1364)</f>
        <v/>
      </c>
    </row>
    <row r="1365">
      <c r="A1365" s="145" t="n">
        <v>45</v>
      </c>
      <c r="B1365" s="204">
        <f>EDATE($B1364,1)</f>
        <v/>
      </c>
      <c r="C1365" s="205">
        <f>EOMONTH($B1365,0)</f>
        <v/>
      </c>
      <c r="D1365" s="201">
        <f>$C1365-$B1365+1</f>
        <v/>
      </c>
      <c r="E1365" s="201">
        <f>MONTH($B1365)</f>
        <v/>
      </c>
      <c r="F1365" s="235">
        <f>($B1365+$C1365+1)/2</f>
        <v/>
      </c>
      <c r="G1365" s="201">
        <f>YEAR($B1365)*12+MONTH($B1365)-1</f>
        <v/>
      </c>
      <c r="H1365" s="207">
        <f>IF(OR(nr_SeasonOn="OFF",$D$1318=0,$E$1318=0),1,12*INDEX(se_block,$D$1318,$E1365)/$E$1318)</f>
        <v/>
      </c>
      <c r="I1365" s="208">
        <f>EXP(SUMPRODUCT((rl_eff&lt;$B1365)*(rl_key=$A$1318)*rl_ln1p))</f>
        <v/>
      </c>
      <c r="J1365" s="208">
        <f>EXP(SUMPRODUCT((rl_eff&lt;=$C1365)*(rl_key=$A$1318)*rl_ln1p))</f>
        <v/>
      </c>
      <c r="K1365" s="201">
        <f>COUNTIFS(rl_key,$A$1318,rl_eff,"&gt;="&amp;$B1365,rl_eff,"&lt;="&amp;$C1365)</f>
        <v/>
      </c>
      <c r="L1365" s="201">
        <f>SUMIFS(rl_daysafter,rl_key,$A$1318,rl_effmonth,$B1365,rl_first,1)</f>
        <v/>
      </c>
      <c r="M1365" s="209">
        <f>IF($K1365=0,0,MIN(1,$L1365/$D1365))</f>
        <v/>
      </c>
      <c r="N1365" s="208">
        <f>IF($K1365=0,$J1365,(1-$M1365)*$I1365+$M1365*$J1365)</f>
        <v/>
      </c>
      <c r="O1365" s="209">
        <f>IF($F1365&lt;$B$1319,$E$1319+$I$1319*($F1365-$A$1319),IF($F1365&lt;$C$1319,$F$1319+$J$1319*($F1365-$B$1319),$G$1319+$K$1319*($F1365-$C$1319)))</f>
        <v/>
      </c>
      <c r="P1365" s="208">
        <f>MIN(1,MAX(0,(nr_MEndPm1-$G1365+0.5)/$C$1318))-MIN(1,MAX(0,(nr_MStartPm1-1-$G1365+0.5)/$C$1318))</f>
        <v/>
      </c>
      <c r="Q1365" s="208">
        <f>MIN(1,MAX(0,(nr_MEndP-$G1365+0.5)/$C$1318))-MIN(1,MAX(0,(nr_MStartP-1-$G1365+0.5)/$C$1318))</f>
        <v/>
      </c>
      <c r="R1365" s="208">
        <f>MIN(1,MAX(0,(nr_MEndP1-$G1365+0.5)/$C$1318))-MIN(1,MAX(0,(nr_MStartP1-1-$G1365+0.5)/$C$1318))</f>
        <v/>
      </c>
      <c r="S1365" s="208">
        <f>IF($L$1318,$N1365*IF($O$1318=1,$O1365/$F$1318,1),"")</f>
        <v/>
      </c>
      <c r="T1365" s="208">
        <f>IF(NOT($L$1318),"",IF($G1365&lt;nr_MStartP,$S1365,$T1353*(1+IF($G1365&lt;nr_MStartP1,$M$1318,$N$1318))))</f>
        <v/>
      </c>
      <c r="U1365" s="208">
        <f>IF($L$1318,$T1365,$N1365)</f>
        <v/>
      </c>
    </row>
    <row r="1366">
      <c r="A1366" s="145" t="n">
        <v>46</v>
      </c>
      <c r="B1366" s="204">
        <f>EDATE($B1365,1)</f>
        <v/>
      </c>
      <c r="C1366" s="205">
        <f>EOMONTH($B1366,0)</f>
        <v/>
      </c>
      <c r="D1366" s="201">
        <f>$C1366-$B1366+1</f>
        <v/>
      </c>
      <c r="E1366" s="201">
        <f>MONTH($B1366)</f>
        <v/>
      </c>
      <c r="F1366" s="235">
        <f>($B1366+$C1366+1)/2</f>
        <v/>
      </c>
      <c r="G1366" s="201">
        <f>YEAR($B1366)*12+MONTH($B1366)-1</f>
        <v/>
      </c>
      <c r="H1366" s="207">
        <f>IF(OR(nr_SeasonOn="OFF",$D$1318=0,$E$1318=0),1,12*INDEX(se_block,$D$1318,$E1366)/$E$1318)</f>
        <v/>
      </c>
      <c r="I1366" s="208">
        <f>EXP(SUMPRODUCT((rl_eff&lt;$B1366)*(rl_key=$A$1318)*rl_ln1p))</f>
        <v/>
      </c>
      <c r="J1366" s="208">
        <f>EXP(SUMPRODUCT((rl_eff&lt;=$C1366)*(rl_key=$A$1318)*rl_ln1p))</f>
        <v/>
      </c>
      <c r="K1366" s="201">
        <f>COUNTIFS(rl_key,$A$1318,rl_eff,"&gt;="&amp;$B1366,rl_eff,"&lt;="&amp;$C1366)</f>
        <v/>
      </c>
      <c r="L1366" s="201">
        <f>SUMIFS(rl_daysafter,rl_key,$A$1318,rl_effmonth,$B1366,rl_first,1)</f>
        <v/>
      </c>
      <c r="M1366" s="209">
        <f>IF($K1366=0,0,MIN(1,$L1366/$D1366))</f>
        <v/>
      </c>
      <c r="N1366" s="208">
        <f>IF($K1366=0,$J1366,(1-$M1366)*$I1366+$M1366*$J1366)</f>
        <v/>
      </c>
      <c r="O1366" s="209">
        <f>IF($F1366&lt;$B$1319,$E$1319+$I$1319*($F1366-$A$1319),IF($F1366&lt;$C$1319,$F$1319+$J$1319*($F1366-$B$1319),$G$1319+$K$1319*($F1366-$C$1319)))</f>
        <v/>
      </c>
      <c r="P1366" s="208">
        <f>MIN(1,MAX(0,(nr_MEndPm1-$G1366+0.5)/$C$1318))-MIN(1,MAX(0,(nr_MStartPm1-1-$G1366+0.5)/$C$1318))</f>
        <v/>
      </c>
      <c r="Q1366" s="208">
        <f>MIN(1,MAX(0,(nr_MEndP-$G1366+0.5)/$C$1318))-MIN(1,MAX(0,(nr_MStartP-1-$G1366+0.5)/$C$1318))</f>
        <v/>
      </c>
      <c r="R1366" s="208">
        <f>MIN(1,MAX(0,(nr_MEndP1-$G1366+0.5)/$C$1318))-MIN(1,MAX(0,(nr_MStartP1-1-$G1366+0.5)/$C$1318))</f>
        <v/>
      </c>
      <c r="S1366" s="208">
        <f>IF($L$1318,$N1366*IF($O$1318=1,$O1366/$F$1318,1),"")</f>
        <v/>
      </c>
      <c r="T1366" s="208">
        <f>IF(NOT($L$1318),"",IF($G1366&lt;nr_MStartP,$S1366,$T1354*(1+IF($G1366&lt;nr_MStartP1,$M$1318,$N$1318))))</f>
        <v/>
      </c>
      <c r="U1366" s="208">
        <f>IF($L$1318,$T1366,$N1366)</f>
        <v/>
      </c>
    </row>
    <row r="1367">
      <c r="A1367" s="145" t="n">
        <v>47</v>
      </c>
      <c r="B1367" s="204">
        <f>EDATE($B1366,1)</f>
        <v/>
      </c>
      <c r="C1367" s="205">
        <f>EOMONTH($B1367,0)</f>
        <v/>
      </c>
      <c r="D1367" s="201">
        <f>$C1367-$B1367+1</f>
        <v/>
      </c>
      <c r="E1367" s="201">
        <f>MONTH($B1367)</f>
        <v/>
      </c>
      <c r="F1367" s="235">
        <f>($B1367+$C1367+1)/2</f>
        <v/>
      </c>
      <c r="G1367" s="201">
        <f>YEAR($B1367)*12+MONTH($B1367)-1</f>
        <v/>
      </c>
      <c r="H1367" s="207">
        <f>IF(OR(nr_SeasonOn="OFF",$D$1318=0,$E$1318=0),1,12*INDEX(se_block,$D$1318,$E1367)/$E$1318)</f>
        <v/>
      </c>
      <c r="I1367" s="208">
        <f>EXP(SUMPRODUCT((rl_eff&lt;$B1367)*(rl_key=$A$1318)*rl_ln1p))</f>
        <v/>
      </c>
      <c r="J1367" s="208">
        <f>EXP(SUMPRODUCT((rl_eff&lt;=$C1367)*(rl_key=$A$1318)*rl_ln1p))</f>
        <v/>
      </c>
      <c r="K1367" s="201">
        <f>COUNTIFS(rl_key,$A$1318,rl_eff,"&gt;="&amp;$B1367,rl_eff,"&lt;="&amp;$C1367)</f>
        <v/>
      </c>
      <c r="L1367" s="201">
        <f>SUMIFS(rl_daysafter,rl_key,$A$1318,rl_effmonth,$B1367,rl_first,1)</f>
        <v/>
      </c>
      <c r="M1367" s="209">
        <f>IF($K1367=0,0,MIN(1,$L1367/$D1367))</f>
        <v/>
      </c>
      <c r="N1367" s="208">
        <f>IF($K1367=0,$J1367,(1-$M1367)*$I1367+$M1367*$J1367)</f>
        <v/>
      </c>
      <c r="O1367" s="209">
        <f>IF($F1367&lt;$B$1319,$E$1319+$I$1319*($F1367-$A$1319),IF($F1367&lt;$C$1319,$F$1319+$J$1319*($F1367-$B$1319),$G$1319+$K$1319*($F1367-$C$1319)))</f>
        <v/>
      </c>
      <c r="P1367" s="208">
        <f>MIN(1,MAX(0,(nr_MEndPm1-$G1367+0.5)/$C$1318))-MIN(1,MAX(0,(nr_MStartPm1-1-$G1367+0.5)/$C$1318))</f>
        <v/>
      </c>
      <c r="Q1367" s="208">
        <f>MIN(1,MAX(0,(nr_MEndP-$G1367+0.5)/$C$1318))-MIN(1,MAX(0,(nr_MStartP-1-$G1367+0.5)/$C$1318))</f>
        <v/>
      </c>
      <c r="R1367" s="208">
        <f>MIN(1,MAX(0,(nr_MEndP1-$G1367+0.5)/$C$1318))-MIN(1,MAX(0,(nr_MStartP1-1-$G1367+0.5)/$C$1318))</f>
        <v/>
      </c>
      <c r="S1367" s="208">
        <f>IF($L$1318,$N1367*IF($O$1318=1,$O1367/$F$1318,1),"")</f>
        <v/>
      </c>
      <c r="T1367" s="208">
        <f>IF(NOT($L$1318),"",IF($G1367&lt;nr_MStartP,$S1367,$T1355*(1+IF($G1367&lt;nr_MStartP1,$M$1318,$N$1318))))</f>
        <v/>
      </c>
      <c r="U1367" s="208">
        <f>IF($L$1318,$T1367,$N1367)</f>
        <v/>
      </c>
    </row>
    <row r="1368">
      <c r="A1368" s="145" t="n">
        <v>48</v>
      </c>
      <c r="B1368" s="204">
        <f>EDATE($B1367,1)</f>
        <v/>
      </c>
      <c r="C1368" s="205">
        <f>EOMONTH($B1368,0)</f>
        <v/>
      </c>
      <c r="D1368" s="201">
        <f>$C1368-$B1368+1</f>
        <v/>
      </c>
      <c r="E1368" s="201">
        <f>MONTH($B1368)</f>
        <v/>
      </c>
      <c r="F1368" s="235">
        <f>($B1368+$C1368+1)/2</f>
        <v/>
      </c>
      <c r="G1368" s="201">
        <f>YEAR($B1368)*12+MONTH($B1368)-1</f>
        <v/>
      </c>
      <c r="H1368" s="207">
        <f>IF(OR(nr_SeasonOn="OFF",$D$1318=0,$E$1318=0),1,12*INDEX(se_block,$D$1318,$E1368)/$E$1318)</f>
        <v/>
      </c>
      <c r="I1368" s="208">
        <f>EXP(SUMPRODUCT((rl_eff&lt;$B1368)*(rl_key=$A$1318)*rl_ln1p))</f>
        <v/>
      </c>
      <c r="J1368" s="208">
        <f>EXP(SUMPRODUCT((rl_eff&lt;=$C1368)*(rl_key=$A$1318)*rl_ln1p))</f>
        <v/>
      </c>
      <c r="K1368" s="201">
        <f>COUNTIFS(rl_key,$A$1318,rl_eff,"&gt;="&amp;$B1368,rl_eff,"&lt;="&amp;$C1368)</f>
        <v/>
      </c>
      <c r="L1368" s="201">
        <f>SUMIFS(rl_daysafter,rl_key,$A$1318,rl_effmonth,$B1368,rl_first,1)</f>
        <v/>
      </c>
      <c r="M1368" s="209">
        <f>IF($K1368=0,0,MIN(1,$L1368/$D1368))</f>
        <v/>
      </c>
      <c r="N1368" s="208">
        <f>IF($K1368=0,$J1368,(1-$M1368)*$I1368+$M1368*$J1368)</f>
        <v/>
      </c>
      <c r="O1368" s="209">
        <f>IF($F1368&lt;$B$1319,$E$1319+$I$1319*($F1368-$A$1319),IF($F1368&lt;$C$1319,$F$1319+$J$1319*($F1368-$B$1319),$G$1319+$K$1319*($F1368-$C$1319)))</f>
        <v/>
      </c>
      <c r="P1368" s="208">
        <f>MIN(1,MAX(0,(nr_MEndPm1-$G1368+0.5)/$C$1318))-MIN(1,MAX(0,(nr_MStartPm1-1-$G1368+0.5)/$C$1318))</f>
        <v/>
      </c>
      <c r="Q1368" s="208">
        <f>MIN(1,MAX(0,(nr_MEndP-$G1368+0.5)/$C$1318))-MIN(1,MAX(0,(nr_MStartP-1-$G1368+0.5)/$C$1318))</f>
        <v/>
      </c>
      <c r="R1368" s="208">
        <f>MIN(1,MAX(0,(nr_MEndP1-$G1368+0.5)/$C$1318))-MIN(1,MAX(0,(nr_MStartP1-1-$G1368+0.5)/$C$1318))</f>
        <v/>
      </c>
      <c r="S1368" s="208">
        <f>IF($L$1318,$N1368*IF($O$1318=1,$O1368/$F$1318,1),"")</f>
        <v/>
      </c>
      <c r="T1368" s="208">
        <f>IF(NOT($L$1318),"",IF($G1368&lt;nr_MStartP,$S1368,$T1356*(1+IF($G1368&lt;nr_MStartP1,$M$1318,$N$1318))))</f>
        <v/>
      </c>
      <c r="U1368" s="208">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184">
        <f>SUMPRODUCT($H$1321:$H$1368,$Q$1321:$Q$1368,$O$1321:$O$1368)/SUMPRODUCT($H$1321:$H$1368,$Q$1321:$Q$1368)</f>
        <v/>
      </c>
      <c r="G1369" s="184">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184">
        <f>IF(N(INDEX(lr_mind,25))=0,1,INDEX(lr_mind,25))</f>
        <v/>
      </c>
      <c r="G1372" s="184">
        <f>IF(N(INDEX(lr_m0,25))=0,1,INDEX(lr_m0,25))</f>
        <v/>
      </c>
      <c r="H1372" s="73">
        <f>IF(N(INDEX(lr_m0asof,25))=0,DATE(nr_PlanYear-1,10,1),INDEX(lr_m0asof,25))</f>
        <v/>
      </c>
      <c r="I1372" s="184">
        <f>IF(N(INDEX(lr_m1,25))=0,1,INDEX(lr_m1,25))</f>
        <v/>
      </c>
      <c r="J1372" s="184">
        <f>INDEX(lr_mprior,25)</f>
        <v/>
      </c>
      <c r="K1372" s="184">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145" t="n">
        <v>1</v>
      </c>
      <c r="B1375" s="204">
        <f>DATE(nr_PlanYear-2,1,1)</f>
        <v/>
      </c>
      <c r="C1375" s="205">
        <f>EOMONTH($B1375,0)</f>
        <v/>
      </c>
      <c r="D1375" s="201">
        <f>$C1375-$B1375+1</f>
        <v/>
      </c>
      <c r="E1375" s="201">
        <f>MONTH($B1375)</f>
        <v/>
      </c>
      <c r="F1375" s="235">
        <f>($B1375+$C1375+1)/2</f>
        <v/>
      </c>
      <c r="G1375" s="201">
        <f>YEAR($B1375)*12+MONTH($B1375)-1</f>
        <v/>
      </c>
      <c r="H1375" s="207">
        <f>IF(OR(nr_SeasonOn="OFF",$D$1372=0,$E$1372=0),1,12*INDEX(se_block,$D$1372,$E1375)/$E$1372)</f>
        <v/>
      </c>
      <c r="I1375" s="208">
        <f>EXP(SUMPRODUCT((rl_eff&lt;$B1375)*(rl_key=$A$1372)*rl_ln1p))</f>
        <v/>
      </c>
      <c r="J1375" s="208">
        <f>EXP(SUMPRODUCT((rl_eff&lt;=$C1375)*(rl_key=$A$1372)*rl_ln1p))</f>
        <v/>
      </c>
      <c r="K1375" s="201">
        <f>COUNTIFS(rl_key,$A$1372,rl_eff,"&gt;="&amp;$B1375,rl_eff,"&lt;="&amp;$C1375)</f>
        <v/>
      </c>
      <c r="L1375" s="201">
        <f>SUMIFS(rl_daysafter,rl_key,$A$1372,rl_effmonth,$B1375,rl_first,1)</f>
        <v/>
      </c>
      <c r="M1375" s="209">
        <f>IF($K1375=0,0,MIN(1,$L1375/$D1375))</f>
        <v/>
      </c>
      <c r="N1375" s="208">
        <f>IF($K1375=0,$J1375,(1-$M1375)*$I1375+$M1375*$J1375)</f>
        <v/>
      </c>
      <c r="O1375" s="209">
        <f>IF($F1375&lt;$B$1373,$E$1373+$I$1373*($F1375-$A$1373),IF($F1375&lt;$C$1373,$F$1373+$J$1373*($F1375-$B$1373),$G$1373+$K$1373*($F1375-$C$1373)))</f>
        <v/>
      </c>
      <c r="P1375" s="208">
        <f>MIN(1,MAX(0,(nr_MEndPm1-$G1375+0.5)/$C$1372))-MIN(1,MAX(0,(nr_MStartPm1-1-$G1375+0.5)/$C$1372))</f>
        <v/>
      </c>
      <c r="Q1375" s="208">
        <f>MIN(1,MAX(0,(nr_MEndP-$G1375+0.5)/$C$1372))-MIN(1,MAX(0,(nr_MStartP-1-$G1375+0.5)/$C$1372))</f>
        <v/>
      </c>
      <c r="R1375" s="208">
        <f>MIN(1,MAX(0,(nr_MEndP1-$G1375+0.5)/$C$1372))-MIN(1,MAX(0,(nr_MStartP1-1-$G1375+0.5)/$C$1372))</f>
        <v/>
      </c>
      <c r="S1375" s="208">
        <f>IF($L$1372,$N1375*IF($O$1372=1,$O1375/$F$1372,1),"")</f>
        <v/>
      </c>
      <c r="T1375" s="208">
        <f>IF(NOT($L$1372),"",IF($G1375&lt;nr_MStartP,$S1375,$T1363*(1+IF($G1375&lt;nr_MStartP1,$M$1372,$N$1372))))</f>
        <v/>
      </c>
      <c r="U1375" s="208">
        <f>IF($L$1372,$T1375,$N1375)</f>
        <v/>
      </c>
    </row>
    <row r="1376">
      <c r="A1376" s="145" t="n">
        <v>2</v>
      </c>
      <c r="B1376" s="204">
        <f>EDATE($B1375,1)</f>
        <v/>
      </c>
      <c r="C1376" s="205">
        <f>EOMONTH($B1376,0)</f>
        <v/>
      </c>
      <c r="D1376" s="201">
        <f>$C1376-$B1376+1</f>
        <v/>
      </c>
      <c r="E1376" s="201">
        <f>MONTH($B1376)</f>
        <v/>
      </c>
      <c r="F1376" s="235">
        <f>($B1376+$C1376+1)/2</f>
        <v/>
      </c>
      <c r="G1376" s="201">
        <f>YEAR($B1376)*12+MONTH($B1376)-1</f>
        <v/>
      </c>
      <c r="H1376" s="207">
        <f>IF(OR(nr_SeasonOn="OFF",$D$1372=0,$E$1372=0),1,12*INDEX(se_block,$D$1372,$E1376)/$E$1372)</f>
        <v/>
      </c>
      <c r="I1376" s="208">
        <f>EXP(SUMPRODUCT((rl_eff&lt;$B1376)*(rl_key=$A$1372)*rl_ln1p))</f>
        <v/>
      </c>
      <c r="J1376" s="208">
        <f>EXP(SUMPRODUCT((rl_eff&lt;=$C1376)*(rl_key=$A$1372)*rl_ln1p))</f>
        <v/>
      </c>
      <c r="K1376" s="201">
        <f>COUNTIFS(rl_key,$A$1372,rl_eff,"&gt;="&amp;$B1376,rl_eff,"&lt;="&amp;$C1376)</f>
        <v/>
      </c>
      <c r="L1376" s="201">
        <f>SUMIFS(rl_daysafter,rl_key,$A$1372,rl_effmonth,$B1376,rl_first,1)</f>
        <v/>
      </c>
      <c r="M1376" s="209">
        <f>IF($K1376=0,0,MIN(1,$L1376/$D1376))</f>
        <v/>
      </c>
      <c r="N1376" s="208">
        <f>IF($K1376=0,$J1376,(1-$M1376)*$I1376+$M1376*$J1376)</f>
        <v/>
      </c>
      <c r="O1376" s="209">
        <f>IF($F1376&lt;$B$1373,$E$1373+$I$1373*($F1376-$A$1373),IF($F1376&lt;$C$1373,$F$1373+$J$1373*($F1376-$B$1373),$G$1373+$K$1373*($F1376-$C$1373)))</f>
        <v/>
      </c>
      <c r="P1376" s="208">
        <f>MIN(1,MAX(0,(nr_MEndPm1-$G1376+0.5)/$C$1372))-MIN(1,MAX(0,(nr_MStartPm1-1-$G1376+0.5)/$C$1372))</f>
        <v/>
      </c>
      <c r="Q1376" s="208">
        <f>MIN(1,MAX(0,(nr_MEndP-$G1376+0.5)/$C$1372))-MIN(1,MAX(0,(nr_MStartP-1-$G1376+0.5)/$C$1372))</f>
        <v/>
      </c>
      <c r="R1376" s="208">
        <f>MIN(1,MAX(0,(nr_MEndP1-$G1376+0.5)/$C$1372))-MIN(1,MAX(0,(nr_MStartP1-1-$G1376+0.5)/$C$1372))</f>
        <v/>
      </c>
      <c r="S1376" s="208">
        <f>IF($L$1372,$N1376*IF($O$1372=1,$O1376/$F$1372,1),"")</f>
        <v/>
      </c>
      <c r="T1376" s="208">
        <f>IF(NOT($L$1372),"",IF($G1376&lt;nr_MStartP,$S1376,$T1364*(1+IF($G1376&lt;nr_MStartP1,$M$1372,$N$1372))))</f>
        <v/>
      </c>
      <c r="U1376" s="208">
        <f>IF($L$1372,$T1376,$N1376)</f>
        <v/>
      </c>
    </row>
    <row r="1377">
      <c r="A1377" s="145" t="n">
        <v>3</v>
      </c>
      <c r="B1377" s="204">
        <f>EDATE($B1376,1)</f>
        <v/>
      </c>
      <c r="C1377" s="205">
        <f>EOMONTH($B1377,0)</f>
        <v/>
      </c>
      <c r="D1377" s="201">
        <f>$C1377-$B1377+1</f>
        <v/>
      </c>
      <c r="E1377" s="201">
        <f>MONTH($B1377)</f>
        <v/>
      </c>
      <c r="F1377" s="235">
        <f>($B1377+$C1377+1)/2</f>
        <v/>
      </c>
      <c r="G1377" s="201">
        <f>YEAR($B1377)*12+MONTH($B1377)-1</f>
        <v/>
      </c>
      <c r="H1377" s="207">
        <f>IF(OR(nr_SeasonOn="OFF",$D$1372=0,$E$1372=0),1,12*INDEX(se_block,$D$1372,$E1377)/$E$1372)</f>
        <v/>
      </c>
      <c r="I1377" s="208">
        <f>EXP(SUMPRODUCT((rl_eff&lt;$B1377)*(rl_key=$A$1372)*rl_ln1p))</f>
        <v/>
      </c>
      <c r="J1377" s="208">
        <f>EXP(SUMPRODUCT((rl_eff&lt;=$C1377)*(rl_key=$A$1372)*rl_ln1p))</f>
        <v/>
      </c>
      <c r="K1377" s="201">
        <f>COUNTIFS(rl_key,$A$1372,rl_eff,"&gt;="&amp;$B1377,rl_eff,"&lt;="&amp;$C1377)</f>
        <v/>
      </c>
      <c r="L1377" s="201">
        <f>SUMIFS(rl_daysafter,rl_key,$A$1372,rl_effmonth,$B1377,rl_first,1)</f>
        <v/>
      </c>
      <c r="M1377" s="209">
        <f>IF($K1377=0,0,MIN(1,$L1377/$D1377))</f>
        <v/>
      </c>
      <c r="N1377" s="208">
        <f>IF($K1377=0,$J1377,(1-$M1377)*$I1377+$M1377*$J1377)</f>
        <v/>
      </c>
      <c r="O1377" s="209">
        <f>IF($F1377&lt;$B$1373,$E$1373+$I$1373*($F1377-$A$1373),IF($F1377&lt;$C$1373,$F$1373+$J$1373*($F1377-$B$1373),$G$1373+$K$1373*($F1377-$C$1373)))</f>
        <v/>
      </c>
      <c r="P1377" s="208">
        <f>MIN(1,MAX(0,(nr_MEndPm1-$G1377+0.5)/$C$1372))-MIN(1,MAX(0,(nr_MStartPm1-1-$G1377+0.5)/$C$1372))</f>
        <v/>
      </c>
      <c r="Q1377" s="208">
        <f>MIN(1,MAX(0,(nr_MEndP-$G1377+0.5)/$C$1372))-MIN(1,MAX(0,(nr_MStartP-1-$G1377+0.5)/$C$1372))</f>
        <v/>
      </c>
      <c r="R1377" s="208">
        <f>MIN(1,MAX(0,(nr_MEndP1-$G1377+0.5)/$C$1372))-MIN(1,MAX(0,(nr_MStartP1-1-$G1377+0.5)/$C$1372))</f>
        <v/>
      </c>
      <c r="S1377" s="208">
        <f>IF($L$1372,$N1377*IF($O$1372=1,$O1377/$F$1372,1),"")</f>
        <v/>
      </c>
      <c r="T1377" s="208">
        <f>IF(NOT($L$1372),"",IF($G1377&lt;nr_MStartP,$S1377,$T1365*(1+IF($G1377&lt;nr_MStartP1,$M$1372,$N$1372))))</f>
        <v/>
      </c>
      <c r="U1377" s="208">
        <f>IF($L$1372,$T1377,$N1377)</f>
        <v/>
      </c>
    </row>
    <row r="1378">
      <c r="A1378" s="145" t="n">
        <v>4</v>
      </c>
      <c r="B1378" s="204">
        <f>EDATE($B1377,1)</f>
        <v/>
      </c>
      <c r="C1378" s="205">
        <f>EOMONTH($B1378,0)</f>
        <v/>
      </c>
      <c r="D1378" s="201">
        <f>$C1378-$B1378+1</f>
        <v/>
      </c>
      <c r="E1378" s="201">
        <f>MONTH($B1378)</f>
        <v/>
      </c>
      <c r="F1378" s="235">
        <f>($B1378+$C1378+1)/2</f>
        <v/>
      </c>
      <c r="G1378" s="201">
        <f>YEAR($B1378)*12+MONTH($B1378)-1</f>
        <v/>
      </c>
      <c r="H1378" s="207">
        <f>IF(OR(nr_SeasonOn="OFF",$D$1372=0,$E$1372=0),1,12*INDEX(se_block,$D$1372,$E1378)/$E$1372)</f>
        <v/>
      </c>
      <c r="I1378" s="208">
        <f>EXP(SUMPRODUCT((rl_eff&lt;$B1378)*(rl_key=$A$1372)*rl_ln1p))</f>
        <v/>
      </c>
      <c r="J1378" s="208">
        <f>EXP(SUMPRODUCT((rl_eff&lt;=$C1378)*(rl_key=$A$1372)*rl_ln1p))</f>
        <v/>
      </c>
      <c r="K1378" s="201">
        <f>COUNTIFS(rl_key,$A$1372,rl_eff,"&gt;="&amp;$B1378,rl_eff,"&lt;="&amp;$C1378)</f>
        <v/>
      </c>
      <c r="L1378" s="201">
        <f>SUMIFS(rl_daysafter,rl_key,$A$1372,rl_effmonth,$B1378,rl_first,1)</f>
        <v/>
      </c>
      <c r="M1378" s="209">
        <f>IF($K1378=0,0,MIN(1,$L1378/$D1378))</f>
        <v/>
      </c>
      <c r="N1378" s="208">
        <f>IF($K1378=0,$J1378,(1-$M1378)*$I1378+$M1378*$J1378)</f>
        <v/>
      </c>
      <c r="O1378" s="209">
        <f>IF($F1378&lt;$B$1373,$E$1373+$I$1373*($F1378-$A$1373),IF($F1378&lt;$C$1373,$F$1373+$J$1373*($F1378-$B$1373),$G$1373+$K$1373*($F1378-$C$1373)))</f>
        <v/>
      </c>
      <c r="P1378" s="208">
        <f>MIN(1,MAX(0,(nr_MEndPm1-$G1378+0.5)/$C$1372))-MIN(1,MAX(0,(nr_MStartPm1-1-$G1378+0.5)/$C$1372))</f>
        <v/>
      </c>
      <c r="Q1378" s="208">
        <f>MIN(1,MAX(0,(nr_MEndP-$G1378+0.5)/$C$1372))-MIN(1,MAX(0,(nr_MStartP-1-$G1378+0.5)/$C$1372))</f>
        <v/>
      </c>
      <c r="R1378" s="208">
        <f>MIN(1,MAX(0,(nr_MEndP1-$G1378+0.5)/$C$1372))-MIN(1,MAX(0,(nr_MStartP1-1-$G1378+0.5)/$C$1372))</f>
        <v/>
      </c>
      <c r="S1378" s="208">
        <f>IF($L$1372,$N1378*IF($O$1372=1,$O1378/$F$1372,1),"")</f>
        <v/>
      </c>
      <c r="T1378" s="208">
        <f>IF(NOT($L$1372),"",IF($G1378&lt;nr_MStartP,$S1378,$T1366*(1+IF($G1378&lt;nr_MStartP1,$M$1372,$N$1372))))</f>
        <v/>
      </c>
      <c r="U1378" s="208">
        <f>IF($L$1372,$T1378,$N1378)</f>
        <v/>
      </c>
    </row>
    <row r="1379">
      <c r="A1379" s="145" t="n">
        <v>5</v>
      </c>
      <c r="B1379" s="204">
        <f>EDATE($B1378,1)</f>
        <v/>
      </c>
      <c r="C1379" s="205">
        <f>EOMONTH($B1379,0)</f>
        <v/>
      </c>
      <c r="D1379" s="201">
        <f>$C1379-$B1379+1</f>
        <v/>
      </c>
      <c r="E1379" s="201">
        <f>MONTH($B1379)</f>
        <v/>
      </c>
      <c r="F1379" s="235">
        <f>($B1379+$C1379+1)/2</f>
        <v/>
      </c>
      <c r="G1379" s="201">
        <f>YEAR($B1379)*12+MONTH($B1379)-1</f>
        <v/>
      </c>
      <c r="H1379" s="207">
        <f>IF(OR(nr_SeasonOn="OFF",$D$1372=0,$E$1372=0),1,12*INDEX(se_block,$D$1372,$E1379)/$E$1372)</f>
        <v/>
      </c>
      <c r="I1379" s="208">
        <f>EXP(SUMPRODUCT((rl_eff&lt;$B1379)*(rl_key=$A$1372)*rl_ln1p))</f>
        <v/>
      </c>
      <c r="J1379" s="208">
        <f>EXP(SUMPRODUCT((rl_eff&lt;=$C1379)*(rl_key=$A$1372)*rl_ln1p))</f>
        <v/>
      </c>
      <c r="K1379" s="201">
        <f>COUNTIFS(rl_key,$A$1372,rl_eff,"&gt;="&amp;$B1379,rl_eff,"&lt;="&amp;$C1379)</f>
        <v/>
      </c>
      <c r="L1379" s="201">
        <f>SUMIFS(rl_daysafter,rl_key,$A$1372,rl_effmonth,$B1379,rl_first,1)</f>
        <v/>
      </c>
      <c r="M1379" s="209">
        <f>IF($K1379=0,0,MIN(1,$L1379/$D1379))</f>
        <v/>
      </c>
      <c r="N1379" s="208">
        <f>IF($K1379=0,$J1379,(1-$M1379)*$I1379+$M1379*$J1379)</f>
        <v/>
      </c>
      <c r="O1379" s="209">
        <f>IF($F1379&lt;$B$1373,$E$1373+$I$1373*($F1379-$A$1373),IF($F1379&lt;$C$1373,$F$1373+$J$1373*($F1379-$B$1373),$G$1373+$K$1373*($F1379-$C$1373)))</f>
        <v/>
      </c>
      <c r="P1379" s="208">
        <f>MIN(1,MAX(0,(nr_MEndPm1-$G1379+0.5)/$C$1372))-MIN(1,MAX(0,(nr_MStartPm1-1-$G1379+0.5)/$C$1372))</f>
        <v/>
      </c>
      <c r="Q1379" s="208">
        <f>MIN(1,MAX(0,(nr_MEndP-$G1379+0.5)/$C$1372))-MIN(1,MAX(0,(nr_MStartP-1-$G1379+0.5)/$C$1372))</f>
        <v/>
      </c>
      <c r="R1379" s="208">
        <f>MIN(1,MAX(0,(nr_MEndP1-$G1379+0.5)/$C$1372))-MIN(1,MAX(0,(nr_MStartP1-1-$G1379+0.5)/$C$1372))</f>
        <v/>
      </c>
      <c r="S1379" s="208">
        <f>IF($L$1372,$N1379*IF($O$1372=1,$O1379/$F$1372,1),"")</f>
        <v/>
      </c>
      <c r="T1379" s="208">
        <f>IF(NOT($L$1372),"",IF($G1379&lt;nr_MStartP,$S1379,$T1367*(1+IF($G1379&lt;nr_MStartP1,$M$1372,$N$1372))))</f>
        <v/>
      </c>
      <c r="U1379" s="208">
        <f>IF($L$1372,$T1379,$N1379)</f>
        <v/>
      </c>
    </row>
    <row r="1380">
      <c r="A1380" s="145" t="n">
        <v>6</v>
      </c>
      <c r="B1380" s="204">
        <f>EDATE($B1379,1)</f>
        <v/>
      </c>
      <c r="C1380" s="205">
        <f>EOMONTH($B1380,0)</f>
        <v/>
      </c>
      <c r="D1380" s="201">
        <f>$C1380-$B1380+1</f>
        <v/>
      </c>
      <c r="E1380" s="201">
        <f>MONTH($B1380)</f>
        <v/>
      </c>
      <c r="F1380" s="235">
        <f>($B1380+$C1380+1)/2</f>
        <v/>
      </c>
      <c r="G1380" s="201">
        <f>YEAR($B1380)*12+MONTH($B1380)-1</f>
        <v/>
      </c>
      <c r="H1380" s="207">
        <f>IF(OR(nr_SeasonOn="OFF",$D$1372=0,$E$1372=0),1,12*INDEX(se_block,$D$1372,$E1380)/$E$1372)</f>
        <v/>
      </c>
      <c r="I1380" s="208">
        <f>EXP(SUMPRODUCT((rl_eff&lt;$B1380)*(rl_key=$A$1372)*rl_ln1p))</f>
        <v/>
      </c>
      <c r="J1380" s="208">
        <f>EXP(SUMPRODUCT((rl_eff&lt;=$C1380)*(rl_key=$A$1372)*rl_ln1p))</f>
        <v/>
      </c>
      <c r="K1380" s="201">
        <f>COUNTIFS(rl_key,$A$1372,rl_eff,"&gt;="&amp;$B1380,rl_eff,"&lt;="&amp;$C1380)</f>
        <v/>
      </c>
      <c r="L1380" s="201">
        <f>SUMIFS(rl_daysafter,rl_key,$A$1372,rl_effmonth,$B1380,rl_first,1)</f>
        <v/>
      </c>
      <c r="M1380" s="209">
        <f>IF($K1380=0,0,MIN(1,$L1380/$D1380))</f>
        <v/>
      </c>
      <c r="N1380" s="208">
        <f>IF($K1380=0,$J1380,(1-$M1380)*$I1380+$M1380*$J1380)</f>
        <v/>
      </c>
      <c r="O1380" s="209">
        <f>IF($F1380&lt;$B$1373,$E$1373+$I$1373*($F1380-$A$1373),IF($F1380&lt;$C$1373,$F$1373+$J$1373*($F1380-$B$1373),$G$1373+$K$1373*($F1380-$C$1373)))</f>
        <v/>
      </c>
      <c r="P1380" s="208">
        <f>MIN(1,MAX(0,(nr_MEndPm1-$G1380+0.5)/$C$1372))-MIN(1,MAX(0,(nr_MStartPm1-1-$G1380+0.5)/$C$1372))</f>
        <v/>
      </c>
      <c r="Q1380" s="208">
        <f>MIN(1,MAX(0,(nr_MEndP-$G1380+0.5)/$C$1372))-MIN(1,MAX(0,(nr_MStartP-1-$G1380+0.5)/$C$1372))</f>
        <v/>
      </c>
      <c r="R1380" s="208">
        <f>MIN(1,MAX(0,(nr_MEndP1-$G1380+0.5)/$C$1372))-MIN(1,MAX(0,(nr_MStartP1-1-$G1380+0.5)/$C$1372))</f>
        <v/>
      </c>
      <c r="S1380" s="208">
        <f>IF($L$1372,$N1380*IF($O$1372=1,$O1380/$F$1372,1),"")</f>
        <v/>
      </c>
      <c r="T1380" s="208">
        <f>IF(NOT($L$1372),"",IF($G1380&lt;nr_MStartP,$S1380,$T1368*(1+IF($G1380&lt;nr_MStartP1,$M$1372,$N$1372))))</f>
        <v/>
      </c>
      <c r="U1380" s="208">
        <f>IF($L$1372,$T1380,$N1380)</f>
        <v/>
      </c>
    </row>
    <row r="1381">
      <c r="A1381" s="145" t="n">
        <v>7</v>
      </c>
      <c r="B1381" s="204">
        <f>EDATE($B1380,1)</f>
        <v/>
      </c>
      <c r="C1381" s="205">
        <f>EOMONTH($B1381,0)</f>
        <v/>
      </c>
      <c r="D1381" s="201">
        <f>$C1381-$B1381+1</f>
        <v/>
      </c>
      <c r="E1381" s="201">
        <f>MONTH($B1381)</f>
        <v/>
      </c>
      <c r="F1381" s="235">
        <f>($B1381+$C1381+1)/2</f>
        <v/>
      </c>
      <c r="G1381" s="201">
        <f>YEAR($B1381)*12+MONTH($B1381)-1</f>
        <v/>
      </c>
      <c r="H1381" s="207">
        <f>IF(OR(nr_SeasonOn="OFF",$D$1372=0,$E$1372=0),1,12*INDEX(se_block,$D$1372,$E1381)/$E$1372)</f>
        <v/>
      </c>
      <c r="I1381" s="208">
        <f>EXP(SUMPRODUCT((rl_eff&lt;$B1381)*(rl_key=$A$1372)*rl_ln1p))</f>
        <v/>
      </c>
      <c r="J1381" s="208">
        <f>EXP(SUMPRODUCT((rl_eff&lt;=$C1381)*(rl_key=$A$1372)*rl_ln1p))</f>
        <v/>
      </c>
      <c r="K1381" s="201">
        <f>COUNTIFS(rl_key,$A$1372,rl_eff,"&gt;="&amp;$B1381,rl_eff,"&lt;="&amp;$C1381)</f>
        <v/>
      </c>
      <c r="L1381" s="201">
        <f>SUMIFS(rl_daysafter,rl_key,$A$1372,rl_effmonth,$B1381,rl_first,1)</f>
        <v/>
      </c>
      <c r="M1381" s="209">
        <f>IF($K1381=0,0,MIN(1,$L1381/$D1381))</f>
        <v/>
      </c>
      <c r="N1381" s="208">
        <f>IF($K1381=0,$J1381,(1-$M1381)*$I1381+$M1381*$J1381)</f>
        <v/>
      </c>
      <c r="O1381" s="209">
        <f>IF($F1381&lt;$B$1373,$E$1373+$I$1373*($F1381-$A$1373),IF($F1381&lt;$C$1373,$F$1373+$J$1373*($F1381-$B$1373),$G$1373+$K$1373*($F1381-$C$1373)))</f>
        <v/>
      </c>
      <c r="P1381" s="208">
        <f>MIN(1,MAX(0,(nr_MEndPm1-$G1381+0.5)/$C$1372))-MIN(1,MAX(0,(nr_MStartPm1-1-$G1381+0.5)/$C$1372))</f>
        <v/>
      </c>
      <c r="Q1381" s="208">
        <f>MIN(1,MAX(0,(nr_MEndP-$G1381+0.5)/$C$1372))-MIN(1,MAX(0,(nr_MStartP-1-$G1381+0.5)/$C$1372))</f>
        <v/>
      </c>
      <c r="R1381" s="208">
        <f>MIN(1,MAX(0,(nr_MEndP1-$G1381+0.5)/$C$1372))-MIN(1,MAX(0,(nr_MStartP1-1-$G1381+0.5)/$C$1372))</f>
        <v/>
      </c>
      <c r="S1381" s="208">
        <f>IF($L$1372,$N1381*IF($O$1372=1,$O1381/$F$1372,1),"")</f>
        <v/>
      </c>
      <c r="T1381" s="208">
        <f>IF(NOT($L$1372),"",IF($G1381&lt;nr_MStartP,$S1381,$T1369*(1+IF($G1381&lt;nr_MStartP1,$M$1372,$N$1372))))</f>
        <v/>
      </c>
      <c r="U1381" s="208">
        <f>IF($L$1372,$T1381,$N1381)</f>
        <v/>
      </c>
    </row>
    <row r="1382">
      <c r="A1382" s="145" t="n">
        <v>8</v>
      </c>
      <c r="B1382" s="204">
        <f>EDATE($B1381,1)</f>
        <v/>
      </c>
      <c r="C1382" s="205">
        <f>EOMONTH($B1382,0)</f>
        <v/>
      </c>
      <c r="D1382" s="201">
        <f>$C1382-$B1382+1</f>
        <v/>
      </c>
      <c r="E1382" s="201">
        <f>MONTH($B1382)</f>
        <v/>
      </c>
      <c r="F1382" s="235">
        <f>($B1382+$C1382+1)/2</f>
        <v/>
      </c>
      <c r="G1382" s="201">
        <f>YEAR($B1382)*12+MONTH($B1382)-1</f>
        <v/>
      </c>
      <c r="H1382" s="207">
        <f>IF(OR(nr_SeasonOn="OFF",$D$1372=0,$E$1372=0),1,12*INDEX(se_block,$D$1372,$E1382)/$E$1372)</f>
        <v/>
      </c>
      <c r="I1382" s="208">
        <f>EXP(SUMPRODUCT((rl_eff&lt;$B1382)*(rl_key=$A$1372)*rl_ln1p))</f>
        <v/>
      </c>
      <c r="J1382" s="208">
        <f>EXP(SUMPRODUCT((rl_eff&lt;=$C1382)*(rl_key=$A$1372)*rl_ln1p))</f>
        <v/>
      </c>
      <c r="K1382" s="201">
        <f>COUNTIFS(rl_key,$A$1372,rl_eff,"&gt;="&amp;$B1382,rl_eff,"&lt;="&amp;$C1382)</f>
        <v/>
      </c>
      <c r="L1382" s="201">
        <f>SUMIFS(rl_daysafter,rl_key,$A$1372,rl_effmonth,$B1382,rl_first,1)</f>
        <v/>
      </c>
      <c r="M1382" s="209">
        <f>IF($K1382=0,0,MIN(1,$L1382/$D1382))</f>
        <v/>
      </c>
      <c r="N1382" s="208">
        <f>IF($K1382=0,$J1382,(1-$M1382)*$I1382+$M1382*$J1382)</f>
        <v/>
      </c>
      <c r="O1382" s="209">
        <f>IF($F1382&lt;$B$1373,$E$1373+$I$1373*($F1382-$A$1373),IF($F1382&lt;$C$1373,$F$1373+$J$1373*($F1382-$B$1373),$G$1373+$K$1373*($F1382-$C$1373)))</f>
        <v/>
      </c>
      <c r="P1382" s="208">
        <f>MIN(1,MAX(0,(nr_MEndPm1-$G1382+0.5)/$C$1372))-MIN(1,MAX(0,(nr_MStartPm1-1-$G1382+0.5)/$C$1372))</f>
        <v/>
      </c>
      <c r="Q1382" s="208">
        <f>MIN(1,MAX(0,(nr_MEndP-$G1382+0.5)/$C$1372))-MIN(1,MAX(0,(nr_MStartP-1-$G1382+0.5)/$C$1372))</f>
        <v/>
      </c>
      <c r="R1382" s="208">
        <f>MIN(1,MAX(0,(nr_MEndP1-$G1382+0.5)/$C$1372))-MIN(1,MAX(0,(nr_MStartP1-1-$G1382+0.5)/$C$1372))</f>
        <v/>
      </c>
      <c r="S1382" s="208">
        <f>IF($L$1372,$N1382*IF($O$1372=1,$O1382/$F$1372,1),"")</f>
        <v/>
      </c>
      <c r="T1382" s="208">
        <f>IF(NOT($L$1372),"",IF($G1382&lt;nr_MStartP,$S1382,$T1370*(1+IF($G1382&lt;nr_MStartP1,$M$1372,$N$1372))))</f>
        <v/>
      </c>
      <c r="U1382" s="208">
        <f>IF($L$1372,$T1382,$N1382)</f>
        <v/>
      </c>
    </row>
    <row r="1383">
      <c r="A1383" s="145" t="n">
        <v>9</v>
      </c>
      <c r="B1383" s="204">
        <f>EDATE($B1382,1)</f>
        <v/>
      </c>
      <c r="C1383" s="205">
        <f>EOMONTH($B1383,0)</f>
        <v/>
      </c>
      <c r="D1383" s="201">
        <f>$C1383-$B1383+1</f>
        <v/>
      </c>
      <c r="E1383" s="201">
        <f>MONTH($B1383)</f>
        <v/>
      </c>
      <c r="F1383" s="235">
        <f>($B1383+$C1383+1)/2</f>
        <v/>
      </c>
      <c r="G1383" s="201">
        <f>YEAR($B1383)*12+MONTH($B1383)-1</f>
        <v/>
      </c>
      <c r="H1383" s="207">
        <f>IF(OR(nr_SeasonOn="OFF",$D$1372=0,$E$1372=0),1,12*INDEX(se_block,$D$1372,$E1383)/$E$1372)</f>
        <v/>
      </c>
      <c r="I1383" s="208">
        <f>EXP(SUMPRODUCT((rl_eff&lt;$B1383)*(rl_key=$A$1372)*rl_ln1p))</f>
        <v/>
      </c>
      <c r="J1383" s="208">
        <f>EXP(SUMPRODUCT((rl_eff&lt;=$C1383)*(rl_key=$A$1372)*rl_ln1p))</f>
        <v/>
      </c>
      <c r="K1383" s="201">
        <f>COUNTIFS(rl_key,$A$1372,rl_eff,"&gt;="&amp;$B1383,rl_eff,"&lt;="&amp;$C1383)</f>
        <v/>
      </c>
      <c r="L1383" s="201">
        <f>SUMIFS(rl_daysafter,rl_key,$A$1372,rl_effmonth,$B1383,rl_first,1)</f>
        <v/>
      </c>
      <c r="M1383" s="209">
        <f>IF($K1383=0,0,MIN(1,$L1383/$D1383))</f>
        <v/>
      </c>
      <c r="N1383" s="208">
        <f>IF($K1383=0,$J1383,(1-$M1383)*$I1383+$M1383*$J1383)</f>
        <v/>
      </c>
      <c r="O1383" s="209">
        <f>IF($F1383&lt;$B$1373,$E$1373+$I$1373*($F1383-$A$1373),IF($F1383&lt;$C$1373,$F$1373+$J$1373*($F1383-$B$1373),$G$1373+$K$1373*($F1383-$C$1373)))</f>
        <v/>
      </c>
      <c r="P1383" s="208">
        <f>MIN(1,MAX(0,(nr_MEndPm1-$G1383+0.5)/$C$1372))-MIN(1,MAX(0,(nr_MStartPm1-1-$G1383+0.5)/$C$1372))</f>
        <v/>
      </c>
      <c r="Q1383" s="208">
        <f>MIN(1,MAX(0,(nr_MEndP-$G1383+0.5)/$C$1372))-MIN(1,MAX(0,(nr_MStartP-1-$G1383+0.5)/$C$1372))</f>
        <v/>
      </c>
      <c r="R1383" s="208">
        <f>MIN(1,MAX(0,(nr_MEndP1-$G1383+0.5)/$C$1372))-MIN(1,MAX(0,(nr_MStartP1-1-$G1383+0.5)/$C$1372))</f>
        <v/>
      </c>
      <c r="S1383" s="208">
        <f>IF($L$1372,$N1383*IF($O$1372=1,$O1383/$F$1372,1),"")</f>
        <v/>
      </c>
      <c r="T1383" s="208">
        <f>IF(NOT($L$1372),"",IF($G1383&lt;nr_MStartP,$S1383,$T1371*(1+IF($G1383&lt;nr_MStartP1,$M$1372,$N$1372))))</f>
        <v/>
      </c>
      <c r="U1383" s="208">
        <f>IF($L$1372,$T1383,$N1383)</f>
        <v/>
      </c>
    </row>
    <row r="1384">
      <c r="A1384" s="145" t="n">
        <v>10</v>
      </c>
      <c r="B1384" s="204">
        <f>EDATE($B1383,1)</f>
        <v/>
      </c>
      <c r="C1384" s="205">
        <f>EOMONTH($B1384,0)</f>
        <v/>
      </c>
      <c r="D1384" s="201">
        <f>$C1384-$B1384+1</f>
        <v/>
      </c>
      <c r="E1384" s="201">
        <f>MONTH($B1384)</f>
        <v/>
      </c>
      <c r="F1384" s="235">
        <f>($B1384+$C1384+1)/2</f>
        <v/>
      </c>
      <c r="G1384" s="201">
        <f>YEAR($B1384)*12+MONTH($B1384)-1</f>
        <v/>
      </c>
      <c r="H1384" s="207">
        <f>IF(OR(nr_SeasonOn="OFF",$D$1372=0,$E$1372=0),1,12*INDEX(se_block,$D$1372,$E1384)/$E$1372)</f>
        <v/>
      </c>
      <c r="I1384" s="208">
        <f>EXP(SUMPRODUCT((rl_eff&lt;$B1384)*(rl_key=$A$1372)*rl_ln1p))</f>
        <v/>
      </c>
      <c r="J1384" s="208">
        <f>EXP(SUMPRODUCT((rl_eff&lt;=$C1384)*(rl_key=$A$1372)*rl_ln1p))</f>
        <v/>
      </c>
      <c r="K1384" s="201">
        <f>COUNTIFS(rl_key,$A$1372,rl_eff,"&gt;="&amp;$B1384,rl_eff,"&lt;="&amp;$C1384)</f>
        <v/>
      </c>
      <c r="L1384" s="201">
        <f>SUMIFS(rl_daysafter,rl_key,$A$1372,rl_effmonth,$B1384,rl_first,1)</f>
        <v/>
      </c>
      <c r="M1384" s="209">
        <f>IF($K1384=0,0,MIN(1,$L1384/$D1384))</f>
        <v/>
      </c>
      <c r="N1384" s="208">
        <f>IF($K1384=0,$J1384,(1-$M1384)*$I1384+$M1384*$J1384)</f>
        <v/>
      </c>
      <c r="O1384" s="209">
        <f>IF($F1384&lt;$B$1373,$E$1373+$I$1373*($F1384-$A$1373),IF($F1384&lt;$C$1373,$F$1373+$J$1373*($F1384-$B$1373),$G$1373+$K$1373*($F1384-$C$1373)))</f>
        <v/>
      </c>
      <c r="P1384" s="208">
        <f>MIN(1,MAX(0,(nr_MEndPm1-$G1384+0.5)/$C$1372))-MIN(1,MAX(0,(nr_MStartPm1-1-$G1384+0.5)/$C$1372))</f>
        <v/>
      </c>
      <c r="Q1384" s="208">
        <f>MIN(1,MAX(0,(nr_MEndP-$G1384+0.5)/$C$1372))-MIN(1,MAX(0,(nr_MStartP-1-$G1384+0.5)/$C$1372))</f>
        <v/>
      </c>
      <c r="R1384" s="208">
        <f>MIN(1,MAX(0,(nr_MEndP1-$G1384+0.5)/$C$1372))-MIN(1,MAX(0,(nr_MStartP1-1-$G1384+0.5)/$C$1372))</f>
        <v/>
      </c>
      <c r="S1384" s="208">
        <f>IF($L$1372,$N1384*IF($O$1372=1,$O1384/$F$1372,1),"")</f>
        <v/>
      </c>
      <c r="T1384" s="208">
        <f>IF(NOT($L$1372),"",IF($G1384&lt;nr_MStartP,$S1384,$T1372*(1+IF($G1384&lt;nr_MStartP1,$M$1372,$N$1372))))</f>
        <v/>
      </c>
      <c r="U1384" s="208">
        <f>IF($L$1372,$T1384,$N1384)</f>
        <v/>
      </c>
    </row>
    <row r="1385">
      <c r="A1385" s="145" t="n">
        <v>11</v>
      </c>
      <c r="B1385" s="204">
        <f>EDATE($B1384,1)</f>
        <v/>
      </c>
      <c r="C1385" s="205">
        <f>EOMONTH($B1385,0)</f>
        <v/>
      </c>
      <c r="D1385" s="201">
        <f>$C1385-$B1385+1</f>
        <v/>
      </c>
      <c r="E1385" s="201">
        <f>MONTH($B1385)</f>
        <v/>
      </c>
      <c r="F1385" s="235">
        <f>($B1385+$C1385+1)/2</f>
        <v/>
      </c>
      <c r="G1385" s="201">
        <f>YEAR($B1385)*12+MONTH($B1385)-1</f>
        <v/>
      </c>
      <c r="H1385" s="207">
        <f>IF(OR(nr_SeasonOn="OFF",$D$1372=0,$E$1372=0),1,12*INDEX(se_block,$D$1372,$E1385)/$E$1372)</f>
        <v/>
      </c>
      <c r="I1385" s="208">
        <f>EXP(SUMPRODUCT((rl_eff&lt;$B1385)*(rl_key=$A$1372)*rl_ln1p))</f>
        <v/>
      </c>
      <c r="J1385" s="208">
        <f>EXP(SUMPRODUCT((rl_eff&lt;=$C1385)*(rl_key=$A$1372)*rl_ln1p))</f>
        <v/>
      </c>
      <c r="K1385" s="201">
        <f>COUNTIFS(rl_key,$A$1372,rl_eff,"&gt;="&amp;$B1385,rl_eff,"&lt;="&amp;$C1385)</f>
        <v/>
      </c>
      <c r="L1385" s="201">
        <f>SUMIFS(rl_daysafter,rl_key,$A$1372,rl_effmonth,$B1385,rl_first,1)</f>
        <v/>
      </c>
      <c r="M1385" s="209">
        <f>IF($K1385=0,0,MIN(1,$L1385/$D1385))</f>
        <v/>
      </c>
      <c r="N1385" s="208">
        <f>IF($K1385=0,$J1385,(1-$M1385)*$I1385+$M1385*$J1385)</f>
        <v/>
      </c>
      <c r="O1385" s="209">
        <f>IF($F1385&lt;$B$1373,$E$1373+$I$1373*($F1385-$A$1373),IF($F1385&lt;$C$1373,$F$1373+$J$1373*($F1385-$B$1373),$G$1373+$K$1373*($F1385-$C$1373)))</f>
        <v/>
      </c>
      <c r="P1385" s="208">
        <f>MIN(1,MAX(0,(nr_MEndPm1-$G1385+0.5)/$C$1372))-MIN(1,MAX(0,(nr_MStartPm1-1-$G1385+0.5)/$C$1372))</f>
        <v/>
      </c>
      <c r="Q1385" s="208">
        <f>MIN(1,MAX(0,(nr_MEndP-$G1385+0.5)/$C$1372))-MIN(1,MAX(0,(nr_MStartP-1-$G1385+0.5)/$C$1372))</f>
        <v/>
      </c>
      <c r="R1385" s="208">
        <f>MIN(1,MAX(0,(nr_MEndP1-$G1385+0.5)/$C$1372))-MIN(1,MAX(0,(nr_MStartP1-1-$G1385+0.5)/$C$1372))</f>
        <v/>
      </c>
      <c r="S1385" s="208">
        <f>IF($L$1372,$N1385*IF($O$1372=1,$O1385/$F$1372,1),"")</f>
        <v/>
      </c>
      <c r="T1385" s="208">
        <f>IF(NOT($L$1372),"",IF($G1385&lt;nr_MStartP,$S1385,$T1373*(1+IF($G1385&lt;nr_MStartP1,$M$1372,$N$1372))))</f>
        <v/>
      </c>
      <c r="U1385" s="208">
        <f>IF($L$1372,$T1385,$N1385)</f>
        <v/>
      </c>
    </row>
    <row r="1386">
      <c r="A1386" s="145" t="n">
        <v>12</v>
      </c>
      <c r="B1386" s="204">
        <f>EDATE($B1385,1)</f>
        <v/>
      </c>
      <c r="C1386" s="205">
        <f>EOMONTH($B1386,0)</f>
        <v/>
      </c>
      <c r="D1386" s="201">
        <f>$C1386-$B1386+1</f>
        <v/>
      </c>
      <c r="E1386" s="201">
        <f>MONTH($B1386)</f>
        <v/>
      </c>
      <c r="F1386" s="235">
        <f>($B1386+$C1386+1)/2</f>
        <v/>
      </c>
      <c r="G1386" s="201">
        <f>YEAR($B1386)*12+MONTH($B1386)-1</f>
        <v/>
      </c>
      <c r="H1386" s="207">
        <f>IF(OR(nr_SeasonOn="OFF",$D$1372=0,$E$1372=0),1,12*INDEX(se_block,$D$1372,$E1386)/$E$1372)</f>
        <v/>
      </c>
      <c r="I1386" s="208">
        <f>EXP(SUMPRODUCT((rl_eff&lt;$B1386)*(rl_key=$A$1372)*rl_ln1p))</f>
        <v/>
      </c>
      <c r="J1386" s="208">
        <f>EXP(SUMPRODUCT((rl_eff&lt;=$C1386)*(rl_key=$A$1372)*rl_ln1p))</f>
        <v/>
      </c>
      <c r="K1386" s="201">
        <f>COUNTIFS(rl_key,$A$1372,rl_eff,"&gt;="&amp;$B1386,rl_eff,"&lt;="&amp;$C1386)</f>
        <v/>
      </c>
      <c r="L1386" s="201">
        <f>SUMIFS(rl_daysafter,rl_key,$A$1372,rl_effmonth,$B1386,rl_first,1)</f>
        <v/>
      </c>
      <c r="M1386" s="209">
        <f>IF($K1386=0,0,MIN(1,$L1386/$D1386))</f>
        <v/>
      </c>
      <c r="N1386" s="208">
        <f>IF($K1386=0,$J1386,(1-$M1386)*$I1386+$M1386*$J1386)</f>
        <v/>
      </c>
      <c r="O1386" s="209">
        <f>IF($F1386&lt;$B$1373,$E$1373+$I$1373*($F1386-$A$1373),IF($F1386&lt;$C$1373,$F$1373+$J$1373*($F1386-$B$1373),$G$1373+$K$1373*($F1386-$C$1373)))</f>
        <v/>
      </c>
      <c r="P1386" s="208">
        <f>MIN(1,MAX(0,(nr_MEndPm1-$G1386+0.5)/$C$1372))-MIN(1,MAX(0,(nr_MStartPm1-1-$G1386+0.5)/$C$1372))</f>
        <v/>
      </c>
      <c r="Q1386" s="208">
        <f>MIN(1,MAX(0,(nr_MEndP-$G1386+0.5)/$C$1372))-MIN(1,MAX(0,(nr_MStartP-1-$G1386+0.5)/$C$1372))</f>
        <v/>
      </c>
      <c r="R1386" s="208">
        <f>MIN(1,MAX(0,(nr_MEndP1-$G1386+0.5)/$C$1372))-MIN(1,MAX(0,(nr_MStartP1-1-$G1386+0.5)/$C$1372))</f>
        <v/>
      </c>
      <c r="S1386" s="208">
        <f>IF($L$1372,$N1386*IF($O$1372=1,$O1386/$F$1372,1),"")</f>
        <v/>
      </c>
      <c r="T1386" s="208">
        <f>IF(NOT($L$1372),"",IF($G1386&lt;nr_MStartP,$S1386,$T1374*(1+IF($G1386&lt;nr_MStartP1,$M$1372,$N$1372))))</f>
        <v/>
      </c>
      <c r="U1386" s="208">
        <f>IF($L$1372,$T1386,$N1386)</f>
        <v/>
      </c>
    </row>
    <row r="1387">
      <c r="A1387" s="145" t="n">
        <v>13</v>
      </c>
      <c r="B1387" s="204">
        <f>EDATE($B1386,1)</f>
        <v/>
      </c>
      <c r="C1387" s="205">
        <f>EOMONTH($B1387,0)</f>
        <v/>
      </c>
      <c r="D1387" s="201">
        <f>$C1387-$B1387+1</f>
        <v/>
      </c>
      <c r="E1387" s="201">
        <f>MONTH($B1387)</f>
        <v/>
      </c>
      <c r="F1387" s="235">
        <f>($B1387+$C1387+1)/2</f>
        <v/>
      </c>
      <c r="G1387" s="201">
        <f>YEAR($B1387)*12+MONTH($B1387)-1</f>
        <v/>
      </c>
      <c r="H1387" s="207">
        <f>IF(OR(nr_SeasonOn="OFF",$D$1372=0,$E$1372=0),1,12*INDEX(se_block,$D$1372,$E1387)/$E$1372)</f>
        <v/>
      </c>
      <c r="I1387" s="208">
        <f>EXP(SUMPRODUCT((rl_eff&lt;$B1387)*(rl_key=$A$1372)*rl_ln1p))</f>
        <v/>
      </c>
      <c r="J1387" s="208">
        <f>EXP(SUMPRODUCT((rl_eff&lt;=$C1387)*(rl_key=$A$1372)*rl_ln1p))</f>
        <v/>
      </c>
      <c r="K1387" s="201">
        <f>COUNTIFS(rl_key,$A$1372,rl_eff,"&gt;="&amp;$B1387,rl_eff,"&lt;="&amp;$C1387)</f>
        <v/>
      </c>
      <c r="L1387" s="201">
        <f>SUMIFS(rl_daysafter,rl_key,$A$1372,rl_effmonth,$B1387,rl_first,1)</f>
        <v/>
      </c>
      <c r="M1387" s="209">
        <f>IF($K1387=0,0,MIN(1,$L1387/$D1387))</f>
        <v/>
      </c>
      <c r="N1387" s="208">
        <f>IF($K1387=0,$J1387,(1-$M1387)*$I1387+$M1387*$J1387)</f>
        <v/>
      </c>
      <c r="O1387" s="209">
        <f>IF($F1387&lt;$B$1373,$E$1373+$I$1373*($F1387-$A$1373),IF($F1387&lt;$C$1373,$F$1373+$J$1373*($F1387-$B$1373),$G$1373+$K$1373*($F1387-$C$1373)))</f>
        <v/>
      </c>
      <c r="P1387" s="208">
        <f>MIN(1,MAX(0,(nr_MEndPm1-$G1387+0.5)/$C$1372))-MIN(1,MAX(0,(nr_MStartPm1-1-$G1387+0.5)/$C$1372))</f>
        <v/>
      </c>
      <c r="Q1387" s="208">
        <f>MIN(1,MAX(0,(nr_MEndP-$G1387+0.5)/$C$1372))-MIN(1,MAX(0,(nr_MStartP-1-$G1387+0.5)/$C$1372))</f>
        <v/>
      </c>
      <c r="R1387" s="208">
        <f>MIN(1,MAX(0,(nr_MEndP1-$G1387+0.5)/$C$1372))-MIN(1,MAX(0,(nr_MStartP1-1-$G1387+0.5)/$C$1372))</f>
        <v/>
      </c>
      <c r="S1387" s="208">
        <f>IF($L$1372,$N1387*IF($O$1372=1,$O1387/$F$1372,1),"")</f>
        <v/>
      </c>
      <c r="T1387" s="208">
        <f>IF(NOT($L$1372),"",IF($G1387&lt;nr_MStartP,$S1387,$T1375*(1+IF($G1387&lt;nr_MStartP1,$M$1372,$N$1372))))</f>
        <v/>
      </c>
      <c r="U1387" s="208">
        <f>IF($L$1372,$T1387,$N1387)</f>
        <v/>
      </c>
    </row>
    <row r="1388">
      <c r="A1388" s="145" t="n">
        <v>14</v>
      </c>
      <c r="B1388" s="204">
        <f>EDATE($B1387,1)</f>
        <v/>
      </c>
      <c r="C1388" s="205">
        <f>EOMONTH($B1388,0)</f>
        <v/>
      </c>
      <c r="D1388" s="201">
        <f>$C1388-$B1388+1</f>
        <v/>
      </c>
      <c r="E1388" s="201">
        <f>MONTH($B1388)</f>
        <v/>
      </c>
      <c r="F1388" s="235">
        <f>($B1388+$C1388+1)/2</f>
        <v/>
      </c>
      <c r="G1388" s="201">
        <f>YEAR($B1388)*12+MONTH($B1388)-1</f>
        <v/>
      </c>
      <c r="H1388" s="207">
        <f>IF(OR(nr_SeasonOn="OFF",$D$1372=0,$E$1372=0),1,12*INDEX(se_block,$D$1372,$E1388)/$E$1372)</f>
        <v/>
      </c>
      <c r="I1388" s="208">
        <f>EXP(SUMPRODUCT((rl_eff&lt;$B1388)*(rl_key=$A$1372)*rl_ln1p))</f>
        <v/>
      </c>
      <c r="J1388" s="208">
        <f>EXP(SUMPRODUCT((rl_eff&lt;=$C1388)*(rl_key=$A$1372)*rl_ln1p))</f>
        <v/>
      </c>
      <c r="K1388" s="201">
        <f>COUNTIFS(rl_key,$A$1372,rl_eff,"&gt;="&amp;$B1388,rl_eff,"&lt;="&amp;$C1388)</f>
        <v/>
      </c>
      <c r="L1388" s="201">
        <f>SUMIFS(rl_daysafter,rl_key,$A$1372,rl_effmonth,$B1388,rl_first,1)</f>
        <v/>
      </c>
      <c r="M1388" s="209">
        <f>IF($K1388=0,0,MIN(1,$L1388/$D1388))</f>
        <v/>
      </c>
      <c r="N1388" s="208">
        <f>IF($K1388=0,$J1388,(1-$M1388)*$I1388+$M1388*$J1388)</f>
        <v/>
      </c>
      <c r="O1388" s="209">
        <f>IF($F1388&lt;$B$1373,$E$1373+$I$1373*($F1388-$A$1373),IF($F1388&lt;$C$1373,$F$1373+$J$1373*($F1388-$B$1373),$G$1373+$K$1373*($F1388-$C$1373)))</f>
        <v/>
      </c>
      <c r="P1388" s="208">
        <f>MIN(1,MAX(0,(nr_MEndPm1-$G1388+0.5)/$C$1372))-MIN(1,MAX(0,(nr_MStartPm1-1-$G1388+0.5)/$C$1372))</f>
        <v/>
      </c>
      <c r="Q1388" s="208">
        <f>MIN(1,MAX(0,(nr_MEndP-$G1388+0.5)/$C$1372))-MIN(1,MAX(0,(nr_MStartP-1-$G1388+0.5)/$C$1372))</f>
        <v/>
      </c>
      <c r="R1388" s="208">
        <f>MIN(1,MAX(0,(nr_MEndP1-$G1388+0.5)/$C$1372))-MIN(1,MAX(0,(nr_MStartP1-1-$G1388+0.5)/$C$1372))</f>
        <v/>
      </c>
      <c r="S1388" s="208">
        <f>IF($L$1372,$N1388*IF($O$1372=1,$O1388/$F$1372,1),"")</f>
        <v/>
      </c>
      <c r="T1388" s="208">
        <f>IF(NOT($L$1372),"",IF($G1388&lt;nr_MStartP,$S1388,$T1376*(1+IF($G1388&lt;nr_MStartP1,$M$1372,$N$1372))))</f>
        <v/>
      </c>
      <c r="U1388" s="208">
        <f>IF($L$1372,$T1388,$N1388)</f>
        <v/>
      </c>
    </row>
    <row r="1389">
      <c r="A1389" s="145" t="n">
        <v>15</v>
      </c>
      <c r="B1389" s="204">
        <f>EDATE($B1388,1)</f>
        <v/>
      </c>
      <c r="C1389" s="205">
        <f>EOMONTH($B1389,0)</f>
        <v/>
      </c>
      <c r="D1389" s="201">
        <f>$C1389-$B1389+1</f>
        <v/>
      </c>
      <c r="E1389" s="201">
        <f>MONTH($B1389)</f>
        <v/>
      </c>
      <c r="F1389" s="235">
        <f>($B1389+$C1389+1)/2</f>
        <v/>
      </c>
      <c r="G1389" s="201">
        <f>YEAR($B1389)*12+MONTH($B1389)-1</f>
        <v/>
      </c>
      <c r="H1389" s="207">
        <f>IF(OR(nr_SeasonOn="OFF",$D$1372=0,$E$1372=0),1,12*INDEX(se_block,$D$1372,$E1389)/$E$1372)</f>
        <v/>
      </c>
      <c r="I1389" s="208">
        <f>EXP(SUMPRODUCT((rl_eff&lt;$B1389)*(rl_key=$A$1372)*rl_ln1p))</f>
        <v/>
      </c>
      <c r="J1389" s="208">
        <f>EXP(SUMPRODUCT((rl_eff&lt;=$C1389)*(rl_key=$A$1372)*rl_ln1p))</f>
        <v/>
      </c>
      <c r="K1389" s="201">
        <f>COUNTIFS(rl_key,$A$1372,rl_eff,"&gt;="&amp;$B1389,rl_eff,"&lt;="&amp;$C1389)</f>
        <v/>
      </c>
      <c r="L1389" s="201">
        <f>SUMIFS(rl_daysafter,rl_key,$A$1372,rl_effmonth,$B1389,rl_first,1)</f>
        <v/>
      </c>
      <c r="M1389" s="209">
        <f>IF($K1389=0,0,MIN(1,$L1389/$D1389))</f>
        <v/>
      </c>
      <c r="N1389" s="208">
        <f>IF($K1389=0,$J1389,(1-$M1389)*$I1389+$M1389*$J1389)</f>
        <v/>
      </c>
      <c r="O1389" s="209">
        <f>IF($F1389&lt;$B$1373,$E$1373+$I$1373*($F1389-$A$1373),IF($F1389&lt;$C$1373,$F$1373+$J$1373*($F1389-$B$1373),$G$1373+$K$1373*($F1389-$C$1373)))</f>
        <v/>
      </c>
      <c r="P1389" s="208">
        <f>MIN(1,MAX(0,(nr_MEndPm1-$G1389+0.5)/$C$1372))-MIN(1,MAX(0,(nr_MStartPm1-1-$G1389+0.5)/$C$1372))</f>
        <v/>
      </c>
      <c r="Q1389" s="208">
        <f>MIN(1,MAX(0,(nr_MEndP-$G1389+0.5)/$C$1372))-MIN(1,MAX(0,(nr_MStartP-1-$G1389+0.5)/$C$1372))</f>
        <v/>
      </c>
      <c r="R1389" s="208">
        <f>MIN(1,MAX(0,(nr_MEndP1-$G1389+0.5)/$C$1372))-MIN(1,MAX(0,(nr_MStartP1-1-$G1389+0.5)/$C$1372))</f>
        <v/>
      </c>
      <c r="S1389" s="208">
        <f>IF($L$1372,$N1389*IF($O$1372=1,$O1389/$F$1372,1),"")</f>
        <v/>
      </c>
      <c r="T1389" s="208">
        <f>IF(NOT($L$1372),"",IF($G1389&lt;nr_MStartP,$S1389,$T1377*(1+IF($G1389&lt;nr_MStartP1,$M$1372,$N$1372))))</f>
        <v/>
      </c>
      <c r="U1389" s="208">
        <f>IF($L$1372,$T1389,$N1389)</f>
        <v/>
      </c>
    </row>
    <row r="1390">
      <c r="A1390" s="145" t="n">
        <v>16</v>
      </c>
      <c r="B1390" s="204">
        <f>EDATE($B1389,1)</f>
        <v/>
      </c>
      <c r="C1390" s="205">
        <f>EOMONTH($B1390,0)</f>
        <v/>
      </c>
      <c r="D1390" s="201">
        <f>$C1390-$B1390+1</f>
        <v/>
      </c>
      <c r="E1390" s="201">
        <f>MONTH($B1390)</f>
        <v/>
      </c>
      <c r="F1390" s="235">
        <f>($B1390+$C1390+1)/2</f>
        <v/>
      </c>
      <c r="G1390" s="201">
        <f>YEAR($B1390)*12+MONTH($B1390)-1</f>
        <v/>
      </c>
      <c r="H1390" s="207">
        <f>IF(OR(nr_SeasonOn="OFF",$D$1372=0,$E$1372=0),1,12*INDEX(se_block,$D$1372,$E1390)/$E$1372)</f>
        <v/>
      </c>
      <c r="I1390" s="208">
        <f>EXP(SUMPRODUCT((rl_eff&lt;$B1390)*(rl_key=$A$1372)*rl_ln1p))</f>
        <v/>
      </c>
      <c r="J1390" s="208">
        <f>EXP(SUMPRODUCT((rl_eff&lt;=$C1390)*(rl_key=$A$1372)*rl_ln1p))</f>
        <v/>
      </c>
      <c r="K1390" s="201">
        <f>COUNTIFS(rl_key,$A$1372,rl_eff,"&gt;="&amp;$B1390,rl_eff,"&lt;="&amp;$C1390)</f>
        <v/>
      </c>
      <c r="L1390" s="201">
        <f>SUMIFS(rl_daysafter,rl_key,$A$1372,rl_effmonth,$B1390,rl_first,1)</f>
        <v/>
      </c>
      <c r="M1390" s="209">
        <f>IF($K1390=0,0,MIN(1,$L1390/$D1390))</f>
        <v/>
      </c>
      <c r="N1390" s="208">
        <f>IF($K1390=0,$J1390,(1-$M1390)*$I1390+$M1390*$J1390)</f>
        <v/>
      </c>
      <c r="O1390" s="209">
        <f>IF($F1390&lt;$B$1373,$E$1373+$I$1373*($F1390-$A$1373),IF($F1390&lt;$C$1373,$F$1373+$J$1373*($F1390-$B$1373),$G$1373+$K$1373*($F1390-$C$1373)))</f>
        <v/>
      </c>
      <c r="P1390" s="208">
        <f>MIN(1,MAX(0,(nr_MEndPm1-$G1390+0.5)/$C$1372))-MIN(1,MAX(0,(nr_MStartPm1-1-$G1390+0.5)/$C$1372))</f>
        <v/>
      </c>
      <c r="Q1390" s="208">
        <f>MIN(1,MAX(0,(nr_MEndP-$G1390+0.5)/$C$1372))-MIN(1,MAX(0,(nr_MStartP-1-$G1390+0.5)/$C$1372))</f>
        <v/>
      </c>
      <c r="R1390" s="208">
        <f>MIN(1,MAX(0,(nr_MEndP1-$G1390+0.5)/$C$1372))-MIN(1,MAX(0,(nr_MStartP1-1-$G1390+0.5)/$C$1372))</f>
        <v/>
      </c>
      <c r="S1390" s="208">
        <f>IF($L$1372,$N1390*IF($O$1372=1,$O1390/$F$1372,1),"")</f>
        <v/>
      </c>
      <c r="T1390" s="208">
        <f>IF(NOT($L$1372),"",IF($G1390&lt;nr_MStartP,$S1390,$T1378*(1+IF($G1390&lt;nr_MStartP1,$M$1372,$N$1372))))</f>
        <v/>
      </c>
      <c r="U1390" s="208">
        <f>IF($L$1372,$T1390,$N1390)</f>
        <v/>
      </c>
    </row>
    <row r="1391">
      <c r="A1391" s="145" t="n">
        <v>17</v>
      </c>
      <c r="B1391" s="204">
        <f>EDATE($B1390,1)</f>
        <v/>
      </c>
      <c r="C1391" s="205">
        <f>EOMONTH($B1391,0)</f>
        <v/>
      </c>
      <c r="D1391" s="201">
        <f>$C1391-$B1391+1</f>
        <v/>
      </c>
      <c r="E1391" s="201">
        <f>MONTH($B1391)</f>
        <v/>
      </c>
      <c r="F1391" s="235">
        <f>($B1391+$C1391+1)/2</f>
        <v/>
      </c>
      <c r="G1391" s="201">
        <f>YEAR($B1391)*12+MONTH($B1391)-1</f>
        <v/>
      </c>
      <c r="H1391" s="207">
        <f>IF(OR(nr_SeasonOn="OFF",$D$1372=0,$E$1372=0),1,12*INDEX(se_block,$D$1372,$E1391)/$E$1372)</f>
        <v/>
      </c>
      <c r="I1391" s="208">
        <f>EXP(SUMPRODUCT((rl_eff&lt;$B1391)*(rl_key=$A$1372)*rl_ln1p))</f>
        <v/>
      </c>
      <c r="J1391" s="208">
        <f>EXP(SUMPRODUCT((rl_eff&lt;=$C1391)*(rl_key=$A$1372)*rl_ln1p))</f>
        <v/>
      </c>
      <c r="K1391" s="201">
        <f>COUNTIFS(rl_key,$A$1372,rl_eff,"&gt;="&amp;$B1391,rl_eff,"&lt;="&amp;$C1391)</f>
        <v/>
      </c>
      <c r="L1391" s="201">
        <f>SUMIFS(rl_daysafter,rl_key,$A$1372,rl_effmonth,$B1391,rl_first,1)</f>
        <v/>
      </c>
      <c r="M1391" s="209">
        <f>IF($K1391=0,0,MIN(1,$L1391/$D1391))</f>
        <v/>
      </c>
      <c r="N1391" s="208">
        <f>IF($K1391=0,$J1391,(1-$M1391)*$I1391+$M1391*$J1391)</f>
        <v/>
      </c>
      <c r="O1391" s="209">
        <f>IF($F1391&lt;$B$1373,$E$1373+$I$1373*($F1391-$A$1373),IF($F1391&lt;$C$1373,$F$1373+$J$1373*($F1391-$B$1373),$G$1373+$K$1373*($F1391-$C$1373)))</f>
        <v/>
      </c>
      <c r="P1391" s="208">
        <f>MIN(1,MAX(0,(nr_MEndPm1-$G1391+0.5)/$C$1372))-MIN(1,MAX(0,(nr_MStartPm1-1-$G1391+0.5)/$C$1372))</f>
        <v/>
      </c>
      <c r="Q1391" s="208">
        <f>MIN(1,MAX(0,(nr_MEndP-$G1391+0.5)/$C$1372))-MIN(1,MAX(0,(nr_MStartP-1-$G1391+0.5)/$C$1372))</f>
        <v/>
      </c>
      <c r="R1391" s="208">
        <f>MIN(1,MAX(0,(nr_MEndP1-$G1391+0.5)/$C$1372))-MIN(1,MAX(0,(nr_MStartP1-1-$G1391+0.5)/$C$1372))</f>
        <v/>
      </c>
      <c r="S1391" s="208">
        <f>IF($L$1372,$N1391*IF($O$1372=1,$O1391/$F$1372,1),"")</f>
        <v/>
      </c>
      <c r="T1391" s="208">
        <f>IF(NOT($L$1372),"",IF($G1391&lt;nr_MStartP,$S1391,$T1379*(1+IF($G1391&lt;nr_MStartP1,$M$1372,$N$1372))))</f>
        <v/>
      </c>
      <c r="U1391" s="208">
        <f>IF($L$1372,$T1391,$N1391)</f>
        <v/>
      </c>
    </row>
    <row r="1392">
      <c r="A1392" s="145" t="n">
        <v>18</v>
      </c>
      <c r="B1392" s="204">
        <f>EDATE($B1391,1)</f>
        <v/>
      </c>
      <c r="C1392" s="205">
        <f>EOMONTH($B1392,0)</f>
        <v/>
      </c>
      <c r="D1392" s="201">
        <f>$C1392-$B1392+1</f>
        <v/>
      </c>
      <c r="E1392" s="201">
        <f>MONTH($B1392)</f>
        <v/>
      </c>
      <c r="F1392" s="235">
        <f>($B1392+$C1392+1)/2</f>
        <v/>
      </c>
      <c r="G1392" s="201">
        <f>YEAR($B1392)*12+MONTH($B1392)-1</f>
        <v/>
      </c>
      <c r="H1392" s="207">
        <f>IF(OR(nr_SeasonOn="OFF",$D$1372=0,$E$1372=0),1,12*INDEX(se_block,$D$1372,$E1392)/$E$1372)</f>
        <v/>
      </c>
      <c r="I1392" s="208">
        <f>EXP(SUMPRODUCT((rl_eff&lt;$B1392)*(rl_key=$A$1372)*rl_ln1p))</f>
        <v/>
      </c>
      <c r="J1392" s="208">
        <f>EXP(SUMPRODUCT((rl_eff&lt;=$C1392)*(rl_key=$A$1372)*rl_ln1p))</f>
        <v/>
      </c>
      <c r="K1392" s="201">
        <f>COUNTIFS(rl_key,$A$1372,rl_eff,"&gt;="&amp;$B1392,rl_eff,"&lt;="&amp;$C1392)</f>
        <v/>
      </c>
      <c r="L1392" s="201">
        <f>SUMIFS(rl_daysafter,rl_key,$A$1372,rl_effmonth,$B1392,rl_first,1)</f>
        <v/>
      </c>
      <c r="M1392" s="209">
        <f>IF($K1392=0,0,MIN(1,$L1392/$D1392))</f>
        <v/>
      </c>
      <c r="N1392" s="208">
        <f>IF($K1392=0,$J1392,(1-$M1392)*$I1392+$M1392*$J1392)</f>
        <v/>
      </c>
      <c r="O1392" s="209">
        <f>IF($F1392&lt;$B$1373,$E$1373+$I$1373*($F1392-$A$1373),IF($F1392&lt;$C$1373,$F$1373+$J$1373*($F1392-$B$1373),$G$1373+$K$1373*($F1392-$C$1373)))</f>
        <v/>
      </c>
      <c r="P1392" s="208">
        <f>MIN(1,MAX(0,(nr_MEndPm1-$G1392+0.5)/$C$1372))-MIN(1,MAX(0,(nr_MStartPm1-1-$G1392+0.5)/$C$1372))</f>
        <v/>
      </c>
      <c r="Q1392" s="208">
        <f>MIN(1,MAX(0,(nr_MEndP-$G1392+0.5)/$C$1372))-MIN(1,MAX(0,(nr_MStartP-1-$G1392+0.5)/$C$1372))</f>
        <v/>
      </c>
      <c r="R1392" s="208">
        <f>MIN(1,MAX(0,(nr_MEndP1-$G1392+0.5)/$C$1372))-MIN(1,MAX(0,(nr_MStartP1-1-$G1392+0.5)/$C$1372))</f>
        <v/>
      </c>
      <c r="S1392" s="208">
        <f>IF($L$1372,$N1392*IF($O$1372=1,$O1392/$F$1372,1),"")</f>
        <v/>
      </c>
      <c r="T1392" s="208">
        <f>IF(NOT($L$1372),"",IF($G1392&lt;nr_MStartP,$S1392,$T1380*(1+IF($G1392&lt;nr_MStartP1,$M$1372,$N$1372))))</f>
        <v/>
      </c>
      <c r="U1392" s="208">
        <f>IF($L$1372,$T1392,$N1392)</f>
        <v/>
      </c>
    </row>
    <row r="1393">
      <c r="A1393" s="145" t="n">
        <v>19</v>
      </c>
      <c r="B1393" s="204">
        <f>EDATE($B1392,1)</f>
        <v/>
      </c>
      <c r="C1393" s="205">
        <f>EOMONTH($B1393,0)</f>
        <v/>
      </c>
      <c r="D1393" s="201">
        <f>$C1393-$B1393+1</f>
        <v/>
      </c>
      <c r="E1393" s="201">
        <f>MONTH($B1393)</f>
        <v/>
      </c>
      <c r="F1393" s="235">
        <f>($B1393+$C1393+1)/2</f>
        <v/>
      </c>
      <c r="G1393" s="201">
        <f>YEAR($B1393)*12+MONTH($B1393)-1</f>
        <v/>
      </c>
      <c r="H1393" s="207">
        <f>IF(OR(nr_SeasonOn="OFF",$D$1372=0,$E$1372=0),1,12*INDEX(se_block,$D$1372,$E1393)/$E$1372)</f>
        <v/>
      </c>
      <c r="I1393" s="208">
        <f>EXP(SUMPRODUCT((rl_eff&lt;$B1393)*(rl_key=$A$1372)*rl_ln1p))</f>
        <v/>
      </c>
      <c r="J1393" s="208">
        <f>EXP(SUMPRODUCT((rl_eff&lt;=$C1393)*(rl_key=$A$1372)*rl_ln1p))</f>
        <v/>
      </c>
      <c r="K1393" s="201">
        <f>COUNTIFS(rl_key,$A$1372,rl_eff,"&gt;="&amp;$B1393,rl_eff,"&lt;="&amp;$C1393)</f>
        <v/>
      </c>
      <c r="L1393" s="201">
        <f>SUMIFS(rl_daysafter,rl_key,$A$1372,rl_effmonth,$B1393,rl_first,1)</f>
        <v/>
      </c>
      <c r="M1393" s="209">
        <f>IF($K1393=0,0,MIN(1,$L1393/$D1393))</f>
        <v/>
      </c>
      <c r="N1393" s="208">
        <f>IF($K1393=0,$J1393,(1-$M1393)*$I1393+$M1393*$J1393)</f>
        <v/>
      </c>
      <c r="O1393" s="209">
        <f>IF($F1393&lt;$B$1373,$E$1373+$I$1373*($F1393-$A$1373),IF($F1393&lt;$C$1373,$F$1373+$J$1373*($F1393-$B$1373),$G$1373+$K$1373*($F1393-$C$1373)))</f>
        <v/>
      </c>
      <c r="P1393" s="208">
        <f>MIN(1,MAX(0,(nr_MEndPm1-$G1393+0.5)/$C$1372))-MIN(1,MAX(0,(nr_MStartPm1-1-$G1393+0.5)/$C$1372))</f>
        <v/>
      </c>
      <c r="Q1393" s="208">
        <f>MIN(1,MAX(0,(nr_MEndP-$G1393+0.5)/$C$1372))-MIN(1,MAX(0,(nr_MStartP-1-$G1393+0.5)/$C$1372))</f>
        <v/>
      </c>
      <c r="R1393" s="208">
        <f>MIN(1,MAX(0,(nr_MEndP1-$G1393+0.5)/$C$1372))-MIN(1,MAX(0,(nr_MStartP1-1-$G1393+0.5)/$C$1372))</f>
        <v/>
      </c>
      <c r="S1393" s="208">
        <f>IF($L$1372,$N1393*IF($O$1372=1,$O1393/$F$1372,1),"")</f>
        <v/>
      </c>
      <c r="T1393" s="208">
        <f>IF(NOT($L$1372),"",IF($G1393&lt;nr_MStartP,$S1393,$T1381*(1+IF($G1393&lt;nr_MStartP1,$M$1372,$N$1372))))</f>
        <v/>
      </c>
      <c r="U1393" s="208">
        <f>IF($L$1372,$T1393,$N1393)</f>
        <v/>
      </c>
    </row>
    <row r="1394">
      <c r="A1394" s="145" t="n">
        <v>20</v>
      </c>
      <c r="B1394" s="204">
        <f>EDATE($B1393,1)</f>
        <v/>
      </c>
      <c r="C1394" s="205">
        <f>EOMONTH($B1394,0)</f>
        <v/>
      </c>
      <c r="D1394" s="201">
        <f>$C1394-$B1394+1</f>
        <v/>
      </c>
      <c r="E1394" s="201">
        <f>MONTH($B1394)</f>
        <v/>
      </c>
      <c r="F1394" s="235">
        <f>($B1394+$C1394+1)/2</f>
        <v/>
      </c>
      <c r="G1394" s="201">
        <f>YEAR($B1394)*12+MONTH($B1394)-1</f>
        <v/>
      </c>
      <c r="H1394" s="207">
        <f>IF(OR(nr_SeasonOn="OFF",$D$1372=0,$E$1372=0),1,12*INDEX(se_block,$D$1372,$E1394)/$E$1372)</f>
        <v/>
      </c>
      <c r="I1394" s="208">
        <f>EXP(SUMPRODUCT((rl_eff&lt;$B1394)*(rl_key=$A$1372)*rl_ln1p))</f>
        <v/>
      </c>
      <c r="J1394" s="208">
        <f>EXP(SUMPRODUCT((rl_eff&lt;=$C1394)*(rl_key=$A$1372)*rl_ln1p))</f>
        <v/>
      </c>
      <c r="K1394" s="201">
        <f>COUNTIFS(rl_key,$A$1372,rl_eff,"&gt;="&amp;$B1394,rl_eff,"&lt;="&amp;$C1394)</f>
        <v/>
      </c>
      <c r="L1394" s="201">
        <f>SUMIFS(rl_daysafter,rl_key,$A$1372,rl_effmonth,$B1394,rl_first,1)</f>
        <v/>
      </c>
      <c r="M1394" s="209">
        <f>IF($K1394=0,0,MIN(1,$L1394/$D1394))</f>
        <v/>
      </c>
      <c r="N1394" s="208">
        <f>IF($K1394=0,$J1394,(1-$M1394)*$I1394+$M1394*$J1394)</f>
        <v/>
      </c>
      <c r="O1394" s="209">
        <f>IF($F1394&lt;$B$1373,$E$1373+$I$1373*($F1394-$A$1373),IF($F1394&lt;$C$1373,$F$1373+$J$1373*($F1394-$B$1373),$G$1373+$K$1373*($F1394-$C$1373)))</f>
        <v/>
      </c>
      <c r="P1394" s="208">
        <f>MIN(1,MAX(0,(nr_MEndPm1-$G1394+0.5)/$C$1372))-MIN(1,MAX(0,(nr_MStartPm1-1-$G1394+0.5)/$C$1372))</f>
        <v/>
      </c>
      <c r="Q1394" s="208">
        <f>MIN(1,MAX(0,(nr_MEndP-$G1394+0.5)/$C$1372))-MIN(1,MAX(0,(nr_MStartP-1-$G1394+0.5)/$C$1372))</f>
        <v/>
      </c>
      <c r="R1394" s="208">
        <f>MIN(1,MAX(0,(nr_MEndP1-$G1394+0.5)/$C$1372))-MIN(1,MAX(0,(nr_MStartP1-1-$G1394+0.5)/$C$1372))</f>
        <v/>
      </c>
      <c r="S1394" s="208">
        <f>IF($L$1372,$N1394*IF($O$1372=1,$O1394/$F$1372,1),"")</f>
        <v/>
      </c>
      <c r="T1394" s="208">
        <f>IF(NOT($L$1372),"",IF($G1394&lt;nr_MStartP,$S1394,$T1382*(1+IF($G1394&lt;nr_MStartP1,$M$1372,$N$1372))))</f>
        <v/>
      </c>
      <c r="U1394" s="208">
        <f>IF($L$1372,$T1394,$N1394)</f>
        <v/>
      </c>
    </row>
    <row r="1395">
      <c r="A1395" s="145" t="n">
        <v>21</v>
      </c>
      <c r="B1395" s="204">
        <f>EDATE($B1394,1)</f>
        <v/>
      </c>
      <c r="C1395" s="205">
        <f>EOMONTH($B1395,0)</f>
        <v/>
      </c>
      <c r="D1395" s="201">
        <f>$C1395-$B1395+1</f>
        <v/>
      </c>
      <c r="E1395" s="201">
        <f>MONTH($B1395)</f>
        <v/>
      </c>
      <c r="F1395" s="235">
        <f>($B1395+$C1395+1)/2</f>
        <v/>
      </c>
      <c r="G1395" s="201">
        <f>YEAR($B1395)*12+MONTH($B1395)-1</f>
        <v/>
      </c>
      <c r="H1395" s="207">
        <f>IF(OR(nr_SeasonOn="OFF",$D$1372=0,$E$1372=0),1,12*INDEX(se_block,$D$1372,$E1395)/$E$1372)</f>
        <v/>
      </c>
      <c r="I1395" s="208">
        <f>EXP(SUMPRODUCT((rl_eff&lt;$B1395)*(rl_key=$A$1372)*rl_ln1p))</f>
        <v/>
      </c>
      <c r="J1395" s="208">
        <f>EXP(SUMPRODUCT((rl_eff&lt;=$C1395)*(rl_key=$A$1372)*rl_ln1p))</f>
        <v/>
      </c>
      <c r="K1395" s="201">
        <f>COUNTIFS(rl_key,$A$1372,rl_eff,"&gt;="&amp;$B1395,rl_eff,"&lt;="&amp;$C1395)</f>
        <v/>
      </c>
      <c r="L1395" s="201">
        <f>SUMIFS(rl_daysafter,rl_key,$A$1372,rl_effmonth,$B1395,rl_first,1)</f>
        <v/>
      </c>
      <c r="M1395" s="209">
        <f>IF($K1395=0,0,MIN(1,$L1395/$D1395))</f>
        <v/>
      </c>
      <c r="N1395" s="208">
        <f>IF($K1395=0,$J1395,(1-$M1395)*$I1395+$M1395*$J1395)</f>
        <v/>
      </c>
      <c r="O1395" s="209">
        <f>IF($F1395&lt;$B$1373,$E$1373+$I$1373*($F1395-$A$1373),IF($F1395&lt;$C$1373,$F$1373+$J$1373*($F1395-$B$1373),$G$1373+$K$1373*($F1395-$C$1373)))</f>
        <v/>
      </c>
      <c r="P1395" s="208">
        <f>MIN(1,MAX(0,(nr_MEndPm1-$G1395+0.5)/$C$1372))-MIN(1,MAX(0,(nr_MStartPm1-1-$G1395+0.5)/$C$1372))</f>
        <v/>
      </c>
      <c r="Q1395" s="208">
        <f>MIN(1,MAX(0,(nr_MEndP-$G1395+0.5)/$C$1372))-MIN(1,MAX(0,(nr_MStartP-1-$G1395+0.5)/$C$1372))</f>
        <v/>
      </c>
      <c r="R1395" s="208">
        <f>MIN(1,MAX(0,(nr_MEndP1-$G1395+0.5)/$C$1372))-MIN(1,MAX(0,(nr_MStartP1-1-$G1395+0.5)/$C$1372))</f>
        <v/>
      </c>
      <c r="S1395" s="208">
        <f>IF($L$1372,$N1395*IF($O$1372=1,$O1395/$F$1372,1),"")</f>
        <v/>
      </c>
      <c r="T1395" s="208">
        <f>IF(NOT($L$1372),"",IF($G1395&lt;nr_MStartP,$S1395,$T1383*(1+IF($G1395&lt;nr_MStartP1,$M$1372,$N$1372))))</f>
        <v/>
      </c>
      <c r="U1395" s="208">
        <f>IF($L$1372,$T1395,$N1395)</f>
        <v/>
      </c>
    </row>
    <row r="1396">
      <c r="A1396" s="145" t="n">
        <v>22</v>
      </c>
      <c r="B1396" s="204">
        <f>EDATE($B1395,1)</f>
        <v/>
      </c>
      <c r="C1396" s="205">
        <f>EOMONTH($B1396,0)</f>
        <v/>
      </c>
      <c r="D1396" s="201">
        <f>$C1396-$B1396+1</f>
        <v/>
      </c>
      <c r="E1396" s="201">
        <f>MONTH($B1396)</f>
        <v/>
      </c>
      <c r="F1396" s="235">
        <f>($B1396+$C1396+1)/2</f>
        <v/>
      </c>
      <c r="G1396" s="201">
        <f>YEAR($B1396)*12+MONTH($B1396)-1</f>
        <v/>
      </c>
      <c r="H1396" s="207">
        <f>IF(OR(nr_SeasonOn="OFF",$D$1372=0,$E$1372=0),1,12*INDEX(se_block,$D$1372,$E1396)/$E$1372)</f>
        <v/>
      </c>
      <c r="I1396" s="208">
        <f>EXP(SUMPRODUCT((rl_eff&lt;$B1396)*(rl_key=$A$1372)*rl_ln1p))</f>
        <v/>
      </c>
      <c r="J1396" s="208">
        <f>EXP(SUMPRODUCT((rl_eff&lt;=$C1396)*(rl_key=$A$1372)*rl_ln1p))</f>
        <v/>
      </c>
      <c r="K1396" s="201">
        <f>COUNTIFS(rl_key,$A$1372,rl_eff,"&gt;="&amp;$B1396,rl_eff,"&lt;="&amp;$C1396)</f>
        <v/>
      </c>
      <c r="L1396" s="201">
        <f>SUMIFS(rl_daysafter,rl_key,$A$1372,rl_effmonth,$B1396,rl_first,1)</f>
        <v/>
      </c>
      <c r="M1396" s="209">
        <f>IF($K1396=0,0,MIN(1,$L1396/$D1396))</f>
        <v/>
      </c>
      <c r="N1396" s="208">
        <f>IF($K1396=0,$J1396,(1-$M1396)*$I1396+$M1396*$J1396)</f>
        <v/>
      </c>
      <c r="O1396" s="209">
        <f>IF($F1396&lt;$B$1373,$E$1373+$I$1373*($F1396-$A$1373),IF($F1396&lt;$C$1373,$F$1373+$J$1373*($F1396-$B$1373),$G$1373+$K$1373*($F1396-$C$1373)))</f>
        <v/>
      </c>
      <c r="P1396" s="208">
        <f>MIN(1,MAX(0,(nr_MEndPm1-$G1396+0.5)/$C$1372))-MIN(1,MAX(0,(nr_MStartPm1-1-$G1396+0.5)/$C$1372))</f>
        <v/>
      </c>
      <c r="Q1396" s="208">
        <f>MIN(1,MAX(0,(nr_MEndP-$G1396+0.5)/$C$1372))-MIN(1,MAX(0,(nr_MStartP-1-$G1396+0.5)/$C$1372))</f>
        <v/>
      </c>
      <c r="R1396" s="208">
        <f>MIN(1,MAX(0,(nr_MEndP1-$G1396+0.5)/$C$1372))-MIN(1,MAX(0,(nr_MStartP1-1-$G1396+0.5)/$C$1372))</f>
        <v/>
      </c>
      <c r="S1396" s="208">
        <f>IF($L$1372,$N1396*IF($O$1372=1,$O1396/$F$1372,1),"")</f>
        <v/>
      </c>
      <c r="T1396" s="208">
        <f>IF(NOT($L$1372),"",IF($G1396&lt;nr_MStartP,$S1396,$T1384*(1+IF($G1396&lt;nr_MStartP1,$M$1372,$N$1372))))</f>
        <v/>
      </c>
      <c r="U1396" s="208">
        <f>IF($L$1372,$T1396,$N1396)</f>
        <v/>
      </c>
    </row>
    <row r="1397">
      <c r="A1397" s="145" t="n">
        <v>23</v>
      </c>
      <c r="B1397" s="204">
        <f>EDATE($B1396,1)</f>
        <v/>
      </c>
      <c r="C1397" s="205">
        <f>EOMONTH($B1397,0)</f>
        <v/>
      </c>
      <c r="D1397" s="201">
        <f>$C1397-$B1397+1</f>
        <v/>
      </c>
      <c r="E1397" s="201">
        <f>MONTH($B1397)</f>
        <v/>
      </c>
      <c r="F1397" s="235">
        <f>($B1397+$C1397+1)/2</f>
        <v/>
      </c>
      <c r="G1397" s="201">
        <f>YEAR($B1397)*12+MONTH($B1397)-1</f>
        <v/>
      </c>
      <c r="H1397" s="207">
        <f>IF(OR(nr_SeasonOn="OFF",$D$1372=0,$E$1372=0),1,12*INDEX(se_block,$D$1372,$E1397)/$E$1372)</f>
        <v/>
      </c>
      <c r="I1397" s="208">
        <f>EXP(SUMPRODUCT((rl_eff&lt;$B1397)*(rl_key=$A$1372)*rl_ln1p))</f>
        <v/>
      </c>
      <c r="J1397" s="208">
        <f>EXP(SUMPRODUCT((rl_eff&lt;=$C1397)*(rl_key=$A$1372)*rl_ln1p))</f>
        <v/>
      </c>
      <c r="K1397" s="201">
        <f>COUNTIFS(rl_key,$A$1372,rl_eff,"&gt;="&amp;$B1397,rl_eff,"&lt;="&amp;$C1397)</f>
        <v/>
      </c>
      <c r="L1397" s="201">
        <f>SUMIFS(rl_daysafter,rl_key,$A$1372,rl_effmonth,$B1397,rl_first,1)</f>
        <v/>
      </c>
      <c r="M1397" s="209">
        <f>IF($K1397=0,0,MIN(1,$L1397/$D1397))</f>
        <v/>
      </c>
      <c r="N1397" s="208">
        <f>IF($K1397=0,$J1397,(1-$M1397)*$I1397+$M1397*$J1397)</f>
        <v/>
      </c>
      <c r="O1397" s="209">
        <f>IF($F1397&lt;$B$1373,$E$1373+$I$1373*($F1397-$A$1373),IF($F1397&lt;$C$1373,$F$1373+$J$1373*($F1397-$B$1373),$G$1373+$K$1373*($F1397-$C$1373)))</f>
        <v/>
      </c>
      <c r="P1397" s="208">
        <f>MIN(1,MAX(0,(nr_MEndPm1-$G1397+0.5)/$C$1372))-MIN(1,MAX(0,(nr_MStartPm1-1-$G1397+0.5)/$C$1372))</f>
        <v/>
      </c>
      <c r="Q1397" s="208">
        <f>MIN(1,MAX(0,(nr_MEndP-$G1397+0.5)/$C$1372))-MIN(1,MAX(0,(nr_MStartP-1-$G1397+0.5)/$C$1372))</f>
        <v/>
      </c>
      <c r="R1397" s="208">
        <f>MIN(1,MAX(0,(nr_MEndP1-$G1397+0.5)/$C$1372))-MIN(1,MAX(0,(nr_MStartP1-1-$G1397+0.5)/$C$1372))</f>
        <v/>
      </c>
      <c r="S1397" s="208">
        <f>IF($L$1372,$N1397*IF($O$1372=1,$O1397/$F$1372,1),"")</f>
        <v/>
      </c>
      <c r="T1397" s="208">
        <f>IF(NOT($L$1372),"",IF($G1397&lt;nr_MStartP,$S1397,$T1385*(1+IF($G1397&lt;nr_MStartP1,$M$1372,$N$1372))))</f>
        <v/>
      </c>
      <c r="U1397" s="208">
        <f>IF($L$1372,$T1397,$N1397)</f>
        <v/>
      </c>
    </row>
    <row r="1398">
      <c r="A1398" s="145" t="n">
        <v>24</v>
      </c>
      <c r="B1398" s="204">
        <f>EDATE($B1397,1)</f>
        <v/>
      </c>
      <c r="C1398" s="205">
        <f>EOMONTH($B1398,0)</f>
        <v/>
      </c>
      <c r="D1398" s="201">
        <f>$C1398-$B1398+1</f>
        <v/>
      </c>
      <c r="E1398" s="201">
        <f>MONTH($B1398)</f>
        <v/>
      </c>
      <c r="F1398" s="235">
        <f>($B1398+$C1398+1)/2</f>
        <v/>
      </c>
      <c r="G1398" s="201">
        <f>YEAR($B1398)*12+MONTH($B1398)-1</f>
        <v/>
      </c>
      <c r="H1398" s="207">
        <f>IF(OR(nr_SeasonOn="OFF",$D$1372=0,$E$1372=0),1,12*INDEX(se_block,$D$1372,$E1398)/$E$1372)</f>
        <v/>
      </c>
      <c r="I1398" s="208">
        <f>EXP(SUMPRODUCT((rl_eff&lt;$B1398)*(rl_key=$A$1372)*rl_ln1p))</f>
        <v/>
      </c>
      <c r="J1398" s="208">
        <f>EXP(SUMPRODUCT((rl_eff&lt;=$C1398)*(rl_key=$A$1372)*rl_ln1p))</f>
        <v/>
      </c>
      <c r="K1398" s="201">
        <f>COUNTIFS(rl_key,$A$1372,rl_eff,"&gt;="&amp;$B1398,rl_eff,"&lt;="&amp;$C1398)</f>
        <v/>
      </c>
      <c r="L1398" s="201">
        <f>SUMIFS(rl_daysafter,rl_key,$A$1372,rl_effmonth,$B1398,rl_first,1)</f>
        <v/>
      </c>
      <c r="M1398" s="209">
        <f>IF($K1398=0,0,MIN(1,$L1398/$D1398))</f>
        <v/>
      </c>
      <c r="N1398" s="208">
        <f>IF($K1398=0,$J1398,(1-$M1398)*$I1398+$M1398*$J1398)</f>
        <v/>
      </c>
      <c r="O1398" s="209">
        <f>IF($F1398&lt;$B$1373,$E$1373+$I$1373*($F1398-$A$1373),IF($F1398&lt;$C$1373,$F$1373+$J$1373*($F1398-$B$1373),$G$1373+$K$1373*($F1398-$C$1373)))</f>
        <v/>
      </c>
      <c r="P1398" s="208">
        <f>MIN(1,MAX(0,(nr_MEndPm1-$G1398+0.5)/$C$1372))-MIN(1,MAX(0,(nr_MStartPm1-1-$G1398+0.5)/$C$1372))</f>
        <v/>
      </c>
      <c r="Q1398" s="208">
        <f>MIN(1,MAX(0,(nr_MEndP-$G1398+0.5)/$C$1372))-MIN(1,MAX(0,(nr_MStartP-1-$G1398+0.5)/$C$1372))</f>
        <v/>
      </c>
      <c r="R1398" s="208">
        <f>MIN(1,MAX(0,(nr_MEndP1-$G1398+0.5)/$C$1372))-MIN(1,MAX(0,(nr_MStartP1-1-$G1398+0.5)/$C$1372))</f>
        <v/>
      </c>
      <c r="S1398" s="208">
        <f>IF($L$1372,$N1398*IF($O$1372=1,$O1398/$F$1372,1),"")</f>
        <v/>
      </c>
      <c r="T1398" s="208">
        <f>IF(NOT($L$1372),"",IF($G1398&lt;nr_MStartP,$S1398,$T1386*(1+IF($G1398&lt;nr_MStartP1,$M$1372,$N$1372))))</f>
        <v/>
      </c>
      <c r="U1398" s="208">
        <f>IF($L$1372,$T1398,$N1398)</f>
        <v/>
      </c>
    </row>
    <row r="1399">
      <c r="A1399" s="145" t="n">
        <v>25</v>
      </c>
      <c r="B1399" s="204">
        <f>EDATE($B1398,1)</f>
        <v/>
      </c>
      <c r="C1399" s="205">
        <f>EOMONTH($B1399,0)</f>
        <v/>
      </c>
      <c r="D1399" s="201">
        <f>$C1399-$B1399+1</f>
        <v/>
      </c>
      <c r="E1399" s="201">
        <f>MONTH($B1399)</f>
        <v/>
      </c>
      <c r="F1399" s="235">
        <f>($B1399+$C1399+1)/2</f>
        <v/>
      </c>
      <c r="G1399" s="201">
        <f>YEAR($B1399)*12+MONTH($B1399)-1</f>
        <v/>
      </c>
      <c r="H1399" s="207">
        <f>IF(OR(nr_SeasonOn="OFF",$D$1372=0,$E$1372=0),1,12*INDEX(se_block,$D$1372,$E1399)/$E$1372)</f>
        <v/>
      </c>
      <c r="I1399" s="208">
        <f>EXP(SUMPRODUCT((rl_eff&lt;$B1399)*(rl_key=$A$1372)*rl_ln1p))</f>
        <v/>
      </c>
      <c r="J1399" s="208">
        <f>EXP(SUMPRODUCT((rl_eff&lt;=$C1399)*(rl_key=$A$1372)*rl_ln1p))</f>
        <v/>
      </c>
      <c r="K1399" s="201">
        <f>COUNTIFS(rl_key,$A$1372,rl_eff,"&gt;="&amp;$B1399,rl_eff,"&lt;="&amp;$C1399)</f>
        <v/>
      </c>
      <c r="L1399" s="201">
        <f>SUMIFS(rl_daysafter,rl_key,$A$1372,rl_effmonth,$B1399,rl_first,1)</f>
        <v/>
      </c>
      <c r="M1399" s="209">
        <f>IF($K1399=0,0,MIN(1,$L1399/$D1399))</f>
        <v/>
      </c>
      <c r="N1399" s="208">
        <f>IF($K1399=0,$J1399,(1-$M1399)*$I1399+$M1399*$J1399)</f>
        <v/>
      </c>
      <c r="O1399" s="209">
        <f>IF($F1399&lt;$B$1373,$E$1373+$I$1373*($F1399-$A$1373),IF($F1399&lt;$C$1373,$F$1373+$J$1373*($F1399-$B$1373),$G$1373+$K$1373*($F1399-$C$1373)))</f>
        <v/>
      </c>
      <c r="P1399" s="208">
        <f>MIN(1,MAX(0,(nr_MEndPm1-$G1399+0.5)/$C$1372))-MIN(1,MAX(0,(nr_MStartPm1-1-$G1399+0.5)/$C$1372))</f>
        <v/>
      </c>
      <c r="Q1399" s="208">
        <f>MIN(1,MAX(0,(nr_MEndP-$G1399+0.5)/$C$1372))-MIN(1,MAX(0,(nr_MStartP-1-$G1399+0.5)/$C$1372))</f>
        <v/>
      </c>
      <c r="R1399" s="208">
        <f>MIN(1,MAX(0,(nr_MEndP1-$G1399+0.5)/$C$1372))-MIN(1,MAX(0,(nr_MStartP1-1-$G1399+0.5)/$C$1372))</f>
        <v/>
      </c>
      <c r="S1399" s="208">
        <f>IF($L$1372,$N1399*IF($O$1372=1,$O1399/$F$1372,1),"")</f>
        <v/>
      </c>
      <c r="T1399" s="208">
        <f>IF(NOT($L$1372),"",IF($G1399&lt;nr_MStartP,$S1399,$T1387*(1+IF($G1399&lt;nr_MStartP1,$M$1372,$N$1372))))</f>
        <v/>
      </c>
      <c r="U1399" s="208">
        <f>IF($L$1372,$T1399,$N1399)</f>
        <v/>
      </c>
    </row>
    <row r="1400">
      <c r="A1400" s="145" t="n">
        <v>26</v>
      </c>
      <c r="B1400" s="204">
        <f>EDATE($B1399,1)</f>
        <v/>
      </c>
      <c r="C1400" s="205">
        <f>EOMONTH($B1400,0)</f>
        <v/>
      </c>
      <c r="D1400" s="201">
        <f>$C1400-$B1400+1</f>
        <v/>
      </c>
      <c r="E1400" s="201">
        <f>MONTH($B1400)</f>
        <v/>
      </c>
      <c r="F1400" s="235">
        <f>($B1400+$C1400+1)/2</f>
        <v/>
      </c>
      <c r="G1400" s="201">
        <f>YEAR($B1400)*12+MONTH($B1400)-1</f>
        <v/>
      </c>
      <c r="H1400" s="207">
        <f>IF(OR(nr_SeasonOn="OFF",$D$1372=0,$E$1372=0),1,12*INDEX(se_block,$D$1372,$E1400)/$E$1372)</f>
        <v/>
      </c>
      <c r="I1400" s="208">
        <f>EXP(SUMPRODUCT((rl_eff&lt;$B1400)*(rl_key=$A$1372)*rl_ln1p))</f>
        <v/>
      </c>
      <c r="J1400" s="208">
        <f>EXP(SUMPRODUCT((rl_eff&lt;=$C1400)*(rl_key=$A$1372)*rl_ln1p))</f>
        <v/>
      </c>
      <c r="K1400" s="201">
        <f>COUNTIFS(rl_key,$A$1372,rl_eff,"&gt;="&amp;$B1400,rl_eff,"&lt;="&amp;$C1400)</f>
        <v/>
      </c>
      <c r="L1400" s="201">
        <f>SUMIFS(rl_daysafter,rl_key,$A$1372,rl_effmonth,$B1400,rl_first,1)</f>
        <v/>
      </c>
      <c r="M1400" s="209">
        <f>IF($K1400=0,0,MIN(1,$L1400/$D1400))</f>
        <v/>
      </c>
      <c r="N1400" s="208">
        <f>IF($K1400=0,$J1400,(1-$M1400)*$I1400+$M1400*$J1400)</f>
        <v/>
      </c>
      <c r="O1400" s="209">
        <f>IF($F1400&lt;$B$1373,$E$1373+$I$1373*($F1400-$A$1373),IF($F1400&lt;$C$1373,$F$1373+$J$1373*($F1400-$B$1373),$G$1373+$K$1373*($F1400-$C$1373)))</f>
        <v/>
      </c>
      <c r="P1400" s="208">
        <f>MIN(1,MAX(0,(nr_MEndPm1-$G1400+0.5)/$C$1372))-MIN(1,MAX(0,(nr_MStartPm1-1-$G1400+0.5)/$C$1372))</f>
        <v/>
      </c>
      <c r="Q1400" s="208">
        <f>MIN(1,MAX(0,(nr_MEndP-$G1400+0.5)/$C$1372))-MIN(1,MAX(0,(nr_MStartP-1-$G1400+0.5)/$C$1372))</f>
        <v/>
      </c>
      <c r="R1400" s="208">
        <f>MIN(1,MAX(0,(nr_MEndP1-$G1400+0.5)/$C$1372))-MIN(1,MAX(0,(nr_MStartP1-1-$G1400+0.5)/$C$1372))</f>
        <v/>
      </c>
      <c r="S1400" s="208">
        <f>IF($L$1372,$N1400*IF($O$1372=1,$O1400/$F$1372,1),"")</f>
        <v/>
      </c>
      <c r="T1400" s="208">
        <f>IF(NOT($L$1372),"",IF($G1400&lt;nr_MStartP,$S1400,$T1388*(1+IF($G1400&lt;nr_MStartP1,$M$1372,$N$1372))))</f>
        <v/>
      </c>
      <c r="U1400" s="208">
        <f>IF($L$1372,$T1400,$N1400)</f>
        <v/>
      </c>
    </row>
    <row r="1401">
      <c r="A1401" s="145" t="n">
        <v>27</v>
      </c>
      <c r="B1401" s="204">
        <f>EDATE($B1400,1)</f>
        <v/>
      </c>
      <c r="C1401" s="205">
        <f>EOMONTH($B1401,0)</f>
        <v/>
      </c>
      <c r="D1401" s="201">
        <f>$C1401-$B1401+1</f>
        <v/>
      </c>
      <c r="E1401" s="201">
        <f>MONTH($B1401)</f>
        <v/>
      </c>
      <c r="F1401" s="235">
        <f>($B1401+$C1401+1)/2</f>
        <v/>
      </c>
      <c r="G1401" s="201">
        <f>YEAR($B1401)*12+MONTH($B1401)-1</f>
        <v/>
      </c>
      <c r="H1401" s="207">
        <f>IF(OR(nr_SeasonOn="OFF",$D$1372=0,$E$1372=0),1,12*INDEX(se_block,$D$1372,$E1401)/$E$1372)</f>
        <v/>
      </c>
      <c r="I1401" s="208">
        <f>EXP(SUMPRODUCT((rl_eff&lt;$B1401)*(rl_key=$A$1372)*rl_ln1p))</f>
        <v/>
      </c>
      <c r="J1401" s="208">
        <f>EXP(SUMPRODUCT((rl_eff&lt;=$C1401)*(rl_key=$A$1372)*rl_ln1p))</f>
        <v/>
      </c>
      <c r="K1401" s="201">
        <f>COUNTIFS(rl_key,$A$1372,rl_eff,"&gt;="&amp;$B1401,rl_eff,"&lt;="&amp;$C1401)</f>
        <v/>
      </c>
      <c r="L1401" s="201">
        <f>SUMIFS(rl_daysafter,rl_key,$A$1372,rl_effmonth,$B1401,rl_first,1)</f>
        <v/>
      </c>
      <c r="M1401" s="209">
        <f>IF($K1401=0,0,MIN(1,$L1401/$D1401))</f>
        <v/>
      </c>
      <c r="N1401" s="208">
        <f>IF($K1401=0,$J1401,(1-$M1401)*$I1401+$M1401*$J1401)</f>
        <v/>
      </c>
      <c r="O1401" s="209">
        <f>IF($F1401&lt;$B$1373,$E$1373+$I$1373*($F1401-$A$1373),IF($F1401&lt;$C$1373,$F$1373+$J$1373*($F1401-$B$1373),$G$1373+$K$1373*($F1401-$C$1373)))</f>
        <v/>
      </c>
      <c r="P1401" s="208">
        <f>MIN(1,MAX(0,(nr_MEndPm1-$G1401+0.5)/$C$1372))-MIN(1,MAX(0,(nr_MStartPm1-1-$G1401+0.5)/$C$1372))</f>
        <v/>
      </c>
      <c r="Q1401" s="208">
        <f>MIN(1,MAX(0,(nr_MEndP-$G1401+0.5)/$C$1372))-MIN(1,MAX(0,(nr_MStartP-1-$G1401+0.5)/$C$1372))</f>
        <v/>
      </c>
      <c r="R1401" s="208">
        <f>MIN(1,MAX(0,(nr_MEndP1-$G1401+0.5)/$C$1372))-MIN(1,MAX(0,(nr_MStartP1-1-$G1401+0.5)/$C$1372))</f>
        <v/>
      </c>
      <c r="S1401" s="208">
        <f>IF($L$1372,$N1401*IF($O$1372=1,$O1401/$F$1372,1),"")</f>
        <v/>
      </c>
      <c r="T1401" s="208">
        <f>IF(NOT($L$1372),"",IF($G1401&lt;nr_MStartP,$S1401,$T1389*(1+IF($G1401&lt;nr_MStartP1,$M$1372,$N$1372))))</f>
        <v/>
      </c>
      <c r="U1401" s="208">
        <f>IF($L$1372,$T1401,$N1401)</f>
        <v/>
      </c>
    </row>
    <row r="1402">
      <c r="A1402" s="145" t="n">
        <v>28</v>
      </c>
      <c r="B1402" s="204">
        <f>EDATE($B1401,1)</f>
        <v/>
      </c>
      <c r="C1402" s="205">
        <f>EOMONTH($B1402,0)</f>
        <v/>
      </c>
      <c r="D1402" s="201">
        <f>$C1402-$B1402+1</f>
        <v/>
      </c>
      <c r="E1402" s="201">
        <f>MONTH($B1402)</f>
        <v/>
      </c>
      <c r="F1402" s="235">
        <f>($B1402+$C1402+1)/2</f>
        <v/>
      </c>
      <c r="G1402" s="201">
        <f>YEAR($B1402)*12+MONTH($B1402)-1</f>
        <v/>
      </c>
      <c r="H1402" s="207">
        <f>IF(OR(nr_SeasonOn="OFF",$D$1372=0,$E$1372=0),1,12*INDEX(se_block,$D$1372,$E1402)/$E$1372)</f>
        <v/>
      </c>
      <c r="I1402" s="208">
        <f>EXP(SUMPRODUCT((rl_eff&lt;$B1402)*(rl_key=$A$1372)*rl_ln1p))</f>
        <v/>
      </c>
      <c r="J1402" s="208">
        <f>EXP(SUMPRODUCT((rl_eff&lt;=$C1402)*(rl_key=$A$1372)*rl_ln1p))</f>
        <v/>
      </c>
      <c r="K1402" s="201">
        <f>COUNTIFS(rl_key,$A$1372,rl_eff,"&gt;="&amp;$B1402,rl_eff,"&lt;="&amp;$C1402)</f>
        <v/>
      </c>
      <c r="L1402" s="201">
        <f>SUMIFS(rl_daysafter,rl_key,$A$1372,rl_effmonth,$B1402,rl_first,1)</f>
        <v/>
      </c>
      <c r="M1402" s="209">
        <f>IF($K1402=0,0,MIN(1,$L1402/$D1402))</f>
        <v/>
      </c>
      <c r="N1402" s="208">
        <f>IF($K1402=0,$J1402,(1-$M1402)*$I1402+$M1402*$J1402)</f>
        <v/>
      </c>
      <c r="O1402" s="209">
        <f>IF($F1402&lt;$B$1373,$E$1373+$I$1373*($F1402-$A$1373),IF($F1402&lt;$C$1373,$F$1373+$J$1373*($F1402-$B$1373),$G$1373+$K$1373*($F1402-$C$1373)))</f>
        <v/>
      </c>
      <c r="P1402" s="208">
        <f>MIN(1,MAX(0,(nr_MEndPm1-$G1402+0.5)/$C$1372))-MIN(1,MAX(0,(nr_MStartPm1-1-$G1402+0.5)/$C$1372))</f>
        <v/>
      </c>
      <c r="Q1402" s="208">
        <f>MIN(1,MAX(0,(nr_MEndP-$G1402+0.5)/$C$1372))-MIN(1,MAX(0,(nr_MStartP-1-$G1402+0.5)/$C$1372))</f>
        <v/>
      </c>
      <c r="R1402" s="208">
        <f>MIN(1,MAX(0,(nr_MEndP1-$G1402+0.5)/$C$1372))-MIN(1,MAX(0,(nr_MStartP1-1-$G1402+0.5)/$C$1372))</f>
        <v/>
      </c>
      <c r="S1402" s="208">
        <f>IF($L$1372,$N1402*IF($O$1372=1,$O1402/$F$1372,1),"")</f>
        <v/>
      </c>
      <c r="T1402" s="208">
        <f>IF(NOT($L$1372),"",IF($G1402&lt;nr_MStartP,$S1402,$T1390*(1+IF($G1402&lt;nr_MStartP1,$M$1372,$N$1372))))</f>
        <v/>
      </c>
      <c r="U1402" s="208">
        <f>IF($L$1372,$T1402,$N1402)</f>
        <v/>
      </c>
    </row>
    <row r="1403">
      <c r="A1403" s="145" t="n">
        <v>29</v>
      </c>
      <c r="B1403" s="204">
        <f>EDATE($B1402,1)</f>
        <v/>
      </c>
      <c r="C1403" s="205">
        <f>EOMONTH($B1403,0)</f>
        <v/>
      </c>
      <c r="D1403" s="201">
        <f>$C1403-$B1403+1</f>
        <v/>
      </c>
      <c r="E1403" s="201">
        <f>MONTH($B1403)</f>
        <v/>
      </c>
      <c r="F1403" s="235">
        <f>($B1403+$C1403+1)/2</f>
        <v/>
      </c>
      <c r="G1403" s="201">
        <f>YEAR($B1403)*12+MONTH($B1403)-1</f>
        <v/>
      </c>
      <c r="H1403" s="207">
        <f>IF(OR(nr_SeasonOn="OFF",$D$1372=0,$E$1372=0),1,12*INDEX(se_block,$D$1372,$E1403)/$E$1372)</f>
        <v/>
      </c>
      <c r="I1403" s="208">
        <f>EXP(SUMPRODUCT((rl_eff&lt;$B1403)*(rl_key=$A$1372)*rl_ln1p))</f>
        <v/>
      </c>
      <c r="J1403" s="208">
        <f>EXP(SUMPRODUCT((rl_eff&lt;=$C1403)*(rl_key=$A$1372)*rl_ln1p))</f>
        <v/>
      </c>
      <c r="K1403" s="201">
        <f>COUNTIFS(rl_key,$A$1372,rl_eff,"&gt;="&amp;$B1403,rl_eff,"&lt;="&amp;$C1403)</f>
        <v/>
      </c>
      <c r="L1403" s="201">
        <f>SUMIFS(rl_daysafter,rl_key,$A$1372,rl_effmonth,$B1403,rl_first,1)</f>
        <v/>
      </c>
      <c r="M1403" s="209">
        <f>IF($K1403=0,0,MIN(1,$L1403/$D1403))</f>
        <v/>
      </c>
      <c r="N1403" s="208">
        <f>IF($K1403=0,$J1403,(1-$M1403)*$I1403+$M1403*$J1403)</f>
        <v/>
      </c>
      <c r="O1403" s="209">
        <f>IF($F1403&lt;$B$1373,$E$1373+$I$1373*($F1403-$A$1373),IF($F1403&lt;$C$1373,$F$1373+$J$1373*($F1403-$B$1373),$G$1373+$K$1373*($F1403-$C$1373)))</f>
        <v/>
      </c>
      <c r="P1403" s="208">
        <f>MIN(1,MAX(0,(nr_MEndPm1-$G1403+0.5)/$C$1372))-MIN(1,MAX(0,(nr_MStartPm1-1-$G1403+0.5)/$C$1372))</f>
        <v/>
      </c>
      <c r="Q1403" s="208">
        <f>MIN(1,MAX(0,(nr_MEndP-$G1403+0.5)/$C$1372))-MIN(1,MAX(0,(nr_MStartP-1-$G1403+0.5)/$C$1372))</f>
        <v/>
      </c>
      <c r="R1403" s="208">
        <f>MIN(1,MAX(0,(nr_MEndP1-$G1403+0.5)/$C$1372))-MIN(1,MAX(0,(nr_MStartP1-1-$G1403+0.5)/$C$1372))</f>
        <v/>
      </c>
      <c r="S1403" s="208">
        <f>IF($L$1372,$N1403*IF($O$1372=1,$O1403/$F$1372,1),"")</f>
        <v/>
      </c>
      <c r="T1403" s="208">
        <f>IF(NOT($L$1372),"",IF($G1403&lt;nr_MStartP,$S1403,$T1391*(1+IF($G1403&lt;nr_MStartP1,$M$1372,$N$1372))))</f>
        <v/>
      </c>
      <c r="U1403" s="208">
        <f>IF($L$1372,$T1403,$N1403)</f>
        <v/>
      </c>
    </row>
    <row r="1404">
      <c r="A1404" s="145" t="n">
        <v>30</v>
      </c>
      <c r="B1404" s="204">
        <f>EDATE($B1403,1)</f>
        <v/>
      </c>
      <c r="C1404" s="205">
        <f>EOMONTH($B1404,0)</f>
        <v/>
      </c>
      <c r="D1404" s="201">
        <f>$C1404-$B1404+1</f>
        <v/>
      </c>
      <c r="E1404" s="201">
        <f>MONTH($B1404)</f>
        <v/>
      </c>
      <c r="F1404" s="235">
        <f>($B1404+$C1404+1)/2</f>
        <v/>
      </c>
      <c r="G1404" s="201">
        <f>YEAR($B1404)*12+MONTH($B1404)-1</f>
        <v/>
      </c>
      <c r="H1404" s="207">
        <f>IF(OR(nr_SeasonOn="OFF",$D$1372=0,$E$1372=0),1,12*INDEX(se_block,$D$1372,$E1404)/$E$1372)</f>
        <v/>
      </c>
      <c r="I1404" s="208">
        <f>EXP(SUMPRODUCT((rl_eff&lt;$B1404)*(rl_key=$A$1372)*rl_ln1p))</f>
        <v/>
      </c>
      <c r="J1404" s="208">
        <f>EXP(SUMPRODUCT((rl_eff&lt;=$C1404)*(rl_key=$A$1372)*rl_ln1p))</f>
        <v/>
      </c>
      <c r="K1404" s="201">
        <f>COUNTIFS(rl_key,$A$1372,rl_eff,"&gt;="&amp;$B1404,rl_eff,"&lt;="&amp;$C1404)</f>
        <v/>
      </c>
      <c r="L1404" s="201">
        <f>SUMIFS(rl_daysafter,rl_key,$A$1372,rl_effmonth,$B1404,rl_first,1)</f>
        <v/>
      </c>
      <c r="M1404" s="209">
        <f>IF($K1404=0,0,MIN(1,$L1404/$D1404))</f>
        <v/>
      </c>
      <c r="N1404" s="208">
        <f>IF($K1404=0,$J1404,(1-$M1404)*$I1404+$M1404*$J1404)</f>
        <v/>
      </c>
      <c r="O1404" s="209">
        <f>IF($F1404&lt;$B$1373,$E$1373+$I$1373*($F1404-$A$1373),IF($F1404&lt;$C$1373,$F$1373+$J$1373*($F1404-$B$1373),$G$1373+$K$1373*($F1404-$C$1373)))</f>
        <v/>
      </c>
      <c r="P1404" s="208">
        <f>MIN(1,MAX(0,(nr_MEndPm1-$G1404+0.5)/$C$1372))-MIN(1,MAX(0,(nr_MStartPm1-1-$G1404+0.5)/$C$1372))</f>
        <v/>
      </c>
      <c r="Q1404" s="208">
        <f>MIN(1,MAX(0,(nr_MEndP-$G1404+0.5)/$C$1372))-MIN(1,MAX(0,(nr_MStartP-1-$G1404+0.5)/$C$1372))</f>
        <v/>
      </c>
      <c r="R1404" s="208">
        <f>MIN(1,MAX(0,(nr_MEndP1-$G1404+0.5)/$C$1372))-MIN(1,MAX(0,(nr_MStartP1-1-$G1404+0.5)/$C$1372))</f>
        <v/>
      </c>
      <c r="S1404" s="208">
        <f>IF($L$1372,$N1404*IF($O$1372=1,$O1404/$F$1372,1),"")</f>
        <v/>
      </c>
      <c r="T1404" s="208">
        <f>IF(NOT($L$1372),"",IF($G1404&lt;nr_MStartP,$S1404,$T1392*(1+IF($G1404&lt;nr_MStartP1,$M$1372,$N$1372))))</f>
        <v/>
      </c>
      <c r="U1404" s="208">
        <f>IF($L$1372,$T1404,$N1404)</f>
        <v/>
      </c>
    </row>
    <row r="1405">
      <c r="A1405" s="145" t="n">
        <v>31</v>
      </c>
      <c r="B1405" s="204">
        <f>EDATE($B1404,1)</f>
        <v/>
      </c>
      <c r="C1405" s="205">
        <f>EOMONTH($B1405,0)</f>
        <v/>
      </c>
      <c r="D1405" s="201">
        <f>$C1405-$B1405+1</f>
        <v/>
      </c>
      <c r="E1405" s="201">
        <f>MONTH($B1405)</f>
        <v/>
      </c>
      <c r="F1405" s="235">
        <f>($B1405+$C1405+1)/2</f>
        <v/>
      </c>
      <c r="G1405" s="201">
        <f>YEAR($B1405)*12+MONTH($B1405)-1</f>
        <v/>
      </c>
      <c r="H1405" s="207">
        <f>IF(OR(nr_SeasonOn="OFF",$D$1372=0,$E$1372=0),1,12*INDEX(se_block,$D$1372,$E1405)/$E$1372)</f>
        <v/>
      </c>
      <c r="I1405" s="208">
        <f>EXP(SUMPRODUCT((rl_eff&lt;$B1405)*(rl_key=$A$1372)*rl_ln1p))</f>
        <v/>
      </c>
      <c r="J1405" s="208">
        <f>EXP(SUMPRODUCT((rl_eff&lt;=$C1405)*(rl_key=$A$1372)*rl_ln1p))</f>
        <v/>
      </c>
      <c r="K1405" s="201">
        <f>COUNTIFS(rl_key,$A$1372,rl_eff,"&gt;="&amp;$B1405,rl_eff,"&lt;="&amp;$C1405)</f>
        <v/>
      </c>
      <c r="L1405" s="201">
        <f>SUMIFS(rl_daysafter,rl_key,$A$1372,rl_effmonth,$B1405,rl_first,1)</f>
        <v/>
      </c>
      <c r="M1405" s="209">
        <f>IF($K1405=0,0,MIN(1,$L1405/$D1405))</f>
        <v/>
      </c>
      <c r="N1405" s="208">
        <f>IF($K1405=0,$J1405,(1-$M1405)*$I1405+$M1405*$J1405)</f>
        <v/>
      </c>
      <c r="O1405" s="209">
        <f>IF($F1405&lt;$B$1373,$E$1373+$I$1373*($F1405-$A$1373),IF($F1405&lt;$C$1373,$F$1373+$J$1373*($F1405-$B$1373),$G$1373+$K$1373*($F1405-$C$1373)))</f>
        <v/>
      </c>
      <c r="P1405" s="208">
        <f>MIN(1,MAX(0,(nr_MEndPm1-$G1405+0.5)/$C$1372))-MIN(1,MAX(0,(nr_MStartPm1-1-$G1405+0.5)/$C$1372))</f>
        <v/>
      </c>
      <c r="Q1405" s="208">
        <f>MIN(1,MAX(0,(nr_MEndP-$G1405+0.5)/$C$1372))-MIN(1,MAX(0,(nr_MStartP-1-$G1405+0.5)/$C$1372))</f>
        <v/>
      </c>
      <c r="R1405" s="208">
        <f>MIN(1,MAX(0,(nr_MEndP1-$G1405+0.5)/$C$1372))-MIN(1,MAX(0,(nr_MStartP1-1-$G1405+0.5)/$C$1372))</f>
        <v/>
      </c>
      <c r="S1405" s="208">
        <f>IF($L$1372,$N1405*IF($O$1372=1,$O1405/$F$1372,1),"")</f>
        <v/>
      </c>
      <c r="T1405" s="208">
        <f>IF(NOT($L$1372),"",IF($G1405&lt;nr_MStartP,$S1405,$T1393*(1+IF($G1405&lt;nr_MStartP1,$M$1372,$N$1372))))</f>
        <v/>
      </c>
      <c r="U1405" s="208">
        <f>IF($L$1372,$T1405,$N1405)</f>
        <v/>
      </c>
    </row>
    <row r="1406">
      <c r="A1406" s="145" t="n">
        <v>32</v>
      </c>
      <c r="B1406" s="204">
        <f>EDATE($B1405,1)</f>
        <v/>
      </c>
      <c r="C1406" s="205">
        <f>EOMONTH($B1406,0)</f>
        <v/>
      </c>
      <c r="D1406" s="201">
        <f>$C1406-$B1406+1</f>
        <v/>
      </c>
      <c r="E1406" s="201">
        <f>MONTH($B1406)</f>
        <v/>
      </c>
      <c r="F1406" s="235">
        <f>($B1406+$C1406+1)/2</f>
        <v/>
      </c>
      <c r="G1406" s="201">
        <f>YEAR($B1406)*12+MONTH($B1406)-1</f>
        <v/>
      </c>
      <c r="H1406" s="207">
        <f>IF(OR(nr_SeasonOn="OFF",$D$1372=0,$E$1372=0),1,12*INDEX(se_block,$D$1372,$E1406)/$E$1372)</f>
        <v/>
      </c>
      <c r="I1406" s="208">
        <f>EXP(SUMPRODUCT((rl_eff&lt;$B1406)*(rl_key=$A$1372)*rl_ln1p))</f>
        <v/>
      </c>
      <c r="J1406" s="208">
        <f>EXP(SUMPRODUCT((rl_eff&lt;=$C1406)*(rl_key=$A$1372)*rl_ln1p))</f>
        <v/>
      </c>
      <c r="K1406" s="201">
        <f>COUNTIFS(rl_key,$A$1372,rl_eff,"&gt;="&amp;$B1406,rl_eff,"&lt;="&amp;$C1406)</f>
        <v/>
      </c>
      <c r="L1406" s="201">
        <f>SUMIFS(rl_daysafter,rl_key,$A$1372,rl_effmonth,$B1406,rl_first,1)</f>
        <v/>
      </c>
      <c r="M1406" s="209">
        <f>IF($K1406=0,0,MIN(1,$L1406/$D1406))</f>
        <v/>
      </c>
      <c r="N1406" s="208">
        <f>IF($K1406=0,$J1406,(1-$M1406)*$I1406+$M1406*$J1406)</f>
        <v/>
      </c>
      <c r="O1406" s="209">
        <f>IF($F1406&lt;$B$1373,$E$1373+$I$1373*($F1406-$A$1373),IF($F1406&lt;$C$1373,$F$1373+$J$1373*($F1406-$B$1373),$G$1373+$K$1373*($F1406-$C$1373)))</f>
        <v/>
      </c>
      <c r="P1406" s="208">
        <f>MIN(1,MAX(0,(nr_MEndPm1-$G1406+0.5)/$C$1372))-MIN(1,MAX(0,(nr_MStartPm1-1-$G1406+0.5)/$C$1372))</f>
        <v/>
      </c>
      <c r="Q1406" s="208">
        <f>MIN(1,MAX(0,(nr_MEndP-$G1406+0.5)/$C$1372))-MIN(1,MAX(0,(nr_MStartP-1-$G1406+0.5)/$C$1372))</f>
        <v/>
      </c>
      <c r="R1406" s="208">
        <f>MIN(1,MAX(0,(nr_MEndP1-$G1406+0.5)/$C$1372))-MIN(1,MAX(0,(nr_MStartP1-1-$G1406+0.5)/$C$1372))</f>
        <v/>
      </c>
      <c r="S1406" s="208">
        <f>IF($L$1372,$N1406*IF($O$1372=1,$O1406/$F$1372,1),"")</f>
        <v/>
      </c>
      <c r="T1406" s="208">
        <f>IF(NOT($L$1372),"",IF($G1406&lt;nr_MStartP,$S1406,$T1394*(1+IF($G1406&lt;nr_MStartP1,$M$1372,$N$1372))))</f>
        <v/>
      </c>
      <c r="U1406" s="208">
        <f>IF($L$1372,$T1406,$N1406)</f>
        <v/>
      </c>
    </row>
    <row r="1407">
      <c r="A1407" s="145" t="n">
        <v>33</v>
      </c>
      <c r="B1407" s="204">
        <f>EDATE($B1406,1)</f>
        <v/>
      </c>
      <c r="C1407" s="205">
        <f>EOMONTH($B1407,0)</f>
        <v/>
      </c>
      <c r="D1407" s="201">
        <f>$C1407-$B1407+1</f>
        <v/>
      </c>
      <c r="E1407" s="201">
        <f>MONTH($B1407)</f>
        <v/>
      </c>
      <c r="F1407" s="235">
        <f>($B1407+$C1407+1)/2</f>
        <v/>
      </c>
      <c r="G1407" s="201">
        <f>YEAR($B1407)*12+MONTH($B1407)-1</f>
        <v/>
      </c>
      <c r="H1407" s="207">
        <f>IF(OR(nr_SeasonOn="OFF",$D$1372=0,$E$1372=0),1,12*INDEX(se_block,$D$1372,$E1407)/$E$1372)</f>
        <v/>
      </c>
      <c r="I1407" s="208">
        <f>EXP(SUMPRODUCT((rl_eff&lt;$B1407)*(rl_key=$A$1372)*rl_ln1p))</f>
        <v/>
      </c>
      <c r="J1407" s="208">
        <f>EXP(SUMPRODUCT((rl_eff&lt;=$C1407)*(rl_key=$A$1372)*rl_ln1p))</f>
        <v/>
      </c>
      <c r="K1407" s="201">
        <f>COUNTIFS(rl_key,$A$1372,rl_eff,"&gt;="&amp;$B1407,rl_eff,"&lt;="&amp;$C1407)</f>
        <v/>
      </c>
      <c r="L1407" s="201">
        <f>SUMIFS(rl_daysafter,rl_key,$A$1372,rl_effmonth,$B1407,rl_first,1)</f>
        <v/>
      </c>
      <c r="M1407" s="209">
        <f>IF($K1407=0,0,MIN(1,$L1407/$D1407))</f>
        <v/>
      </c>
      <c r="N1407" s="208">
        <f>IF($K1407=0,$J1407,(1-$M1407)*$I1407+$M1407*$J1407)</f>
        <v/>
      </c>
      <c r="O1407" s="209">
        <f>IF($F1407&lt;$B$1373,$E$1373+$I$1373*($F1407-$A$1373),IF($F1407&lt;$C$1373,$F$1373+$J$1373*($F1407-$B$1373),$G$1373+$K$1373*($F1407-$C$1373)))</f>
        <v/>
      </c>
      <c r="P1407" s="208">
        <f>MIN(1,MAX(0,(nr_MEndPm1-$G1407+0.5)/$C$1372))-MIN(1,MAX(0,(nr_MStartPm1-1-$G1407+0.5)/$C$1372))</f>
        <v/>
      </c>
      <c r="Q1407" s="208">
        <f>MIN(1,MAX(0,(nr_MEndP-$G1407+0.5)/$C$1372))-MIN(1,MAX(0,(nr_MStartP-1-$G1407+0.5)/$C$1372))</f>
        <v/>
      </c>
      <c r="R1407" s="208">
        <f>MIN(1,MAX(0,(nr_MEndP1-$G1407+0.5)/$C$1372))-MIN(1,MAX(0,(nr_MStartP1-1-$G1407+0.5)/$C$1372))</f>
        <v/>
      </c>
      <c r="S1407" s="208">
        <f>IF($L$1372,$N1407*IF($O$1372=1,$O1407/$F$1372,1),"")</f>
        <v/>
      </c>
      <c r="T1407" s="208">
        <f>IF(NOT($L$1372),"",IF($G1407&lt;nr_MStartP,$S1407,$T1395*(1+IF($G1407&lt;nr_MStartP1,$M$1372,$N$1372))))</f>
        <v/>
      </c>
      <c r="U1407" s="208">
        <f>IF($L$1372,$T1407,$N1407)</f>
        <v/>
      </c>
    </row>
    <row r="1408">
      <c r="A1408" s="145" t="n">
        <v>34</v>
      </c>
      <c r="B1408" s="204">
        <f>EDATE($B1407,1)</f>
        <v/>
      </c>
      <c r="C1408" s="205">
        <f>EOMONTH($B1408,0)</f>
        <v/>
      </c>
      <c r="D1408" s="201">
        <f>$C1408-$B1408+1</f>
        <v/>
      </c>
      <c r="E1408" s="201">
        <f>MONTH($B1408)</f>
        <v/>
      </c>
      <c r="F1408" s="235">
        <f>($B1408+$C1408+1)/2</f>
        <v/>
      </c>
      <c r="G1408" s="201">
        <f>YEAR($B1408)*12+MONTH($B1408)-1</f>
        <v/>
      </c>
      <c r="H1408" s="207">
        <f>IF(OR(nr_SeasonOn="OFF",$D$1372=0,$E$1372=0),1,12*INDEX(se_block,$D$1372,$E1408)/$E$1372)</f>
        <v/>
      </c>
      <c r="I1408" s="208">
        <f>EXP(SUMPRODUCT((rl_eff&lt;$B1408)*(rl_key=$A$1372)*rl_ln1p))</f>
        <v/>
      </c>
      <c r="J1408" s="208">
        <f>EXP(SUMPRODUCT((rl_eff&lt;=$C1408)*(rl_key=$A$1372)*rl_ln1p))</f>
        <v/>
      </c>
      <c r="K1408" s="201">
        <f>COUNTIFS(rl_key,$A$1372,rl_eff,"&gt;="&amp;$B1408,rl_eff,"&lt;="&amp;$C1408)</f>
        <v/>
      </c>
      <c r="L1408" s="201">
        <f>SUMIFS(rl_daysafter,rl_key,$A$1372,rl_effmonth,$B1408,rl_first,1)</f>
        <v/>
      </c>
      <c r="M1408" s="209">
        <f>IF($K1408=0,0,MIN(1,$L1408/$D1408))</f>
        <v/>
      </c>
      <c r="N1408" s="208">
        <f>IF($K1408=0,$J1408,(1-$M1408)*$I1408+$M1408*$J1408)</f>
        <v/>
      </c>
      <c r="O1408" s="209">
        <f>IF($F1408&lt;$B$1373,$E$1373+$I$1373*($F1408-$A$1373),IF($F1408&lt;$C$1373,$F$1373+$J$1373*($F1408-$B$1373),$G$1373+$K$1373*($F1408-$C$1373)))</f>
        <v/>
      </c>
      <c r="P1408" s="208">
        <f>MIN(1,MAX(0,(nr_MEndPm1-$G1408+0.5)/$C$1372))-MIN(1,MAX(0,(nr_MStartPm1-1-$G1408+0.5)/$C$1372))</f>
        <v/>
      </c>
      <c r="Q1408" s="208">
        <f>MIN(1,MAX(0,(nr_MEndP-$G1408+0.5)/$C$1372))-MIN(1,MAX(0,(nr_MStartP-1-$G1408+0.5)/$C$1372))</f>
        <v/>
      </c>
      <c r="R1408" s="208">
        <f>MIN(1,MAX(0,(nr_MEndP1-$G1408+0.5)/$C$1372))-MIN(1,MAX(0,(nr_MStartP1-1-$G1408+0.5)/$C$1372))</f>
        <v/>
      </c>
      <c r="S1408" s="208">
        <f>IF($L$1372,$N1408*IF($O$1372=1,$O1408/$F$1372,1),"")</f>
        <v/>
      </c>
      <c r="T1408" s="208">
        <f>IF(NOT($L$1372),"",IF($G1408&lt;nr_MStartP,$S1408,$T1396*(1+IF($G1408&lt;nr_MStartP1,$M$1372,$N$1372))))</f>
        <v/>
      </c>
      <c r="U1408" s="208">
        <f>IF($L$1372,$T1408,$N1408)</f>
        <v/>
      </c>
    </row>
    <row r="1409">
      <c r="A1409" s="145" t="n">
        <v>35</v>
      </c>
      <c r="B1409" s="204">
        <f>EDATE($B1408,1)</f>
        <v/>
      </c>
      <c r="C1409" s="205">
        <f>EOMONTH($B1409,0)</f>
        <v/>
      </c>
      <c r="D1409" s="201">
        <f>$C1409-$B1409+1</f>
        <v/>
      </c>
      <c r="E1409" s="201">
        <f>MONTH($B1409)</f>
        <v/>
      </c>
      <c r="F1409" s="235">
        <f>($B1409+$C1409+1)/2</f>
        <v/>
      </c>
      <c r="G1409" s="201">
        <f>YEAR($B1409)*12+MONTH($B1409)-1</f>
        <v/>
      </c>
      <c r="H1409" s="207">
        <f>IF(OR(nr_SeasonOn="OFF",$D$1372=0,$E$1372=0),1,12*INDEX(se_block,$D$1372,$E1409)/$E$1372)</f>
        <v/>
      </c>
      <c r="I1409" s="208">
        <f>EXP(SUMPRODUCT((rl_eff&lt;$B1409)*(rl_key=$A$1372)*rl_ln1p))</f>
        <v/>
      </c>
      <c r="J1409" s="208">
        <f>EXP(SUMPRODUCT((rl_eff&lt;=$C1409)*(rl_key=$A$1372)*rl_ln1p))</f>
        <v/>
      </c>
      <c r="K1409" s="201">
        <f>COUNTIFS(rl_key,$A$1372,rl_eff,"&gt;="&amp;$B1409,rl_eff,"&lt;="&amp;$C1409)</f>
        <v/>
      </c>
      <c r="L1409" s="201">
        <f>SUMIFS(rl_daysafter,rl_key,$A$1372,rl_effmonth,$B1409,rl_first,1)</f>
        <v/>
      </c>
      <c r="M1409" s="209">
        <f>IF($K1409=0,0,MIN(1,$L1409/$D1409))</f>
        <v/>
      </c>
      <c r="N1409" s="208">
        <f>IF($K1409=0,$J1409,(1-$M1409)*$I1409+$M1409*$J1409)</f>
        <v/>
      </c>
      <c r="O1409" s="209">
        <f>IF($F1409&lt;$B$1373,$E$1373+$I$1373*($F1409-$A$1373),IF($F1409&lt;$C$1373,$F$1373+$J$1373*($F1409-$B$1373),$G$1373+$K$1373*($F1409-$C$1373)))</f>
        <v/>
      </c>
      <c r="P1409" s="208">
        <f>MIN(1,MAX(0,(nr_MEndPm1-$G1409+0.5)/$C$1372))-MIN(1,MAX(0,(nr_MStartPm1-1-$G1409+0.5)/$C$1372))</f>
        <v/>
      </c>
      <c r="Q1409" s="208">
        <f>MIN(1,MAX(0,(nr_MEndP-$G1409+0.5)/$C$1372))-MIN(1,MAX(0,(nr_MStartP-1-$G1409+0.5)/$C$1372))</f>
        <v/>
      </c>
      <c r="R1409" s="208">
        <f>MIN(1,MAX(0,(nr_MEndP1-$G1409+0.5)/$C$1372))-MIN(1,MAX(0,(nr_MStartP1-1-$G1409+0.5)/$C$1372))</f>
        <v/>
      </c>
      <c r="S1409" s="208">
        <f>IF($L$1372,$N1409*IF($O$1372=1,$O1409/$F$1372,1),"")</f>
        <v/>
      </c>
      <c r="T1409" s="208">
        <f>IF(NOT($L$1372),"",IF($G1409&lt;nr_MStartP,$S1409,$T1397*(1+IF($G1409&lt;nr_MStartP1,$M$1372,$N$1372))))</f>
        <v/>
      </c>
      <c r="U1409" s="208">
        <f>IF($L$1372,$T1409,$N1409)</f>
        <v/>
      </c>
    </row>
    <row r="1410">
      <c r="A1410" s="145" t="n">
        <v>36</v>
      </c>
      <c r="B1410" s="204">
        <f>EDATE($B1409,1)</f>
        <v/>
      </c>
      <c r="C1410" s="205">
        <f>EOMONTH($B1410,0)</f>
        <v/>
      </c>
      <c r="D1410" s="201">
        <f>$C1410-$B1410+1</f>
        <v/>
      </c>
      <c r="E1410" s="201">
        <f>MONTH($B1410)</f>
        <v/>
      </c>
      <c r="F1410" s="235">
        <f>($B1410+$C1410+1)/2</f>
        <v/>
      </c>
      <c r="G1410" s="201">
        <f>YEAR($B1410)*12+MONTH($B1410)-1</f>
        <v/>
      </c>
      <c r="H1410" s="207">
        <f>IF(OR(nr_SeasonOn="OFF",$D$1372=0,$E$1372=0),1,12*INDEX(se_block,$D$1372,$E1410)/$E$1372)</f>
        <v/>
      </c>
      <c r="I1410" s="208">
        <f>EXP(SUMPRODUCT((rl_eff&lt;$B1410)*(rl_key=$A$1372)*rl_ln1p))</f>
        <v/>
      </c>
      <c r="J1410" s="208">
        <f>EXP(SUMPRODUCT((rl_eff&lt;=$C1410)*(rl_key=$A$1372)*rl_ln1p))</f>
        <v/>
      </c>
      <c r="K1410" s="201">
        <f>COUNTIFS(rl_key,$A$1372,rl_eff,"&gt;="&amp;$B1410,rl_eff,"&lt;="&amp;$C1410)</f>
        <v/>
      </c>
      <c r="L1410" s="201">
        <f>SUMIFS(rl_daysafter,rl_key,$A$1372,rl_effmonth,$B1410,rl_first,1)</f>
        <v/>
      </c>
      <c r="M1410" s="209">
        <f>IF($K1410=0,0,MIN(1,$L1410/$D1410))</f>
        <v/>
      </c>
      <c r="N1410" s="208">
        <f>IF($K1410=0,$J1410,(1-$M1410)*$I1410+$M1410*$J1410)</f>
        <v/>
      </c>
      <c r="O1410" s="209">
        <f>IF($F1410&lt;$B$1373,$E$1373+$I$1373*($F1410-$A$1373),IF($F1410&lt;$C$1373,$F$1373+$J$1373*($F1410-$B$1373),$G$1373+$K$1373*($F1410-$C$1373)))</f>
        <v/>
      </c>
      <c r="P1410" s="208">
        <f>MIN(1,MAX(0,(nr_MEndPm1-$G1410+0.5)/$C$1372))-MIN(1,MAX(0,(nr_MStartPm1-1-$G1410+0.5)/$C$1372))</f>
        <v/>
      </c>
      <c r="Q1410" s="208">
        <f>MIN(1,MAX(0,(nr_MEndP-$G1410+0.5)/$C$1372))-MIN(1,MAX(0,(nr_MStartP-1-$G1410+0.5)/$C$1372))</f>
        <v/>
      </c>
      <c r="R1410" s="208">
        <f>MIN(1,MAX(0,(nr_MEndP1-$G1410+0.5)/$C$1372))-MIN(1,MAX(0,(nr_MStartP1-1-$G1410+0.5)/$C$1372))</f>
        <v/>
      </c>
      <c r="S1410" s="208">
        <f>IF($L$1372,$N1410*IF($O$1372=1,$O1410/$F$1372,1),"")</f>
        <v/>
      </c>
      <c r="T1410" s="208">
        <f>IF(NOT($L$1372),"",IF($G1410&lt;nr_MStartP,$S1410,$T1398*(1+IF($G1410&lt;nr_MStartP1,$M$1372,$N$1372))))</f>
        <v/>
      </c>
      <c r="U1410" s="208">
        <f>IF($L$1372,$T1410,$N1410)</f>
        <v/>
      </c>
    </row>
    <row r="1411">
      <c r="A1411" s="145" t="n">
        <v>37</v>
      </c>
      <c r="B1411" s="204">
        <f>EDATE($B1410,1)</f>
        <v/>
      </c>
      <c r="C1411" s="205">
        <f>EOMONTH($B1411,0)</f>
        <v/>
      </c>
      <c r="D1411" s="201">
        <f>$C1411-$B1411+1</f>
        <v/>
      </c>
      <c r="E1411" s="201">
        <f>MONTH($B1411)</f>
        <v/>
      </c>
      <c r="F1411" s="235">
        <f>($B1411+$C1411+1)/2</f>
        <v/>
      </c>
      <c r="G1411" s="201">
        <f>YEAR($B1411)*12+MONTH($B1411)-1</f>
        <v/>
      </c>
      <c r="H1411" s="207">
        <f>IF(OR(nr_SeasonOn="OFF",$D$1372=0,$E$1372=0),1,12*INDEX(se_block,$D$1372,$E1411)/$E$1372)</f>
        <v/>
      </c>
      <c r="I1411" s="208">
        <f>EXP(SUMPRODUCT((rl_eff&lt;$B1411)*(rl_key=$A$1372)*rl_ln1p))</f>
        <v/>
      </c>
      <c r="J1411" s="208">
        <f>EXP(SUMPRODUCT((rl_eff&lt;=$C1411)*(rl_key=$A$1372)*rl_ln1p))</f>
        <v/>
      </c>
      <c r="K1411" s="201">
        <f>COUNTIFS(rl_key,$A$1372,rl_eff,"&gt;="&amp;$B1411,rl_eff,"&lt;="&amp;$C1411)</f>
        <v/>
      </c>
      <c r="L1411" s="201">
        <f>SUMIFS(rl_daysafter,rl_key,$A$1372,rl_effmonth,$B1411,rl_first,1)</f>
        <v/>
      </c>
      <c r="M1411" s="209">
        <f>IF($K1411=0,0,MIN(1,$L1411/$D1411))</f>
        <v/>
      </c>
      <c r="N1411" s="208">
        <f>IF($K1411=0,$J1411,(1-$M1411)*$I1411+$M1411*$J1411)</f>
        <v/>
      </c>
      <c r="O1411" s="209">
        <f>IF($F1411&lt;$B$1373,$E$1373+$I$1373*($F1411-$A$1373),IF($F1411&lt;$C$1373,$F$1373+$J$1373*($F1411-$B$1373),$G$1373+$K$1373*($F1411-$C$1373)))</f>
        <v/>
      </c>
      <c r="P1411" s="208">
        <f>MIN(1,MAX(0,(nr_MEndPm1-$G1411+0.5)/$C$1372))-MIN(1,MAX(0,(nr_MStartPm1-1-$G1411+0.5)/$C$1372))</f>
        <v/>
      </c>
      <c r="Q1411" s="208">
        <f>MIN(1,MAX(0,(nr_MEndP-$G1411+0.5)/$C$1372))-MIN(1,MAX(0,(nr_MStartP-1-$G1411+0.5)/$C$1372))</f>
        <v/>
      </c>
      <c r="R1411" s="208">
        <f>MIN(1,MAX(0,(nr_MEndP1-$G1411+0.5)/$C$1372))-MIN(1,MAX(0,(nr_MStartP1-1-$G1411+0.5)/$C$1372))</f>
        <v/>
      </c>
      <c r="S1411" s="208">
        <f>IF($L$1372,$N1411*IF($O$1372=1,$O1411/$F$1372,1),"")</f>
        <v/>
      </c>
      <c r="T1411" s="208">
        <f>IF(NOT($L$1372),"",IF($G1411&lt;nr_MStartP,$S1411,$T1399*(1+IF($G1411&lt;nr_MStartP1,$M$1372,$N$1372))))</f>
        <v/>
      </c>
      <c r="U1411" s="208">
        <f>IF($L$1372,$T1411,$N1411)</f>
        <v/>
      </c>
    </row>
    <row r="1412">
      <c r="A1412" s="145" t="n">
        <v>38</v>
      </c>
      <c r="B1412" s="204">
        <f>EDATE($B1411,1)</f>
        <v/>
      </c>
      <c r="C1412" s="205">
        <f>EOMONTH($B1412,0)</f>
        <v/>
      </c>
      <c r="D1412" s="201">
        <f>$C1412-$B1412+1</f>
        <v/>
      </c>
      <c r="E1412" s="201">
        <f>MONTH($B1412)</f>
        <v/>
      </c>
      <c r="F1412" s="235">
        <f>($B1412+$C1412+1)/2</f>
        <v/>
      </c>
      <c r="G1412" s="201">
        <f>YEAR($B1412)*12+MONTH($B1412)-1</f>
        <v/>
      </c>
      <c r="H1412" s="207">
        <f>IF(OR(nr_SeasonOn="OFF",$D$1372=0,$E$1372=0),1,12*INDEX(se_block,$D$1372,$E1412)/$E$1372)</f>
        <v/>
      </c>
      <c r="I1412" s="208">
        <f>EXP(SUMPRODUCT((rl_eff&lt;$B1412)*(rl_key=$A$1372)*rl_ln1p))</f>
        <v/>
      </c>
      <c r="J1412" s="208">
        <f>EXP(SUMPRODUCT((rl_eff&lt;=$C1412)*(rl_key=$A$1372)*rl_ln1p))</f>
        <v/>
      </c>
      <c r="K1412" s="201">
        <f>COUNTIFS(rl_key,$A$1372,rl_eff,"&gt;="&amp;$B1412,rl_eff,"&lt;="&amp;$C1412)</f>
        <v/>
      </c>
      <c r="L1412" s="201">
        <f>SUMIFS(rl_daysafter,rl_key,$A$1372,rl_effmonth,$B1412,rl_first,1)</f>
        <v/>
      </c>
      <c r="M1412" s="209">
        <f>IF($K1412=0,0,MIN(1,$L1412/$D1412))</f>
        <v/>
      </c>
      <c r="N1412" s="208">
        <f>IF($K1412=0,$J1412,(1-$M1412)*$I1412+$M1412*$J1412)</f>
        <v/>
      </c>
      <c r="O1412" s="209">
        <f>IF($F1412&lt;$B$1373,$E$1373+$I$1373*($F1412-$A$1373),IF($F1412&lt;$C$1373,$F$1373+$J$1373*($F1412-$B$1373),$G$1373+$K$1373*($F1412-$C$1373)))</f>
        <v/>
      </c>
      <c r="P1412" s="208">
        <f>MIN(1,MAX(0,(nr_MEndPm1-$G1412+0.5)/$C$1372))-MIN(1,MAX(0,(nr_MStartPm1-1-$G1412+0.5)/$C$1372))</f>
        <v/>
      </c>
      <c r="Q1412" s="208">
        <f>MIN(1,MAX(0,(nr_MEndP-$G1412+0.5)/$C$1372))-MIN(1,MAX(0,(nr_MStartP-1-$G1412+0.5)/$C$1372))</f>
        <v/>
      </c>
      <c r="R1412" s="208">
        <f>MIN(1,MAX(0,(nr_MEndP1-$G1412+0.5)/$C$1372))-MIN(1,MAX(0,(nr_MStartP1-1-$G1412+0.5)/$C$1372))</f>
        <v/>
      </c>
      <c r="S1412" s="208">
        <f>IF($L$1372,$N1412*IF($O$1372=1,$O1412/$F$1372,1),"")</f>
        <v/>
      </c>
      <c r="T1412" s="208">
        <f>IF(NOT($L$1372),"",IF($G1412&lt;nr_MStartP,$S1412,$T1400*(1+IF($G1412&lt;nr_MStartP1,$M$1372,$N$1372))))</f>
        <v/>
      </c>
      <c r="U1412" s="208">
        <f>IF($L$1372,$T1412,$N1412)</f>
        <v/>
      </c>
    </row>
    <row r="1413">
      <c r="A1413" s="145" t="n">
        <v>39</v>
      </c>
      <c r="B1413" s="204">
        <f>EDATE($B1412,1)</f>
        <v/>
      </c>
      <c r="C1413" s="205">
        <f>EOMONTH($B1413,0)</f>
        <v/>
      </c>
      <c r="D1413" s="201">
        <f>$C1413-$B1413+1</f>
        <v/>
      </c>
      <c r="E1413" s="201">
        <f>MONTH($B1413)</f>
        <v/>
      </c>
      <c r="F1413" s="235">
        <f>($B1413+$C1413+1)/2</f>
        <v/>
      </c>
      <c r="G1413" s="201">
        <f>YEAR($B1413)*12+MONTH($B1413)-1</f>
        <v/>
      </c>
      <c r="H1413" s="207">
        <f>IF(OR(nr_SeasonOn="OFF",$D$1372=0,$E$1372=0),1,12*INDEX(se_block,$D$1372,$E1413)/$E$1372)</f>
        <v/>
      </c>
      <c r="I1413" s="208">
        <f>EXP(SUMPRODUCT((rl_eff&lt;$B1413)*(rl_key=$A$1372)*rl_ln1p))</f>
        <v/>
      </c>
      <c r="J1413" s="208">
        <f>EXP(SUMPRODUCT((rl_eff&lt;=$C1413)*(rl_key=$A$1372)*rl_ln1p))</f>
        <v/>
      </c>
      <c r="K1413" s="201">
        <f>COUNTIFS(rl_key,$A$1372,rl_eff,"&gt;="&amp;$B1413,rl_eff,"&lt;="&amp;$C1413)</f>
        <v/>
      </c>
      <c r="L1413" s="201">
        <f>SUMIFS(rl_daysafter,rl_key,$A$1372,rl_effmonth,$B1413,rl_first,1)</f>
        <v/>
      </c>
      <c r="M1413" s="209">
        <f>IF($K1413=0,0,MIN(1,$L1413/$D1413))</f>
        <v/>
      </c>
      <c r="N1413" s="208">
        <f>IF($K1413=0,$J1413,(1-$M1413)*$I1413+$M1413*$J1413)</f>
        <v/>
      </c>
      <c r="O1413" s="209">
        <f>IF($F1413&lt;$B$1373,$E$1373+$I$1373*($F1413-$A$1373),IF($F1413&lt;$C$1373,$F$1373+$J$1373*($F1413-$B$1373),$G$1373+$K$1373*($F1413-$C$1373)))</f>
        <v/>
      </c>
      <c r="P1413" s="208">
        <f>MIN(1,MAX(0,(nr_MEndPm1-$G1413+0.5)/$C$1372))-MIN(1,MAX(0,(nr_MStartPm1-1-$G1413+0.5)/$C$1372))</f>
        <v/>
      </c>
      <c r="Q1413" s="208">
        <f>MIN(1,MAX(0,(nr_MEndP-$G1413+0.5)/$C$1372))-MIN(1,MAX(0,(nr_MStartP-1-$G1413+0.5)/$C$1372))</f>
        <v/>
      </c>
      <c r="R1413" s="208">
        <f>MIN(1,MAX(0,(nr_MEndP1-$G1413+0.5)/$C$1372))-MIN(1,MAX(0,(nr_MStartP1-1-$G1413+0.5)/$C$1372))</f>
        <v/>
      </c>
      <c r="S1413" s="208">
        <f>IF($L$1372,$N1413*IF($O$1372=1,$O1413/$F$1372,1),"")</f>
        <v/>
      </c>
      <c r="T1413" s="208">
        <f>IF(NOT($L$1372),"",IF($G1413&lt;nr_MStartP,$S1413,$T1401*(1+IF($G1413&lt;nr_MStartP1,$M$1372,$N$1372))))</f>
        <v/>
      </c>
      <c r="U1413" s="208">
        <f>IF($L$1372,$T1413,$N1413)</f>
        <v/>
      </c>
    </row>
    <row r="1414">
      <c r="A1414" s="145" t="n">
        <v>40</v>
      </c>
      <c r="B1414" s="204">
        <f>EDATE($B1413,1)</f>
        <v/>
      </c>
      <c r="C1414" s="205">
        <f>EOMONTH($B1414,0)</f>
        <v/>
      </c>
      <c r="D1414" s="201">
        <f>$C1414-$B1414+1</f>
        <v/>
      </c>
      <c r="E1414" s="201">
        <f>MONTH($B1414)</f>
        <v/>
      </c>
      <c r="F1414" s="235">
        <f>($B1414+$C1414+1)/2</f>
        <v/>
      </c>
      <c r="G1414" s="201">
        <f>YEAR($B1414)*12+MONTH($B1414)-1</f>
        <v/>
      </c>
      <c r="H1414" s="207">
        <f>IF(OR(nr_SeasonOn="OFF",$D$1372=0,$E$1372=0),1,12*INDEX(se_block,$D$1372,$E1414)/$E$1372)</f>
        <v/>
      </c>
      <c r="I1414" s="208">
        <f>EXP(SUMPRODUCT((rl_eff&lt;$B1414)*(rl_key=$A$1372)*rl_ln1p))</f>
        <v/>
      </c>
      <c r="J1414" s="208">
        <f>EXP(SUMPRODUCT((rl_eff&lt;=$C1414)*(rl_key=$A$1372)*rl_ln1p))</f>
        <v/>
      </c>
      <c r="K1414" s="201">
        <f>COUNTIFS(rl_key,$A$1372,rl_eff,"&gt;="&amp;$B1414,rl_eff,"&lt;="&amp;$C1414)</f>
        <v/>
      </c>
      <c r="L1414" s="201">
        <f>SUMIFS(rl_daysafter,rl_key,$A$1372,rl_effmonth,$B1414,rl_first,1)</f>
        <v/>
      </c>
      <c r="M1414" s="209">
        <f>IF($K1414=0,0,MIN(1,$L1414/$D1414))</f>
        <v/>
      </c>
      <c r="N1414" s="208">
        <f>IF($K1414=0,$J1414,(1-$M1414)*$I1414+$M1414*$J1414)</f>
        <v/>
      </c>
      <c r="O1414" s="209">
        <f>IF($F1414&lt;$B$1373,$E$1373+$I$1373*($F1414-$A$1373),IF($F1414&lt;$C$1373,$F$1373+$J$1373*($F1414-$B$1373),$G$1373+$K$1373*($F1414-$C$1373)))</f>
        <v/>
      </c>
      <c r="P1414" s="208">
        <f>MIN(1,MAX(0,(nr_MEndPm1-$G1414+0.5)/$C$1372))-MIN(1,MAX(0,(nr_MStartPm1-1-$G1414+0.5)/$C$1372))</f>
        <v/>
      </c>
      <c r="Q1414" s="208">
        <f>MIN(1,MAX(0,(nr_MEndP-$G1414+0.5)/$C$1372))-MIN(1,MAX(0,(nr_MStartP-1-$G1414+0.5)/$C$1372))</f>
        <v/>
      </c>
      <c r="R1414" s="208">
        <f>MIN(1,MAX(0,(nr_MEndP1-$G1414+0.5)/$C$1372))-MIN(1,MAX(0,(nr_MStartP1-1-$G1414+0.5)/$C$1372))</f>
        <v/>
      </c>
      <c r="S1414" s="208">
        <f>IF($L$1372,$N1414*IF($O$1372=1,$O1414/$F$1372,1),"")</f>
        <v/>
      </c>
      <c r="T1414" s="208">
        <f>IF(NOT($L$1372),"",IF($G1414&lt;nr_MStartP,$S1414,$T1402*(1+IF($G1414&lt;nr_MStartP1,$M$1372,$N$1372))))</f>
        <v/>
      </c>
      <c r="U1414" s="208">
        <f>IF($L$1372,$T1414,$N1414)</f>
        <v/>
      </c>
    </row>
    <row r="1415">
      <c r="A1415" s="145" t="n">
        <v>41</v>
      </c>
      <c r="B1415" s="204">
        <f>EDATE($B1414,1)</f>
        <v/>
      </c>
      <c r="C1415" s="205">
        <f>EOMONTH($B1415,0)</f>
        <v/>
      </c>
      <c r="D1415" s="201">
        <f>$C1415-$B1415+1</f>
        <v/>
      </c>
      <c r="E1415" s="201">
        <f>MONTH($B1415)</f>
        <v/>
      </c>
      <c r="F1415" s="235">
        <f>($B1415+$C1415+1)/2</f>
        <v/>
      </c>
      <c r="G1415" s="201">
        <f>YEAR($B1415)*12+MONTH($B1415)-1</f>
        <v/>
      </c>
      <c r="H1415" s="207">
        <f>IF(OR(nr_SeasonOn="OFF",$D$1372=0,$E$1372=0),1,12*INDEX(se_block,$D$1372,$E1415)/$E$1372)</f>
        <v/>
      </c>
      <c r="I1415" s="208">
        <f>EXP(SUMPRODUCT((rl_eff&lt;$B1415)*(rl_key=$A$1372)*rl_ln1p))</f>
        <v/>
      </c>
      <c r="J1415" s="208">
        <f>EXP(SUMPRODUCT((rl_eff&lt;=$C1415)*(rl_key=$A$1372)*rl_ln1p))</f>
        <v/>
      </c>
      <c r="K1415" s="201">
        <f>COUNTIFS(rl_key,$A$1372,rl_eff,"&gt;="&amp;$B1415,rl_eff,"&lt;="&amp;$C1415)</f>
        <v/>
      </c>
      <c r="L1415" s="201">
        <f>SUMIFS(rl_daysafter,rl_key,$A$1372,rl_effmonth,$B1415,rl_first,1)</f>
        <v/>
      </c>
      <c r="M1415" s="209">
        <f>IF($K1415=0,0,MIN(1,$L1415/$D1415))</f>
        <v/>
      </c>
      <c r="N1415" s="208">
        <f>IF($K1415=0,$J1415,(1-$M1415)*$I1415+$M1415*$J1415)</f>
        <v/>
      </c>
      <c r="O1415" s="209">
        <f>IF($F1415&lt;$B$1373,$E$1373+$I$1373*($F1415-$A$1373),IF($F1415&lt;$C$1373,$F$1373+$J$1373*($F1415-$B$1373),$G$1373+$K$1373*($F1415-$C$1373)))</f>
        <v/>
      </c>
      <c r="P1415" s="208">
        <f>MIN(1,MAX(0,(nr_MEndPm1-$G1415+0.5)/$C$1372))-MIN(1,MAX(0,(nr_MStartPm1-1-$G1415+0.5)/$C$1372))</f>
        <v/>
      </c>
      <c r="Q1415" s="208">
        <f>MIN(1,MAX(0,(nr_MEndP-$G1415+0.5)/$C$1372))-MIN(1,MAX(0,(nr_MStartP-1-$G1415+0.5)/$C$1372))</f>
        <v/>
      </c>
      <c r="R1415" s="208">
        <f>MIN(1,MAX(0,(nr_MEndP1-$G1415+0.5)/$C$1372))-MIN(1,MAX(0,(nr_MStartP1-1-$G1415+0.5)/$C$1372))</f>
        <v/>
      </c>
      <c r="S1415" s="208">
        <f>IF($L$1372,$N1415*IF($O$1372=1,$O1415/$F$1372,1),"")</f>
        <v/>
      </c>
      <c r="T1415" s="208">
        <f>IF(NOT($L$1372),"",IF($G1415&lt;nr_MStartP,$S1415,$T1403*(1+IF($G1415&lt;nr_MStartP1,$M$1372,$N$1372))))</f>
        <v/>
      </c>
      <c r="U1415" s="208">
        <f>IF($L$1372,$T1415,$N1415)</f>
        <v/>
      </c>
    </row>
    <row r="1416">
      <c r="A1416" s="145" t="n">
        <v>42</v>
      </c>
      <c r="B1416" s="204">
        <f>EDATE($B1415,1)</f>
        <v/>
      </c>
      <c r="C1416" s="205">
        <f>EOMONTH($B1416,0)</f>
        <v/>
      </c>
      <c r="D1416" s="201">
        <f>$C1416-$B1416+1</f>
        <v/>
      </c>
      <c r="E1416" s="201">
        <f>MONTH($B1416)</f>
        <v/>
      </c>
      <c r="F1416" s="235">
        <f>($B1416+$C1416+1)/2</f>
        <v/>
      </c>
      <c r="G1416" s="201">
        <f>YEAR($B1416)*12+MONTH($B1416)-1</f>
        <v/>
      </c>
      <c r="H1416" s="207">
        <f>IF(OR(nr_SeasonOn="OFF",$D$1372=0,$E$1372=0),1,12*INDEX(se_block,$D$1372,$E1416)/$E$1372)</f>
        <v/>
      </c>
      <c r="I1416" s="208">
        <f>EXP(SUMPRODUCT((rl_eff&lt;$B1416)*(rl_key=$A$1372)*rl_ln1p))</f>
        <v/>
      </c>
      <c r="J1416" s="208">
        <f>EXP(SUMPRODUCT((rl_eff&lt;=$C1416)*(rl_key=$A$1372)*rl_ln1p))</f>
        <v/>
      </c>
      <c r="K1416" s="201">
        <f>COUNTIFS(rl_key,$A$1372,rl_eff,"&gt;="&amp;$B1416,rl_eff,"&lt;="&amp;$C1416)</f>
        <v/>
      </c>
      <c r="L1416" s="201">
        <f>SUMIFS(rl_daysafter,rl_key,$A$1372,rl_effmonth,$B1416,rl_first,1)</f>
        <v/>
      </c>
      <c r="M1416" s="209">
        <f>IF($K1416=0,0,MIN(1,$L1416/$D1416))</f>
        <v/>
      </c>
      <c r="N1416" s="208">
        <f>IF($K1416=0,$J1416,(1-$M1416)*$I1416+$M1416*$J1416)</f>
        <v/>
      </c>
      <c r="O1416" s="209">
        <f>IF($F1416&lt;$B$1373,$E$1373+$I$1373*($F1416-$A$1373),IF($F1416&lt;$C$1373,$F$1373+$J$1373*($F1416-$B$1373),$G$1373+$K$1373*($F1416-$C$1373)))</f>
        <v/>
      </c>
      <c r="P1416" s="208">
        <f>MIN(1,MAX(0,(nr_MEndPm1-$G1416+0.5)/$C$1372))-MIN(1,MAX(0,(nr_MStartPm1-1-$G1416+0.5)/$C$1372))</f>
        <v/>
      </c>
      <c r="Q1416" s="208">
        <f>MIN(1,MAX(0,(nr_MEndP-$G1416+0.5)/$C$1372))-MIN(1,MAX(0,(nr_MStartP-1-$G1416+0.5)/$C$1372))</f>
        <v/>
      </c>
      <c r="R1416" s="208">
        <f>MIN(1,MAX(0,(nr_MEndP1-$G1416+0.5)/$C$1372))-MIN(1,MAX(0,(nr_MStartP1-1-$G1416+0.5)/$C$1372))</f>
        <v/>
      </c>
      <c r="S1416" s="208">
        <f>IF($L$1372,$N1416*IF($O$1372=1,$O1416/$F$1372,1),"")</f>
        <v/>
      </c>
      <c r="T1416" s="208">
        <f>IF(NOT($L$1372),"",IF($G1416&lt;nr_MStartP,$S1416,$T1404*(1+IF($G1416&lt;nr_MStartP1,$M$1372,$N$1372))))</f>
        <v/>
      </c>
      <c r="U1416" s="208">
        <f>IF($L$1372,$T1416,$N1416)</f>
        <v/>
      </c>
    </row>
    <row r="1417">
      <c r="A1417" s="145" t="n">
        <v>43</v>
      </c>
      <c r="B1417" s="204">
        <f>EDATE($B1416,1)</f>
        <v/>
      </c>
      <c r="C1417" s="205">
        <f>EOMONTH($B1417,0)</f>
        <v/>
      </c>
      <c r="D1417" s="201">
        <f>$C1417-$B1417+1</f>
        <v/>
      </c>
      <c r="E1417" s="201">
        <f>MONTH($B1417)</f>
        <v/>
      </c>
      <c r="F1417" s="235">
        <f>($B1417+$C1417+1)/2</f>
        <v/>
      </c>
      <c r="G1417" s="201">
        <f>YEAR($B1417)*12+MONTH($B1417)-1</f>
        <v/>
      </c>
      <c r="H1417" s="207">
        <f>IF(OR(nr_SeasonOn="OFF",$D$1372=0,$E$1372=0),1,12*INDEX(se_block,$D$1372,$E1417)/$E$1372)</f>
        <v/>
      </c>
      <c r="I1417" s="208">
        <f>EXP(SUMPRODUCT((rl_eff&lt;$B1417)*(rl_key=$A$1372)*rl_ln1p))</f>
        <v/>
      </c>
      <c r="J1417" s="208">
        <f>EXP(SUMPRODUCT((rl_eff&lt;=$C1417)*(rl_key=$A$1372)*rl_ln1p))</f>
        <v/>
      </c>
      <c r="K1417" s="201">
        <f>COUNTIFS(rl_key,$A$1372,rl_eff,"&gt;="&amp;$B1417,rl_eff,"&lt;="&amp;$C1417)</f>
        <v/>
      </c>
      <c r="L1417" s="201">
        <f>SUMIFS(rl_daysafter,rl_key,$A$1372,rl_effmonth,$B1417,rl_first,1)</f>
        <v/>
      </c>
      <c r="M1417" s="209">
        <f>IF($K1417=0,0,MIN(1,$L1417/$D1417))</f>
        <v/>
      </c>
      <c r="N1417" s="208">
        <f>IF($K1417=0,$J1417,(1-$M1417)*$I1417+$M1417*$J1417)</f>
        <v/>
      </c>
      <c r="O1417" s="209">
        <f>IF($F1417&lt;$B$1373,$E$1373+$I$1373*($F1417-$A$1373),IF($F1417&lt;$C$1373,$F$1373+$J$1373*($F1417-$B$1373),$G$1373+$K$1373*($F1417-$C$1373)))</f>
        <v/>
      </c>
      <c r="P1417" s="208">
        <f>MIN(1,MAX(0,(nr_MEndPm1-$G1417+0.5)/$C$1372))-MIN(1,MAX(0,(nr_MStartPm1-1-$G1417+0.5)/$C$1372))</f>
        <v/>
      </c>
      <c r="Q1417" s="208">
        <f>MIN(1,MAX(0,(nr_MEndP-$G1417+0.5)/$C$1372))-MIN(1,MAX(0,(nr_MStartP-1-$G1417+0.5)/$C$1372))</f>
        <v/>
      </c>
      <c r="R1417" s="208">
        <f>MIN(1,MAX(0,(nr_MEndP1-$G1417+0.5)/$C$1372))-MIN(1,MAX(0,(nr_MStartP1-1-$G1417+0.5)/$C$1372))</f>
        <v/>
      </c>
      <c r="S1417" s="208">
        <f>IF($L$1372,$N1417*IF($O$1372=1,$O1417/$F$1372,1),"")</f>
        <v/>
      </c>
      <c r="T1417" s="208">
        <f>IF(NOT($L$1372),"",IF($G1417&lt;nr_MStartP,$S1417,$T1405*(1+IF($G1417&lt;nr_MStartP1,$M$1372,$N$1372))))</f>
        <v/>
      </c>
      <c r="U1417" s="208">
        <f>IF($L$1372,$T1417,$N1417)</f>
        <v/>
      </c>
    </row>
    <row r="1418">
      <c r="A1418" s="145" t="n">
        <v>44</v>
      </c>
      <c r="B1418" s="204">
        <f>EDATE($B1417,1)</f>
        <v/>
      </c>
      <c r="C1418" s="205">
        <f>EOMONTH($B1418,0)</f>
        <v/>
      </c>
      <c r="D1418" s="201">
        <f>$C1418-$B1418+1</f>
        <v/>
      </c>
      <c r="E1418" s="201">
        <f>MONTH($B1418)</f>
        <v/>
      </c>
      <c r="F1418" s="235">
        <f>($B1418+$C1418+1)/2</f>
        <v/>
      </c>
      <c r="G1418" s="201">
        <f>YEAR($B1418)*12+MONTH($B1418)-1</f>
        <v/>
      </c>
      <c r="H1418" s="207">
        <f>IF(OR(nr_SeasonOn="OFF",$D$1372=0,$E$1372=0),1,12*INDEX(se_block,$D$1372,$E1418)/$E$1372)</f>
        <v/>
      </c>
      <c r="I1418" s="208">
        <f>EXP(SUMPRODUCT((rl_eff&lt;$B1418)*(rl_key=$A$1372)*rl_ln1p))</f>
        <v/>
      </c>
      <c r="J1418" s="208">
        <f>EXP(SUMPRODUCT((rl_eff&lt;=$C1418)*(rl_key=$A$1372)*rl_ln1p))</f>
        <v/>
      </c>
      <c r="K1418" s="201">
        <f>COUNTIFS(rl_key,$A$1372,rl_eff,"&gt;="&amp;$B1418,rl_eff,"&lt;="&amp;$C1418)</f>
        <v/>
      </c>
      <c r="L1418" s="201">
        <f>SUMIFS(rl_daysafter,rl_key,$A$1372,rl_effmonth,$B1418,rl_first,1)</f>
        <v/>
      </c>
      <c r="M1418" s="209">
        <f>IF($K1418=0,0,MIN(1,$L1418/$D1418))</f>
        <v/>
      </c>
      <c r="N1418" s="208">
        <f>IF($K1418=0,$J1418,(1-$M1418)*$I1418+$M1418*$J1418)</f>
        <v/>
      </c>
      <c r="O1418" s="209">
        <f>IF($F1418&lt;$B$1373,$E$1373+$I$1373*($F1418-$A$1373),IF($F1418&lt;$C$1373,$F$1373+$J$1373*($F1418-$B$1373),$G$1373+$K$1373*($F1418-$C$1373)))</f>
        <v/>
      </c>
      <c r="P1418" s="208">
        <f>MIN(1,MAX(0,(nr_MEndPm1-$G1418+0.5)/$C$1372))-MIN(1,MAX(0,(nr_MStartPm1-1-$G1418+0.5)/$C$1372))</f>
        <v/>
      </c>
      <c r="Q1418" s="208">
        <f>MIN(1,MAX(0,(nr_MEndP-$G1418+0.5)/$C$1372))-MIN(1,MAX(0,(nr_MStartP-1-$G1418+0.5)/$C$1372))</f>
        <v/>
      </c>
      <c r="R1418" s="208">
        <f>MIN(1,MAX(0,(nr_MEndP1-$G1418+0.5)/$C$1372))-MIN(1,MAX(0,(nr_MStartP1-1-$G1418+0.5)/$C$1372))</f>
        <v/>
      </c>
      <c r="S1418" s="208">
        <f>IF($L$1372,$N1418*IF($O$1372=1,$O1418/$F$1372,1),"")</f>
        <v/>
      </c>
      <c r="T1418" s="208">
        <f>IF(NOT($L$1372),"",IF($G1418&lt;nr_MStartP,$S1418,$T1406*(1+IF($G1418&lt;nr_MStartP1,$M$1372,$N$1372))))</f>
        <v/>
      </c>
      <c r="U1418" s="208">
        <f>IF($L$1372,$T1418,$N1418)</f>
        <v/>
      </c>
    </row>
    <row r="1419">
      <c r="A1419" s="145" t="n">
        <v>45</v>
      </c>
      <c r="B1419" s="204">
        <f>EDATE($B1418,1)</f>
        <v/>
      </c>
      <c r="C1419" s="205">
        <f>EOMONTH($B1419,0)</f>
        <v/>
      </c>
      <c r="D1419" s="201">
        <f>$C1419-$B1419+1</f>
        <v/>
      </c>
      <c r="E1419" s="201">
        <f>MONTH($B1419)</f>
        <v/>
      </c>
      <c r="F1419" s="235">
        <f>($B1419+$C1419+1)/2</f>
        <v/>
      </c>
      <c r="G1419" s="201">
        <f>YEAR($B1419)*12+MONTH($B1419)-1</f>
        <v/>
      </c>
      <c r="H1419" s="207">
        <f>IF(OR(nr_SeasonOn="OFF",$D$1372=0,$E$1372=0),1,12*INDEX(se_block,$D$1372,$E1419)/$E$1372)</f>
        <v/>
      </c>
      <c r="I1419" s="208">
        <f>EXP(SUMPRODUCT((rl_eff&lt;$B1419)*(rl_key=$A$1372)*rl_ln1p))</f>
        <v/>
      </c>
      <c r="J1419" s="208">
        <f>EXP(SUMPRODUCT((rl_eff&lt;=$C1419)*(rl_key=$A$1372)*rl_ln1p))</f>
        <v/>
      </c>
      <c r="K1419" s="201">
        <f>COUNTIFS(rl_key,$A$1372,rl_eff,"&gt;="&amp;$B1419,rl_eff,"&lt;="&amp;$C1419)</f>
        <v/>
      </c>
      <c r="L1419" s="201">
        <f>SUMIFS(rl_daysafter,rl_key,$A$1372,rl_effmonth,$B1419,rl_first,1)</f>
        <v/>
      </c>
      <c r="M1419" s="209">
        <f>IF($K1419=0,0,MIN(1,$L1419/$D1419))</f>
        <v/>
      </c>
      <c r="N1419" s="208">
        <f>IF($K1419=0,$J1419,(1-$M1419)*$I1419+$M1419*$J1419)</f>
        <v/>
      </c>
      <c r="O1419" s="209">
        <f>IF($F1419&lt;$B$1373,$E$1373+$I$1373*($F1419-$A$1373),IF($F1419&lt;$C$1373,$F$1373+$J$1373*($F1419-$B$1373),$G$1373+$K$1373*($F1419-$C$1373)))</f>
        <v/>
      </c>
      <c r="P1419" s="208">
        <f>MIN(1,MAX(0,(nr_MEndPm1-$G1419+0.5)/$C$1372))-MIN(1,MAX(0,(nr_MStartPm1-1-$G1419+0.5)/$C$1372))</f>
        <v/>
      </c>
      <c r="Q1419" s="208">
        <f>MIN(1,MAX(0,(nr_MEndP-$G1419+0.5)/$C$1372))-MIN(1,MAX(0,(nr_MStartP-1-$G1419+0.5)/$C$1372))</f>
        <v/>
      </c>
      <c r="R1419" s="208">
        <f>MIN(1,MAX(0,(nr_MEndP1-$G1419+0.5)/$C$1372))-MIN(1,MAX(0,(nr_MStartP1-1-$G1419+0.5)/$C$1372))</f>
        <v/>
      </c>
      <c r="S1419" s="208">
        <f>IF($L$1372,$N1419*IF($O$1372=1,$O1419/$F$1372,1),"")</f>
        <v/>
      </c>
      <c r="T1419" s="208">
        <f>IF(NOT($L$1372),"",IF($G1419&lt;nr_MStartP,$S1419,$T1407*(1+IF($G1419&lt;nr_MStartP1,$M$1372,$N$1372))))</f>
        <v/>
      </c>
      <c r="U1419" s="208">
        <f>IF($L$1372,$T1419,$N1419)</f>
        <v/>
      </c>
    </row>
    <row r="1420">
      <c r="A1420" s="145" t="n">
        <v>46</v>
      </c>
      <c r="B1420" s="204">
        <f>EDATE($B1419,1)</f>
        <v/>
      </c>
      <c r="C1420" s="205">
        <f>EOMONTH($B1420,0)</f>
        <v/>
      </c>
      <c r="D1420" s="201">
        <f>$C1420-$B1420+1</f>
        <v/>
      </c>
      <c r="E1420" s="201">
        <f>MONTH($B1420)</f>
        <v/>
      </c>
      <c r="F1420" s="235">
        <f>($B1420+$C1420+1)/2</f>
        <v/>
      </c>
      <c r="G1420" s="201">
        <f>YEAR($B1420)*12+MONTH($B1420)-1</f>
        <v/>
      </c>
      <c r="H1420" s="207">
        <f>IF(OR(nr_SeasonOn="OFF",$D$1372=0,$E$1372=0),1,12*INDEX(se_block,$D$1372,$E1420)/$E$1372)</f>
        <v/>
      </c>
      <c r="I1420" s="208">
        <f>EXP(SUMPRODUCT((rl_eff&lt;$B1420)*(rl_key=$A$1372)*rl_ln1p))</f>
        <v/>
      </c>
      <c r="J1420" s="208">
        <f>EXP(SUMPRODUCT((rl_eff&lt;=$C1420)*(rl_key=$A$1372)*rl_ln1p))</f>
        <v/>
      </c>
      <c r="K1420" s="201">
        <f>COUNTIFS(rl_key,$A$1372,rl_eff,"&gt;="&amp;$B1420,rl_eff,"&lt;="&amp;$C1420)</f>
        <v/>
      </c>
      <c r="L1420" s="201">
        <f>SUMIFS(rl_daysafter,rl_key,$A$1372,rl_effmonth,$B1420,rl_first,1)</f>
        <v/>
      </c>
      <c r="M1420" s="209">
        <f>IF($K1420=0,0,MIN(1,$L1420/$D1420))</f>
        <v/>
      </c>
      <c r="N1420" s="208">
        <f>IF($K1420=0,$J1420,(1-$M1420)*$I1420+$M1420*$J1420)</f>
        <v/>
      </c>
      <c r="O1420" s="209">
        <f>IF($F1420&lt;$B$1373,$E$1373+$I$1373*($F1420-$A$1373),IF($F1420&lt;$C$1373,$F$1373+$J$1373*($F1420-$B$1373),$G$1373+$K$1373*($F1420-$C$1373)))</f>
        <v/>
      </c>
      <c r="P1420" s="208">
        <f>MIN(1,MAX(0,(nr_MEndPm1-$G1420+0.5)/$C$1372))-MIN(1,MAX(0,(nr_MStartPm1-1-$G1420+0.5)/$C$1372))</f>
        <v/>
      </c>
      <c r="Q1420" s="208">
        <f>MIN(1,MAX(0,(nr_MEndP-$G1420+0.5)/$C$1372))-MIN(1,MAX(0,(nr_MStartP-1-$G1420+0.5)/$C$1372))</f>
        <v/>
      </c>
      <c r="R1420" s="208">
        <f>MIN(1,MAX(0,(nr_MEndP1-$G1420+0.5)/$C$1372))-MIN(1,MAX(0,(nr_MStartP1-1-$G1420+0.5)/$C$1372))</f>
        <v/>
      </c>
      <c r="S1420" s="208">
        <f>IF($L$1372,$N1420*IF($O$1372=1,$O1420/$F$1372,1),"")</f>
        <v/>
      </c>
      <c r="T1420" s="208">
        <f>IF(NOT($L$1372),"",IF($G1420&lt;nr_MStartP,$S1420,$T1408*(1+IF($G1420&lt;nr_MStartP1,$M$1372,$N$1372))))</f>
        <v/>
      </c>
      <c r="U1420" s="208">
        <f>IF($L$1372,$T1420,$N1420)</f>
        <v/>
      </c>
    </row>
    <row r="1421">
      <c r="A1421" s="145" t="n">
        <v>47</v>
      </c>
      <c r="B1421" s="204">
        <f>EDATE($B1420,1)</f>
        <v/>
      </c>
      <c r="C1421" s="205">
        <f>EOMONTH($B1421,0)</f>
        <v/>
      </c>
      <c r="D1421" s="201">
        <f>$C1421-$B1421+1</f>
        <v/>
      </c>
      <c r="E1421" s="201">
        <f>MONTH($B1421)</f>
        <v/>
      </c>
      <c r="F1421" s="235">
        <f>($B1421+$C1421+1)/2</f>
        <v/>
      </c>
      <c r="G1421" s="201">
        <f>YEAR($B1421)*12+MONTH($B1421)-1</f>
        <v/>
      </c>
      <c r="H1421" s="207">
        <f>IF(OR(nr_SeasonOn="OFF",$D$1372=0,$E$1372=0),1,12*INDEX(se_block,$D$1372,$E1421)/$E$1372)</f>
        <v/>
      </c>
      <c r="I1421" s="208">
        <f>EXP(SUMPRODUCT((rl_eff&lt;$B1421)*(rl_key=$A$1372)*rl_ln1p))</f>
        <v/>
      </c>
      <c r="J1421" s="208">
        <f>EXP(SUMPRODUCT((rl_eff&lt;=$C1421)*(rl_key=$A$1372)*rl_ln1p))</f>
        <v/>
      </c>
      <c r="K1421" s="201">
        <f>COUNTIFS(rl_key,$A$1372,rl_eff,"&gt;="&amp;$B1421,rl_eff,"&lt;="&amp;$C1421)</f>
        <v/>
      </c>
      <c r="L1421" s="201">
        <f>SUMIFS(rl_daysafter,rl_key,$A$1372,rl_effmonth,$B1421,rl_first,1)</f>
        <v/>
      </c>
      <c r="M1421" s="209">
        <f>IF($K1421=0,0,MIN(1,$L1421/$D1421))</f>
        <v/>
      </c>
      <c r="N1421" s="208">
        <f>IF($K1421=0,$J1421,(1-$M1421)*$I1421+$M1421*$J1421)</f>
        <v/>
      </c>
      <c r="O1421" s="209">
        <f>IF($F1421&lt;$B$1373,$E$1373+$I$1373*($F1421-$A$1373),IF($F1421&lt;$C$1373,$F$1373+$J$1373*($F1421-$B$1373),$G$1373+$K$1373*($F1421-$C$1373)))</f>
        <v/>
      </c>
      <c r="P1421" s="208">
        <f>MIN(1,MAX(0,(nr_MEndPm1-$G1421+0.5)/$C$1372))-MIN(1,MAX(0,(nr_MStartPm1-1-$G1421+0.5)/$C$1372))</f>
        <v/>
      </c>
      <c r="Q1421" s="208">
        <f>MIN(1,MAX(0,(nr_MEndP-$G1421+0.5)/$C$1372))-MIN(1,MAX(0,(nr_MStartP-1-$G1421+0.5)/$C$1372))</f>
        <v/>
      </c>
      <c r="R1421" s="208">
        <f>MIN(1,MAX(0,(nr_MEndP1-$G1421+0.5)/$C$1372))-MIN(1,MAX(0,(nr_MStartP1-1-$G1421+0.5)/$C$1372))</f>
        <v/>
      </c>
      <c r="S1421" s="208">
        <f>IF($L$1372,$N1421*IF($O$1372=1,$O1421/$F$1372,1),"")</f>
        <v/>
      </c>
      <c r="T1421" s="208">
        <f>IF(NOT($L$1372),"",IF($G1421&lt;nr_MStartP,$S1421,$T1409*(1+IF($G1421&lt;nr_MStartP1,$M$1372,$N$1372))))</f>
        <v/>
      </c>
      <c r="U1421" s="208">
        <f>IF($L$1372,$T1421,$N1421)</f>
        <v/>
      </c>
    </row>
    <row r="1422">
      <c r="A1422" s="145" t="n">
        <v>48</v>
      </c>
      <c r="B1422" s="204">
        <f>EDATE($B1421,1)</f>
        <v/>
      </c>
      <c r="C1422" s="205">
        <f>EOMONTH($B1422,0)</f>
        <v/>
      </c>
      <c r="D1422" s="201">
        <f>$C1422-$B1422+1</f>
        <v/>
      </c>
      <c r="E1422" s="201">
        <f>MONTH($B1422)</f>
        <v/>
      </c>
      <c r="F1422" s="235">
        <f>($B1422+$C1422+1)/2</f>
        <v/>
      </c>
      <c r="G1422" s="201">
        <f>YEAR($B1422)*12+MONTH($B1422)-1</f>
        <v/>
      </c>
      <c r="H1422" s="207">
        <f>IF(OR(nr_SeasonOn="OFF",$D$1372=0,$E$1372=0),1,12*INDEX(se_block,$D$1372,$E1422)/$E$1372)</f>
        <v/>
      </c>
      <c r="I1422" s="208">
        <f>EXP(SUMPRODUCT((rl_eff&lt;$B1422)*(rl_key=$A$1372)*rl_ln1p))</f>
        <v/>
      </c>
      <c r="J1422" s="208">
        <f>EXP(SUMPRODUCT((rl_eff&lt;=$C1422)*(rl_key=$A$1372)*rl_ln1p))</f>
        <v/>
      </c>
      <c r="K1422" s="201">
        <f>COUNTIFS(rl_key,$A$1372,rl_eff,"&gt;="&amp;$B1422,rl_eff,"&lt;="&amp;$C1422)</f>
        <v/>
      </c>
      <c r="L1422" s="201">
        <f>SUMIFS(rl_daysafter,rl_key,$A$1372,rl_effmonth,$B1422,rl_first,1)</f>
        <v/>
      </c>
      <c r="M1422" s="209">
        <f>IF($K1422=0,0,MIN(1,$L1422/$D1422))</f>
        <v/>
      </c>
      <c r="N1422" s="208">
        <f>IF($K1422=0,$J1422,(1-$M1422)*$I1422+$M1422*$J1422)</f>
        <v/>
      </c>
      <c r="O1422" s="209">
        <f>IF($F1422&lt;$B$1373,$E$1373+$I$1373*($F1422-$A$1373),IF($F1422&lt;$C$1373,$F$1373+$J$1373*($F1422-$B$1373),$G$1373+$K$1373*($F1422-$C$1373)))</f>
        <v/>
      </c>
      <c r="P1422" s="208">
        <f>MIN(1,MAX(0,(nr_MEndPm1-$G1422+0.5)/$C$1372))-MIN(1,MAX(0,(nr_MStartPm1-1-$G1422+0.5)/$C$1372))</f>
        <v/>
      </c>
      <c r="Q1422" s="208">
        <f>MIN(1,MAX(0,(nr_MEndP-$G1422+0.5)/$C$1372))-MIN(1,MAX(0,(nr_MStartP-1-$G1422+0.5)/$C$1372))</f>
        <v/>
      </c>
      <c r="R1422" s="208">
        <f>MIN(1,MAX(0,(nr_MEndP1-$G1422+0.5)/$C$1372))-MIN(1,MAX(0,(nr_MStartP1-1-$G1422+0.5)/$C$1372))</f>
        <v/>
      </c>
      <c r="S1422" s="208">
        <f>IF($L$1372,$N1422*IF($O$1372=1,$O1422/$F$1372,1),"")</f>
        <v/>
      </c>
      <c r="T1422" s="208">
        <f>IF(NOT($L$1372),"",IF($G1422&lt;nr_MStartP,$S1422,$T1410*(1+IF($G1422&lt;nr_MStartP1,$M$1372,$N$1372))))</f>
        <v/>
      </c>
      <c r="U1422" s="208">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184">
        <f>SUMPRODUCT($H$1375:$H$1422,$Q$1375:$Q$1422,$O$1375:$O$1422)/SUMPRODUCT($H$1375:$H$1422,$Q$1375:$Q$1422)</f>
        <v/>
      </c>
      <c r="G1423" s="184">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184">
        <f>IF(N(INDEX(lr_mind,26))=0,1,INDEX(lr_mind,26))</f>
        <v/>
      </c>
      <c r="G1426" s="184">
        <f>IF(N(INDEX(lr_m0,26))=0,1,INDEX(lr_m0,26))</f>
        <v/>
      </c>
      <c r="H1426" s="73">
        <f>IF(N(INDEX(lr_m0asof,26))=0,DATE(nr_PlanYear-1,10,1),INDEX(lr_m0asof,26))</f>
        <v/>
      </c>
      <c r="I1426" s="184">
        <f>IF(N(INDEX(lr_m1,26))=0,1,INDEX(lr_m1,26))</f>
        <v/>
      </c>
      <c r="J1426" s="184">
        <f>INDEX(lr_mprior,26)</f>
        <v/>
      </c>
      <c r="K1426" s="184">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145" t="n">
        <v>1</v>
      </c>
      <c r="B1429" s="204">
        <f>DATE(nr_PlanYear-2,1,1)</f>
        <v/>
      </c>
      <c r="C1429" s="205">
        <f>EOMONTH($B1429,0)</f>
        <v/>
      </c>
      <c r="D1429" s="201">
        <f>$C1429-$B1429+1</f>
        <v/>
      </c>
      <c r="E1429" s="201">
        <f>MONTH($B1429)</f>
        <v/>
      </c>
      <c r="F1429" s="235">
        <f>($B1429+$C1429+1)/2</f>
        <v/>
      </c>
      <c r="G1429" s="201">
        <f>YEAR($B1429)*12+MONTH($B1429)-1</f>
        <v/>
      </c>
      <c r="H1429" s="207">
        <f>IF(OR(nr_SeasonOn="OFF",$D$1426=0,$E$1426=0),1,12*INDEX(se_block,$D$1426,$E1429)/$E$1426)</f>
        <v/>
      </c>
      <c r="I1429" s="208">
        <f>EXP(SUMPRODUCT((rl_eff&lt;$B1429)*(rl_key=$A$1426)*rl_ln1p))</f>
        <v/>
      </c>
      <c r="J1429" s="208">
        <f>EXP(SUMPRODUCT((rl_eff&lt;=$C1429)*(rl_key=$A$1426)*rl_ln1p))</f>
        <v/>
      </c>
      <c r="K1429" s="201">
        <f>COUNTIFS(rl_key,$A$1426,rl_eff,"&gt;="&amp;$B1429,rl_eff,"&lt;="&amp;$C1429)</f>
        <v/>
      </c>
      <c r="L1429" s="201">
        <f>SUMIFS(rl_daysafter,rl_key,$A$1426,rl_effmonth,$B1429,rl_first,1)</f>
        <v/>
      </c>
      <c r="M1429" s="209">
        <f>IF($K1429=0,0,MIN(1,$L1429/$D1429))</f>
        <v/>
      </c>
      <c r="N1429" s="208">
        <f>IF($K1429=0,$J1429,(1-$M1429)*$I1429+$M1429*$J1429)</f>
        <v/>
      </c>
      <c r="O1429" s="209">
        <f>IF($F1429&lt;$B$1427,$E$1427+$I$1427*($F1429-$A$1427),IF($F1429&lt;$C$1427,$F$1427+$J$1427*($F1429-$B$1427),$G$1427+$K$1427*($F1429-$C$1427)))</f>
        <v/>
      </c>
      <c r="P1429" s="208">
        <f>MIN(1,MAX(0,(nr_MEndPm1-$G1429+0.5)/$C$1426))-MIN(1,MAX(0,(nr_MStartPm1-1-$G1429+0.5)/$C$1426))</f>
        <v/>
      </c>
      <c r="Q1429" s="208">
        <f>MIN(1,MAX(0,(nr_MEndP-$G1429+0.5)/$C$1426))-MIN(1,MAX(0,(nr_MStartP-1-$G1429+0.5)/$C$1426))</f>
        <v/>
      </c>
      <c r="R1429" s="208">
        <f>MIN(1,MAX(0,(nr_MEndP1-$G1429+0.5)/$C$1426))-MIN(1,MAX(0,(nr_MStartP1-1-$G1429+0.5)/$C$1426))</f>
        <v/>
      </c>
      <c r="S1429" s="208">
        <f>IF($L$1426,$N1429*IF($O$1426=1,$O1429/$F$1426,1),"")</f>
        <v/>
      </c>
      <c r="T1429" s="208">
        <f>IF(NOT($L$1426),"",IF($G1429&lt;nr_MStartP,$S1429,$T1417*(1+IF($G1429&lt;nr_MStartP1,$M$1426,$N$1426))))</f>
        <v/>
      </c>
      <c r="U1429" s="208">
        <f>IF($L$1426,$T1429,$N1429)</f>
        <v/>
      </c>
    </row>
    <row r="1430">
      <c r="A1430" s="145" t="n">
        <v>2</v>
      </c>
      <c r="B1430" s="204">
        <f>EDATE($B1429,1)</f>
        <v/>
      </c>
      <c r="C1430" s="205">
        <f>EOMONTH($B1430,0)</f>
        <v/>
      </c>
      <c r="D1430" s="201">
        <f>$C1430-$B1430+1</f>
        <v/>
      </c>
      <c r="E1430" s="201">
        <f>MONTH($B1430)</f>
        <v/>
      </c>
      <c r="F1430" s="235">
        <f>($B1430+$C1430+1)/2</f>
        <v/>
      </c>
      <c r="G1430" s="201">
        <f>YEAR($B1430)*12+MONTH($B1430)-1</f>
        <v/>
      </c>
      <c r="H1430" s="207">
        <f>IF(OR(nr_SeasonOn="OFF",$D$1426=0,$E$1426=0),1,12*INDEX(se_block,$D$1426,$E1430)/$E$1426)</f>
        <v/>
      </c>
      <c r="I1430" s="208">
        <f>EXP(SUMPRODUCT((rl_eff&lt;$B1430)*(rl_key=$A$1426)*rl_ln1p))</f>
        <v/>
      </c>
      <c r="J1430" s="208">
        <f>EXP(SUMPRODUCT((rl_eff&lt;=$C1430)*(rl_key=$A$1426)*rl_ln1p))</f>
        <v/>
      </c>
      <c r="K1430" s="201">
        <f>COUNTIFS(rl_key,$A$1426,rl_eff,"&gt;="&amp;$B1430,rl_eff,"&lt;="&amp;$C1430)</f>
        <v/>
      </c>
      <c r="L1430" s="201">
        <f>SUMIFS(rl_daysafter,rl_key,$A$1426,rl_effmonth,$B1430,rl_first,1)</f>
        <v/>
      </c>
      <c r="M1430" s="209">
        <f>IF($K1430=0,0,MIN(1,$L1430/$D1430))</f>
        <v/>
      </c>
      <c r="N1430" s="208">
        <f>IF($K1430=0,$J1430,(1-$M1430)*$I1430+$M1430*$J1430)</f>
        <v/>
      </c>
      <c r="O1430" s="209">
        <f>IF($F1430&lt;$B$1427,$E$1427+$I$1427*($F1430-$A$1427),IF($F1430&lt;$C$1427,$F$1427+$J$1427*($F1430-$B$1427),$G$1427+$K$1427*($F1430-$C$1427)))</f>
        <v/>
      </c>
      <c r="P1430" s="208">
        <f>MIN(1,MAX(0,(nr_MEndPm1-$G1430+0.5)/$C$1426))-MIN(1,MAX(0,(nr_MStartPm1-1-$G1430+0.5)/$C$1426))</f>
        <v/>
      </c>
      <c r="Q1430" s="208">
        <f>MIN(1,MAX(0,(nr_MEndP-$G1430+0.5)/$C$1426))-MIN(1,MAX(0,(nr_MStartP-1-$G1430+0.5)/$C$1426))</f>
        <v/>
      </c>
      <c r="R1430" s="208">
        <f>MIN(1,MAX(0,(nr_MEndP1-$G1430+0.5)/$C$1426))-MIN(1,MAX(0,(nr_MStartP1-1-$G1430+0.5)/$C$1426))</f>
        <v/>
      </c>
      <c r="S1430" s="208">
        <f>IF($L$1426,$N1430*IF($O$1426=1,$O1430/$F$1426,1),"")</f>
        <v/>
      </c>
      <c r="T1430" s="208">
        <f>IF(NOT($L$1426),"",IF($G1430&lt;nr_MStartP,$S1430,$T1418*(1+IF($G1430&lt;nr_MStartP1,$M$1426,$N$1426))))</f>
        <v/>
      </c>
      <c r="U1430" s="208">
        <f>IF($L$1426,$T1430,$N1430)</f>
        <v/>
      </c>
    </row>
    <row r="1431">
      <c r="A1431" s="145" t="n">
        <v>3</v>
      </c>
      <c r="B1431" s="204">
        <f>EDATE($B1430,1)</f>
        <v/>
      </c>
      <c r="C1431" s="205">
        <f>EOMONTH($B1431,0)</f>
        <v/>
      </c>
      <c r="D1431" s="201">
        <f>$C1431-$B1431+1</f>
        <v/>
      </c>
      <c r="E1431" s="201">
        <f>MONTH($B1431)</f>
        <v/>
      </c>
      <c r="F1431" s="235">
        <f>($B1431+$C1431+1)/2</f>
        <v/>
      </c>
      <c r="G1431" s="201">
        <f>YEAR($B1431)*12+MONTH($B1431)-1</f>
        <v/>
      </c>
      <c r="H1431" s="207">
        <f>IF(OR(nr_SeasonOn="OFF",$D$1426=0,$E$1426=0),1,12*INDEX(se_block,$D$1426,$E1431)/$E$1426)</f>
        <v/>
      </c>
      <c r="I1431" s="208">
        <f>EXP(SUMPRODUCT((rl_eff&lt;$B1431)*(rl_key=$A$1426)*rl_ln1p))</f>
        <v/>
      </c>
      <c r="J1431" s="208">
        <f>EXP(SUMPRODUCT((rl_eff&lt;=$C1431)*(rl_key=$A$1426)*rl_ln1p))</f>
        <v/>
      </c>
      <c r="K1431" s="201">
        <f>COUNTIFS(rl_key,$A$1426,rl_eff,"&gt;="&amp;$B1431,rl_eff,"&lt;="&amp;$C1431)</f>
        <v/>
      </c>
      <c r="L1431" s="201">
        <f>SUMIFS(rl_daysafter,rl_key,$A$1426,rl_effmonth,$B1431,rl_first,1)</f>
        <v/>
      </c>
      <c r="M1431" s="209">
        <f>IF($K1431=0,0,MIN(1,$L1431/$D1431))</f>
        <v/>
      </c>
      <c r="N1431" s="208">
        <f>IF($K1431=0,$J1431,(1-$M1431)*$I1431+$M1431*$J1431)</f>
        <v/>
      </c>
      <c r="O1431" s="209">
        <f>IF($F1431&lt;$B$1427,$E$1427+$I$1427*($F1431-$A$1427),IF($F1431&lt;$C$1427,$F$1427+$J$1427*($F1431-$B$1427),$G$1427+$K$1427*($F1431-$C$1427)))</f>
        <v/>
      </c>
      <c r="P1431" s="208">
        <f>MIN(1,MAX(0,(nr_MEndPm1-$G1431+0.5)/$C$1426))-MIN(1,MAX(0,(nr_MStartPm1-1-$G1431+0.5)/$C$1426))</f>
        <v/>
      </c>
      <c r="Q1431" s="208">
        <f>MIN(1,MAX(0,(nr_MEndP-$G1431+0.5)/$C$1426))-MIN(1,MAX(0,(nr_MStartP-1-$G1431+0.5)/$C$1426))</f>
        <v/>
      </c>
      <c r="R1431" s="208">
        <f>MIN(1,MAX(0,(nr_MEndP1-$G1431+0.5)/$C$1426))-MIN(1,MAX(0,(nr_MStartP1-1-$G1431+0.5)/$C$1426))</f>
        <v/>
      </c>
      <c r="S1431" s="208">
        <f>IF($L$1426,$N1431*IF($O$1426=1,$O1431/$F$1426,1),"")</f>
        <v/>
      </c>
      <c r="T1431" s="208">
        <f>IF(NOT($L$1426),"",IF($G1431&lt;nr_MStartP,$S1431,$T1419*(1+IF($G1431&lt;nr_MStartP1,$M$1426,$N$1426))))</f>
        <v/>
      </c>
      <c r="U1431" s="208">
        <f>IF($L$1426,$T1431,$N1431)</f>
        <v/>
      </c>
    </row>
    <row r="1432">
      <c r="A1432" s="145" t="n">
        <v>4</v>
      </c>
      <c r="B1432" s="204">
        <f>EDATE($B1431,1)</f>
        <v/>
      </c>
      <c r="C1432" s="205">
        <f>EOMONTH($B1432,0)</f>
        <v/>
      </c>
      <c r="D1432" s="201">
        <f>$C1432-$B1432+1</f>
        <v/>
      </c>
      <c r="E1432" s="201">
        <f>MONTH($B1432)</f>
        <v/>
      </c>
      <c r="F1432" s="235">
        <f>($B1432+$C1432+1)/2</f>
        <v/>
      </c>
      <c r="G1432" s="201">
        <f>YEAR($B1432)*12+MONTH($B1432)-1</f>
        <v/>
      </c>
      <c r="H1432" s="207">
        <f>IF(OR(nr_SeasonOn="OFF",$D$1426=0,$E$1426=0),1,12*INDEX(se_block,$D$1426,$E1432)/$E$1426)</f>
        <v/>
      </c>
      <c r="I1432" s="208">
        <f>EXP(SUMPRODUCT((rl_eff&lt;$B1432)*(rl_key=$A$1426)*rl_ln1p))</f>
        <v/>
      </c>
      <c r="J1432" s="208">
        <f>EXP(SUMPRODUCT((rl_eff&lt;=$C1432)*(rl_key=$A$1426)*rl_ln1p))</f>
        <v/>
      </c>
      <c r="K1432" s="201">
        <f>COUNTIFS(rl_key,$A$1426,rl_eff,"&gt;="&amp;$B1432,rl_eff,"&lt;="&amp;$C1432)</f>
        <v/>
      </c>
      <c r="L1432" s="201">
        <f>SUMIFS(rl_daysafter,rl_key,$A$1426,rl_effmonth,$B1432,rl_first,1)</f>
        <v/>
      </c>
      <c r="M1432" s="209">
        <f>IF($K1432=0,0,MIN(1,$L1432/$D1432))</f>
        <v/>
      </c>
      <c r="N1432" s="208">
        <f>IF($K1432=0,$J1432,(1-$M1432)*$I1432+$M1432*$J1432)</f>
        <v/>
      </c>
      <c r="O1432" s="209">
        <f>IF($F1432&lt;$B$1427,$E$1427+$I$1427*($F1432-$A$1427),IF($F1432&lt;$C$1427,$F$1427+$J$1427*($F1432-$B$1427),$G$1427+$K$1427*($F1432-$C$1427)))</f>
        <v/>
      </c>
      <c r="P1432" s="208">
        <f>MIN(1,MAX(0,(nr_MEndPm1-$G1432+0.5)/$C$1426))-MIN(1,MAX(0,(nr_MStartPm1-1-$G1432+0.5)/$C$1426))</f>
        <v/>
      </c>
      <c r="Q1432" s="208">
        <f>MIN(1,MAX(0,(nr_MEndP-$G1432+0.5)/$C$1426))-MIN(1,MAX(0,(nr_MStartP-1-$G1432+0.5)/$C$1426))</f>
        <v/>
      </c>
      <c r="R1432" s="208">
        <f>MIN(1,MAX(0,(nr_MEndP1-$G1432+0.5)/$C$1426))-MIN(1,MAX(0,(nr_MStartP1-1-$G1432+0.5)/$C$1426))</f>
        <v/>
      </c>
      <c r="S1432" s="208">
        <f>IF($L$1426,$N1432*IF($O$1426=1,$O1432/$F$1426,1),"")</f>
        <v/>
      </c>
      <c r="T1432" s="208">
        <f>IF(NOT($L$1426),"",IF($G1432&lt;nr_MStartP,$S1432,$T1420*(1+IF($G1432&lt;nr_MStartP1,$M$1426,$N$1426))))</f>
        <v/>
      </c>
      <c r="U1432" s="208">
        <f>IF($L$1426,$T1432,$N1432)</f>
        <v/>
      </c>
    </row>
    <row r="1433">
      <c r="A1433" s="145" t="n">
        <v>5</v>
      </c>
      <c r="B1433" s="204">
        <f>EDATE($B1432,1)</f>
        <v/>
      </c>
      <c r="C1433" s="205">
        <f>EOMONTH($B1433,0)</f>
        <v/>
      </c>
      <c r="D1433" s="201">
        <f>$C1433-$B1433+1</f>
        <v/>
      </c>
      <c r="E1433" s="201">
        <f>MONTH($B1433)</f>
        <v/>
      </c>
      <c r="F1433" s="235">
        <f>($B1433+$C1433+1)/2</f>
        <v/>
      </c>
      <c r="G1433" s="201">
        <f>YEAR($B1433)*12+MONTH($B1433)-1</f>
        <v/>
      </c>
      <c r="H1433" s="207">
        <f>IF(OR(nr_SeasonOn="OFF",$D$1426=0,$E$1426=0),1,12*INDEX(se_block,$D$1426,$E1433)/$E$1426)</f>
        <v/>
      </c>
      <c r="I1433" s="208">
        <f>EXP(SUMPRODUCT((rl_eff&lt;$B1433)*(rl_key=$A$1426)*rl_ln1p))</f>
        <v/>
      </c>
      <c r="J1433" s="208">
        <f>EXP(SUMPRODUCT((rl_eff&lt;=$C1433)*(rl_key=$A$1426)*rl_ln1p))</f>
        <v/>
      </c>
      <c r="K1433" s="201">
        <f>COUNTIFS(rl_key,$A$1426,rl_eff,"&gt;="&amp;$B1433,rl_eff,"&lt;="&amp;$C1433)</f>
        <v/>
      </c>
      <c r="L1433" s="201">
        <f>SUMIFS(rl_daysafter,rl_key,$A$1426,rl_effmonth,$B1433,rl_first,1)</f>
        <v/>
      </c>
      <c r="M1433" s="209">
        <f>IF($K1433=0,0,MIN(1,$L1433/$D1433))</f>
        <v/>
      </c>
      <c r="N1433" s="208">
        <f>IF($K1433=0,$J1433,(1-$M1433)*$I1433+$M1433*$J1433)</f>
        <v/>
      </c>
      <c r="O1433" s="209">
        <f>IF($F1433&lt;$B$1427,$E$1427+$I$1427*($F1433-$A$1427),IF($F1433&lt;$C$1427,$F$1427+$J$1427*($F1433-$B$1427),$G$1427+$K$1427*($F1433-$C$1427)))</f>
        <v/>
      </c>
      <c r="P1433" s="208">
        <f>MIN(1,MAX(0,(nr_MEndPm1-$G1433+0.5)/$C$1426))-MIN(1,MAX(0,(nr_MStartPm1-1-$G1433+0.5)/$C$1426))</f>
        <v/>
      </c>
      <c r="Q1433" s="208">
        <f>MIN(1,MAX(0,(nr_MEndP-$G1433+0.5)/$C$1426))-MIN(1,MAX(0,(nr_MStartP-1-$G1433+0.5)/$C$1426))</f>
        <v/>
      </c>
      <c r="R1433" s="208">
        <f>MIN(1,MAX(0,(nr_MEndP1-$G1433+0.5)/$C$1426))-MIN(1,MAX(0,(nr_MStartP1-1-$G1433+0.5)/$C$1426))</f>
        <v/>
      </c>
      <c r="S1433" s="208">
        <f>IF($L$1426,$N1433*IF($O$1426=1,$O1433/$F$1426,1),"")</f>
        <v/>
      </c>
      <c r="T1433" s="208">
        <f>IF(NOT($L$1426),"",IF($G1433&lt;nr_MStartP,$S1433,$T1421*(1+IF($G1433&lt;nr_MStartP1,$M$1426,$N$1426))))</f>
        <v/>
      </c>
      <c r="U1433" s="208">
        <f>IF($L$1426,$T1433,$N1433)</f>
        <v/>
      </c>
    </row>
    <row r="1434">
      <c r="A1434" s="145" t="n">
        <v>6</v>
      </c>
      <c r="B1434" s="204">
        <f>EDATE($B1433,1)</f>
        <v/>
      </c>
      <c r="C1434" s="205">
        <f>EOMONTH($B1434,0)</f>
        <v/>
      </c>
      <c r="D1434" s="201">
        <f>$C1434-$B1434+1</f>
        <v/>
      </c>
      <c r="E1434" s="201">
        <f>MONTH($B1434)</f>
        <v/>
      </c>
      <c r="F1434" s="235">
        <f>($B1434+$C1434+1)/2</f>
        <v/>
      </c>
      <c r="G1434" s="201">
        <f>YEAR($B1434)*12+MONTH($B1434)-1</f>
        <v/>
      </c>
      <c r="H1434" s="207">
        <f>IF(OR(nr_SeasonOn="OFF",$D$1426=0,$E$1426=0),1,12*INDEX(se_block,$D$1426,$E1434)/$E$1426)</f>
        <v/>
      </c>
      <c r="I1434" s="208">
        <f>EXP(SUMPRODUCT((rl_eff&lt;$B1434)*(rl_key=$A$1426)*rl_ln1p))</f>
        <v/>
      </c>
      <c r="J1434" s="208">
        <f>EXP(SUMPRODUCT((rl_eff&lt;=$C1434)*(rl_key=$A$1426)*rl_ln1p))</f>
        <v/>
      </c>
      <c r="K1434" s="201">
        <f>COUNTIFS(rl_key,$A$1426,rl_eff,"&gt;="&amp;$B1434,rl_eff,"&lt;="&amp;$C1434)</f>
        <v/>
      </c>
      <c r="L1434" s="201">
        <f>SUMIFS(rl_daysafter,rl_key,$A$1426,rl_effmonth,$B1434,rl_first,1)</f>
        <v/>
      </c>
      <c r="M1434" s="209">
        <f>IF($K1434=0,0,MIN(1,$L1434/$D1434))</f>
        <v/>
      </c>
      <c r="N1434" s="208">
        <f>IF($K1434=0,$J1434,(1-$M1434)*$I1434+$M1434*$J1434)</f>
        <v/>
      </c>
      <c r="O1434" s="209">
        <f>IF($F1434&lt;$B$1427,$E$1427+$I$1427*($F1434-$A$1427),IF($F1434&lt;$C$1427,$F$1427+$J$1427*($F1434-$B$1427),$G$1427+$K$1427*($F1434-$C$1427)))</f>
        <v/>
      </c>
      <c r="P1434" s="208">
        <f>MIN(1,MAX(0,(nr_MEndPm1-$G1434+0.5)/$C$1426))-MIN(1,MAX(0,(nr_MStartPm1-1-$G1434+0.5)/$C$1426))</f>
        <v/>
      </c>
      <c r="Q1434" s="208">
        <f>MIN(1,MAX(0,(nr_MEndP-$G1434+0.5)/$C$1426))-MIN(1,MAX(0,(nr_MStartP-1-$G1434+0.5)/$C$1426))</f>
        <v/>
      </c>
      <c r="R1434" s="208">
        <f>MIN(1,MAX(0,(nr_MEndP1-$G1434+0.5)/$C$1426))-MIN(1,MAX(0,(nr_MStartP1-1-$G1434+0.5)/$C$1426))</f>
        <v/>
      </c>
      <c r="S1434" s="208">
        <f>IF($L$1426,$N1434*IF($O$1426=1,$O1434/$F$1426,1),"")</f>
        <v/>
      </c>
      <c r="T1434" s="208">
        <f>IF(NOT($L$1426),"",IF($G1434&lt;nr_MStartP,$S1434,$T1422*(1+IF($G1434&lt;nr_MStartP1,$M$1426,$N$1426))))</f>
        <v/>
      </c>
      <c r="U1434" s="208">
        <f>IF($L$1426,$T1434,$N1434)</f>
        <v/>
      </c>
    </row>
    <row r="1435">
      <c r="A1435" s="145" t="n">
        <v>7</v>
      </c>
      <c r="B1435" s="204">
        <f>EDATE($B1434,1)</f>
        <v/>
      </c>
      <c r="C1435" s="205">
        <f>EOMONTH($B1435,0)</f>
        <v/>
      </c>
      <c r="D1435" s="201">
        <f>$C1435-$B1435+1</f>
        <v/>
      </c>
      <c r="E1435" s="201">
        <f>MONTH($B1435)</f>
        <v/>
      </c>
      <c r="F1435" s="235">
        <f>($B1435+$C1435+1)/2</f>
        <v/>
      </c>
      <c r="G1435" s="201">
        <f>YEAR($B1435)*12+MONTH($B1435)-1</f>
        <v/>
      </c>
      <c r="H1435" s="207">
        <f>IF(OR(nr_SeasonOn="OFF",$D$1426=0,$E$1426=0),1,12*INDEX(se_block,$D$1426,$E1435)/$E$1426)</f>
        <v/>
      </c>
      <c r="I1435" s="208">
        <f>EXP(SUMPRODUCT((rl_eff&lt;$B1435)*(rl_key=$A$1426)*rl_ln1p))</f>
        <v/>
      </c>
      <c r="J1435" s="208">
        <f>EXP(SUMPRODUCT((rl_eff&lt;=$C1435)*(rl_key=$A$1426)*rl_ln1p))</f>
        <v/>
      </c>
      <c r="K1435" s="201">
        <f>COUNTIFS(rl_key,$A$1426,rl_eff,"&gt;="&amp;$B1435,rl_eff,"&lt;="&amp;$C1435)</f>
        <v/>
      </c>
      <c r="L1435" s="201">
        <f>SUMIFS(rl_daysafter,rl_key,$A$1426,rl_effmonth,$B1435,rl_first,1)</f>
        <v/>
      </c>
      <c r="M1435" s="209">
        <f>IF($K1435=0,0,MIN(1,$L1435/$D1435))</f>
        <v/>
      </c>
      <c r="N1435" s="208">
        <f>IF($K1435=0,$J1435,(1-$M1435)*$I1435+$M1435*$J1435)</f>
        <v/>
      </c>
      <c r="O1435" s="209">
        <f>IF($F1435&lt;$B$1427,$E$1427+$I$1427*($F1435-$A$1427),IF($F1435&lt;$C$1427,$F$1427+$J$1427*($F1435-$B$1427),$G$1427+$K$1427*($F1435-$C$1427)))</f>
        <v/>
      </c>
      <c r="P1435" s="208">
        <f>MIN(1,MAX(0,(nr_MEndPm1-$G1435+0.5)/$C$1426))-MIN(1,MAX(0,(nr_MStartPm1-1-$G1435+0.5)/$C$1426))</f>
        <v/>
      </c>
      <c r="Q1435" s="208">
        <f>MIN(1,MAX(0,(nr_MEndP-$G1435+0.5)/$C$1426))-MIN(1,MAX(0,(nr_MStartP-1-$G1435+0.5)/$C$1426))</f>
        <v/>
      </c>
      <c r="R1435" s="208">
        <f>MIN(1,MAX(0,(nr_MEndP1-$G1435+0.5)/$C$1426))-MIN(1,MAX(0,(nr_MStartP1-1-$G1435+0.5)/$C$1426))</f>
        <v/>
      </c>
      <c r="S1435" s="208">
        <f>IF($L$1426,$N1435*IF($O$1426=1,$O1435/$F$1426,1),"")</f>
        <v/>
      </c>
      <c r="T1435" s="208">
        <f>IF(NOT($L$1426),"",IF($G1435&lt;nr_MStartP,$S1435,$T1423*(1+IF($G1435&lt;nr_MStartP1,$M$1426,$N$1426))))</f>
        <v/>
      </c>
      <c r="U1435" s="208">
        <f>IF($L$1426,$T1435,$N1435)</f>
        <v/>
      </c>
    </row>
    <row r="1436">
      <c r="A1436" s="145" t="n">
        <v>8</v>
      </c>
      <c r="B1436" s="204">
        <f>EDATE($B1435,1)</f>
        <v/>
      </c>
      <c r="C1436" s="205">
        <f>EOMONTH($B1436,0)</f>
        <v/>
      </c>
      <c r="D1436" s="201">
        <f>$C1436-$B1436+1</f>
        <v/>
      </c>
      <c r="E1436" s="201">
        <f>MONTH($B1436)</f>
        <v/>
      </c>
      <c r="F1436" s="235">
        <f>($B1436+$C1436+1)/2</f>
        <v/>
      </c>
      <c r="G1436" s="201">
        <f>YEAR($B1436)*12+MONTH($B1436)-1</f>
        <v/>
      </c>
      <c r="H1436" s="207">
        <f>IF(OR(nr_SeasonOn="OFF",$D$1426=0,$E$1426=0),1,12*INDEX(se_block,$D$1426,$E1436)/$E$1426)</f>
        <v/>
      </c>
      <c r="I1436" s="208">
        <f>EXP(SUMPRODUCT((rl_eff&lt;$B1436)*(rl_key=$A$1426)*rl_ln1p))</f>
        <v/>
      </c>
      <c r="J1436" s="208">
        <f>EXP(SUMPRODUCT((rl_eff&lt;=$C1436)*(rl_key=$A$1426)*rl_ln1p))</f>
        <v/>
      </c>
      <c r="K1436" s="201">
        <f>COUNTIFS(rl_key,$A$1426,rl_eff,"&gt;="&amp;$B1436,rl_eff,"&lt;="&amp;$C1436)</f>
        <v/>
      </c>
      <c r="L1436" s="201">
        <f>SUMIFS(rl_daysafter,rl_key,$A$1426,rl_effmonth,$B1436,rl_first,1)</f>
        <v/>
      </c>
      <c r="M1436" s="209">
        <f>IF($K1436=0,0,MIN(1,$L1436/$D1436))</f>
        <v/>
      </c>
      <c r="N1436" s="208">
        <f>IF($K1436=0,$J1436,(1-$M1436)*$I1436+$M1436*$J1436)</f>
        <v/>
      </c>
      <c r="O1436" s="209">
        <f>IF($F1436&lt;$B$1427,$E$1427+$I$1427*($F1436-$A$1427),IF($F1436&lt;$C$1427,$F$1427+$J$1427*($F1436-$B$1427),$G$1427+$K$1427*($F1436-$C$1427)))</f>
        <v/>
      </c>
      <c r="P1436" s="208">
        <f>MIN(1,MAX(0,(nr_MEndPm1-$G1436+0.5)/$C$1426))-MIN(1,MAX(0,(nr_MStartPm1-1-$G1436+0.5)/$C$1426))</f>
        <v/>
      </c>
      <c r="Q1436" s="208">
        <f>MIN(1,MAX(0,(nr_MEndP-$G1436+0.5)/$C$1426))-MIN(1,MAX(0,(nr_MStartP-1-$G1436+0.5)/$C$1426))</f>
        <v/>
      </c>
      <c r="R1436" s="208">
        <f>MIN(1,MAX(0,(nr_MEndP1-$G1436+0.5)/$C$1426))-MIN(1,MAX(0,(nr_MStartP1-1-$G1436+0.5)/$C$1426))</f>
        <v/>
      </c>
      <c r="S1436" s="208">
        <f>IF($L$1426,$N1436*IF($O$1426=1,$O1436/$F$1426,1),"")</f>
        <v/>
      </c>
      <c r="T1436" s="208">
        <f>IF(NOT($L$1426),"",IF($G1436&lt;nr_MStartP,$S1436,$T1424*(1+IF($G1436&lt;nr_MStartP1,$M$1426,$N$1426))))</f>
        <v/>
      </c>
      <c r="U1436" s="208">
        <f>IF($L$1426,$T1436,$N1436)</f>
        <v/>
      </c>
    </row>
    <row r="1437">
      <c r="A1437" s="145" t="n">
        <v>9</v>
      </c>
      <c r="B1437" s="204">
        <f>EDATE($B1436,1)</f>
        <v/>
      </c>
      <c r="C1437" s="205">
        <f>EOMONTH($B1437,0)</f>
        <v/>
      </c>
      <c r="D1437" s="201">
        <f>$C1437-$B1437+1</f>
        <v/>
      </c>
      <c r="E1437" s="201">
        <f>MONTH($B1437)</f>
        <v/>
      </c>
      <c r="F1437" s="235">
        <f>($B1437+$C1437+1)/2</f>
        <v/>
      </c>
      <c r="G1437" s="201">
        <f>YEAR($B1437)*12+MONTH($B1437)-1</f>
        <v/>
      </c>
      <c r="H1437" s="207">
        <f>IF(OR(nr_SeasonOn="OFF",$D$1426=0,$E$1426=0),1,12*INDEX(se_block,$D$1426,$E1437)/$E$1426)</f>
        <v/>
      </c>
      <c r="I1437" s="208">
        <f>EXP(SUMPRODUCT((rl_eff&lt;$B1437)*(rl_key=$A$1426)*rl_ln1p))</f>
        <v/>
      </c>
      <c r="J1437" s="208">
        <f>EXP(SUMPRODUCT((rl_eff&lt;=$C1437)*(rl_key=$A$1426)*rl_ln1p))</f>
        <v/>
      </c>
      <c r="K1437" s="201">
        <f>COUNTIFS(rl_key,$A$1426,rl_eff,"&gt;="&amp;$B1437,rl_eff,"&lt;="&amp;$C1437)</f>
        <v/>
      </c>
      <c r="L1437" s="201">
        <f>SUMIFS(rl_daysafter,rl_key,$A$1426,rl_effmonth,$B1437,rl_first,1)</f>
        <v/>
      </c>
      <c r="M1437" s="209">
        <f>IF($K1437=0,0,MIN(1,$L1437/$D1437))</f>
        <v/>
      </c>
      <c r="N1437" s="208">
        <f>IF($K1437=0,$J1437,(1-$M1437)*$I1437+$M1437*$J1437)</f>
        <v/>
      </c>
      <c r="O1437" s="209">
        <f>IF($F1437&lt;$B$1427,$E$1427+$I$1427*($F1437-$A$1427),IF($F1437&lt;$C$1427,$F$1427+$J$1427*($F1437-$B$1427),$G$1427+$K$1427*($F1437-$C$1427)))</f>
        <v/>
      </c>
      <c r="P1437" s="208">
        <f>MIN(1,MAX(0,(nr_MEndPm1-$G1437+0.5)/$C$1426))-MIN(1,MAX(0,(nr_MStartPm1-1-$G1437+0.5)/$C$1426))</f>
        <v/>
      </c>
      <c r="Q1437" s="208">
        <f>MIN(1,MAX(0,(nr_MEndP-$G1437+0.5)/$C$1426))-MIN(1,MAX(0,(nr_MStartP-1-$G1437+0.5)/$C$1426))</f>
        <v/>
      </c>
      <c r="R1437" s="208">
        <f>MIN(1,MAX(0,(nr_MEndP1-$G1437+0.5)/$C$1426))-MIN(1,MAX(0,(nr_MStartP1-1-$G1437+0.5)/$C$1426))</f>
        <v/>
      </c>
      <c r="S1437" s="208">
        <f>IF($L$1426,$N1437*IF($O$1426=1,$O1437/$F$1426,1),"")</f>
        <v/>
      </c>
      <c r="T1437" s="208">
        <f>IF(NOT($L$1426),"",IF($G1437&lt;nr_MStartP,$S1437,$T1425*(1+IF($G1437&lt;nr_MStartP1,$M$1426,$N$1426))))</f>
        <v/>
      </c>
      <c r="U1437" s="208">
        <f>IF($L$1426,$T1437,$N1437)</f>
        <v/>
      </c>
    </row>
    <row r="1438">
      <c r="A1438" s="145" t="n">
        <v>10</v>
      </c>
      <c r="B1438" s="204">
        <f>EDATE($B1437,1)</f>
        <v/>
      </c>
      <c r="C1438" s="205">
        <f>EOMONTH($B1438,0)</f>
        <v/>
      </c>
      <c r="D1438" s="201">
        <f>$C1438-$B1438+1</f>
        <v/>
      </c>
      <c r="E1438" s="201">
        <f>MONTH($B1438)</f>
        <v/>
      </c>
      <c r="F1438" s="235">
        <f>($B1438+$C1438+1)/2</f>
        <v/>
      </c>
      <c r="G1438" s="201">
        <f>YEAR($B1438)*12+MONTH($B1438)-1</f>
        <v/>
      </c>
      <c r="H1438" s="207">
        <f>IF(OR(nr_SeasonOn="OFF",$D$1426=0,$E$1426=0),1,12*INDEX(se_block,$D$1426,$E1438)/$E$1426)</f>
        <v/>
      </c>
      <c r="I1438" s="208">
        <f>EXP(SUMPRODUCT((rl_eff&lt;$B1438)*(rl_key=$A$1426)*rl_ln1p))</f>
        <v/>
      </c>
      <c r="J1438" s="208">
        <f>EXP(SUMPRODUCT((rl_eff&lt;=$C1438)*(rl_key=$A$1426)*rl_ln1p))</f>
        <v/>
      </c>
      <c r="K1438" s="201">
        <f>COUNTIFS(rl_key,$A$1426,rl_eff,"&gt;="&amp;$B1438,rl_eff,"&lt;="&amp;$C1438)</f>
        <v/>
      </c>
      <c r="L1438" s="201">
        <f>SUMIFS(rl_daysafter,rl_key,$A$1426,rl_effmonth,$B1438,rl_first,1)</f>
        <v/>
      </c>
      <c r="M1438" s="209">
        <f>IF($K1438=0,0,MIN(1,$L1438/$D1438))</f>
        <v/>
      </c>
      <c r="N1438" s="208">
        <f>IF($K1438=0,$J1438,(1-$M1438)*$I1438+$M1438*$J1438)</f>
        <v/>
      </c>
      <c r="O1438" s="209">
        <f>IF($F1438&lt;$B$1427,$E$1427+$I$1427*($F1438-$A$1427),IF($F1438&lt;$C$1427,$F$1427+$J$1427*($F1438-$B$1427),$G$1427+$K$1427*($F1438-$C$1427)))</f>
        <v/>
      </c>
      <c r="P1438" s="208">
        <f>MIN(1,MAX(0,(nr_MEndPm1-$G1438+0.5)/$C$1426))-MIN(1,MAX(0,(nr_MStartPm1-1-$G1438+0.5)/$C$1426))</f>
        <v/>
      </c>
      <c r="Q1438" s="208">
        <f>MIN(1,MAX(0,(nr_MEndP-$G1438+0.5)/$C$1426))-MIN(1,MAX(0,(nr_MStartP-1-$G1438+0.5)/$C$1426))</f>
        <v/>
      </c>
      <c r="R1438" s="208">
        <f>MIN(1,MAX(0,(nr_MEndP1-$G1438+0.5)/$C$1426))-MIN(1,MAX(0,(nr_MStartP1-1-$G1438+0.5)/$C$1426))</f>
        <v/>
      </c>
      <c r="S1438" s="208">
        <f>IF($L$1426,$N1438*IF($O$1426=1,$O1438/$F$1426,1),"")</f>
        <v/>
      </c>
      <c r="T1438" s="208">
        <f>IF(NOT($L$1426),"",IF($G1438&lt;nr_MStartP,$S1438,$T1426*(1+IF($G1438&lt;nr_MStartP1,$M$1426,$N$1426))))</f>
        <v/>
      </c>
      <c r="U1438" s="208">
        <f>IF($L$1426,$T1438,$N1438)</f>
        <v/>
      </c>
    </row>
    <row r="1439">
      <c r="A1439" s="145" t="n">
        <v>11</v>
      </c>
      <c r="B1439" s="204">
        <f>EDATE($B1438,1)</f>
        <v/>
      </c>
      <c r="C1439" s="205">
        <f>EOMONTH($B1439,0)</f>
        <v/>
      </c>
      <c r="D1439" s="201">
        <f>$C1439-$B1439+1</f>
        <v/>
      </c>
      <c r="E1439" s="201">
        <f>MONTH($B1439)</f>
        <v/>
      </c>
      <c r="F1439" s="235">
        <f>($B1439+$C1439+1)/2</f>
        <v/>
      </c>
      <c r="G1439" s="201">
        <f>YEAR($B1439)*12+MONTH($B1439)-1</f>
        <v/>
      </c>
      <c r="H1439" s="207">
        <f>IF(OR(nr_SeasonOn="OFF",$D$1426=0,$E$1426=0),1,12*INDEX(se_block,$D$1426,$E1439)/$E$1426)</f>
        <v/>
      </c>
      <c r="I1439" s="208">
        <f>EXP(SUMPRODUCT((rl_eff&lt;$B1439)*(rl_key=$A$1426)*rl_ln1p))</f>
        <v/>
      </c>
      <c r="J1439" s="208">
        <f>EXP(SUMPRODUCT((rl_eff&lt;=$C1439)*(rl_key=$A$1426)*rl_ln1p))</f>
        <v/>
      </c>
      <c r="K1439" s="201">
        <f>COUNTIFS(rl_key,$A$1426,rl_eff,"&gt;="&amp;$B1439,rl_eff,"&lt;="&amp;$C1439)</f>
        <v/>
      </c>
      <c r="L1439" s="201">
        <f>SUMIFS(rl_daysafter,rl_key,$A$1426,rl_effmonth,$B1439,rl_first,1)</f>
        <v/>
      </c>
      <c r="M1439" s="209">
        <f>IF($K1439=0,0,MIN(1,$L1439/$D1439))</f>
        <v/>
      </c>
      <c r="N1439" s="208">
        <f>IF($K1439=0,$J1439,(1-$M1439)*$I1439+$M1439*$J1439)</f>
        <v/>
      </c>
      <c r="O1439" s="209">
        <f>IF($F1439&lt;$B$1427,$E$1427+$I$1427*($F1439-$A$1427),IF($F1439&lt;$C$1427,$F$1427+$J$1427*($F1439-$B$1427),$G$1427+$K$1427*($F1439-$C$1427)))</f>
        <v/>
      </c>
      <c r="P1439" s="208">
        <f>MIN(1,MAX(0,(nr_MEndPm1-$G1439+0.5)/$C$1426))-MIN(1,MAX(0,(nr_MStartPm1-1-$G1439+0.5)/$C$1426))</f>
        <v/>
      </c>
      <c r="Q1439" s="208">
        <f>MIN(1,MAX(0,(nr_MEndP-$G1439+0.5)/$C$1426))-MIN(1,MAX(0,(nr_MStartP-1-$G1439+0.5)/$C$1426))</f>
        <v/>
      </c>
      <c r="R1439" s="208">
        <f>MIN(1,MAX(0,(nr_MEndP1-$G1439+0.5)/$C$1426))-MIN(1,MAX(0,(nr_MStartP1-1-$G1439+0.5)/$C$1426))</f>
        <v/>
      </c>
      <c r="S1439" s="208">
        <f>IF($L$1426,$N1439*IF($O$1426=1,$O1439/$F$1426,1),"")</f>
        <v/>
      </c>
      <c r="T1439" s="208">
        <f>IF(NOT($L$1426),"",IF($G1439&lt;nr_MStartP,$S1439,$T1427*(1+IF($G1439&lt;nr_MStartP1,$M$1426,$N$1426))))</f>
        <v/>
      </c>
      <c r="U1439" s="208">
        <f>IF($L$1426,$T1439,$N1439)</f>
        <v/>
      </c>
    </row>
    <row r="1440">
      <c r="A1440" s="145" t="n">
        <v>12</v>
      </c>
      <c r="B1440" s="204">
        <f>EDATE($B1439,1)</f>
        <v/>
      </c>
      <c r="C1440" s="205">
        <f>EOMONTH($B1440,0)</f>
        <v/>
      </c>
      <c r="D1440" s="201">
        <f>$C1440-$B1440+1</f>
        <v/>
      </c>
      <c r="E1440" s="201">
        <f>MONTH($B1440)</f>
        <v/>
      </c>
      <c r="F1440" s="235">
        <f>($B1440+$C1440+1)/2</f>
        <v/>
      </c>
      <c r="G1440" s="201">
        <f>YEAR($B1440)*12+MONTH($B1440)-1</f>
        <v/>
      </c>
      <c r="H1440" s="207">
        <f>IF(OR(nr_SeasonOn="OFF",$D$1426=0,$E$1426=0),1,12*INDEX(se_block,$D$1426,$E1440)/$E$1426)</f>
        <v/>
      </c>
      <c r="I1440" s="208">
        <f>EXP(SUMPRODUCT((rl_eff&lt;$B1440)*(rl_key=$A$1426)*rl_ln1p))</f>
        <v/>
      </c>
      <c r="J1440" s="208">
        <f>EXP(SUMPRODUCT((rl_eff&lt;=$C1440)*(rl_key=$A$1426)*rl_ln1p))</f>
        <v/>
      </c>
      <c r="K1440" s="201">
        <f>COUNTIFS(rl_key,$A$1426,rl_eff,"&gt;="&amp;$B1440,rl_eff,"&lt;="&amp;$C1440)</f>
        <v/>
      </c>
      <c r="L1440" s="201">
        <f>SUMIFS(rl_daysafter,rl_key,$A$1426,rl_effmonth,$B1440,rl_first,1)</f>
        <v/>
      </c>
      <c r="M1440" s="209">
        <f>IF($K1440=0,0,MIN(1,$L1440/$D1440))</f>
        <v/>
      </c>
      <c r="N1440" s="208">
        <f>IF($K1440=0,$J1440,(1-$M1440)*$I1440+$M1440*$J1440)</f>
        <v/>
      </c>
      <c r="O1440" s="209">
        <f>IF($F1440&lt;$B$1427,$E$1427+$I$1427*($F1440-$A$1427),IF($F1440&lt;$C$1427,$F$1427+$J$1427*($F1440-$B$1427),$G$1427+$K$1427*($F1440-$C$1427)))</f>
        <v/>
      </c>
      <c r="P1440" s="208">
        <f>MIN(1,MAX(0,(nr_MEndPm1-$G1440+0.5)/$C$1426))-MIN(1,MAX(0,(nr_MStartPm1-1-$G1440+0.5)/$C$1426))</f>
        <v/>
      </c>
      <c r="Q1440" s="208">
        <f>MIN(1,MAX(0,(nr_MEndP-$G1440+0.5)/$C$1426))-MIN(1,MAX(0,(nr_MStartP-1-$G1440+0.5)/$C$1426))</f>
        <v/>
      </c>
      <c r="R1440" s="208">
        <f>MIN(1,MAX(0,(nr_MEndP1-$G1440+0.5)/$C$1426))-MIN(1,MAX(0,(nr_MStartP1-1-$G1440+0.5)/$C$1426))</f>
        <v/>
      </c>
      <c r="S1440" s="208">
        <f>IF($L$1426,$N1440*IF($O$1426=1,$O1440/$F$1426,1),"")</f>
        <v/>
      </c>
      <c r="T1440" s="208">
        <f>IF(NOT($L$1426),"",IF($G1440&lt;nr_MStartP,$S1440,$T1428*(1+IF($G1440&lt;nr_MStartP1,$M$1426,$N$1426))))</f>
        <v/>
      </c>
      <c r="U1440" s="208">
        <f>IF($L$1426,$T1440,$N1440)</f>
        <v/>
      </c>
    </row>
    <row r="1441">
      <c r="A1441" s="145" t="n">
        <v>13</v>
      </c>
      <c r="B1441" s="204">
        <f>EDATE($B1440,1)</f>
        <v/>
      </c>
      <c r="C1441" s="205">
        <f>EOMONTH($B1441,0)</f>
        <v/>
      </c>
      <c r="D1441" s="201">
        <f>$C1441-$B1441+1</f>
        <v/>
      </c>
      <c r="E1441" s="201">
        <f>MONTH($B1441)</f>
        <v/>
      </c>
      <c r="F1441" s="235">
        <f>($B1441+$C1441+1)/2</f>
        <v/>
      </c>
      <c r="G1441" s="201">
        <f>YEAR($B1441)*12+MONTH($B1441)-1</f>
        <v/>
      </c>
      <c r="H1441" s="207">
        <f>IF(OR(nr_SeasonOn="OFF",$D$1426=0,$E$1426=0),1,12*INDEX(se_block,$D$1426,$E1441)/$E$1426)</f>
        <v/>
      </c>
      <c r="I1441" s="208">
        <f>EXP(SUMPRODUCT((rl_eff&lt;$B1441)*(rl_key=$A$1426)*rl_ln1p))</f>
        <v/>
      </c>
      <c r="J1441" s="208">
        <f>EXP(SUMPRODUCT((rl_eff&lt;=$C1441)*(rl_key=$A$1426)*rl_ln1p))</f>
        <v/>
      </c>
      <c r="K1441" s="201">
        <f>COUNTIFS(rl_key,$A$1426,rl_eff,"&gt;="&amp;$B1441,rl_eff,"&lt;="&amp;$C1441)</f>
        <v/>
      </c>
      <c r="L1441" s="201">
        <f>SUMIFS(rl_daysafter,rl_key,$A$1426,rl_effmonth,$B1441,rl_first,1)</f>
        <v/>
      </c>
      <c r="M1441" s="209">
        <f>IF($K1441=0,0,MIN(1,$L1441/$D1441))</f>
        <v/>
      </c>
      <c r="N1441" s="208">
        <f>IF($K1441=0,$J1441,(1-$M1441)*$I1441+$M1441*$J1441)</f>
        <v/>
      </c>
      <c r="O1441" s="209">
        <f>IF($F1441&lt;$B$1427,$E$1427+$I$1427*($F1441-$A$1427),IF($F1441&lt;$C$1427,$F$1427+$J$1427*($F1441-$B$1427),$G$1427+$K$1427*($F1441-$C$1427)))</f>
        <v/>
      </c>
      <c r="P1441" s="208">
        <f>MIN(1,MAX(0,(nr_MEndPm1-$G1441+0.5)/$C$1426))-MIN(1,MAX(0,(nr_MStartPm1-1-$G1441+0.5)/$C$1426))</f>
        <v/>
      </c>
      <c r="Q1441" s="208">
        <f>MIN(1,MAX(0,(nr_MEndP-$G1441+0.5)/$C$1426))-MIN(1,MAX(0,(nr_MStartP-1-$G1441+0.5)/$C$1426))</f>
        <v/>
      </c>
      <c r="R1441" s="208">
        <f>MIN(1,MAX(0,(nr_MEndP1-$G1441+0.5)/$C$1426))-MIN(1,MAX(0,(nr_MStartP1-1-$G1441+0.5)/$C$1426))</f>
        <v/>
      </c>
      <c r="S1441" s="208">
        <f>IF($L$1426,$N1441*IF($O$1426=1,$O1441/$F$1426,1),"")</f>
        <v/>
      </c>
      <c r="T1441" s="208">
        <f>IF(NOT($L$1426),"",IF($G1441&lt;nr_MStartP,$S1441,$T1429*(1+IF($G1441&lt;nr_MStartP1,$M$1426,$N$1426))))</f>
        <v/>
      </c>
      <c r="U1441" s="208">
        <f>IF($L$1426,$T1441,$N1441)</f>
        <v/>
      </c>
    </row>
    <row r="1442">
      <c r="A1442" s="145" t="n">
        <v>14</v>
      </c>
      <c r="B1442" s="204">
        <f>EDATE($B1441,1)</f>
        <v/>
      </c>
      <c r="C1442" s="205">
        <f>EOMONTH($B1442,0)</f>
        <v/>
      </c>
      <c r="D1442" s="201">
        <f>$C1442-$B1442+1</f>
        <v/>
      </c>
      <c r="E1442" s="201">
        <f>MONTH($B1442)</f>
        <v/>
      </c>
      <c r="F1442" s="235">
        <f>($B1442+$C1442+1)/2</f>
        <v/>
      </c>
      <c r="G1442" s="201">
        <f>YEAR($B1442)*12+MONTH($B1442)-1</f>
        <v/>
      </c>
      <c r="H1442" s="207">
        <f>IF(OR(nr_SeasonOn="OFF",$D$1426=0,$E$1426=0),1,12*INDEX(se_block,$D$1426,$E1442)/$E$1426)</f>
        <v/>
      </c>
      <c r="I1442" s="208">
        <f>EXP(SUMPRODUCT((rl_eff&lt;$B1442)*(rl_key=$A$1426)*rl_ln1p))</f>
        <v/>
      </c>
      <c r="J1442" s="208">
        <f>EXP(SUMPRODUCT((rl_eff&lt;=$C1442)*(rl_key=$A$1426)*rl_ln1p))</f>
        <v/>
      </c>
      <c r="K1442" s="201">
        <f>COUNTIFS(rl_key,$A$1426,rl_eff,"&gt;="&amp;$B1442,rl_eff,"&lt;="&amp;$C1442)</f>
        <v/>
      </c>
      <c r="L1442" s="201">
        <f>SUMIFS(rl_daysafter,rl_key,$A$1426,rl_effmonth,$B1442,rl_first,1)</f>
        <v/>
      </c>
      <c r="M1442" s="209">
        <f>IF($K1442=0,0,MIN(1,$L1442/$D1442))</f>
        <v/>
      </c>
      <c r="N1442" s="208">
        <f>IF($K1442=0,$J1442,(1-$M1442)*$I1442+$M1442*$J1442)</f>
        <v/>
      </c>
      <c r="O1442" s="209">
        <f>IF($F1442&lt;$B$1427,$E$1427+$I$1427*($F1442-$A$1427),IF($F1442&lt;$C$1427,$F$1427+$J$1427*($F1442-$B$1427),$G$1427+$K$1427*($F1442-$C$1427)))</f>
        <v/>
      </c>
      <c r="P1442" s="208">
        <f>MIN(1,MAX(0,(nr_MEndPm1-$G1442+0.5)/$C$1426))-MIN(1,MAX(0,(nr_MStartPm1-1-$G1442+0.5)/$C$1426))</f>
        <v/>
      </c>
      <c r="Q1442" s="208">
        <f>MIN(1,MAX(0,(nr_MEndP-$G1442+0.5)/$C$1426))-MIN(1,MAX(0,(nr_MStartP-1-$G1442+0.5)/$C$1426))</f>
        <v/>
      </c>
      <c r="R1442" s="208">
        <f>MIN(1,MAX(0,(nr_MEndP1-$G1442+0.5)/$C$1426))-MIN(1,MAX(0,(nr_MStartP1-1-$G1442+0.5)/$C$1426))</f>
        <v/>
      </c>
      <c r="S1442" s="208">
        <f>IF($L$1426,$N1442*IF($O$1426=1,$O1442/$F$1426,1),"")</f>
        <v/>
      </c>
      <c r="T1442" s="208">
        <f>IF(NOT($L$1426),"",IF($G1442&lt;nr_MStartP,$S1442,$T1430*(1+IF($G1442&lt;nr_MStartP1,$M$1426,$N$1426))))</f>
        <v/>
      </c>
      <c r="U1442" s="208">
        <f>IF($L$1426,$T1442,$N1442)</f>
        <v/>
      </c>
    </row>
    <row r="1443">
      <c r="A1443" s="145" t="n">
        <v>15</v>
      </c>
      <c r="B1443" s="204">
        <f>EDATE($B1442,1)</f>
        <v/>
      </c>
      <c r="C1443" s="205">
        <f>EOMONTH($B1443,0)</f>
        <v/>
      </c>
      <c r="D1443" s="201">
        <f>$C1443-$B1443+1</f>
        <v/>
      </c>
      <c r="E1443" s="201">
        <f>MONTH($B1443)</f>
        <v/>
      </c>
      <c r="F1443" s="235">
        <f>($B1443+$C1443+1)/2</f>
        <v/>
      </c>
      <c r="G1443" s="201">
        <f>YEAR($B1443)*12+MONTH($B1443)-1</f>
        <v/>
      </c>
      <c r="H1443" s="207">
        <f>IF(OR(nr_SeasonOn="OFF",$D$1426=0,$E$1426=0),1,12*INDEX(se_block,$D$1426,$E1443)/$E$1426)</f>
        <v/>
      </c>
      <c r="I1443" s="208">
        <f>EXP(SUMPRODUCT((rl_eff&lt;$B1443)*(rl_key=$A$1426)*rl_ln1p))</f>
        <v/>
      </c>
      <c r="J1443" s="208">
        <f>EXP(SUMPRODUCT((rl_eff&lt;=$C1443)*(rl_key=$A$1426)*rl_ln1p))</f>
        <v/>
      </c>
      <c r="K1443" s="201">
        <f>COUNTIFS(rl_key,$A$1426,rl_eff,"&gt;="&amp;$B1443,rl_eff,"&lt;="&amp;$C1443)</f>
        <v/>
      </c>
      <c r="L1443" s="201">
        <f>SUMIFS(rl_daysafter,rl_key,$A$1426,rl_effmonth,$B1443,rl_first,1)</f>
        <v/>
      </c>
      <c r="M1443" s="209">
        <f>IF($K1443=0,0,MIN(1,$L1443/$D1443))</f>
        <v/>
      </c>
      <c r="N1443" s="208">
        <f>IF($K1443=0,$J1443,(1-$M1443)*$I1443+$M1443*$J1443)</f>
        <v/>
      </c>
      <c r="O1443" s="209">
        <f>IF($F1443&lt;$B$1427,$E$1427+$I$1427*($F1443-$A$1427),IF($F1443&lt;$C$1427,$F$1427+$J$1427*($F1443-$B$1427),$G$1427+$K$1427*($F1443-$C$1427)))</f>
        <v/>
      </c>
      <c r="P1443" s="208">
        <f>MIN(1,MAX(0,(nr_MEndPm1-$G1443+0.5)/$C$1426))-MIN(1,MAX(0,(nr_MStartPm1-1-$G1443+0.5)/$C$1426))</f>
        <v/>
      </c>
      <c r="Q1443" s="208">
        <f>MIN(1,MAX(0,(nr_MEndP-$G1443+0.5)/$C$1426))-MIN(1,MAX(0,(nr_MStartP-1-$G1443+0.5)/$C$1426))</f>
        <v/>
      </c>
      <c r="R1443" s="208">
        <f>MIN(1,MAX(0,(nr_MEndP1-$G1443+0.5)/$C$1426))-MIN(1,MAX(0,(nr_MStartP1-1-$G1443+0.5)/$C$1426))</f>
        <v/>
      </c>
      <c r="S1443" s="208">
        <f>IF($L$1426,$N1443*IF($O$1426=1,$O1443/$F$1426,1),"")</f>
        <v/>
      </c>
      <c r="T1443" s="208">
        <f>IF(NOT($L$1426),"",IF($G1443&lt;nr_MStartP,$S1443,$T1431*(1+IF($G1443&lt;nr_MStartP1,$M$1426,$N$1426))))</f>
        <v/>
      </c>
      <c r="U1443" s="208">
        <f>IF($L$1426,$T1443,$N1443)</f>
        <v/>
      </c>
    </row>
    <row r="1444">
      <c r="A1444" s="145" t="n">
        <v>16</v>
      </c>
      <c r="B1444" s="204">
        <f>EDATE($B1443,1)</f>
        <v/>
      </c>
      <c r="C1444" s="205">
        <f>EOMONTH($B1444,0)</f>
        <v/>
      </c>
      <c r="D1444" s="201">
        <f>$C1444-$B1444+1</f>
        <v/>
      </c>
      <c r="E1444" s="201">
        <f>MONTH($B1444)</f>
        <v/>
      </c>
      <c r="F1444" s="235">
        <f>($B1444+$C1444+1)/2</f>
        <v/>
      </c>
      <c r="G1444" s="201">
        <f>YEAR($B1444)*12+MONTH($B1444)-1</f>
        <v/>
      </c>
      <c r="H1444" s="207">
        <f>IF(OR(nr_SeasonOn="OFF",$D$1426=0,$E$1426=0),1,12*INDEX(se_block,$D$1426,$E1444)/$E$1426)</f>
        <v/>
      </c>
      <c r="I1444" s="208">
        <f>EXP(SUMPRODUCT((rl_eff&lt;$B1444)*(rl_key=$A$1426)*rl_ln1p))</f>
        <v/>
      </c>
      <c r="J1444" s="208">
        <f>EXP(SUMPRODUCT((rl_eff&lt;=$C1444)*(rl_key=$A$1426)*rl_ln1p))</f>
        <v/>
      </c>
      <c r="K1444" s="201">
        <f>COUNTIFS(rl_key,$A$1426,rl_eff,"&gt;="&amp;$B1444,rl_eff,"&lt;="&amp;$C1444)</f>
        <v/>
      </c>
      <c r="L1444" s="201">
        <f>SUMIFS(rl_daysafter,rl_key,$A$1426,rl_effmonth,$B1444,rl_first,1)</f>
        <v/>
      </c>
      <c r="M1444" s="209">
        <f>IF($K1444=0,0,MIN(1,$L1444/$D1444))</f>
        <v/>
      </c>
      <c r="N1444" s="208">
        <f>IF($K1444=0,$J1444,(1-$M1444)*$I1444+$M1444*$J1444)</f>
        <v/>
      </c>
      <c r="O1444" s="209">
        <f>IF($F1444&lt;$B$1427,$E$1427+$I$1427*($F1444-$A$1427),IF($F1444&lt;$C$1427,$F$1427+$J$1427*($F1444-$B$1427),$G$1427+$K$1427*($F1444-$C$1427)))</f>
        <v/>
      </c>
      <c r="P1444" s="208">
        <f>MIN(1,MAX(0,(nr_MEndPm1-$G1444+0.5)/$C$1426))-MIN(1,MAX(0,(nr_MStartPm1-1-$G1444+0.5)/$C$1426))</f>
        <v/>
      </c>
      <c r="Q1444" s="208">
        <f>MIN(1,MAX(0,(nr_MEndP-$G1444+0.5)/$C$1426))-MIN(1,MAX(0,(nr_MStartP-1-$G1444+0.5)/$C$1426))</f>
        <v/>
      </c>
      <c r="R1444" s="208">
        <f>MIN(1,MAX(0,(nr_MEndP1-$G1444+0.5)/$C$1426))-MIN(1,MAX(0,(nr_MStartP1-1-$G1444+0.5)/$C$1426))</f>
        <v/>
      </c>
      <c r="S1444" s="208">
        <f>IF($L$1426,$N1444*IF($O$1426=1,$O1444/$F$1426,1),"")</f>
        <v/>
      </c>
      <c r="T1444" s="208">
        <f>IF(NOT($L$1426),"",IF($G1444&lt;nr_MStartP,$S1444,$T1432*(1+IF($G1444&lt;nr_MStartP1,$M$1426,$N$1426))))</f>
        <v/>
      </c>
      <c r="U1444" s="208">
        <f>IF($L$1426,$T1444,$N1444)</f>
        <v/>
      </c>
    </row>
    <row r="1445">
      <c r="A1445" s="145" t="n">
        <v>17</v>
      </c>
      <c r="B1445" s="204">
        <f>EDATE($B1444,1)</f>
        <v/>
      </c>
      <c r="C1445" s="205">
        <f>EOMONTH($B1445,0)</f>
        <v/>
      </c>
      <c r="D1445" s="201">
        <f>$C1445-$B1445+1</f>
        <v/>
      </c>
      <c r="E1445" s="201">
        <f>MONTH($B1445)</f>
        <v/>
      </c>
      <c r="F1445" s="235">
        <f>($B1445+$C1445+1)/2</f>
        <v/>
      </c>
      <c r="G1445" s="201">
        <f>YEAR($B1445)*12+MONTH($B1445)-1</f>
        <v/>
      </c>
      <c r="H1445" s="207">
        <f>IF(OR(nr_SeasonOn="OFF",$D$1426=0,$E$1426=0),1,12*INDEX(se_block,$D$1426,$E1445)/$E$1426)</f>
        <v/>
      </c>
      <c r="I1445" s="208">
        <f>EXP(SUMPRODUCT((rl_eff&lt;$B1445)*(rl_key=$A$1426)*rl_ln1p))</f>
        <v/>
      </c>
      <c r="J1445" s="208">
        <f>EXP(SUMPRODUCT((rl_eff&lt;=$C1445)*(rl_key=$A$1426)*rl_ln1p))</f>
        <v/>
      </c>
      <c r="K1445" s="201">
        <f>COUNTIFS(rl_key,$A$1426,rl_eff,"&gt;="&amp;$B1445,rl_eff,"&lt;="&amp;$C1445)</f>
        <v/>
      </c>
      <c r="L1445" s="201">
        <f>SUMIFS(rl_daysafter,rl_key,$A$1426,rl_effmonth,$B1445,rl_first,1)</f>
        <v/>
      </c>
      <c r="M1445" s="209">
        <f>IF($K1445=0,0,MIN(1,$L1445/$D1445))</f>
        <v/>
      </c>
      <c r="N1445" s="208">
        <f>IF($K1445=0,$J1445,(1-$M1445)*$I1445+$M1445*$J1445)</f>
        <v/>
      </c>
      <c r="O1445" s="209">
        <f>IF($F1445&lt;$B$1427,$E$1427+$I$1427*($F1445-$A$1427),IF($F1445&lt;$C$1427,$F$1427+$J$1427*($F1445-$B$1427),$G$1427+$K$1427*($F1445-$C$1427)))</f>
        <v/>
      </c>
      <c r="P1445" s="208">
        <f>MIN(1,MAX(0,(nr_MEndPm1-$G1445+0.5)/$C$1426))-MIN(1,MAX(0,(nr_MStartPm1-1-$G1445+0.5)/$C$1426))</f>
        <v/>
      </c>
      <c r="Q1445" s="208">
        <f>MIN(1,MAX(0,(nr_MEndP-$G1445+0.5)/$C$1426))-MIN(1,MAX(0,(nr_MStartP-1-$G1445+0.5)/$C$1426))</f>
        <v/>
      </c>
      <c r="R1445" s="208">
        <f>MIN(1,MAX(0,(nr_MEndP1-$G1445+0.5)/$C$1426))-MIN(1,MAX(0,(nr_MStartP1-1-$G1445+0.5)/$C$1426))</f>
        <v/>
      </c>
      <c r="S1445" s="208">
        <f>IF($L$1426,$N1445*IF($O$1426=1,$O1445/$F$1426,1),"")</f>
        <v/>
      </c>
      <c r="T1445" s="208">
        <f>IF(NOT($L$1426),"",IF($G1445&lt;nr_MStartP,$S1445,$T1433*(1+IF($G1445&lt;nr_MStartP1,$M$1426,$N$1426))))</f>
        <v/>
      </c>
      <c r="U1445" s="208">
        <f>IF($L$1426,$T1445,$N1445)</f>
        <v/>
      </c>
    </row>
    <row r="1446">
      <c r="A1446" s="145" t="n">
        <v>18</v>
      </c>
      <c r="B1446" s="204">
        <f>EDATE($B1445,1)</f>
        <v/>
      </c>
      <c r="C1446" s="205">
        <f>EOMONTH($B1446,0)</f>
        <v/>
      </c>
      <c r="D1446" s="201">
        <f>$C1446-$B1446+1</f>
        <v/>
      </c>
      <c r="E1446" s="201">
        <f>MONTH($B1446)</f>
        <v/>
      </c>
      <c r="F1446" s="235">
        <f>($B1446+$C1446+1)/2</f>
        <v/>
      </c>
      <c r="G1446" s="201">
        <f>YEAR($B1446)*12+MONTH($B1446)-1</f>
        <v/>
      </c>
      <c r="H1446" s="207">
        <f>IF(OR(nr_SeasonOn="OFF",$D$1426=0,$E$1426=0),1,12*INDEX(se_block,$D$1426,$E1446)/$E$1426)</f>
        <v/>
      </c>
      <c r="I1446" s="208">
        <f>EXP(SUMPRODUCT((rl_eff&lt;$B1446)*(rl_key=$A$1426)*rl_ln1p))</f>
        <v/>
      </c>
      <c r="J1446" s="208">
        <f>EXP(SUMPRODUCT((rl_eff&lt;=$C1446)*(rl_key=$A$1426)*rl_ln1p))</f>
        <v/>
      </c>
      <c r="K1446" s="201">
        <f>COUNTIFS(rl_key,$A$1426,rl_eff,"&gt;="&amp;$B1446,rl_eff,"&lt;="&amp;$C1446)</f>
        <v/>
      </c>
      <c r="L1446" s="201">
        <f>SUMIFS(rl_daysafter,rl_key,$A$1426,rl_effmonth,$B1446,rl_first,1)</f>
        <v/>
      </c>
      <c r="M1446" s="209">
        <f>IF($K1446=0,0,MIN(1,$L1446/$D1446))</f>
        <v/>
      </c>
      <c r="N1446" s="208">
        <f>IF($K1446=0,$J1446,(1-$M1446)*$I1446+$M1446*$J1446)</f>
        <v/>
      </c>
      <c r="O1446" s="209">
        <f>IF($F1446&lt;$B$1427,$E$1427+$I$1427*($F1446-$A$1427),IF($F1446&lt;$C$1427,$F$1427+$J$1427*($F1446-$B$1427),$G$1427+$K$1427*($F1446-$C$1427)))</f>
        <v/>
      </c>
      <c r="P1446" s="208">
        <f>MIN(1,MAX(0,(nr_MEndPm1-$G1446+0.5)/$C$1426))-MIN(1,MAX(0,(nr_MStartPm1-1-$G1446+0.5)/$C$1426))</f>
        <v/>
      </c>
      <c r="Q1446" s="208">
        <f>MIN(1,MAX(0,(nr_MEndP-$G1446+0.5)/$C$1426))-MIN(1,MAX(0,(nr_MStartP-1-$G1446+0.5)/$C$1426))</f>
        <v/>
      </c>
      <c r="R1446" s="208">
        <f>MIN(1,MAX(0,(nr_MEndP1-$G1446+0.5)/$C$1426))-MIN(1,MAX(0,(nr_MStartP1-1-$G1446+0.5)/$C$1426))</f>
        <v/>
      </c>
      <c r="S1446" s="208">
        <f>IF($L$1426,$N1446*IF($O$1426=1,$O1446/$F$1426,1),"")</f>
        <v/>
      </c>
      <c r="T1446" s="208">
        <f>IF(NOT($L$1426),"",IF($G1446&lt;nr_MStartP,$S1446,$T1434*(1+IF($G1446&lt;nr_MStartP1,$M$1426,$N$1426))))</f>
        <v/>
      </c>
      <c r="U1446" s="208">
        <f>IF($L$1426,$T1446,$N1446)</f>
        <v/>
      </c>
    </row>
    <row r="1447">
      <c r="A1447" s="145" t="n">
        <v>19</v>
      </c>
      <c r="B1447" s="204">
        <f>EDATE($B1446,1)</f>
        <v/>
      </c>
      <c r="C1447" s="205">
        <f>EOMONTH($B1447,0)</f>
        <v/>
      </c>
      <c r="D1447" s="201">
        <f>$C1447-$B1447+1</f>
        <v/>
      </c>
      <c r="E1447" s="201">
        <f>MONTH($B1447)</f>
        <v/>
      </c>
      <c r="F1447" s="235">
        <f>($B1447+$C1447+1)/2</f>
        <v/>
      </c>
      <c r="G1447" s="201">
        <f>YEAR($B1447)*12+MONTH($B1447)-1</f>
        <v/>
      </c>
      <c r="H1447" s="207">
        <f>IF(OR(nr_SeasonOn="OFF",$D$1426=0,$E$1426=0),1,12*INDEX(se_block,$D$1426,$E1447)/$E$1426)</f>
        <v/>
      </c>
      <c r="I1447" s="208">
        <f>EXP(SUMPRODUCT((rl_eff&lt;$B1447)*(rl_key=$A$1426)*rl_ln1p))</f>
        <v/>
      </c>
      <c r="J1447" s="208">
        <f>EXP(SUMPRODUCT((rl_eff&lt;=$C1447)*(rl_key=$A$1426)*rl_ln1p))</f>
        <v/>
      </c>
      <c r="K1447" s="201">
        <f>COUNTIFS(rl_key,$A$1426,rl_eff,"&gt;="&amp;$B1447,rl_eff,"&lt;="&amp;$C1447)</f>
        <v/>
      </c>
      <c r="L1447" s="201">
        <f>SUMIFS(rl_daysafter,rl_key,$A$1426,rl_effmonth,$B1447,rl_first,1)</f>
        <v/>
      </c>
      <c r="M1447" s="209">
        <f>IF($K1447=0,0,MIN(1,$L1447/$D1447))</f>
        <v/>
      </c>
      <c r="N1447" s="208">
        <f>IF($K1447=0,$J1447,(1-$M1447)*$I1447+$M1447*$J1447)</f>
        <v/>
      </c>
      <c r="O1447" s="209">
        <f>IF($F1447&lt;$B$1427,$E$1427+$I$1427*($F1447-$A$1427),IF($F1447&lt;$C$1427,$F$1427+$J$1427*($F1447-$B$1427),$G$1427+$K$1427*($F1447-$C$1427)))</f>
        <v/>
      </c>
      <c r="P1447" s="208">
        <f>MIN(1,MAX(0,(nr_MEndPm1-$G1447+0.5)/$C$1426))-MIN(1,MAX(0,(nr_MStartPm1-1-$G1447+0.5)/$C$1426))</f>
        <v/>
      </c>
      <c r="Q1447" s="208">
        <f>MIN(1,MAX(0,(nr_MEndP-$G1447+0.5)/$C$1426))-MIN(1,MAX(0,(nr_MStartP-1-$G1447+0.5)/$C$1426))</f>
        <v/>
      </c>
      <c r="R1447" s="208">
        <f>MIN(1,MAX(0,(nr_MEndP1-$G1447+0.5)/$C$1426))-MIN(1,MAX(0,(nr_MStartP1-1-$G1447+0.5)/$C$1426))</f>
        <v/>
      </c>
      <c r="S1447" s="208">
        <f>IF($L$1426,$N1447*IF($O$1426=1,$O1447/$F$1426,1),"")</f>
        <v/>
      </c>
      <c r="T1447" s="208">
        <f>IF(NOT($L$1426),"",IF($G1447&lt;nr_MStartP,$S1447,$T1435*(1+IF($G1447&lt;nr_MStartP1,$M$1426,$N$1426))))</f>
        <v/>
      </c>
      <c r="U1447" s="208">
        <f>IF($L$1426,$T1447,$N1447)</f>
        <v/>
      </c>
    </row>
    <row r="1448">
      <c r="A1448" s="145" t="n">
        <v>20</v>
      </c>
      <c r="B1448" s="204">
        <f>EDATE($B1447,1)</f>
        <v/>
      </c>
      <c r="C1448" s="205">
        <f>EOMONTH($B1448,0)</f>
        <v/>
      </c>
      <c r="D1448" s="201">
        <f>$C1448-$B1448+1</f>
        <v/>
      </c>
      <c r="E1448" s="201">
        <f>MONTH($B1448)</f>
        <v/>
      </c>
      <c r="F1448" s="235">
        <f>($B1448+$C1448+1)/2</f>
        <v/>
      </c>
      <c r="G1448" s="201">
        <f>YEAR($B1448)*12+MONTH($B1448)-1</f>
        <v/>
      </c>
      <c r="H1448" s="207">
        <f>IF(OR(nr_SeasonOn="OFF",$D$1426=0,$E$1426=0),1,12*INDEX(se_block,$D$1426,$E1448)/$E$1426)</f>
        <v/>
      </c>
      <c r="I1448" s="208">
        <f>EXP(SUMPRODUCT((rl_eff&lt;$B1448)*(rl_key=$A$1426)*rl_ln1p))</f>
        <v/>
      </c>
      <c r="J1448" s="208">
        <f>EXP(SUMPRODUCT((rl_eff&lt;=$C1448)*(rl_key=$A$1426)*rl_ln1p))</f>
        <v/>
      </c>
      <c r="K1448" s="201">
        <f>COUNTIFS(rl_key,$A$1426,rl_eff,"&gt;="&amp;$B1448,rl_eff,"&lt;="&amp;$C1448)</f>
        <v/>
      </c>
      <c r="L1448" s="201">
        <f>SUMIFS(rl_daysafter,rl_key,$A$1426,rl_effmonth,$B1448,rl_first,1)</f>
        <v/>
      </c>
      <c r="M1448" s="209">
        <f>IF($K1448=0,0,MIN(1,$L1448/$D1448))</f>
        <v/>
      </c>
      <c r="N1448" s="208">
        <f>IF($K1448=0,$J1448,(1-$M1448)*$I1448+$M1448*$J1448)</f>
        <v/>
      </c>
      <c r="O1448" s="209">
        <f>IF($F1448&lt;$B$1427,$E$1427+$I$1427*($F1448-$A$1427),IF($F1448&lt;$C$1427,$F$1427+$J$1427*($F1448-$B$1427),$G$1427+$K$1427*($F1448-$C$1427)))</f>
        <v/>
      </c>
      <c r="P1448" s="208">
        <f>MIN(1,MAX(0,(nr_MEndPm1-$G1448+0.5)/$C$1426))-MIN(1,MAX(0,(nr_MStartPm1-1-$G1448+0.5)/$C$1426))</f>
        <v/>
      </c>
      <c r="Q1448" s="208">
        <f>MIN(1,MAX(0,(nr_MEndP-$G1448+0.5)/$C$1426))-MIN(1,MAX(0,(nr_MStartP-1-$G1448+0.5)/$C$1426))</f>
        <v/>
      </c>
      <c r="R1448" s="208">
        <f>MIN(1,MAX(0,(nr_MEndP1-$G1448+0.5)/$C$1426))-MIN(1,MAX(0,(nr_MStartP1-1-$G1448+0.5)/$C$1426))</f>
        <v/>
      </c>
      <c r="S1448" s="208">
        <f>IF($L$1426,$N1448*IF($O$1426=1,$O1448/$F$1426,1),"")</f>
        <v/>
      </c>
      <c r="T1448" s="208">
        <f>IF(NOT($L$1426),"",IF($G1448&lt;nr_MStartP,$S1448,$T1436*(1+IF($G1448&lt;nr_MStartP1,$M$1426,$N$1426))))</f>
        <v/>
      </c>
      <c r="U1448" s="208">
        <f>IF($L$1426,$T1448,$N1448)</f>
        <v/>
      </c>
    </row>
    <row r="1449">
      <c r="A1449" s="145" t="n">
        <v>21</v>
      </c>
      <c r="B1449" s="204">
        <f>EDATE($B1448,1)</f>
        <v/>
      </c>
      <c r="C1449" s="205">
        <f>EOMONTH($B1449,0)</f>
        <v/>
      </c>
      <c r="D1449" s="201">
        <f>$C1449-$B1449+1</f>
        <v/>
      </c>
      <c r="E1449" s="201">
        <f>MONTH($B1449)</f>
        <v/>
      </c>
      <c r="F1449" s="235">
        <f>($B1449+$C1449+1)/2</f>
        <v/>
      </c>
      <c r="G1449" s="201">
        <f>YEAR($B1449)*12+MONTH($B1449)-1</f>
        <v/>
      </c>
      <c r="H1449" s="207">
        <f>IF(OR(nr_SeasonOn="OFF",$D$1426=0,$E$1426=0),1,12*INDEX(se_block,$D$1426,$E1449)/$E$1426)</f>
        <v/>
      </c>
      <c r="I1449" s="208">
        <f>EXP(SUMPRODUCT((rl_eff&lt;$B1449)*(rl_key=$A$1426)*rl_ln1p))</f>
        <v/>
      </c>
      <c r="J1449" s="208">
        <f>EXP(SUMPRODUCT((rl_eff&lt;=$C1449)*(rl_key=$A$1426)*rl_ln1p))</f>
        <v/>
      </c>
      <c r="K1449" s="201">
        <f>COUNTIFS(rl_key,$A$1426,rl_eff,"&gt;="&amp;$B1449,rl_eff,"&lt;="&amp;$C1449)</f>
        <v/>
      </c>
      <c r="L1449" s="201">
        <f>SUMIFS(rl_daysafter,rl_key,$A$1426,rl_effmonth,$B1449,rl_first,1)</f>
        <v/>
      </c>
      <c r="M1449" s="209">
        <f>IF($K1449=0,0,MIN(1,$L1449/$D1449))</f>
        <v/>
      </c>
      <c r="N1449" s="208">
        <f>IF($K1449=0,$J1449,(1-$M1449)*$I1449+$M1449*$J1449)</f>
        <v/>
      </c>
      <c r="O1449" s="209">
        <f>IF($F1449&lt;$B$1427,$E$1427+$I$1427*($F1449-$A$1427),IF($F1449&lt;$C$1427,$F$1427+$J$1427*($F1449-$B$1427),$G$1427+$K$1427*($F1449-$C$1427)))</f>
        <v/>
      </c>
      <c r="P1449" s="208">
        <f>MIN(1,MAX(0,(nr_MEndPm1-$G1449+0.5)/$C$1426))-MIN(1,MAX(0,(nr_MStartPm1-1-$G1449+0.5)/$C$1426))</f>
        <v/>
      </c>
      <c r="Q1449" s="208">
        <f>MIN(1,MAX(0,(nr_MEndP-$G1449+0.5)/$C$1426))-MIN(1,MAX(0,(nr_MStartP-1-$G1449+0.5)/$C$1426))</f>
        <v/>
      </c>
      <c r="R1449" s="208">
        <f>MIN(1,MAX(0,(nr_MEndP1-$G1449+0.5)/$C$1426))-MIN(1,MAX(0,(nr_MStartP1-1-$G1449+0.5)/$C$1426))</f>
        <v/>
      </c>
      <c r="S1449" s="208">
        <f>IF($L$1426,$N1449*IF($O$1426=1,$O1449/$F$1426,1),"")</f>
        <v/>
      </c>
      <c r="T1449" s="208">
        <f>IF(NOT($L$1426),"",IF($G1449&lt;nr_MStartP,$S1449,$T1437*(1+IF($G1449&lt;nr_MStartP1,$M$1426,$N$1426))))</f>
        <v/>
      </c>
      <c r="U1449" s="208">
        <f>IF($L$1426,$T1449,$N1449)</f>
        <v/>
      </c>
    </row>
    <row r="1450">
      <c r="A1450" s="145" t="n">
        <v>22</v>
      </c>
      <c r="B1450" s="204">
        <f>EDATE($B1449,1)</f>
        <v/>
      </c>
      <c r="C1450" s="205">
        <f>EOMONTH($B1450,0)</f>
        <v/>
      </c>
      <c r="D1450" s="201">
        <f>$C1450-$B1450+1</f>
        <v/>
      </c>
      <c r="E1450" s="201">
        <f>MONTH($B1450)</f>
        <v/>
      </c>
      <c r="F1450" s="235">
        <f>($B1450+$C1450+1)/2</f>
        <v/>
      </c>
      <c r="G1450" s="201">
        <f>YEAR($B1450)*12+MONTH($B1450)-1</f>
        <v/>
      </c>
      <c r="H1450" s="207">
        <f>IF(OR(nr_SeasonOn="OFF",$D$1426=0,$E$1426=0),1,12*INDEX(se_block,$D$1426,$E1450)/$E$1426)</f>
        <v/>
      </c>
      <c r="I1450" s="208">
        <f>EXP(SUMPRODUCT((rl_eff&lt;$B1450)*(rl_key=$A$1426)*rl_ln1p))</f>
        <v/>
      </c>
      <c r="J1450" s="208">
        <f>EXP(SUMPRODUCT((rl_eff&lt;=$C1450)*(rl_key=$A$1426)*rl_ln1p))</f>
        <v/>
      </c>
      <c r="K1450" s="201">
        <f>COUNTIFS(rl_key,$A$1426,rl_eff,"&gt;="&amp;$B1450,rl_eff,"&lt;="&amp;$C1450)</f>
        <v/>
      </c>
      <c r="L1450" s="201">
        <f>SUMIFS(rl_daysafter,rl_key,$A$1426,rl_effmonth,$B1450,rl_first,1)</f>
        <v/>
      </c>
      <c r="M1450" s="209">
        <f>IF($K1450=0,0,MIN(1,$L1450/$D1450))</f>
        <v/>
      </c>
      <c r="N1450" s="208">
        <f>IF($K1450=0,$J1450,(1-$M1450)*$I1450+$M1450*$J1450)</f>
        <v/>
      </c>
      <c r="O1450" s="209">
        <f>IF($F1450&lt;$B$1427,$E$1427+$I$1427*($F1450-$A$1427),IF($F1450&lt;$C$1427,$F$1427+$J$1427*($F1450-$B$1427),$G$1427+$K$1427*($F1450-$C$1427)))</f>
        <v/>
      </c>
      <c r="P1450" s="208">
        <f>MIN(1,MAX(0,(nr_MEndPm1-$G1450+0.5)/$C$1426))-MIN(1,MAX(0,(nr_MStartPm1-1-$G1450+0.5)/$C$1426))</f>
        <v/>
      </c>
      <c r="Q1450" s="208">
        <f>MIN(1,MAX(0,(nr_MEndP-$G1450+0.5)/$C$1426))-MIN(1,MAX(0,(nr_MStartP-1-$G1450+0.5)/$C$1426))</f>
        <v/>
      </c>
      <c r="R1450" s="208">
        <f>MIN(1,MAX(0,(nr_MEndP1-$G1450+0.5)/$C$1426))-MIN(1,MAX(0,(nr_MStartP1-1-$G1450+0.5)/$C$1426))</f>
        <v/>
      </c>
      <c r="S1450" s="208">
        <f>IF($L$1426,$N1450*IF($O$1426=1,$O1450/$F$1426,1),"")</f>
        <v/>
      </c>
      <c r="T1450" s="208">
        <f>IF(NOT($L$1426),"",IF($G1450&lt;nr_MStartP,$S1450,$T1438*(1+IF($G1450&lt;nr_MStartP1,$M$1426,$N$1426))))</f>
        <v/>
      </c>
      <c r="U1450" s="208">
        <f>IF($L$1426,$T1450,$N1450)</f>
        <v/>
      </c>
    </row>
    <row r="1451">
      <c r="A1451" s="145" t="n">
        <v>23</v>
      </c>
      <c r="B1451" s="204">
        <f>EDATE($B1450,1)</f>
        <v/>
      </c>
      <c r="C1451" s="205">
        <f>EOMONTH($B1451,0)</f>
        <v/>
      </c>
      <c r="D1451" s="201">
        <f>$C1451-$B1451+1</f>
        <v/>
      </c>
      <c r="E1451" s="201">
        <f>MONTH($B1451)</f>
        <v/>
      </c>
      <c r="F1451" s="235">
        <f>($B1451+$C1451+1)/2</f>
        <v/>
      </c>
      <c r="G1451" s="201">
        <f>YEAR($B1451)*12+MONTH($B1451)-1</f>
        <v/>
      </c>
      <c r="H1451" s="207">
        <f>IF(OR(nr_SeasonOn="OFF",$D$1426=0,$E$1426=0),1,12*INDEX(se_block,$D$1426,$E1451)/$E$1426)</f>
        <v/>
      </c>
      <c r="I1451" s="208">
        <f>EXP(SUMPRODUCT((rl_eff&lt;$B1451)*(rl_key=$A$1426)*rl_ln1p))</f>
        <v/>
      </c>
      <c r="J1451" s="208">
        <f>EXP(SUMPRODUCT((rl_eff&lt;=$C1451)*(rl_key=$A$1426)*rl_ln1p))</f>
        <v/>
      </c>
      <c r="K1451" s="201">
        <f>COUNTIFS(rl_key,$A$1426,rl_eff,"&gt;="&amp;$B1451,rl_eff,"&lt;="&amp;$C1451)</f>
        <v/>
      </c>
      <c r="L1451" s="201">
        <f>SUMIFS(rl_daysafter,rl_key,$A$1426,rl_effmonth,$B1451,rl_first,1)</f>
        <v/>
      </c>
      <c r="M1451" s="209">
        <f>IF($K1451=0,0,MIN(1,$L1451/$D1451))</f>
        <v/>
      </c>
      <c r="N1451" s="208">
        <f>IF($K1451=0,$J1451,(1-$M1451)*$I1451+$M1451*$J1451)</f>
        <v/>
      </c>
      <c r="O1451" s="209">
        <f>IF($F1451&lt;$B$1427,$E$1427+$I$1427*($F1451-$A$1427),IF($F1451&lt;$C$1427,$F$1427+$J$1427*($F1451-$B$1427),$G$1427+$K$1427*($F1451-$C$1427)))</f>
        <v/>
      </c>
      <c r="P1451" s="208">
        <f>MIN(1,MAX(0,(nr_MEndPm1-$G1451+0.5)/$C$1426))-MIN(1,MAX(0,(nr_MStartPm1-1-$G1451+0.5)/$C$1426))</f>
        <v/>
      </c>
      <c r="Q1451" s="208">
        <f>MIN(1,MAX(0,(nr_MEndP-$G1451+0.5)/$C$1426))-MIN(1,MAX(0,(nr_MStartP-1-$G1451+0.5)/$C$1426))</f>
        <v/>
      </c>
      <c r="R1451" s="208">
        <f>MIN(1,MAX(0,(nr_MEndP1-$G1451+0.5)/$C$1426))-MIN(1,MAX(0,(nr_MStartP1-1-$G1451+0.5)/$C$1426))</f>
        <v/>
      </c>
      <c r="S1451" s="208">
        <f>IF($L$1426,$N1451*IF($O$1426=1,$O1451/$F$1426,1),"")</f>
        <v/>
      </c>
      <c r="T1451" s="208">
        <f>IF(NOT($L$1426),"",IF($G1451&lt;nr_MStartP,$S1451,$T1439*(1+IF($G1451&lt;nr_MStartP1,$M$1426,$N$1426))))</f>
        <v/>
      </c>
      <c r="U1451" s="208">
        <f>IF($L$1426,$T1451,$N1451)</f>
        <v/>
      </c>
    </row>
    <row r="1452">
      <c r="A1452" s="145" t="n">
        <v>24</v>
      </c>
      <c r="B1452" s="204">
        <f>EDATE($B1451,1)</f>
        <v/>
      </c>
      <c r="C1452" s="205">
        <f>EOMONTH($B1452,0)</f>
        <v/>
      </c>
      <c r="D1452" s="201">
        <f>$C1452-$B1452+1</f>
        <v/>
      </c>
      <c r="E1452" s="201">
        <f>MONTH($B1452)</f>
        <v/>
      </c>
      <c r="F1452" s="235">
        <f>($B1452+$C1452+1)/2</f>
        <v/>
      </c>
      <c r="G1452" s="201">
        <f>YEAR($B1452)*12+MONTH($B1452)-1</f>
        <v/>
      </c>
      <c r="H1452" s="207">
        <f>IF(OR(nr_SeasonOn="OFF",$D$1426=0,$E$1426=0),1,12*INDEX(se_block,$D$1426,$E1452)/$E$1426)</f>
        <v/>
      </c>
      <c r="I1452" s="208">
        <f>EXP(SUMPRODUCT((rl_eff&lt;$B1452)*(rl_key=$A$1426)*rl_ln1p))</f>
        <v/>
      </c>
      <c r="J1452" s="208">
        <f>EXP(SUMPRODUCT((rl_eff&lt;=$C1452)*(rl_key=$A$1426)*rl_ln1p))</f>
        <v/>
      </c>
      <c r="K1452" s="201">
        <f>COUNTIFS(rl_key,$A$1426,rl_eff,"&gt;="&amp;$B1452,rl_eff,"&lt;="&amp;$C1452)</f>
        <v/>
      </c>
      <c r="L1452" s="201">
        <f>SUMIFS(rl_daysafter,rl_key,$A$1426,rl_effmonth,$B1452,rl_first,1)</f>
        <v/>
      </c>
      <c r="M1452" s="209">
        <f>IF($K1452=0,0,MIN(1,$L1452/$D1452))</f>
        <v/>
      </c>
      <c r="N1452" s="208">
        <f>IF($K1452=0,$J1452,(1-$M1452)*$I1452+$M1452*$J1452)</f>
        <v/>
      </c>
      <c r="O1452" s="209">
        <f>IF($F1452&lt;$B$1427,$E$1427+$I$1427*($F1452-$A$1427),IF($F1452&lt;$C$1427,$F$1427+$J$1427*($F1452-$B$1427),$G$1427+$K$1427*($F1452-$C$1427)))</f>
        <v/>
      </c>
      <c r="P1452" s="208">
        <f>MIN(1,MAX(0,(nr_MEndPm1-$G1452+0.5)/$C$1426))-MIN(1,MAX(0,(nr_MStartPm1-1-$G1452+0.5)/$C$1426))</f>
        <v/>
      </c>
      <c r="Q1452" s="208">
        <f>MIN(1,MAX(0,(nr_MEndP-$G1452+0.5)/$C$1426))-MIN(1,MAX(0,(nr_MStartP-1-$G1452+0.5)/$C$1426))</f>
        <v/>
      </c>
      <c r="R1452" s="208">
        <f>MIN(1,MAX(0,(nr_MEndP1-$G1452+0.5)/$C$1426))-MIN(1,MAX(0,(nr_MStartP1-1-$G1452+0.5)/$C$1426))</f>
        <v/>
      </c>
      <c r="S1452" s="208">
        <f>IF($L$1426,$N1452*IF($O$1426=1,$O1452/$F$1426,1),"")</f>
        <v/>
      </c>
      <c r="T1452" s="208">
        <f>IF(NOT($L$1426),"",IF($G1452&lt;nr_MStartP,$S1452,$T1440*(1+IF($G1452&lt;nr_MStartP1,$M$1426,$N$1426))))</f>
        <v/>
      </c>
      <c r="U1452" s="208">
        <f>IF($L$1426,$T1452,$N1452)</f>
        <v/>
      </c>
    </row>
    <row r="1453">
      <c r="A1453" s="145" t="n">
        <v>25</v>
      </c>
      <c r="B1453" s="204">
        <f>EDATE($B1452,1)</f>
        <v/>
      </c>
      <c r="C1453" s="205">
        <f>EOMONTH($B1453,0)</f>
        <v/>
      </c>
      <c r="D1453" s="201">
        <f>$C1453-$B1453+1</f>
        <v/>
      </c>
      <c r="E1453" s="201">
        <f>MONTH($B1453)</f>
        <v/>
      </c>
      <c r="F1453" s="235">
        <f>($B1453+$C1453+1)/2</f>
        <v/>
      </c>
      <c r="G1453" s="201">
        <f>YEAR($B1453)*12+MONTH($B1453)-1</f>
        <v/>
      </c>
      <c r="H1453" s="207">
        <f>IF(OR(nr_SeasonOn="OFF",$D$1426=0,$E$1426=0),1,12*INDEX(se_block,$D$1426,$E1453)/$E$1426)</f>
        <v/>
      </c>
      <c r="I1453" s="208">
        <f>EXP(SUMPRODUCT((rl_eff&lt;$B1453)*(rl_key=$A$1426)*rl_ln1p))</f>
        <v/>
      </c>
      <c r="J1453" s="208">
        <f>EXP(SUMPRODUCT((rl_eff&lt;=$C1453)*(rl_key=$A$1426)*rl_ln1p))</f>
        <v/>
      </c>
      <c r="K1453" s="201">
        <f>COUNTIFS(rl_key,$A$1426,rl_eff,"&gt;="&amp;$B1453,rl_eff,"&lt;="&amp;$C1453)</f>
        <v/>
      </c>
      <c r="L1453" s="201">
        <f>SUMIFS(rl_daysafter,rl_key,$A$1426,rl_effmonth,$B1453,rl_first,1)</f>
        <v/>
      </c>
      <c r="M1453" s="209">
        <f>IF($K1453=0,0,MIN(1,$L1453/$D1453))</f>
        <v/>
      </c>
      <c r="N1453" s="208">
        <f>IF($K1453=0,$J1453,(1-$M1453)*$I1453+$M1453*$J1453)</f>
        <v/>
      </c>
      <c r="O1453" s="209">
        <f>IF($F1453&lt;$B$1427,$E$1427+$I$1427*($F1453-$A$1427),IF($F1453&lt;$C$1427,$F$1427+$J$1427*($F1453-$B$1427),$G$1427+$K$1427*($F1453-$C$1427)))</f>
        <v/>
      </c>
      <c r="P1453" s="208">
        <f>MIN(1,MAX(0,(nr_MEndPm1-$G1453+0.5)/$C$1426))-MIN(1,MAX(0,(nr_MStartPm1-1-$G1453+0.5)/$C$1426))</f>
        <v/>
      </c>
      <c r="Q1453" s="208">
        <f>MIN(1,MAX(0,(nr_MEndP-$G1453+0.5)/$C$1426))-MIN(1,MAX(0,(nr_MStartP-1-$G1453+0.5)/$C$1426))</f>
        <v/>
      </c>
      <c r="R1453" s="208">
        <f>MIN(1,MAX(0,(nr_MEndP1-$G1453+0.5)/$C$1426))-MIN(1,MAX(0,(nr_MStartP1-1-$G1453+0.5)/$C$1426))</f>
        <v/>
      </c>
      <c r="S1453" s="208">
        <f>IF($L$1426,$N1453*IF($O$1426=1,$O1453/$F$1426,1),"")</f>
        <v/>
      </c>
      <c r="T1453" s="208">
        <f>IF(NOT($L$1426),"",IF($G1453&lt;nr_MStartP,$S1453,$T1441*(1+IF($G1453&lt;nr_MStartP1,$M$1426,$N$1426))))</f>
        <v/>
      </c>
      <c r="U1453" s="208">
        <f>IF($L$1426,$T1453,$N1453)</f>
        <v/>
      </c>
    </row>
    <row r="1454">
      <c r="A1454" s="145" t="n">
        <v>26</v>
      </c>
      <c r="B1454" s="204">
        <f>EDATE($B1453,1)</f>
        <v/>
      </c>
      <c r="C1454" s="205">
        <f>EOMONTH($B1454,0)</f>
        <v/>
      </c>
      <c r="D1454" s="201">
        <f>$C1454-$B1454+1</f>
        <v/>
      </c>
      <c r="E1454" s="201">
        <f>MONTH($B1454)</f>
        <v/>
      </c>
      <c r="F1454" s="235">
        <f>($B1454+$C1454+1)/2</f>
        <v/>
      </c>
      <c r="G1454" s="201">
        <f>YEAR($B1454)*12+MONTH($B1454)-1</f>
        <v/>
      </c>
      <c r="H1454" s="207">
        <f>IF(OR(nr_SeasonOn="OFF",$D$1426=0,$E$1426=0),1,12*INDEX(se_block,$D$1426,$E1454)/$E$1426)</f>
        <v/>
      </c>
      <c r="I1454" s="208">
        <f>EXP(SUMPRODUCT((rl_eff&lt;$B1454)*(rl_key=$A$1426)*rl_ln1p))</f>
        <v/>
      </c>
      <c r="J1454" s="208">
        <f>EXP(SUMPRODUCT((rl_eff&lt;=$C1454)*(rl_key=$A$1426)*rl_ln1p))</f>
        <v/>
      </c>
      <c r="K1454" s="201">
        <f>COUNTIFS(rl_key,$A$1426,rl_eff,"&gt;="&amp;$B1454,rl_eff,"&lt;="&amp;$C1454)</f>
        <v/>
      </c>
      <c r="L1454" s="201">
        <f>SUMIFS(rl_daysafter,rl_key,$A$1426,rl_effmonth,$B1454,rl_first,1)</f>
        <v/>
      </c>
      <c r="M1454" s="209">
        <f>IF($K1454=0,0,MIN(1,$L1454/$D1454))</f>
        <v/>
      </c>
      <c r="N1454" s="208">
        <f>IF($K1454=0,$J1454,(1-$M1454)*$I1454+$M1454*$J1454)</f>
        <v/>
      </c>
      <c r="O1454" s="209">
        <f>IF($F1454&lt;$B$1427,$E$1427+$I$1427*($F1454-$A$1427),IF($F1454&lt;$C$1427,$F$1427+$J$1427*($F1454-$B$1427),$G$1427+$K$1427*($F1454-$C$1427)))</f>
        <v/>
      </c>
      <c r="P1454" s="208">
        <f>MIN(1,MAX(0,(nr_MEndPm1-$G1454+0.5)/$C$1426))-MIN(1,MAX(0,(nr_MStartPm1-1-$G1454+0.5)/$C$1426))</f>
        <v/>
      </c>
      <c r="Q1454" s="208">
        <f>MIN(1,MAX(0,(nr_MEndP-$G1454+0.5)/$C$1426))-MIN(1,MAX(0,(nr_MStartP-1-$G1454+0.5)/$C$1426))</f>
        <v/>
      </c>
      <c r="R1454" s="208">
        <f>MIN(1,MAX(0,(nr_MEndP1-$G1454+0.5)/$C$1426))-MIN(1,MAX(0,(nr_MStartP1-1-$G1454+0.5)/$C$1426))</f>
        <v/>
      </c>
      <c r="S1454" s="208">
        <f>IF($L$1426,$N1454*IF($O$1426=1,$O1454/$F$1426,1),"")</f>
        <v/>
      </c>
      <c r="T1454" s="208">
        <f>IF(NOT($L$1426),"",IF($G1454&lt;nr_MStartP,$S1454,$T1442*(1+IF($G1454&lt;nr_MStartP1,$M$1426,$N$1426))))</f>
        <v/>
      </c>
      <c r="U1454" s="208">
        <f>IF($L$1426,$T1454,$N1454)</f>
        <v/>
      </c>
    </row>
    <row r="1455">
      <c r="A1455" s="145" t="n">
        <v>27</v>
      </c>
      <c r="B1455" s="204">
        <f>EDATE($B1454,1)</f>
        <v/>
      </c>
      <c r="C1455" s="205">
        <f>EOMONTH($B1455,0)</f>
        <v/>
      </c>
      <c r="D1455" s="201">
        <f>$C1455-$B1455+1</f>
        <v/>
      </c>
      <c r="E1455" s="201">
        <f>MONTH($B1455)</f>
        <v/>
      </c>
      <c r="F1455" s="235">
        <f>($B1455+$C1455+1)/2</f>
        <v/>
      </c>
      <c r="G1455" s="201">
        <f>YEAR($B1455)*12+MONTH($B1455)-1</f>
        <v/>
      </c>
      <c r="H1455" s="207">
        <f>IF(OR(nr_SeasonOn="OFF",$D$1426=0,$E$1426=0),1,12*INDEX(se_block,$D$1426,$E1455)/$E$1426)</f>
        <v/>
      </c>
      <c r="I1455" s="208">
        <f>EXP(SUMPRODUCT((rl_eff&lt;$B1455)*(rl_key=$A$1426)*rl_ln1p))</f>
        <v/>
      </c>
      <c r="J1455" s="208">
        <f>EXP(SUMPRODUCT((rl_eff&lt;=$C1455)*(rl_key=$A$1426)*rl_ln1p))</f>
        <v/>
      </c>
      <c r="K1455" s="201">
        <f>COUNTIFS(rl_key,$A$1426,rl_eff,"&gt;="&amp;$B1455,rl_eff,"&lt;="&amp;$C1455)</f>
        <v/>
      </c>
      <c r="L1455" s="201">
        <f>SUMIFS(rl_daysafter,rl_key,$A$1426,rl_effmonth,$B1455,rl_first,1)</f>
        <v/>
      </c>
      <c r="M1455" s="209">
        <f>IF($K1455=0,0,MIN(1,$L1455/$D1455))</f>
        <v/>
      </c>
      <c r="N1455" s="208">
        <f>IF($K1455=0,$J1455,(1-$M1455)*$I1455+$M1455*$J1455)</f>
        <v/>
      </c>
      <c r="O1455" s="209">
        <f>IF($F1455&lt;$B$1427,$E$1427+$I$1427*($F1455-$A$1427),IF($F1455&lt;$C$1427,$F$1427+$J$1427*($F1455-$B$1427),$G$1427+$K$1427*($F1455-$C$1427)))</f>
        <v/>
      </c>
      <c r="P1455" s="208">
        <f>MIN(1,MAX(0,(nr_MEndPm1-$G1455+0.5)/$C$1426))-MIN(1,MAX(0,(nr_MStartPm1-1-$G1455+0.5)/$C$1426))</f>
        <v/>
      </c>
      <c r="Q1455" s="208">
        <f>MIN(1,MAX(0,(nr_MEndP-$G1455+0.5)/$C$1426))-MIN(1,MAX(0,(nr_MStartP-1-$G1455+0.5)/$C$1426))</f>
        <v/>
      </c>
      <c r="R1455" s="208">
        <f>MIN(1,MAX(0,(nr_MEndP1-$G1455+0.5)/$C$1426))-MIN(1,MAX(0,(nr_MStartP1-1-$G1455+0.5)/$C$1426))</f>
        <v/>
      </c>
      <c r="S1455" s="208">
        <f>IF($L$1426,$N1455*IF($O$1426=1,$O1455/$F$1426,1),"")</f>
        <v/>
      </c>
      <c r="T1455" s="208">
        <f>IF(NOT($L$1426),"",IF($G1455&lt;nr_MStartP,$S1455,$T1443*(1+IF($G1455&lt;nr_MStartP1,$M$1426,$N$1426))))</f>
        <v/>
      </c>
      <c r="U1455" s="208">
        <f>IF($L$1426,$T1455,$N1455)</f>
        <v/>
      </c>
    </row>
    <row r="1456">
      <c r="A1456" s="145" t="n">
        <v>28</v>
      </c>
      <c r="B1456" s="204">
        <f>EDATE($B1455,1)</f>
        <v/>
      </c>
      <c r="C1456" s="205">
        <f>EOMONTH($B1456,0)</f>
        <v/>
      </c>
      <c r="D1456" s="201">
        <f>$C1456-$B1456+1</f>
        <v/>
      </c>
      <c r="E1456" s="201">
        <f>MONTH($B1456)</f>
        <v/>
      </c>
      <c r="F1456" s="235">
        <f>($B1456+$C1456+1)/2</f>
        <v/>
      </c>
      <c r="G1456" s="201">
        <f>YEAR($B1456)*12+MONTH($B1456)-1</f>
        <v/>
      </c>
      <c r="H1456" s="207">
        <f>IF(OR(nr_SeasonOn="OFF",$D$1426=0,$E$1426=0),1,12*INDEX(se_block,$D$1426,$E1456)/$E$1426)</f>
        <v/>
      </c>
      <c r="I1456" s="208">
        <f>EXP(SUMPRODUCT((rl_eff&lt;$B1456)*(rl_key=$A$1426)*rl_ln1p))</f>
        <v/>
      </c>
      <c r="J1456" s="208">
        <f>EXP(SUMPRODUCT((rl_eff&lt;=$C1456)*(rl_key=$A$1426)*rl_ln1p))</f>
        <v/>
      </c>
      <c r="K1456" s="201">
        <f>COUNTIFS(rl_key,$A$1426,rl_eff,"&gt;="&amp;$B1456,rl_eff,"&lt;="&amp;$C1456)</f>
        <v/>
      </c>
      <c r="L1456" s="201">
        <f>SUMIFS(rl_daysafter,rl_key,$A$1426,rl_effmonth,$B1456,rl_first,1)</f>
        <v/>
      </c>
      <c r="M1456" s="209">
        <f>IF($K1456=0,0,MIN(1,$L1456/$D1456))</f>
        <v/>
      </c>
      <c r="N1456" s="208">
        <f>IF($K1456=0,$J1456,(1-$M1456)*$I1456+$M1456*$J1456)</f>
        <v/>
      </c>
      <c r="O1456" s="209">
        <f>IF($F1456&lt;$B$1427,$E$1427+$I$1427*($F1456-$A$1427),IF($F1456&lt;$C$1427,$F$1427+$J$1427*($F1456-$B$1427),$G$1427+$K$1427*($F1456-$C$1427)))</f>
        <v/>
      </c>
      <c r="P1456" s="208">
        <f>MIN(1,MAX(0,(nr_MEndPm1-$G1456+0.5)/$C$1426))-MIN(1,MAX(0,(nr_MStartPm1-1-$G1456+0.5)/$C$1426))</f>
        <v/>
      </c>
      <c r="Q1456" s="208">
        <f>MIN(1,MAX(0,(nr_MEndP-$G1456+0.5)/$C$1426))-MIN(1,MAX(0,(nr_MStartP-1-$G1456+0.5)/$C$1426))</f>
        <v/>
      </c>
      <c r="R1456" s="208">
        <f>MIN(1,MAX(0,(nr_MEndP1-$G1456+0.5)/$C$1426))-MIN(1,MAX(0,(nr_MStartP1-1-$G1456+0.5)/$C$1426))</f>
        <v/>
      </c>
      <c r="S1456" s="208">
        <f>IF($L$1426,$N1456*IF($O$1426=1,$O1456/$F$1426,1),"")</f>
        <v/>
      </c>
      <c r="T1456" s="208">
        <f>IF(NOT($L$1426),"",IF($G1456&lt;nr_MStartP,$S1456,$T1444*(1+IF($G1456&lt;nr_MStartP1,$M$1426,$N$1426))))</f>
        <v/>
      </c>
      <c r="U1456" s="208">
        <f>IF($L$1426,$T1456,$N1456)</f>
        <v/>
      </c>
    </row>
    <row r="1457">
      <c r="A1457" s="145" t="n">
        <v>29</v>
      </c>
      <c r="B1457" s="204">
        <f>EDATE($B1456,1)</f>
        <v/>
      </c>
      <c r="C1457" s="205">
        <f>EOMONTH($B1457,0)</f>
        <v/>
      </c>
      <c r="D1457" s="201">
        <f>$C1457-$B1457+1</f>
        <v/>
      </c>
      <c r="E1457" s="201">
        <f>MONTH($B1457)</f>
        <v/>
      </c>
      <c r="F1457" s="235">
        <f>($B1457+$C1457+1)/2</f>
        <v/>
      </c>
      <c r="G1457" s="201">
        <f>YEAR($B1457)*12+MONTH($B1457)-1</f>
        <v/>
      </c>
      <c r="H1457" s="207">
        <f>IF(OR(nr_SeasonOn="OFF",$D$1426=0,$E$1426=0),1,12*INDEX(se_block,$D$1426,$E1457)/$E$1426)</f>
        <v/>
      </c>
      <c r="I1457" s="208">
        <f>EXP(SUMPRODUCT((rl_eff&lt;$B1457)*(rl_key=$A$1426)*rl_ln1p))</f>
        <v/>
      </c>
      <c r="J1457" s="208">
        <f>EXP(SUMPRODUCT((rl_eff&lt;=$C1457)*(rl_key=$A$1426)*rl_ln1p))</f>
        <v/>
      </c>
      <c r="K1457" s="201">
        <f>COUNTIFS(rl_key,$A$1426,rl_eff,"&gt;="&amp;$B1457,rl_eff,"&lt;="&amp;$C1457)</f>
        <v/>
      </c>
      <c r="L1457" s="201">
        <f>SUMIFS(rl_daysafter,rl_key,$A$1426,rl_effmonth,$B1457,rl_first,1)</f>
        <v/>
      </c>
      <c r="M1457" s="209">
        <f>IF($K1457=0,0,MIN(1,$L1457/$D1457))</f>
        <v/>
      </c>
      <c r="N1457" s="208">
        <f>IF($K1457=0,$J1457,(1-$M1457)*$I1457+$M1457*$J1457)</f>
        <v/>
      </c>
      <c r="O1457" s="209">
        <f>IF($F1457&lt;$B$1427,$E$1427+$I$1427*($F1457-$A$1427),IF($F1457&lt;$C$1427,$F$1427+$J$1427*($F1457-$B$1427),$G$1427+$K$1427*($F1457-$C$1427)))</f>
        <v/>
      </c>
      <c r="P1457" s="208">
        <f>MIN(1,MAX(0,(nr_MEndPm1-$G1457+0.5)/$C$1426))-MIN(1,MAX(0,(nr_MStartPm1-1-$G1457+0.5)/$C$1426))</f>
        <v/>
      </c>
      <c r="Q1457" s="208">
        <f>MIN(1,MAX(0,(nr_MEndP-$G1457+0.5)/$C$1426))-MIN(1,MAX(0,(nr_MStartP-1-$G1457+0.5)/$C$1426))</f>
        <v/>
      </c>
      <c r="R1457" s="208">
        <f>MIN(1,MAX(0,(nr_MEndP1-$G1457+0.5)/$C$1426))-MIN(1,MAX(0,(nr_MStartP1-1-$G1457+0.5)/$C$1426))</f>
        <v/>
      </c>
      <c r="S1457" s="208">
        <f>IF($L$1426,$N1457*IF($O$1426=1,$O1457/$F$1426,1),"")</f>
        <v/>
      </c>
      <c r="T1457" s="208">
        <f>IF(NOT($L$1426),"",IF($G1457&lt;nr_MStartP,$S1457,$T1445*(1+IF($G1457&lt;nr_MStartP1,$M$1426,$N$1426))))</f>
        <v/>
      </c>
      <c r="U1457" s="208">
        <f>IF($L$1426,$T1457,$N1457)</f>
        <v/>
      </c>
    </row>
    <row r="1458">
      <c r="A1458" s="145" t="n">
        <v>30</v>
      </c>
      <c r="B1458" s="204">
        <f>EDATE($B1457,1)</f>
        <v/>
      </c>
      <c r="C1458" s="205">
        <f>EOMONTH($B1458,0)</f>
        <v/>
      </c>
      <c r="D1458" s="201">
        <f>$C1458-$B1458+1</f>
        <v/>
      </c>
      <c r="E1458" s="201">
        <f>MONTH($B1458)</f>
        <v/>
      </c>
      <c r="F1458" s="235">
        <f>($B1458+$C1458+1)/2</f>
        <v/>
      </c>
      <c r="G1458" s="201">
        <f>YEAR($B1458)*12+MONTH($B1458)-1</f>
        <v/>
      </c>
      <c r="H1458" s="207">
        <f>IF(OR(nr_SeasonOn="OFF",$D$1426=0,$E$1426=0),1,12*INDEX(se_block,$D$1426,$E1458)/$E$1426)</f>
        <v/>
      </c>
      <c r="I1458" s="208">
        <f>EXP(SUMPRODUCT((rl_eff&lt;$B1458)*(rl_key=$A$1426)*rl_ln1p))</f>
        <v/>
      </c>
      <c r="J1458" s="208">
        <f>EXP(SUMPRODUCT((rl_eff&lt;=$C1458)*(rl_key=$A$1426)*rl_ln1p))</f>
        <v/>
      </c>
      <c r="K1458" s="201">
        <f>COUNTIFS(rl_key,$A$1426,rl_eff,"&gt;="&amp;$B1458,rl_eff,"&lt;="&amp;$C1458)</f>
        <v/>
      </c>
      <c r="L1458" s="201">
        <f>SUMIFS(rl_daysafter,rl_key,$A$1426,rl_effmonth,$B1458,rl_first,1)</f>
        <v/>
      </c>
      <c r="M1458" s="209">
        <f>IF($K1458=0,0,MIN(1,$L1458/$D1458))</f>
        <v/>
      </c>
      <c r="N1458" s="208">
        <f>IF($K1458=0,$J1458,(1-$M1458)*$I1458+$M1458*$J1458)</f>
        <v/>
      </c>
      <c r="O1458" s="209">
        <f>IF($F1458&lt;$B$1427,$E$1427+$I$1427*($F1458-$A$1427),IF($F1458&lt;$C$1427,$F$1427+$J$1427*($F1458-$B$1427),$G$1427+$K$1427*($F1458-$C$1427)))</f>
        <v/>
      </c>
      <c r="P1458" s="208">
        <f>MIN(1,MAX(0,(nr_MEndPm1-$G1458+0.5)/$C$1426))-MIN(1,MAX(0,(nr_MStartPm1-1-$G1458+0.5)/$C$1426))</f>
        <v/>
      </c>
      <c r="Q1458" s="208">
        <f>MIN(1,MAX(0,(nr_MEndP-$G1458+0.5)/$C$1426))-MIN(1,MAX(0,(nr_MStartP-1-$G1458+0.5)/$C$1426))</f>
        <v/>
      </c>
      <c r="R1458" s="208">
        <f>MIN(1,MAX(0,(nr_MEndP1-$G1458+0.5)/$C$1426))-MIN(1,MAX(0,(nr_MStartP1-1-$G1458+0.5)/$C$1426))</f>
        <v/>
      </c>
      <c r="S1458" s="208">
        <f>IF($L$1426,$N1458*IF($O$1426=1,$O1458/$F$1426,1),"")</f>
        <v/>
      </c>
      <c r="T1458" s="208">
        <f>IF(NOT($L$1426),"",IF($G1458&lt;nr_MStartP,$S1458,$T1446*(1+IF($G1458&lt;nr_MStartP1,$M$1426,$N$1426))))</f>
        <v/>
      </c>
      <c r="U1458" s="208">
        <f>IF($L$1426,$T1458,$N1458)</f>
        <v/>
      </c>
    </row>
    <row r="1459">
      <c r="A1459" s="145" t="n">
        <v>31</v>
      </c>
      <c r="B1459" s="204">
        <f>EDATE($B1458,1)</f>
        <v/>
      </c>
      <c r="C1459" s="205">
        <f>EOMONTH($B1459,0)</f>
        <v/>
      </c>
      <c r="D1459" s="201">
        <f>$C1459-$B1459+1</f>
        <v/>
      </c>
      <c r="E1459" s="201">
        <f>MONTH($B1459)</f>
        <v/>
      </c>
      <c r="F1459" s="235">
        <f>($B1459+$C1459+1)/2</f>
        <v/>
      </c>
      <c r="G1459" s="201">
        <f>YEAR($B1459)*12+MONTH($B1459)-1</f>
        <v/>
      </c>
      <c r="H1459" s="207">
        <f>IF(OR(nr_SeasonOn="OFF",$D$1426=0,$E$1426=0),1,12*INDEX(se_block,$D$1426,$E1459)/$E$1426)</f>
        <v/>
      </c>
      <c r="I1459" s="208">
        <f>EXP(SUMPRODUCT((rl_eff&lt;$B1459)*(rl_key=$A$1426)*rl_ln1p))</f>
        <v/>
      </c>
      <c r="J1459" s="208">
        <f>EXP(SUMPRODUCT((rl_eff&lt;=$C1459)*(rl_key=$A$1426)*rl_ln1p))</f>
        <v/>
      </c>
      <c r="K1459" s="201">
        <f>COUNTIFS(rl_key,$A$1426,rl_eff,"&gt;="&amp;$B1459,rl_eff,"&lt;="&amp;$C1459)</f>
        <v/>
      </c>
      <c r="L1459" s="201">
        <f>SUMIFS(rl_daysafter,rl_key,$A$1426,rl_effmonth,$B1459,rl_first,1)</f>
        <v/>
      </c>
      <c r="M1459" s="209">
        <f>IF($K1459=0,0,MIN(1,$L1459/$D1459))</f>
        <v/>
      </c>
      <c r="N1459" s="208">
        <f>IF($K1459=0,$J1459,(1-$M1459)*$I1459+$M1459*$J1459)</f>
        <v/>
      </c>
      <c r="O1459" s="209">
        <f>IF($F1459&lt;$B$1427,$E$1427+$I$1427*($F1459-$A$1427),IF($F1459&lt;$C$1427,$F$1427+$J$1427*($F1459-$B$1427),$G$1427+$K$1427*($F1459-$C$1427)))</f>
        <v/>
      </c>
      <c r="P1459" s="208">
        <f>MIN(1,MAX(0,(nr_MEndPm1-$G1459+0.5)/$C$1426))-MIN(1,MAX(0,(nr_MStartPm1-1-$G1459+0.5)/$C$1426))</f>
        <v/>
      </c>
      <c r="Q1459" s="208">
        <f>MIN(1,MAX(0,(nr_MEndP-$G1459+0.5)/$C$1426))-MIN(1,MAX(0,(nr_MStartP-1-$G1459+0.5)/$C$1426))</f>
        <v/>
      </c>
      <c r="R1459" s="208">
        <f>MIN(1,MAX(0,(nr_MEndP1-$G1459+0.5)/$C$1426))-MIN(1,MAX(0,(nr_MStartP1-1-$G1459+0.5)/$C$1426))</f>
        <v/>
      </c>
      <c r="S1459" s="208">
        <f>IF($L$1426,$N1459*IF($O$1426=1,$O1459/$F$1426,1),"")</f>
        <v/>
      </c>
      <c r="T1459" s="208">
        <f>IF(NOT($L$1426),"",IF($G1459&lt;nr_MStartP,$S1459,$T1447*(1+IF($G1459&lt;nr_MStartP1,$M$1426,$N$1426))))</f>
        <v/>
      </c>
      <c r="U1459" s="208">
        <f>IF($L$1426,$T1459,$N1459)</f>
        <v/>
      </c>
    </row>
    <row r="1460">
      <c r="A1460" s="145" t="n">
        <v>32</v>
      </c>
      <c r="B1460" s="204">
        <f>EDATE($B1459,1)</f>
        <v/>
      </c>
      <c r="C1460" s="205">
        <f>EOMONTH($B1460,0)</f>
        <v/>
      </c>
      <c r="D1460" s="201">
        <f>$C1460-$B1460+1</f>
        <v/>
      </c>
      <c r="E1460" s="201">
        <f>MONTH($B1460)</f>
        <v/>
      </c>
      <c r="F1460" s="235">
        <f>($B1460+$C1460+1)/2</f>
        <v/>
      </c>
      <c r="G1460" s="201">
        <f>YEAR($B1460)*12+MONTH($B1460)-1</f>
        <v/>
      </c>
      <c r="H1460" s="207">
        <f>IF(OR(nr_SeasonOn="OFF",$D$1426=0,$E$1426=0),1,12*INDEX(se_block,$D$1426,$E1460)/$E$1426)</f>
        <v/>
      </c>
      <c r="I1460" s="208">
        <f>EXP(SUMPRODUCT((rl_eff&lt;$B1460)*(rl_key=$A$1426)*rl_ln1p))</f>
        <v/>
      </c>
      <c r="J1460" s="208">
        <f>EXP(SUMPRODUCT((rl_eff&lt;=$C1460)*(rl_key=$A$1426)*rl_ln1p))</f>
        <v/>
      </c>
      <c r="K1460" s="201">
        <f>COUNTIFS(rl_key,$A$1426,rl_eff,"&gt;="&amp;$B1460,rl_eff,"&lt;="&amp;$C1460)</f>
        <v/>
      </c>
      <c r="L1460" s="201">
        <f>SUMIFS(rl_daysafter,rl_key,$A$1426,rl_effmonth,$B1460,rl_first,1)</f>
        <v/>
      </c>
      <c r="M1460" s="209">
        <f>IF($K1460=0,0,MIN(1,$L1460/$D1460))</f>
        <v/>
      </c>
      <c r="N1460" s="208">
        <f>IF($K1460=0,$J1460,(1-$M1460)*$I1460+$M1460*$J1460)</f>
        <v/>
      </c>
      <c r="O1460" s="209">
        <f>IF($F1460&lt;$B$1427,$E$1427+$I$1427*($F1460-$A$1427),IF($F1460&lt;$C$1427,$F$1427+$J$1427*($F1460-$B$1427),$G$1427+$K$1427*($F1460-$C$1427)))</f>
        <v/>
      </c>
      <c r="P1460" s="208">
        <f>MIN(1,MAX(0,(nr_MEndPm1-$G1460+0.5)/$C$1426))-MIN(1,MAX(0,(nr_MStartPm1-1-$G1460+0.5)/$C$1426))</f>
        <v/>
      </c>
      <c r="Q1460" s="208">
        <f>MIN(1,MAX(0,(nr_MEndP-$G1460+0.5)/$C$1426))-MIN(1,MAX(0,(nr_MStartP-1-$G1460+0.5)/$C$1426))</f>
        <v/>
      </c>
      <c r="R1460" s="208">
        <f>MIN(1,MAX(0,(nr_MEndP1-$G1460+0.5)/$C$1426))-MIN(1,MAX(0,(nr_MStartP1-1-$G1460+0.5)/$C$1426))</f>
        <v/>
      </c>
      <c r="S1460" s="208">
        <f>IF($L$1426,$N1460*IF($O$1426=1,$O1460/$F$1426,1),"")</f>
        <v/>
      </c>
      <c r="T1460" s="208">
        <f>IF(NOT($L$1426),"",IF($G1460&lt;nr_MStartP,$S1460,$T1448*(1+IF($G1460&lt;nr_MStartP1,$M$1426,$N$1426))))</f>
        <v/>
      </c>
      <c r="U1460" s="208">
        <f>IF($L$1426,$T1460,$N1460)</f>
        <v/>
      </c>
    </row>
    <row r="1461">
      <c r="A1461" s="145" t="n">
        <v>33</v>
      </c>
      <c r="B1461" s="204">
        <f>EDATE($B1460,1)</f>
        <v/>
      </c>
      <c r="C1461" s="205">
        <f>EOMONTH($B1461,0)</f>
        <v/>
      </c>
      <c r="D1461" s="201">
        <f>$C1461-$B1461+1</f>
        <v/>
      </c>
      <c r="E1461" s="201">
        <f>MONTH($B1461)</f>
        <v/>
      </c>
      <c r="F1461" s="235">
        <f>($B1461+$C1461+1)/2</f>
        <v/>
      </c>
      <c r="G1461" s="201">
        <f>YEAR($B1461)*12+MONTH($B1461)-1</f>
        <v/>
      </c>
      <c r="H1461" s="207">
        <f>IF(OR(nr_SeasonOn="OFF",$D$1426=0,$E$1426=0),1,12*INDEX(se_block,$D$1426,$E1461)/$E$1426)</f>
        <v/>
      </c>
      <c r="I1461" s="208">
        <f>EXP(SUMPRODUCT((rl_eff&lt;$B1461)*(rl_key=$A$1426)*rl_ln1p))</f>
        <v/>
      </c>
      <c r="J1461" s="208">
        <f>EXP(SUMPRODUCT((rl_eff&lt;=$C1461)*(rl_key=$A$1426)*rl_ln1p))</f>
        <v/>
      </c>
      <c r="K1461" s="201">
        <f>COUNTIFS(rl_key,$A$1426,rl_eff,"&gt;="&amp;$B1461,rl_eff,"&lt;="&amp;$C1461)</f>
        <v/>
      </c>
      <c r="L1461" s="201">
        <f>SUMIFS(rl_daysafter,rl_key,$A$1426,rl_effmonth,$B1461,rl_first,1)</f>
        <v/>
      </c>
      <c r="M1461" s="209">
        <f>IF($K1461=0,0,MIN(1,$L1461/$D1461))</f>
        <v/>
      </c>
      <c r="N1461" s="208">
        <f>IF($K1461=0,$J1461,(1-$M1461)*$I1461+$M1461*$J1461)</f>
        <v/>
      </c>
      <c r="O1461" s="209">
        <f>IF($F1461&lt;$B$1427,$E$1427+$I$1427*($F1461-$A$1427),IF($F1461&lt;$C$1427,$F$1427+$J$1427*($F1461-$B$1427),$G$1427+$K$1427*($F1461-$C$1427)))</f>
        <v/>
      </c>
      <c r="P1461" s="208">
        <f>MIN(1,MAX(0,(nr_MEndPm1-$G1461+0.5)/$C$1426))-MIN(1,MAX(0,(nr_MStartPm1-1-$G1461+0.5)/$C$1426))</f>
        <v/>
      </c>
      <c r="Q1461" s="208">
        <f>MIN(1,MAX(0,(nr_MEndP-$G1461+0.5)/$C$1426))-MIN(1,MAX(0,(nr_MStartP-1-$G1461+0.5)/$C$1426))</f>
        <v/>
      </c>
      <c r="R1461" s="208">
        <f>MIN(1,MAX(0,(nr_MEndP1-$G1461+0.5)/$C$1426))-MIN(1,MAX(0,(nr_MStartP1-1-$G1461+0.5)/$C$1426))</f>
        <v/>
      </c>
      <c r="S1461" s="208">
        <f>IF($L$1426,$N1461*IF($O$1426=1,$O1461/$F$1426,1),"")</f>
        <v/>
      </c>
      <c r="T1461" s="208">
        <f>IF(NOT($L$1426),"",IF($G1461&lt;nr_MStartP,$S1461,$T1449*(1+IF($G1461&lt;nr_MStartP1,$M$1426,$N$1426))))</f>
        <v/>
      </c>
      <c r="U1461" s="208">
        <f>IF($L$1426,$T1461,$N1461)</f>
        <v/>
      </c>
    </row>
    <row r="1462">
      <c r="A1462" s="145" t="n">
        <v>34</v>
      </c>
      <c r="B1462" s="204">
        <f>EDATE($B1461,1)</f>
        <v/>
      </c>
      <c r="C1462" s="205">
        <f>EOMONTH($B1462,0)</f>
        <v/>
      </c>
      <c r="D1462" s="201">
        <f>$C1462-$B1462+1</f>
        <v/>
      </c>
      <c r="E1462" s="201">
        <f>MONTH($B1462)</f>
        <v/>
      </c>
      <c r="F1462" s="235">
        <f>($B1462+$C1462+1)/2</f>
        <v/>
      </c>
      <c r="G1462" s="201">
        <f>YEAR($B1462)*12+MONTH($B1462)-1</f>
        <v/>
      </c>
      <c r="H1462" s="207">
        <f>IF(OR(nr_SeasonOn="OFF",$D$1426=0,$E$1426=0),1,12*INDEX(se_block,$D$1426,$E1462)/$E$1426)</f>
        <v/>
      </c>
      <c r="I1462" s="208">
        <f>EXP(SUMPRODUCT((rl_eff&lt;$B1462)*(rl_key=$A$1426)*rl_ln1p))</f>
        <v/>
      </c>
      <c r="J1462" s="208">
        <f>EXP(SUMPRODUCT((rl_eff&lt;=$C1462)*(rl_key=$A$1426)*rl_ln1p))</f>
        <v/>
      </c>
      <c r="K1462" s="201">
        <f>COUNTIFS(rl_key,$A$1426,rl_eff,"&gt;="&amp;$B1462,rl_eff,"&lt;="&amp;$C1462)</f>
        <v/>
      </c>
      <c r="L1462" s="201">
        <f>SUMIFS(rl_daysafter,rl_key,$A$1426,rl_effmonth,$B1462,rl_first,1)</f>
        <v/>
      </c>
      <c r="M1462" s="209">
        <f>IF($K1462=0,0,MIN(1,$L1462/$D1462))</f>
        <v/>
      </c>
      <c r="N1462" s="208">
        <f>IF($K1462=0,$J1462,(1-$M1462)*$I1462+$M1462*$J1462)</f>
        <v/>
      </c>
      <c r="O1462" s="209">
        <f>IF($F1462&lt;$B$1427,$E$1427+$I$1427*($F1462-$A$1427),IF($F1462&lt;$C$1427,$F$1427+$J$1427*($F1462-$B$1427),$G$1427+$K$1427*($F1462-$C$1427)))</f>
        <v/>
      </c>
      <c r="P1462" s="208">
        <f>MIN(1,MAX(0,(nr_MEndPm1-$G1462+0.5)/$C$1426))-MIN(1,MAX(0,(nr_MStartPm1-1-$G1462+0.5)/$C$1426))</f>
        <v/>
      </c>
      <c r="Q1462" s="208">
        <f>MIN(1,MAX(0,(nr_MEndP-$G1462+0.5)/$C$1426))-MIN(1,MAX(0,(nr_MStartP-1-$G1462+0.5)/$C$1426))</f>
        <v/>
      </c>
      <c r="R1462" s="208">
        <f>MIN(1,MAX(0,(nr_MEndP1-$G1462+0.5)/$C$1426))-MIN(1,MAX(0,(nr_MStartP1-1-$G1462+0.5)/$C$1426))</f>
        <v/>
      </c>
      <c r="S1462" s="208">
        <f>IF($L$1426,$N1462*IF($O$1426=1,$O1462/$F$1426,1),"")</f>
        <v/>
      </c>
      <c r="T1462" s="208">
        <f>IF(NOT($L$1426),"",IF($G1462&lt;nr_MStartP,$S1462,$T1450*(1+IF($G1462&lt;nr_MStartP1,$M$1426,$N$1426))))</f>
        <v/>
      </c>
      <c r="U1462" s="208">
        <f>IF($L$1426,$T1462,$N1462)</f>
        <v/>
      </c>
    </row>
    <row r="1463">
      <c r="A1463" s="145" t="n">
        <v>35</v>
      </c>
      <c r="B1463" s="204">
        <f>EDATE($B1462,1)</f>
        <v/>
      </c>
      <c r="C1463" s="205">
        <f>EOMONTH($B1463,0)</f>
        <v/>
      </c>
      <c r="D1463" s="201">
        <f>$C1463-$B1463+1</f>
        <v/>
      </c>
      <c r="E1463" s="201">
        <f>MONTH($B1463)</f>
        <v/>
      </c>
      <c r="F1463" s="235">
        <f>($B1463+$C1463+1)/2</f>
        <v/>
      </c>
      <c r="G1463" s="201">
        <f>YEAR($B1463)*12+MONTH($B1463)-1</f>
        <v/>
      </c>
      <c r="H1463" s="207">
        <f>IF(OR(nr_SeasonOn="OFF",$D$1426=0,$E$1426=0),1,12*INDEX(se_block,$D$1426,$E1463)/$E$1426)</f>
        <v/>
      </c>
      <c r="I1463" s="208">
        <f>EXP(SUMPRODUCT((rl_eff&lt;$B1463)*(rl_key=$A$1426)*rl_ln1p))</f>
        <v/>
      </c>
      <c r="J1463" s="208">
        <f>EXP(SUMPRODUCT((rl_eff&lt;=$C1463)*(rl_key=$A$1426)*rl_ln1p))</f>
        <v/>
      </c>
      <c r="K1463" s="201">
        <f>COUNTIFS(rl_key,$A$1426,rl_eff,"&gt;="&amp;$B1463,rl_eff,"&lt;="&amp;$C1463)</f>
        <v/>
      </c>
      <c r="L1463" s="201">
        <f>SUMIFS(rl_daysafter,rl_key,$A$1426,rl_effmonth,$B1463,rl_first,1)</f>
        <v/>
      </c>
      <c r="M1463" s="209">
        <f>IF($K1463=0,0,MIN(1,$L1463/$D1463))</f>
        <v/>
      </c>
      <c r="N1463" s="208">
        <f>IF($K1463=0,$J1463,(1-$M1463)*$I1463+$M1463*$J1463)</f>
        <v/>
      </c>
      <c r="O1463" s="209">
        <f>IF($F1463&lt;$B$1427,$E$1427+$I$1427*($F1463-$A$1427),IF($F1463&lt;$C$1427,$F$1427+$J$1427*($F1463-$B$1427),$G$1427+$K$1427*($F1463-$C$1427)))</f>
        <v/>
      </c>
      <c r="P1463" s="208">
        <f>MIN(1,MAX(0,(nr_MEndPm1-$G1463+0.5)/$C$1426))-MIN(1,MAX(0,(nr_MStartPm1-1-$G1463+0.5)/$C$1426))</f>
        <v/>
      </c>
      <c r="Q1463" s="208">
        <f>MIN(1,MAX(0,(nr_MEndP-$G1463+0.5)/$C$1426))-MIN(1,MAX(0,(nr_MStartP-1-$G1463+0.5)/$C$1426))</f>
        <v/>
      </c>
      <c r="R1463" s="208">
        <f>MIN(1,MAX(0,(nr_MEndP1-$G1463+0.5)/$C$1426))-MIN(1,MAX(0,(nr_MStartP1-1-$G1463+0.5)/$C$1426))</f>
        <v/>
      </c>
      <c r="S1463" s="208">
        <f>IF($L$1426,$N1463*IF($O$1426=1,$O1463/$F$1426,1),"")</f>
        <v/>
      </c>
      <c r="T1463" s="208">
        <f>IF(NOT($L$1426),"",IF($G1463&lt;nr_MStartP,$S1463,$T1451*(1+IF($G1463&lt;nr_MStartP1,$M$1426,$N$1426))))</f>
        <v/>
      </c>
      <c r="U1463" s="208">
        <f>IF($L$1426,$T1463,$N1463)</f>
        <v/>
      </c>
    </row>
    <row r="1464">
      <c r="A1464" s="145" t="n">
        <v>36</v>
      </c>
      <c r="B1464" s="204">
        <f>EDATE($B1463,1)</f>
        <v/>
      </c>
      <c r="C1464" s="205">
        <f>EOMONTH($B1464,0)</f>
        <v/>
      </c>
      <c r="D1464" s="201">
        <f>$C1464-$B1464+1</f>
        <v/>
      </c>
      <c r="E1464" s="201">
        <f>MONTH($B1464)</f>
        <v/>
      </c>
      <c r="F1464" s="235">
        <f>($B1464+$C1464+1)/2</f>
        <v/>
      </c>
      <c r="G1464" s="201">
        <f>YEAR($B1464)*12+MONTH($B1464)-1</f>
        <v/>
      </c>
      <c r="H1464" s="207">
        <f>IF(OR(nr_SeasonOn="OFF",$D$1426=0,$E$1426=0),1,12*INDEX(se_block,$D$1426,$E1464)/$E$1426)</f>
        <v/>
      </c>
      <c r="I1464" s="208">
        <f>EXP(SUMPRODUCT((rl_eff&lt;$B1464)*(rl_key=$A$1426)*rl_ln1p))</f>
        <v/>
      </c>
      <c r="J1464" s="208">
        <f>EXP(SUMPRODUCT((rl_eff&lt;=$C1464)*(rl_key=$A$1426)*rl_ln1p))</f>
        <v/>
      </c>
      <c r="K1464" s="201">
        <f>COUNTIFS(rl_key,$A$1426,rl_eff,"&gt;="&amp;$B1464,rl_eff,"&lt;="&amp;$C1464)</f>
        <v/>
      </c>
      <c r="L1464" s="201">
        <f>SUMIFS(rl_daysafter,rl_key,$A$1426,rl_effmonth,$B1464,rl_first,1)</f>
        <v/>
      </c>
      <c r="M1464" s="209">
        <f>IF($K1464=0,0,MIN(1,$L1464/$D1464))</f>
        <v/>
      </c>
      <c r="N1464" s="208">
        <f>IF($K1464=0,$J1464,(1-$M1464)*$I1464+$M1464*$J1464)</f>
        <v/>
      </c>
      <c r="O1464" s="209">
        <f>IF($F1464&lt;$B$1427,$E$1427+$I$1427*($F1464-$A$1427),IF($F1464&lt;$C$1427,$F$1427+$J$1427*($F1464-$B$1427),$G$1427+$K$1427*($F1464-$C$1427)))</f>
        <v/>
      </c>
      <c r="P1464" s="208">
        <f>MIN(1,MAX(0,(nr_MEndPm1-$G1464+0.5)/$C$1426))-MIN(1,MAX(0,(nr_MStartPm1-1-$G1464+0.5)/$C$1426))</f>
        <v/>
      </c>
      <c r="Q1464" s="208">
        <f>MIN(1,MAX(0,(nr_MEndP-$G1464+0.5)/$C$1426))-MIN(1,MAX(0,(nr_MStartP-1-$G1464+0.5)/$C$1426))</f>
        <v/>
      </c>
      <c r="R1464" s="208">
        <f>MIN(1,MAX(0,(nr_MEndP1-$G1464+0.5)/$C$1426))-MIN(1,MAX(0,(nr_MStartP1-1-$G1464+0.5)/$C$1426))</f>
        <v/>
      </c>
      <c r="S1464" s="208">
        <f>IF($L$1426,$N1464*IF($O$1426=1,$O1464/$F$1426,1),"")</f>
        <v/>
      </c>
      <c r="T1464" s="208">
        <f>IF(NOT($L$1426),"",IF($G1464&lt;nr_MStartP,$S1464,$T1452*(1+IF($G1464&lt;nr_MStartP1,$M$1426,$N$1426))))</f>
        <v/>
      </c>
      <c r="U1464" s="208">
        <f>IF($L$1426,$T1464,$N1464)</f>
        <v/>
      </c>
    </row>
    <row r="1465">
      <c r="A1465" s="145" t="n">
        <v>37</v>
      </c>
      <c r="B1465" s="204">
        <f>EDATE($B1464,1)</f>
        <v/>
      </c>
      <c r="C1465" s="205">
        <f>EOMONTH($B1465,0)</f>
        <v/>
      </c>
      <c r="D1465" s="201">
        <f>$C1465-$B1465+1</f>
        <v/>
      </c>
      <c r="E1465" s="201">
        <f>MONTH($B1465)</f>
        <v/>
      </c>
      <c r="F1465" s="235">
        <f>($B1465+$C1465+1)/2</f>
        <v/>
      </c>
      <c r="G1465" s="201">
        <f>YEAR($B1465)*12+MONTH($B1465)-1</f>
        <v/>
      </c>
      <c r="H1465" s="207">
        <f>IF(OR(nr_SeasonOn="OFF",$D$1426=0,$E$1426=0),1,12*INDEX(se_block,$D$1426,$E1465)/$E$1426)</f>
        <v/>
      </c>
      <c r="I1465" s="208">
        <f>EXP(SUMPRODUCT((rl_eff&lt;$B1465)*(rl_key=$A$1426)*rl_ln1p))</f>
        <v/>
      </c>
      <c r="J1465" s="208">
        <f>EXP(SUMPRODUCT((rl_eff&lt;=$C1465)*(rl_key=$A$1426)*rl_ln1p))</f>
        <v/>
      </c>
      <c r="K1465" s="201">
        <f>COUNTIFS(rl_key,$A$1426,rl_eff,"&gt;="&amp;$B1465,rl_eff,"&lt;="&amp;$C1465)</f>
        <v/>
      </c>
      <c r="L1465" s="201">
        <f>SUMIFS(rl_daysafter,rl_key,$A$1426,rl_effmonth,$B1465,rl_first,1)</f>
        <v/>
      </c>
      <c r="M1465" s="209">
        <f>IF($K1465=0,0,MIN(1,$L1465/$D1465))</f>
        <v/>
      </c>
      <c r="N1465" s="208">
        <f>IF($K1465=0,$J1465,(1-$M1465)*$I1465+$M1465*$J1465)</f>
        <v/>
      </c>
      <c r="O1465" s="209">
        <f>IF($F1465&lt;$B$1427,$E$1427+$I$1427*($F1465-$A$1427),IF($F1465&lt;$C$1427,$F$1427+$J$1427*($F1465-$B$1427),$G$1427+$K$1427*($F1465-$C$1427)))</f>
        <v/>
      </c>
      <c r="P1465" s="208">
        <f>MIN(1,MAX(0,(nr_MEndPm1-$G1465+0.5)/$C$1426))-MIN(1,MAX(0,(nr_MStartPm1-1-$G1465+0.5)/$C$1426))</f>
        <v/>
      </c>
      <c r="Q1465" s="208">
        <f>MIN(1,MAX(0,(nr_MEndP-$G1465+0.5)/$C$1426))-MIN(1,MAX(0,(nr_MStartP-1-$G1465+0.5)/$C$1426))</f>
        <v/>
      </c>
      <c r="R1465" s="208">
        <f>MIN(1,MAX(0,(nr_MEndP1-$G1465+0.5)/$C$1426))-MIN(1,MAX(0,(nr_MStartP1-1-$G1465+0.5)/$C$1426))</f>
        <v/>
      </c>
      <c r="S1465" s="208">
        <f>IF($L$1426,$N1465*IF($O$1426=1,$O1465/$F$1426,1),"")</f>
        <v/>
      </c>
      <c r="T1465" s="208">
        <f>IF(NOT($L$1426),"",IF($G1465&lt;nr_MStartP,$S1465,$T1453*(1+IF($G1465&lt;nr_MStartP1,$M$1426,$N$1426))))</f>
        <v/>
      </c>
      <c r="U1465" s="208">
        <f>IF($L$1426,$T1465,$N1465)</f>
        <v/>
      </c>
    </row>
    <row r="1466">
      <c r="A1466" s="145" t="n">
        <v>38</v>
      </c>
      <c r="B1466" s="204">
        <f>EDATE($B1465,1)</f>
        <v/>
      </c>
      <c r="C1466" s="205">
        <f>EOMONTH($B1466,0)</f>
        <v/>
      </c>
      <c r="D1466" s="201">
        <f>$C1466-$B1466+1</f>
        <v/>
      </c>
      <c r="E1466" s="201">
        <f>MONTH($B1466)</f>
        <v/>
      </c>
      <c r="F1466" s="235">
        <f>($B1466+$C1466+1)/2</f>
        <v/>
      </c>
      <c r="G1466" s="201">
        <f>YEAR($B1466)*12+MONTH($B1466)-1</f>
        <v/>
      </c>
      <c r="H1466" s="207">
        <f>IF(OR(nr_SeasonOn="OFF",$D$1426=0,$E$1426=0),1,12*INDEX(se_block,$D$1426,$E1466)/$E$1426)</f>
        <v/>
      </c>
      <c r="I1466" s="208">
        <f>EXP(SUMPRODUCT((rl_eff&lt;$B1466)*(rl_key=$A$1426)*rl_ln1p))</f>
        <v/>
      </c>
      <c r="J1466" s="208">
        <f>EXP(SUMPRODUCT((rl_eff&lt;=$C1466)*(rl_key=$A$1426)*rl_ln1p))</f>
        <v/>
      </c>
      <c r="K1466" s="201">
        <f>COUNTIFS(rl_key,$A$1426,rl_eff,"&gt;="&amp;$B1466,rl_eff,"&lt;="&amp;$C1466)</f>
        <v/>
      </c>
      <c r="L1466" s="201">
        <f>SUMIFS(rl_daysafter,rl_key,$A$1426,rl_effmonth,$B1466,rl_first,1)</f>
        <v/>
      </c>
      <c r="M1466" s="209">
        <f>IF($K1466=0,0,MIN(1,$L1466/$D1466))</f>
        <v/>
      </c>
      <c r="N1466" s="208">
        <f>IF($K1466=0,$J1466,(1-$M1466)*$I1466+$M1466*$J1466)</f>
        <v/>
      </c>
      <c r="O1466" s="209">
        <f>IF($F1466&lt;$B$1427,$E$1427+$I$1427*($F1466-$A$1427),IF($F1466&lt;$C$1427,$F$1427+$J$1427*($F1466-$B$1427),$G$1427+$K$1427*($F1466-$C$1427)))</f>
        <v/>
      </c>
      <c r="P1466" s="208">
        <f>MIN(1,MAX(0,(nr_MEndPm1-$G1466+0.5)/$C$1426))-MIN(1,MAX(0,(nr_MStartPm1-1-$G1466+0.5)/$C$1426))</f>
        <v/>
      </c>
      <c r="Q1466" s="208">
        <f>MIN(1,MAX(0,(nr_MEndP-$G1466+0.5)/$C$1426))-MIN(1,MAX(0,(nr_MStartP-1-$G1466+0.5)/$C$1426))</f>
        <v/>
      </c>
      <c r="R1466" s="208">
        <f>MIN(1,MAX(0,(nr_MEndP1-$G1466+0.5)/$C$1426))-MIN(1,MAX(0,(nr_MStartP1-1-$G1466+0.5)/$C$1426))</f>
        <v/>
      </c>
      <c r="S1466" s="208">
        <f>IF($L$1426,$N1466*IF($O$1426=1,$O1466/$F$1426,1),"")</f>
        <v/>
      </c>
      <c r="T1466" s="208">
        <f>IF(NOT($L$1426),"",IF($G1466&lt;nr_MStartP,$S1466,$T1454*(1+IF($G1466&lt;nr_MStartP1,$M$1426,$N$1426))))</f>
        <v/>
      </c>
      <c r="U1466" s="208">
        <f>IF($L$1426,$T1466,$N1466)</f>
        <v/>
      </c>
    </row>
    <row r="1467">
      <c r="A1467" s="145" t="n">
        <v>39</v>
      </c>
      <c r="B1467" s="204">
        <f>EDATE($B1466,1)</f>
        <v/>
      </c>
      <c r="C1467" s="205">
        <f>EOMONTH($B1467,0)</f>
        <v/>
      </c>
      <c r="D1467" s="201">
        <f>$C1467-$B1467+1</f>
        <v/>
      </c>
      <c r="E1467" s="201">
        <f>MONTH($B1467)</f>
        <v/>
      </c>
      <c r="F1467" s="235">
        <f>($B1467+$C1467+1)/2</f>
        <v/>
      </c>
      <c r="G1467" s="201">
        <f>YEAR($B1467)*12+MONTH($B1467)-1</f>
        <v/>
      </c>
      <c r="H1467" s="207">
        <f>IF(OR(nr_SeasonOn="OFF",$D$1426=0,$E$1426=0),1,12*INDEX(se_block,$D$1426,$E1467)/$E$1426)</f>
        <v/>
      </c>
      <c r="I1467" s="208">
        <f>EXP(SUMPRODUCT((rl_eff&lt;$B1467)*(rl_key=$A$1426)*rl_ln1p))</f>
        <v/>
      </c>
      <c r="J1467" s="208">
        <f>EXP(SUMPRODUCT((rl_eff&lt;=$C1467)*(rl_key=$A$1426)*rl_ln1p))</f>
        <v/>
      </c>
      <c r="K1467" s="201">
        <f>COUNTIFS(rl_key,$A$1426,rl_eff,"&gt;="&amp;$B1467,rl_eff,"&lt;="&amp;$C1467)</f>
        <v/>
      </c>
      <c r="L1467" s="201">
        <f>SUMIFS(rl_daysafter,rl_key,$A$1426,rl_effmonth,$B1467,rl_first,1)</f>
        <v/>
      </c>
      <c r="M1467" s="209">
        <f>IF($K1467=0,0,MIN(1,$L1467/$D1467))</f>
        <v/>
      </c>
      <c r="N1467" s="208">
        <f>IF($K1467=0,$J1467,(1-$M1467)*$I1467+$M1467*$J1467)</f>
        <v/>
      </c>
      <c r="O1467" s="209">
        <f>IF($F1467&lt;$B$1427,$E$1427+$I$1427*($F1467-$A$1427),IF($F1467&lt;$C$1427,$F$1427+$J$1427*($F1467-$B$1427),$G$1427+$K$1427*($F1467-$C$1427)))</f>
        <v/>
      </c>
      <c r="P1467" s="208">
        <f>MIN(1,MAX(0,(nr_MEndPm1-$G1467+0.5)/$C$1426))-MIN(1,MAX(0,(nr_MStartPm1-1-$G1467+0.5)/$C$1426))</f>
        <v/>
      </c>
      <c r="Q1467" s="208">
        <f>MIN(1,MAX(0,(nr_MEndP-$G1467+0.5)/$C$1426))-MIN(1,MAX(0,(nr_MStartP-1-$G1467+0.5)/$C$1426))</f>
        <v/>
      </c>
      <c r="R1467" s="208">
        <f>MIN(1,MAX(0,(nr_MEndP1-$G1467+0.5)/$C$1426))-MIN(1,MAX(0,(nr_MStartP1-1-$G1467+0.5)/$C$1426))</f>
        <v/>
      </c>
      <c r="S1467" s="208">
        <f>IF($L$1426,$N1467*IF($O$1426=1,$O1467/$F$1426,1),"")</f>
        <v/>
      </c>
      <c r="T1467" s="208">
        <f>IF(NOT($L$1426),"",IF($G1467&lt;nr_MStartP,$S1467,$T1455*(1+IF($G1467&lt;nr_MStartP1,$M$1426,$N$1426))))</f>
        <v/>
      </c>
      <c r="U1467" s="208">
        <f>IF($L$1426,$T1467,$N1467)</f>
        <v/>
      </c>
    </row>
    <row r="1468">
      <c r="A1468" s="145" t="n">
        <v>40</v>
      </c>
      <c r="B1468" s="204">
        <f>EDATE($B1467,1)</f>
        <v/>
      </c>
      <c r="C1468" s="205">
        <f>EOMONTH($B1468,0)</f>
        <v/>
      </c>
      <c r="D1468" s="201">
        <f>$C1468-$B1468+1</f>
        <v/>
      </c>
      <c r="E1468" s="201">
        <f>MONTH($B1468)</f>
        <v/>
      </c>
      <c r="F1468" s="235">
        <f>($B1468+$C1468+1)/2</f>
        <v/>
      </c>
      <c r="G1468" s="201">
        <f>YEAR($B1468)*12+MONTH($B1468)-1</f>
        <v/>
      </c>
      <c r="H1468" s="207">
        <f>IF(OR(nr_SeasonOn="OFF",$D$1426=0,$E$1426=0),1,12*INDEX(se_block,$D$1426,$E1468)/$E$1426)</f>
        <v/>
      </c>
      <c r="I1468" s="208">
        <f>EXP(SUMPRODUCT((rl_eff&lt;$B1468)*(rl_key=$A$1426)*rl_ln1p))</f>
        <v/>
      </c>
      <c r="J1468" s="208">
        <f>EXP(SUMPRODUCT((rl_eff&lt;=$C1468)*(rl_key=$A$1426)*rl_ln1p))</f>
        <v/>
      </c>
      <c r="K1468" s="201">
        <f>COUNTIFS(rl_key,$A$1426,rl_eff,"&gt;="&amp;$B1468,rl_eff,"&lt;="&amp;$C1468)</f>
        <v/>
      </c>
      <c r="L1468" s="201">
        <f>SUMIFS(rl_daysafter,rl_key,$A$1426,rl_effmonth,$B1468,rl_first,1)</f>
        <v/>
      </c>
      <c r="M1468" s="209">
        <f>IF($K1468=0,0,MIN(1,$L1468/$D1468))</f>
        <v/>
      </c>
      <c r="N1468" s="208">
        <f>IF($K1468=0,$J1468,(1-$M1468)*$I1468+$M1468*$J1468)</f>
        <v/>
      </c>
      <c r="O1468" s="209">
        <f>IF($F1468&lt;$B$1427,$E$1427+$I$1427*($F1468-$A$1427),IF($F1468&lt;$C$1427,$F$1427+$J$1427*($F1468-$B$1427),$G$1427+$K$1427*($F1468-$C$1427)))</f>
        <v/>
      </c>
      <c r="P1468" s="208">
        <f>MIN(1,MAX(0,(nr_MEndPm1-$G1468+0.5)/$C$1426))-MIN(1,MAX(0,(nr_MStartPm1-1-$G1468+0.5)/$C$1426))</f>
        <v/>
      </c>
      <c r="Q1468" s="208">
        <f>MIN(1,MAX(0,(nr_MEndP-$G1468+0.5)/$C$1426))-MIN(1,MAX(0,(nr_MStartP-1-$G1468+0.5)/$C$1426))</f>
        <v/>
      </c>
      <c r="R1468" s="208">
        <f>MIN(1,MAX(0,(nr_MEndP1-$G1468+0.5)/$C$1426))-MIN(1,MAX(0,(nr_MStartP1-1-$G1468+0.5)/$C$1426))</f>
        <v/>
      </c>
      <c r="S1468" s="208">
        <f>IF($L$1426,$N1468*IF($O$1426=1,$O1468/$F$1426,1),"")</f>
        <v/>
      </c>
      <c r="T1468" s="208">
        <f>IF(NOT($L$1426),"",IF($G1468&lt;nr_MStartP,$S1468,$T1456*(1+IF($G1468&lt;nr_MStartP1,$M$1426,$N$1426))))</f>
        <v/>
      </c>
      <c r="U1468" s="208">
        <f>IF($L$1426,$T1468,$N1468)</f>
        <v/>
      </c>
    </row>
    <row r="1469">
      <c r="A1469" s="145" t="n">
        <v>41</v>
      </c>
      <c r="B1469" s="204">
        <f>EDATE($B1468,1)</f>
        <v/>
      </c>
      <c r="C1469" s="205">
        <f>EOMONTH($B1469,0)</f>
        <v/>
      </c>
      <c r="D1469" s="201">
        <f>$C1469-$B1469+1</f>
        <v/>
      </c>
      <c r="E1469" s="201">
        <f>MONTH($B1469)</f>
        <v/>
      </c>
      <c r="F1469" s="235">
        <f>($B1469+$C1469+1)/2</f>
        <v/>
      </c>
      <c r="G1469" s="201">
        <f>YEAR($B1469)*12+MONTH($B1469)-1</f>
        <v/>
      </c>
      <c r="H1469" s="207">
        <f>IF(OR(nr_SeasonOn="OFF",$D$1426=0,$E$1426=0),1,12*INDEX(se_block,$D$1426,$E1469)/$E$1426)</f>
        <v/>
      </c>
      <c r="I1469" s="208">
        <f>EXP(SUMPRODUCT((rl_eff&lt;$B1469)*(rl_key=$A$1426)*rl_ln1p))</f>
        <v/>
      </c>
      <c r="J1469" s="208">
        <f>EXP(SUMPRODUCT((rl_eff&lt;=$C1469)*(rl_key=$A$1426)*rl_ln1p))</f>
        <v/>
      </c>
      <c r="K1469" s="201">
        <f>COUNTIFS(rl_key,$A$1426,rl_eff,"&gt;="&amp;$B1469,rl_eff,"&lt;="&amp;$C1469)</f>
        <v/>
      </c>
      <c r="L1469" s="201">
        <f>SUMIFS(rl_daysafter,rl_key,$A$1426,rl_effmonth,$B1469,rl_first,1)</f>
        <v/>
      </c>
      <c r="M1469" s="209">
        <f>IF($K1469=0,0,MIN(1,$L1469/$D1469))</f>
        <v/>
      </c>
      <c r="N1469" s="208">
        <f>IF($K1469=0,$J1469,(1-$M1469)*$I1469+$M1469*$J1469)</f>
        <v/>
      </c>
      <c r="O1469" s="209">
        <f>IF($F1469&lt;$B$1427,$E$1427+$I$1427*($F1469-$A$1427),IF($F1469&lt;$C$1427,$F$1427+$J$1427*($F1469-$B$1427),$G$1427+$K$1427*($F1469-$C$1427)))</f>
        <v/>
      </c>
      <c r="P1469" s="208">
        <f>MIN(1,MAX(0,(nr_MEndPm1-$G1469+0.5)/$C$1426))-MIN(1,MAX(0,(nr_MStartPm1-1-$G1469+0.5)/$C$1426))</f>
        <v/>
      </c>
      <c r="Q1469" s="208">
        <f>MIN(1,MAX(0,(nr_MEndP-$G1469+0.5)/$C$1426))-MIN(1,MAX(0,(nr_MStartP-1-$G1469+0.5)/$C$1426))</f>
        <v/>
      </c>
      <c r="R1469" s="208">
        <f>MIN(1,MAX(0,(nr_MEndP1-$G1469+0.5)/$C$1426))-MIN(1,MAX(0,(nr_MStartP1-1-$G1469+0.5)/$C$1426))</f>
        <v/>
      </c>
      <c r="S1469" s="208">
        <f>IF($L$1426,$N1469*IF($O$1426=1,$O1469/$F$1426,1),"")</f>
        <v/>
      </c>
      <c r="T1469" s="208">
        <f>IF(NOT($L$1426),"",IF($G1469&lt;nr_MStartP,$S1469,$T1457*(1+IF($G1469&lt;nr_MStartP1,$M$1426,$N$1426))))</f>
        <v/>
      </c>
      <c r="U1469" s="208">
        <f>IF($L$1426,$T1469,$N1469)</f>
        <v/>
      </c>
    </row>
    <row r="1470">
      <c r="A1470" s="145" t="n">
        <v>42</v>
      </c>
      <c r="B1470" s="204">
        <f>EDATE($B1469,1)</f>
        <v/>
      </c>
      <c r="C1470" s="205">
        <f>EOMONTH($B1470,0)</f>
        <v/>
      </c>
      <c r="D1470" s="201">
        <f>$C1470-$B1470+1</f>
        <v/>
      </c>
      <c r="E1470" s="201">
        <f>MONTH($B1470)</f>
        <v/>
      </c>
      <c r="F1470" s="235">
        <f>($B1470+$C1470+1)/2</f>
        <v/>
      </c>
      <c r="G1470" s="201">
        <f>YEAR($B1470)*12+MONTH($B1470)-1</f>
        <v/>
      </c>
      <c r="H1470" s="207">
        <f>IF(OR(nr_SeasonOn="OFF",$D$1426=0,$E$1426=0),1,12*INDEX(se_block,$D$1426,$E1470)/$E$1426)</f>
        <v/>
      </c>
      <c r="I1470" s="208">
        <f>EXP(SUMPRODUCT((rl_eff&lt;$B1470)*(rl_key=$A$1426)*rl_ln1p))</f>
        <v/>
      </c>
      <c r="J1470" s="208">
        <f>EXP(SUMPRODUCT((rl_eff&lt;=$C1470)*(rl_key=$A$1426)*rl_ln1p))</f>
        <v/>
      </c>
      <c r="K1470" s="201">
        <f>COUNTIFS(rl_key,$A$1426,rl_eff,"&gt;="&amp;$B1470,rl_eff,"&lt;="&amp;$C1470)</f>
        <v/>
      </c>
      <c r="L1470" s="201">
        <f>SUMIFS(rl_daysafter,rl_key,$A$1426,rl_effmonth,$B1470,rl_first,1)</f>
        <v/>
      </c>
      <c r="M1470" s="209">
        <f>IF($K1470=0,0,MIN(1,$L1470/$D1470))</f>
        <v/>
      </c>
      <c r="N1470" s="208">
        <f>IF($K1470=0,$J1470,(1-$M1470)*$I1470+$M1470*$J1470)</f>
        <v/>
      </c>
      <c r="O1470" s="209">
        <f>IF($F1470&lt;$B$1427,$E$1427+$I$1427*($F1470-$A$1427),IF($F1470&lt;$C$1427,$F$1427+$J$1427*($F1470-$B$1427),$G$1427+$K$1427*($F1470-$C$1427)))</f>
        <v/>
      </c>
      <c r="P1470" s="208">
        <f>MIN(1,MAX(0,(nr_MEndPm1-$G1470+0.5)/$C$1426))-MIN(1,MAX(0,(nr_MStartPm1-1-$G1470+0.5)/$C$1426))</f>
        <v/>
      </c>
      <c r="Q1470" s="208">
        <f>MIN(1,MAX(0,(nr_MEndP-$G1470+0.5)/$C$1426))-MIN(1,MAX(0,(nr_MStartP-1-$G1470+0.5)/$C$1426))</f>
        <v/>
      </c>
      <c r="R1470" s="208">
        <f>MIN(1,MAX(0,(nr_MEndP1-$G1470+0.5)/$C$1426))-MIN(1,MAX(0,(nr_MStartP1-1-$G1470+0.5)/$C$1426))</f>
        <v/>
      </c>
      <c r="S1470" s="208">
        <f>IF($L$1426,$N1470*IF($O$1426=1,$O1470/$F$1426,1),"")</f>
        <v/>
      </c>
      <c r="T1470" s="208">
        <f>IF(NOT($L$1426),"",IF($G1470&lt;nr_MStartP,$S1470,$T1458*(1+IF($G1470&lt;nr_MStartP1,$M$1426,$N$1426))))</f>
        <v/>
      </c>
      <c r="U1470" s="208">
        <f>IF($L$1426,$T1470,$N1470)</f>
        <v/>
      </c>
    </row>
    <row r="1471">
      <c r="A1471" s="145" t="n">
        <v>43</v>
      </c>
      <c r="B1471" s="204">
        <f>EDATE($B1470,1)</f>
        <v/>
      </c>
      <c r="C1471" s="205">
        <f>EOMONTH($B1471,0)</f>
        <v/>
      </c>
      <c r="D1471" s="201">
        <f>$C1471-$B1471+1</f>
        <v/>
      </c>
      <c r="E1471" s="201">
        <f>MONTH($B1471)</f>
        <v/>
      </c>
      <c r="F1471" s="235">
        <f>($B1471+$C1471+1)/2</f>
        <v/>
      </c>
      <c r="G1471" s="201">
        <f>YEAR($B1471)*12+MONTH($B1471)-1</f>
        <v/>
      </c>
      <c r="H1471" s="207">
        <f>IF(OR(nr_SeasonOn="OFF",$D$1426=0,$E$1426=0),1,12*INDEX(se_block,$D$1426,$E1471)/$E$1426)</f>
        <v/>
      </c>
      <c r="I1471" s="208">
        <f>EXP(SUMPRODUCT((rl_eff&lt;$B1471)*(rl_key=$A$1426)*rl_ln1p))</f>
        <v/>
      </c>
      <c r="J1471" s="208">
        <f>EXP(SUMPRODUCT((rl_eff&lt;=$C1471)*(rl_key=$A$1426)*rl_ln1p))</f>
        <v/>
      </c>
      <c r="K1471" s="201">
        <f>COUNTIFS(rl_key,$A$1426,rl_eff,"&gt;="&amp;$B1471,rl_eff,"&lt;="&amp;$C1471)</f>
        <v/>
      </c>
      <c r="L1471" s="201">
        <f>SUMIFS(rl_daysafter,rl_key,$A$1426,rl_effmonth,$B1471,rl_first,1)</f>
        <v/>
      </c>
      <c r="M1471" s="209">
        <f>IF($K1471=0,0,MIN(1,$L1471/$D1471))</f>
        <v/>
      </c>
      <c r="N1471" s="208">
        <f>IF($K1471=0,$J1471,(1-$M1471)*$I1471+$M1471*$J1471)</f>
        <v/>
      </c>
      <c r="O1471" s="209">
        <f>IF($F1471&lt;$B$1427,$E$1427+$I$1427*($F1471-$A$1427),IF($F1471&lt;$C$1427,$F$1427+$J$1427*($F1471-$B$1427),$G$1427+$K$1427*($F1471-$C$1427)))</f>
        <v/>
      </c>
      <c r="P1471" s="208">
        <f>MIN(1,MAX(0,(nr_MEndPm1-$G1471+0.5)/$C$1426))-MIN(1,MAX(0,(nr_MStartPm1-1-$G1471+0.5)/$C$1426))</f>
        <v/>
      </c>
      <c r="Q1471" s="208">
        <f>MIN(1,MAX(0,(nr_MEndP-$G1471+0.5)/$C$1426))-MIN(1,MAX(0,(nr_MStartP-1-$G1471+0.5)/$C$1426))</f>
        <v/>
      </c>
      <c r="R1471" s="208">
        <f>MIN(1,MAX(0,(nr_MEndP1-$G1471+0.5)/$C$1426))-MIN(1,MAX(0,(nr_MStartP1-1-$G1471+0.5)/$C$1426))</f>
        <v/>
      </c>
      <c r="S1471" s="208">
        <f>IF($L$1426,$N1471*IF($O$1426=1,$O1471/$F$1426,1),"")</f>
        <v/>
      </c>
      <c r="T1471" s="208">
        <f>IF(NOT($L$1426),"",IF($G1471&lt;nr_MStartP,$S1471,$T1459*(1+IF($G1471&lt;nr_MStartP1,$M$1426,$N$1426))))</f>
        <v/>
      </c>
      <c r="U1471" s="208">
        <f>IF($L$1426,$T1471,$N1471)</f>
        <v/>
      </c>
    </row>
    <row r="1472">
      <c r="A1472" s="145" t="n">
        <v>44</v>
      </c>
      <c r="B1472" s="204">
        <f>EDATE($B1471,1)</f>
        <v/>
      </c>
      <c r="C1472" s="205">
        <f>EOMONTH($B1472,0)</f>
        <v/>
      </c>
      <c r="D1472" s="201">
        <f>$C1472-$B1472+1</f>
        <v/>
      </c>
      <c r="E1472" s="201">
        <f>MONTH($B1472)</f>
        <v/>
      </c>
      <c r="F1472" s="235">
        <f>($B1472+$C1472+1)/2</f>
        <v/>
      </c>
      <c r="G1472" s="201">
        <f>YEAR($B1472)*12+MONTH($B1472)-1</f>
        <v/>
      </c>
      <c r="H1472" s="207">
        <f>IF(OR(nr_SeasonOn="OFF",$D$1426=0,$E$1426=0),1,12*INDEX(se_block,$D$1426,$E1472)/$E$1426)</f>
        <v/>
      </c>
      <c r="I1472" s="208">
        <f>EXP(SUMPRODUCT((rl_eff&lt;$B1472)*(rl_key=$A$1426)*rl_ln1p))</f>
        <v/>
      </c>
      <c r="J1472" s="208">
        <f>EXP(SUMPRODUCT((rl_eff&lt;=$C1472)*(rl_key=$A$1426)*rl_ln1p))</f>
        <v/>
      </c>
      <c r="K1472" s="201">
        <f>COUNTIFS(rl_key,$A$1426,rl_eff,"&gt;="&amp;$B1472,rl_eff,"&lt;="&amp;$C1472)</f>
        <v/>
      </c>
      <c r="L1472" s="201">
        <f>SUMIFS(rl_daysafter,rl_key,$A$1426,rl_effmonth,$B1472,rl_first,1)</f>
        <v/>
      </c>
      <c r="M1472" s="209">
        <f>IF($K1472=0,0,MIN(1,$L1472/$D1472))</f>
        <v/>
      </c>
      <c r="N1472" s="208">
        <f>IF($K1472=0,$J1472,(1-$M1472)*$I1472+$M1472*$J1472)</f>
        <v/>
      </c>
      <c r="O1472" s="209">
        <f>IF($F1472&lt;$B$1427,$E$1427+$I$1427*($F1472-$A$1427),IF($F1472&lt;$C$1427,$F$1427+$J$1427*($F1472-$B$1427),$G$1427+$K$1427*($F1472-$C$1427)))</f>
        <v/>
      </c>
      <c r="P1472" s="208">
        <f>MIN(1,MAX(0,(nr_MEndPm1-$G1472+0.5)/$C$1426))-MIN(1,MAX(0,(nr_MStartPm1-1-$G1472+0.5)/$C$1426))</f>
        <v/>
      </c>
      <c r="Q1472" s="208">
        <f>MIN(1,MAX(0,(nr_MEndP-$G1472+0.5)/$C$1426))-MIN(1,MAX(0,(nr_MStartP-1-$G1472+0.5)/$C$1426))</f>
        <v/>
      </c>
      <c r="R1472" s="208">
        <f>MIN(1,MAX(0,(nr_MEndP1-$G1472+0.5)/$C$1426))-MIN(1,MAX(0,(nr_MStartP1-1-$G1472+0.5)/$C$1426))</f>
        <v/>
      </c>
      <c r="S1472" s="208">
        <f>IF($L$1426,$N1472*IF($O$1426=1,$O1472/$F$1426,1),"")</f>
        <v/>
      </c>
      <c r="T1472" s="208">
        <f>IF(NOT($L$1426),"",IF($G1472&lt;nr_MStartP,$S1472,$T1460*(1+IF($G1472&lt;nr_MStartP1,$M$1426,$N$1426))))</f>
        <v/>
      </c>
      <c r="U1472" s="208">
        <f>IF($L$1426,$T1472,$N1472)</f>
        <v/>
      </c>
    </row>
    <row r="1473">
      <c r="A1473" s="145" t="n">
        <v>45</v>
      </c>
      <c r="B1473" s="204">
        <f>EDATE($B1472,1)</f>
        <v/>
      </c>
      <c r="C1473" s="205">
        <f>EOMONTH($B1473,0)</f>
        <v/>
      </c>
      <c r="D1473" s="201">
        <f>$C1473-$B1473+1</f>
        <v/>
      </c>
      <c r="E1473" s="201">
        <f>MONTH($B1473)</f>
        <v/>
      </c>
      <c r="F1473" s="235">
        <f>($B1473+$C1473+1)/2</f>
        <v/>
      </c>
      <c r="G1473" s="201">
        <f>YEAR($B1473)*12+MONTH($B1473)-1</f>
        <v/>
      </c>
      <c r="H1473" s="207">
        <f>IF(OR(nr_SeasonOn="OFF",$D$1426=0,$E$1426=0),1,12*INDEX(se_block,$D$1426,$E1473)/$E$1426)</f>
        <v/>
      </c>
      <c r="I1473" s="208">
        <f>EXP(SUMPRODUCT((rl_eff&lt;$B1473)*(rl_key=$A$1426)*rl_ln1p))</f>
        <v/>
      </c>
      <c r="J1473" s="208">
        <f>EXP(SUMPRODUCT((rl_eff&lt;=$C1473)*(rl_key=$A$1426)*rl_ln1p))</f>
        <v/>
      </c>
      <c r="K1473" s="201">
        <f>COUNTIFS(rl_key,$A$1426,rl_eff,"&gt;="&amp;$B1473,rl_eff,"&lt;="&amp;$C1473)</f>
        <v/>
      </c>
      <c r="L1473" s="201">
        <f>SUMIFS(rl_daysafter,rl_key,$A$1426,rl_effmonth,$B1473,rl_first,1)</f>
        <v/>
      </c>
      <c r="M1473" s="209">
        <f>IF($K1473=0,0,MIN(1,$L1473/$D1473))</f>
        <v/>
      </c>
      <c r="N1473" s="208">
        <f>IF($K1473=0,$J1473,(1-$M1473)*$I1473+$M1473*$J1473)</f>
        <v/>
      </c>
      <c r="O1473" s="209">
        <f>IF($F1473&lt;$B$1427,$E$1427+$I$1427*($F1473-$A$1427),IF($F1473&lt;$C$1427,$F$1427+$J$1427*($F1473-$B$1427),$G$1427+$K$1427*($F1473-$C$1427)))</f>
        <v/>
      </c>
      <c r="P1473" s="208">
        <f>MIN(1,MAX(0,(nr_MEndPm1-$G1473+0.5)/$C$1426))-MIN(1,MAX(0,(nr_MStartPm1-1-$G1473+0.5)/$C$1426))</f>
        <v/>
      </c>
      <c r="Q1473" s="208">
        <f>MIN(1,MAX(0,(nr_MEndP-$G1473+0.5)/$C$1426))-MIN(1,MAX(0,(nr_MStartP-1-$G1473+0.5)/$C$1426))</f>
        <v/>
      </c>
      <c r="R1473" s="208">
        <f>MIN(1,MAX(0,(nr_MEndP1-$G1473+0.5)/$C$1426))-MIN(1,MAX(0,(nr_MStartP1-1-$G1473+0.5)/$C$1426))</f>
        <v/>
      </c>
      <c r="S1473" s="208">
        <f>IF($L$1426,$N1473*IF($O$1426=1,$O1473/$F$1426,1),"")</f>
        <v/>
      </c>
      <c r="T1473" s="208">
        <f>IF(NOT($L$1426),"",IF($G1473&lt;nr_MStartP,$S1473,$T1461*(1+IF($G1473&lt;nr_MStartP1,$M$1426,$N$1426))))</f>
        <v/>
      </c>
      <c r="U1473" s="208">
        <f>IF($L$1426,$T1473,$N1473)</f>
        <v/>
      </c>
    </row>
    <row r="1474">
      <c r="A1474" s="145" t="n">
        <v>46</v>
      </c>
      <c r="B1474" s="204">
        <f>EDATE($B1473,1)</f>
        <v/>
      </c>
      <c r="C1474" s="205">
        <f>EOMONTH($B1474,0)</f>
        <v/>
      </c>
      <c r="D1474" s="201">
        <f>$C1474-$B1474+1</f>
        <v/>
      </c>
      <c r="E1474" s="201">
        <f>MONTH($B1474)</f>
        <v/>
      </c>
      <c r="F1474" s="235">
        <f>($B1474+$C1474+1)/2</f>
        <v/>
      </c>
      <c r="G1474" s="201">
        <f>YEAR($B1474)*12+MONTH($B1474)-1</f>
        <v/>
      </c>
      <c r="H1474" s="207">
        <f>IF(OR(nr_SeasonOn="OFF",$D$1426=0,$E$1426=0),1,12*INDEX(se_block,$D$1426,$E1474)/$E$1426)</f>
        <v/>
      </c>
      <c r="I1474" s="208">
        <f>EXP(SUMPRODUCT((rl_eff&lt;$B1474)*(rl_key=$A$1426)*rl_ln1p))</f>
        <v/>
      </c>
      <c r="J1474" s="208">
        <f>EXP(SUMPRODUCT((rl_eff&lt;=$C1474)*(rl_key=$A$1426)*rl_ln1p))</f>
        <v/>
      </c>
      <c r="K1474" s="201">
        <f>COUNTIFS(rl_key,$A$1426,rl_eff,"&gt;="&amp;$B1474,rl_eff,"&lt;="&amp;$C1474)</f>
        <v/>
      </c>
      <c r="L1474" s="201">
        <f>SUMIFS(rl_daysafter,rl_key,$A$1426,rl_effmonth,$B1474,rl_first,1)</f>
        <v/>
      </c>
      <c r="M1474" s="209">
        <f>IF($K1474=0,0,MIN(1,$L1474/$D1474))</f>
        <v/>
      </c>
      <c r="N1474" s="208">
        <f>IF($K1474=0,$J1474,(1-$M1474)*$I1474+$M1474*$J1474)</f>
        <v/>
      </c>
      <c r="O1474" s="209">
        <f>IF($F1474&lt;$B$1427,$E$1427+$I$1427*($F1474-$A$1427),IF($F1474&lt;$C$1427,$F$1427+$J$1427*($F1474-$B$1427),$G$1427+$K$1427*($F1474-$C$1427)))</f>
        <v/>
      </c>
      <c r="P1474" s="208">
        <f>MIN(1,MAX(0,(nr_MEndPm1-$G1474+0.5)/$C$1426))-MIN(1,MAX(0,(nr_MStartPm1-1-$G1474+0.5)/$C$1426))</f>
        <v/>
      </c>
      <c r="Q1474" s="208">
        <f>MIN(1,MAX(0,(nr_MEndP-$G1474+0.5)/$C$1426))-MIN(1,MAX(0,(nr_MStartP-1-$G1474+0.5)/$C$1426))</f>
        <v/>
      </c>
      <c r="R1474" s="208">
        <f>MIN(1,MAX(0,(nr_MEndP1-$G1474+0.5)/$C$1426))-MIN(1,MAX(0,(nr_MStartP1-1-$G1474+0.5)/$C$1426))</f>
        <v/>
      </c>
      <c r="S1474" s="208">
        <f>IF($L$1426,$N1474*IF($O$1426=1,$O1474/$F$1426,1),"")</f>
        <v/>
      </c>
      <c r="T1474" s="208">
        <f>IF(NOT($L$1426),"",IF($G1474&lt;nr_MStartP,$S1474,$T1462*(1+IF($G1474&lt;nr_MStartP1,$M$1426,$N$1426))))</f>
        <v/>
      </c>
      <c r="U1474" s="208">
        <f>IF($L$1426,$T1474,$N1474)</f>
        <v/>
      </c>
    </row>
    <row r="1475">
      <c r="A1475" s="145" t="n">
        <v>47</v>
      </c>
      <c r="B1475" s="204">
        <f>EDATE($B1474,1)</f>
        <v/>
      </c>
      <c r="C1475" s="205">
        <f>EOMONTH($B1475,0)</f>
        <v/>
      </c>
      <c r="D1475" s="201">
        <f>$C1475-$B1475+1</f>
        <v/>
      </c>
      <c r="E1475" s="201">
        <f>MONTH($B1475)</f>
        <v/>
      </c>
      <c r="F1475" s="235">
        <f>($B1475+$C1475+1)/2</f>
        <v/>
      </c>
      <c r="G1475" s="201">
        <f>YEAR($B1475)*12+MONTH($B1475)-1</f>
        <v/>
      </c>
      <c r="H1475" s="207">
        <f>IF(OR(nr_SeasonOn="OFF",$D$1426=0,$E$1426=0),1,12*INDEX(se_block,$D$1426,$E1475)/$E$1426)</f>
        <v/>
      </c>
      <c r="I1475" s="208">
        <f>EXP(SUMPRODUCT((rl_eff&lt;$B1475)*(rl_key=$A$1426)*rl_ln1p))</f>
        <v/>
      </c>
      <c r="J1475" s="208">
        <f>EXP(SUMPRODUCT((rl_eff&lt;=$C1475)*(rl_key=$A$1426)*rl_ln1p))</f>
        <v/>
      </c>
      <c r="K1475" s="201">
        <f>COUNTIFS(rl_key,$A$1426,rl_eff,"&gt;="&amp;$B1475,rl_eff,"&lt;="&amp;$C1475)</f>
        <v/>
      </c>
      <c r="L1475" s="201">
        <f>SUMIFS(rl_daysafter,rl_key,$A$1426,rl_effmonth,$B1475,rl_first,1)</f>
        <v/>
      </c>
      <c r="M1475" s="209">
        <f>IF($K1475=0,0,MIN(1,$L1475/$D1475))</f>
        <v/>
      </c>
      <c r="N1475" s="208">
        <f>IF($K1475=0,$J1475,(1-$M1475)*$I1475+$M1475*$J1475)</f>
        <v/>
      </c>
      <c r="O1475" s="209">
        <f>IF($F1475&lt;$B$1427,$E$1427+$I$1427*($F1475-$A$1427),IF($F1475&lt;$C$1427,$F$1427+$J$1427*($F1475-$B$1427),$G$1427+$K$1427*($F1475-$C$1427)))</f>
        <v/>
      </c>
      <c r="P1475" s="208">
        <f>MIN(1,MAX(0,(nr_MEndPm1-$G1475+0.5)/$C$1426))-MIN(1,MAX(0,(nr_MStartPm1-1-$G1475+0.5)/$C$1426))</f>
        <v/>
      </c>
      <c r="Q1475" s="208">
        <f>MIN(1,MAX(0,(nr_MEndP-$G1475+0.5)/$C$1426))-MIN(1,MAX(0,(nr_MStartP-1-$G1475+0.5)/$C$1426))</f>
        <v/>
      </c>
      <c r="R1475" s="208">
        <f>MIN(1,MAX(0,(nr_MEndP1-$G1475+0.5)/$C$1426))-MIN(1,MAX(0,(nr_MStartP1-1-$G1475+0.5)/$C$1426))</f>
        <v/>
      </c>
      <c r="S1475" s="208">
        <f>IF($L$1426,$N1475*IF($O$1426=1,$O1475/$F$1426,1),"")</f>
        <v/>
      </c>
      <c r="T1475" s="208">
        <f>IF(NOT($L$1426),"",IF($G1475&lt;nr_MStartP,$S1475,$T1463*(1+IF($G1475&lt;nr_MStartP1,$M$1426,$N$1426))))</f>
        <v/>
      </c>
      <c r="U1475" s="208">
        <f>IF($L$1426,$T1475,$N1475)</f>
        <v/>
      </c>
    </row>
    <row r="1476">
      <c r="A1476" s="145" t="n">
        <v>48</v>
      </c>
      <c r="B1476" s="204">
        <f>EDATE($B1475,1)</f>
        <v/>
      </c>
      <c r="C1476" s="205">
        <f>EOMONTH($B1476,0)</f>
        <v/>
      </c>
      <c r="D1476" s="201">
        <f>$C1476-$B1476+1</f>
        <v/>
      </c>
      <c r="E1476" s="201">
        <f>MONTH($B1476)</f>
        <v/>
      </c>
      <c r="F1476" s="235">
        <f>($B1476+$C1476+1)/2</f>
        <v/>
      </c>
      <c r="G1476" s="201">
        <f>YEAR($B1476)*12+MONTH($B1476)-1</f>
        <v/>
      </c>
      <c r="H1476" s="207">
        <f>IF(OR(nr_SeasonOn="OFF",$D$1426=0,$E$1426=0),1,12*INDEX(se_block,$D$1426,$E1476)/$E$1426)</f>
        <v/>
      </c>
      <c r="I1476" s="208">
        <f>EXP(SUMPRODUCT((rl_eff&lt;$B1476)*(rl_key=$A$1426)*rl_ln1p))</f>
        <v/>
      </c>
      <c r="J1476" s="208">
        <f>EXP(SUMPRODUCT((rl_eff&lt;=$C1476)*(rl_key=$A$1426)*rl_ln1p))</f>
        <v/>
      </c>
      <c r="K1476" s="201">
        <f>COUNTIFS(rl_key,$A$1426,rl_eff,"&gt;="&amp;$B1476,rl_eff,"&lt;="&amp;$C1476)</f>
        <v/>
      </c>
      <c r="L1476" s="201">
        <f>SUMIFS(rl_daysafter,rl_key,$A$1426,rl_effmonth,$B1476,rl_first,1)</f>
        <v/>
      </c>
      <c r="M1476" s="209">
        <f>IF($K1476=0,0,MIN(1,$L1476/$D1476))</f>
        <v/>
      </c>
      <c r="N1476" s="208">
        <f>IF($K1476=0,$J1476,(1-$M1476)*$I1476+$M1476*$J1476)</f>
        <v/>
      </c>
      <c r="O1476" s="209">
        <f>IF($F1476&lt;$B$1427,$E$1427+$I$1427*($F1476-$A$1427),IF($F1476&lt;$C$1427,$F$1427+$J$1427*($F1476-$B$1427),$G$1427+$K$1427*($F1476-$C$1427)))</f>
        <v/>
      </c>
      <c r="P1476" s="208">
        <f>MIN(1,MAX(0,(nr_MEndPm1-$G1476+0.5)/$C$1426))-MIN(1,MAX(0,(nr_MStartPm1-1-$G1476+0.5)/$C$1426))</f>
        <v/>
      </c>
      <c r="Q1476" s="208">
        <f>MIN(1,MAX(0,(nr_MEndP-$G1476+0.5)/$C$1426))-MIN(1,MAX(0,(nr_MStartP-1-$G1476+0.5)/$C$1426))</f>
        <v/>
      </c>
      <c r="R1476" s="208">
        <f>MIN(1,MAX(0,(nr_MEndP1-$G1476+0.5)/$C$1426))-MIN(1,MAX(0,(nr_MStartP1-1-$G1476+0.5)/$C$1426))</f>
        <v/>
      </c>
      <c r="S1476" s="208">
        <f>IF($L$1426,$N1476*IF($O$1426=1,$O1476/$F$1426,1),"")</f>
        <v/>
      </c>
      <c r="T1476" s="208">
        <f>IF(NOT($L$1426),"",IF($G1476&lt;nr_MStartP,$S1476,$T1464*(1+IF($G1476&lt;nr_MStartP1,$M$1426,$N$1426))))</f>
        <v/>
      </c>
      <c r="U1476" s="208">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184">
        <f>SUMPRODUCT($H$1429:$H$1476,$Q$1429:$Q$1476,$O$1429:$O$1476)/SUMPRODUCT($H$1429:$H$1476,$Q$1429:$Q$1476)</f>
        <v/>
      </c>
      <c r="G1477" s="184">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184">
        <f>IF(N(INDEX(lr_mind,27))=0,1,INDEX(lr_mind,27))</f>
        <v/>
      </c>
      <c r="G1480" s="184">
        <f>IF(N(INDEX(lr_m0,27))=0,1,INDEX(lr_m0,27))</f>
        <v/>
      </c>
      <c r="H1480" s="73">
        <f>IF(N(INDEX(lr_m0asof,27))=0,DATE(nr_PlanYear-1,10,1),INDEX(lr_m0asof,27))</f>
        <v/>
      </c>
      <c r="I1480" s="184">
        <f>IF(N(INDEX(lr_m1,27))=0,1,INDEX(lr_m1,27))</f>
        <v/>
      </c>
      <c r="J1480" s="184">
        <f>INDEX(lr_mprior,27)</f>
        <v/>
      </c>
      <c r="K1480" s="184">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145" t="n">
        <v>1</v>
      </c>
      <c r="B1483" s="204">
        <f>DATE(nr_PlanYear-2,1,1)</f>
        <v/>
      </c>
      <c r="C1483" s="205">
        <f>EOMONTH($B1483,0)</f>
        <v/>
      </c>
      <c r="D1483" s="201">
        <f>$C1483-$B1483+1</f>
        <v/>
      </c>
      <c r="E1483" s="201">
        <f>MONTH($B1483)</f>
        <v/>
      </c>
      <c r="F1483" s="235">
        <f>($B1483+$C1483+1)/2</f>
        <v/>
      </c>
      <c r="G1483" s="201">
        <f>YEAR($B1483)*12+MONTH($B1483)-1</f>
        <v/>
      </c>
      <c r="H1483" s="207">
        <f>IF(OR(nr_SeasonOn="OFF",$D$1480=0,$E$1480=0),1,12*INDEX(se_block,$D$1480,$E1483)/$E$1480)</f>
        <v/>
      </c>
      <c r="I1483" s="208">
        <f>EXP(SUMPRODUCT((rl_eff&lt;$B1483)*(rl_key=$A$1480)*rl_ln1p))</f>
        <v/>
      </c>
      <c r="J1483" s="208">
        <f>EXP(SUMPRODUCT((rl_eff&lt;=$C1483)*(rl_key=$A$1480)*rl_ln1p))</f>
        <v/>
      </c>
      <c r="K1483" s="201">
        <f>COUNTIFS(rl_key,$A$1480,rl_eff,"&gt;="&amp;$B1483,rl_eff,"&lt;="&amp;$C1483)</f>
        <v/>
      </c>
      <c r="L1483" s="201">
        <f>SUMIFS(rl_daysafter,rl_key,$A$1480,rl_effmonth,$B1483,rl_first,1)</f>
        <v/>
      </c>
      <c r="M1483" s="209">
        <f>IF($K1483=0,0,MIN(1,$L1483/$D1483))</f>
        <v/>
      </c>
      <c r="N1483" s="208">
        <f>IF($K1483=0,$J1483,(1-$M1483)*$I1483+$M1483*$J1483)</f>
        <v/>
      </c>
      <c r="O1483" s="209">
        <f>IF($F1483&lt;$B$1481,$E$1481+$I$1481*($F1483-$A$1481),IF($F1483&lt;$C$1481,$F$1481+$J$1481*($F1483-$B$1481),$G$1481+$K$1481*($F1483-$C$1481)))</f>
        <v/>
      </c>
      <c r="P1483" s="208">
        <f>MIN(1,MAX(0,(nr_MEndPm1-$G1483+0.5)/$C$1480))-MIN(1,MAX(0,(nr_MStartPm1-1-$G1483+0.5)/$C$1480))</f>
        <v/>
      </c>
      <c r="Q1483" s="208">
        <f>MIN(1,MAX(0,(nr_MEndP-$G1483+0.5)/$C$1480))-MIN(1,MAX(0,(nr_MStartP-1-$G1483+0.5)/$C$1480))</f>
        <v/>
      </c>
      <c r="R1483" s="208">
        <f>MIN(1,MAX(0,(nr_MEndP1-$G1483+0.5)/$C$1480))-MIN(1,MAX(0,(nr_MStartP1-1-$G1483+0.5)/$C$1480))</f>
        <v/>
      </c>
      <c r="S1483" s="208">
        <f>IF($L$1480,$N1483*IF($O$1480=1,$O1483/$F$1480,1),"")</f>
        <v/>
      </c>
      <c r="T1483" s="208">
        <f>IF(NOT($L$1480),"",IF($G1483&lt;nr_MStartP,$S1483,$T1471*(1+IF($G1483&lt;nr_MStartP1,$M$1480,$N$1480))))</f>
        <v/>
      </c>
      <c r="U1483" s="208">
        <f>IF($L$1480,$T1483,$N1483)</f>
        <v/>
      </c>
    </row>
    <row r="1484">
      <c r="A1484" s="145" t="n">
        <v>2</v>
      </c>
      <c r="B1484" s="204">
        <f>EDATE($B1483,1)</f>
        <v/>
      </c>
      <c r="C1484" s="205">
        <f>EOMONTH($B1484,0)</f>
        <v/>
      </c>
      <c r="D1484" s="201">
        <f>$C1484-$B1484+1</f>
        <v/>
      </c>
      <c r="E1484" s="201">
        <f>MONTH($B1484)</f>
        <v/>
      </c>
      <c r="F1484" s="235">
        <f>($B1484+$C1484+1)/2</f>
        <v/>
      </c>
      <c r="G1484" s="201">
        <f>YEAR($B1484)*12+MONTH($B1484)-1</f>
        <v/>
      </c>
      <c r="H1484" s="207">
        <f>IF(OR(nr_SeasonOn="OFF",$D$1480=0,$E$1480=0),1,12*INDEX(se_block,$D$1480,$E1484)/$E$1480)</f>
        <v/>
      </c>
      <c r="I1484" s="208">
        <f>EXP(SUMPRODUCT((rl_eff&lt;$B1484)*(rl_key=$A$1480)*rl_ln1p))</f>
        <v/>
      </c>
      <c r="J1484" s="208">
        <f>EXP(SUMPRODUCT((rl_eff&lt;=$C1484)*(rl_key=$A$1480)*rl_ln1p))</f>
        <v/>
      </c>
      <c r="K1484" s="201">
        <f>COUNTIFS(rl_key,$A$1480,rl_eff,"&gt;="&amp;$B1484,rl_eff,"&lt;="&amp;$C1484)</f>
        <v/>
      </c>
      <c r="L1484" s="201">
        <f>SUMIFS(rl_daysafter,rl_key,$A$1480,rl_effmonth,$B1484,rl_first,1)</f>
        <v/>
      </c>
      <c r="M1484" s="209">
        <f>IF($K1484=0,0,MIN(1,$L1484/$D1484))</f>
        <v/>
      </c>
      <c r="N1484" s="208">
        <f>IF($K1484=0,$J1484,(1-$M1484)*$I1484+$M1484*$J1484)</f>
        <v/>
      </c>
      <c r="O1484" s="209">
        <f>IF($F1484&lt;$B$1481,$E$1481+$I$1481*($F1484-$A$1481),IF($F1484&lt;$C$1481,$F$1481+$J$1481*($F1484-$B$1481),$G$1481+$K$1481*($F1484-$C$1481)))</f>
        <v/>
      </c>
      <c r="P1484" s="208">
        <f>MIN(1,MAX(0,(nr_MEndPm1-$G1484+0.5)/$C$1480))-MIN(1,MAX(0,(nr_MStartPm1-1-$G1484+0.5)/$C$1480))</f>
        <v/>
      </c>
      <c r="Q1484" s="208">
        <f>MIN(1,MAX(0,(nr_MEndP-$G1484+0.5)/$C$1480))-MIN(1,MAX(0,(nr_MStartP-1-$G1484+0.5)/$C$1480))</f>
        <v/>
      </c>
      <c r="R1484" s="208">
        <f>MIN(1,MAX(0,(nr_MEndP1-$G1484+0.5)/$C$1480))-MIN(1,MAX(0,(nr_MStartP1-1-$G1484+0.5)/$C$1480))</f>
        <v/>
      </c>
      <c r="S1484" s="208">
        <f>IF($L$1480,$N1484*IF($O$1480=1,$O1484/$F$1480,1),"")</f>
        <v/>
      </c>
      <c r="T1484" s="208">
        <f>IF(NOT($L$1480),"",IF($G1484&lt;nr_MStartP,$S1484,$T1472*(1+IF($G1484&lt;nr_MStartP1,$M$1480,$N$1480))))</f>
        <v/>
      </c>
      <c r="U1484" s="208">
        <f>IF($L$1480,$T1484,$N1484)</f>
        <v/>
      </c>
    </row>
    <row r="1485">
      <c r="A1485" s="145" t="n">
        <v>3</v>
      </c>
      <c r="B1485" s="204">
        <f>EDATE($B1484,1)</f>
        <v/>
      </c>
      <c r="C1485" s="205">
        <f>EOMONTH($B1485,0)</f>
        <v/>
      </c>
      <c r="D1485" s="201">
        <f>$C1485-$B1485+1</f>
        <v/>
      </c>
      <c r="E1485" s="201">
        <f>MONTH($B1485)</f>
        <v/>
      </c>
      <c r="F1485" s="235">
        <f>($B1485+$C1485+1)/2</f>
        <v/>
      </c>
      <c r="G1485" s="201">
        <f>YEAR($B1485)*12+MONTH($B1485)-1</f>
        <v/>
      </c>
      <c r="H1485" s="207">
        <f>IF(OR(nr_SeasonOn="OFF",$D$1480=0,$E$1480=0),1,12*INDEX(se_block,$D$1480,$E1485)/$E$1480)</f>
        <v/>
      </c>
      <c r="I1485" s="208">
        <f>EXP(SUMPRODUCT((rl_eff&lt;$B1485)*(rl_key=$A$1480)*rl_ln1p))</f>
        <v/>
      </c>
      <c r="J1485" s="208">
        <f>EXP(SUMPRODUCT((rl_eff&lt;=$C1485)*(rl_key=$A$1480)*rl_ln1p))</f>
        <v/>
      </c>
      <c r="K1485" s="201">
        <f>COUNTIFS(rl_key,$A$1480,rl_eff,"&gt;="&amp;$B1485,rl_eff,"&lt;="&amp;$C1485)</f>
        <v/>
      </c>
      <c r="L1485" s="201">
        <f>SUMIFS(rl_daysafter,rl_key,$A$1480,rl_effmonth,$B1485,rl_first,1)</f>
        <v/>
      </c>
      <c r="M1485" s="209">
        <f>IF($K1485=0,0,MIN(1,$L1485/$D1485))</f>
        <v/>
      </c>
      <c r="N1485" s="208">
        <f>IF($K1485=0,$J1485,(1-$M1485)*$I1485+$M1485*$J1485)</f>
        <v/>
      </c>
      <c r="O1485" s="209">
        <f>IF($F1485&lt;$B$1481,$E$1481+$I$1481*($F1485-$A$1481),IF($F1485&lt;$C$1481,$F$1481+$J$1481*($F1485-$B$1481),$G$1481+$K$1481*($F1485-$C$1481)))</f>
        <v/>
      </c>
      <c r="P1485" s="208">
        <f>MIN(1,MAX(0,(nr_MEndPm1-$G1485+0.5)/$C$1480))-MIN(1,MAX(0,(nr_MStartPm1-1-$G1485+0.5)/$C$1480))</f>
        <v/>
      </c>
      <c r="Q1485" s="208">
        <f>MIN(1,MAX(0,(nr_MEndP-$G1485+0.5)/$C$1480))-MIN(1,MAX(0,(nr_MStartP-1-$G1485+0.5)/$C$1480))</f>
        <v/>
      </c>
      <c r="R1485" s="208">
        <f>MIN(1,MAX(0,(nr_MEndP1-$G1485+0.5)/$C$1480))-MIN(1,MAX(0,(nr_MStartP1-1-$G1485+0.5)/$C$1480))</f>
        <v/>
      </c>
      <c r="S1485" s="208">
        <f>IF($L$1480,$N1485*IF($O$1480=1,$O1485/$F$1480,1),"")</f>
        <v/>
      </c>
      <c r="T1485" s="208">
        <f>IF(NOT($L$1480),"",IF($G1485&lt;nr_MStartP,$S1485,$T1473*(1+IF($G1485&lt;nr_MStartP1,$M$1480,$N$1480))))</f>
        <v/>
      </c>
      <c r="U1485" s="208">
        <f>IF($L$1480,$T1485,$N1485)</f>
        <v/>
      </c>
    </row>
    <row r="1486">
      <c r="A1486" s="145" t="n">
        <v>4</v>
      </c>
      <c r="B1486" s="204">
        <f>EDATE($B1485,1)</f>
        <v/>
      </c>
      <c r="C1486" s="205">
        <f>EOMONTH($B1486,0)</f>
        <v/>
      </c>
      <c r="D1486" s="201">
        <f>$C1486-$B1486+1</f>
        <v/>
      </c>
      <c r="E1486" s="201">
        <f>MONTH($B1486)</f>
        <v/>
      </c>
      <c r="F1486" s="235">
        <f>($B1486+$C1486+1)/2</f>
        <v/>
      </c>
      <c r="G1486" s="201">
        <f>YEAR($B1486)*12+MONTH($B1486)-1</f>
        <v/>
      </c>
      <c r="H1486" s="207">
        <f>IF(OR(nr_SeasonOn="OFF",$D$1480=0,$E$1480=0),1,12*INDEX(se_block,$D$1480,$E1486)/$E$1480)</f>
        <v/>
      </c>
      <c r="I1486" s="208">
        <f>EXP(SUMPRODUCT((rl_eff&lt;$B1486)*(rl_key=$A$1480)*rl_ln1p))</f>
        <v/>
      </c>
      <c r="J1486" s="208">
        <f>EXP(SUMPRODUCT((rl_eff&lt;=$C1486)*(rl_key=$A$1480)*rl_ln1p))</f>
        <v/>
      </c>
      <c r="K1486" s="201">
        <f>COUNTIFS(rl_key,$A$1480,rl_eff,"&gt;="&amp;$B1486,rl_eff,"&lt;="&amp;$C1486)</f>
        <v/>
      </c>
      <c r="L1486" s="201">
        <f>SUMIFS(rl_daysafter,rl_key,$A$1480,rl_effmonth,$B1486,rl_first,1)</f>
        <v/>
      </c>
      <c r="M1486" s="209">
        <f>IF($K1486=0,0,MIN(1,$L1486/$D1486))</f>
        <v/>
      </c>
      <c r="N1486" s="208">
        <f>IF($K1486=0,$J1486,(1-$M1486)*$I1486+$M1486*$J1486)</f>
        <v/>
      </c>
      <c r="O1486" s="209">
        <f>IF($F1486&lt;$B$1481,$E$1481+$I$1481*($F1486-$A$1481),IF($F1486&lt;$C$1481,$F$1481+$J$1481*($F1486-$B$1481),$G$1481+$K$1481*($F1486-$C$1481)))</f>
        <v/>
      </c>
      <c r="P1486" s="208">
        <f>MIN(1,MAX(0,(nr_MEndPm1-$G1486+0.5)/$C$1480))-MIN(1,MAX(0,(nr_MStartPm1-1-$G1486+0.5)/$C$1480))</f>
        <v/>
      </c>
      <c r="Q1486" s="208">
        <f>MIN(1,MAX(0,(nr_MEndP-$G1486+0.5)/$C$1480))-MIN(1,MAX(0,(nr_MStartP-1-$G1486+0.5)/$C$1480))</f>
        <v/>
      </c>
      <c r="R1486" s="208">
        <f>MIN(1,MAX(0,(nr_MEndP1-$G1486+0.5)/$C$1480))-MIN(1,MAX(0,(nr_MStartP1-1-$G1486+0.5)/$C$1480))</f>
        <v/>
      </c>
      <c r="S1486" s="208">
        <f>IF($L$1480,$N1486*IF($O$1480=1,$O1486/$F$1480,1),"")</f>
        <v/>
      </c>
      <c r="T1486" s="208">
        <f>IF(NOT($L$1480),"",IF($G1486&lt;nr_MStartP,$S1486,$T1474*(1+IF($G1486&lt;nr_MStartP1,$M$1480,$N$1480))))</f>
        <v/>
      </c>
      <c r="U1486" s="208">
        <f>IF($L$1480,$T1486,$N1486)</f>
        <v/>
      </c>
    </row>
    <row r="1487">
      <c r="A1487" s="145" t="n">
        <v>5</v>
      </c>
      <c r="B1487" s="204">
        <f>EDATE($B1486,1)</f>
        <v/>
      </c>
      <c r="C1487" s="205">
        <f>EOMONTH($B1487,0)</f>
        <v/>
      </c>
      <c r="D1487" s="201">
        <f>$C1487-$B1487+1</f>
        <v/>
      </c>
      <c r="E1487" s="201">
        <f>MONTH($B1487)</f>
        <v/>
      </c>
      <c r="F1487" s="235">
        <f>($B1487+$C1487+1)/2</f>
        <v/>
      </c>
      <c r="G1487" s="201">
        <f>YEAR($B1487)*12+MONTH($B1487)-1</f>
        <v/>
      </c>
      <c r="H1487" s="207">
        <f>IF(OR(nr_SeasonOn="OFF",$D$1480=0,$E$1480=0),1,12*INDEX(se_block,$D$1480,$E1487)/$E$1480)</f>
        <v/>
      </c>
      <c r="I1487" s="208">
        <f>EXP(SUMPRODUCT((rl_eff&lt;$B1487)*(rl_key=$A$1480)*rl_ln1p))</f>
        <v/>
      </c>
      <c r="J1487" s="208">
        <f>EXP(SUMPRODUCT((rl_eff&lt;=$C1487)*(rl_key=$A$1480)*rl_ln1p))</f>
        <v/>
      </c>
      <c r="K1487" s="201">
        <f>COUNTIFS(rl_key,$A$1480,rl_eff,"&gt;="&amp;$B1487,rl_eff,"&lt;="&amp;$C1487)</f>
        <v/>
      </c>
      <c r="L1487" s="201">
        <f>SUMIFS(rl_daysafter,rl_key,$A$1480,rl_effmonth,$B1487,rl_first,1)</f>
        <v/>
      </c>
      <c r="M1487" s="209">
        <f>IF($K1487=0,0,MIN(1,$L1487/$D1487))</f>
        <v/>
      </c>
      <c r="N1487" s="208">
        <f>IF($K1487=0,$J1487,(1-$M1487)*$I1487+$M1487*$J1487)</f>
        <v/>
      </c>
      <c r="O1487" s="209">
        <f>IF($F1487&lt;$B$1481,$E$1481+$I$1481*($F1487-$A$1481),IF($F1487&lt;$C$1481,$F$1481+$J$1481*($F1487-$B$1481),$G$1481+$K$1481*($F1487-$C$1481)))</f>
        <v/>
      </c>
      <c r="P1487" s="208">
        <f>MIN(1,MAX(0,(nr_MEndPm1-$G1487+0.5)/$C$1480))-MIN(1,MAX(0,(nr_MStartPm1-1-$G1487+0.5)/$C$1480))</f>
        <v/>
      </c>
      <c r="Q1487" s="208">
        <f>MIN(1,MAX(0,(nr_MEndP-$G1487+0.5)/$C$1480))-MIN(1,MAX(0,(nr_MStartP-1-$G1487+0.5)/$C$1480))</f>
        <v/>
      </c>
      <c r="R1487" s="208">
        <f>MIN(1,MAX(0,(nr_MEndP1-$G1487+0.5)/$C$1480))-MIN(1,MAX(0,(nr_MStartP1-1-$G1487+0.5)/$C$1480))</f>
        <v/>
      </c>
      <c r="S1487" s="208">
        <f>IF($L$1480,$N1487*IF($O$1480=1,$O1487/$F$1480,1),"")</f>
        <v/>
      </c>
      <c r="T1487" s="208">
        <f>IF(NOT($L$1480),"",IF($G1487&lt;nr_MStartP,$S1487,$T1475*(1+IF($G1487&lt;nr_MStartP1,$M$1480,$N$1480))))</f>
        <v/>
      </c>
      <c r="U1487" s="208">
        <f>IF($L$1480,$T1487,$N1487)</f>
        <v/>
      </c>
    </row>
    <row r="1488">
      <c r="A1488" s="145" t="n">
        <v>6</v>
      </c>
      <c r="B1488" s="204">
        <f>EDATE($B1487,1)</f>
        <v/>
      </c>
      <c r="C1488" s="205">
        <f>EOMONTH($B1488,0)</f>
        <v/>
      </c>
      <c r="D1488" s="201">
        <f>$C1488-$B1488+1</f>
        <v/>
      </c>
      <c r="E1488" s="201">
        <f>MONTH($B1488)</f>
        <v/>
      </c>
      <c r="F1488" s="235">
        <f>($B1488+$C1488+1)/2</f>
        <v/>
      </c>
      <c r="G1488" s="201">
        <f>YEAR($B1488)*12+MONTH($B1488)-1</f>
        <v/>
      </c>
      <c r="H1488" s="207">
        <f>IF(OR(nr_SeasonOn="OFF",$D$1480=0,$E$1480=0),1,12*INDEX(se_block,$D$1480,$E1488)/$E$1480)</f>
        <v/>
      </c>
      <c r="I1488" s="208">
        <f>EXP(SUMPRODUCT((rl_eff&lt;$B1488)*(rl_key=$A$1480)*rl_ln1p))</f>
        <v/>
      </c>
      <c r="J1488" s="208">
        <f>EXP(SUMPRODUCT((rl_eff&lt;=$C1488)*(rl_key=$A$1480)*rl_ln1p))</f>
        <v/>
      </c>
      <c r="K1488" s="201">
        <f>COUNTIFS(rl_key,$A$1480,rl_eff,"&gt;="&amp;$B1488,rl_eff,"&lt;="&amp;$C1488)</f>
        <v/>
      </c>
      <c r="L1488" s="201">
        <f>SUMIFS(rl_daysafter,rl_key,$A$1480,rl_effmonth,$B1488,rl_first,1)</f>
        <v/>
      </c>
      <c r="M1488" s="209">
        <f>IF($K1488=0,0,MIN(1,$L1488/$D1488))</f>
        <v/>
      </c>
      <c r="N1488" s="208">
        <f>IF($K1488=0,$J1488,(1-$M1488)*$I1488+$M1488*$J1488)</f>
        <v/>
      </c>
      <c r="O1488" s="209">
        <f>IF($F1488&lt;$B$1481,$E$1481+$I$1481*($F1488-$A$1481),IF($F1488&lt;$C$1481,$F$1481+$J$1481*($F1488-$B$1481),$G$1481+$K$1481*($F1488-$C$1481)))</f>
        <v/>
      </c>
      <c r="P1488" s="208">
        <f>MIN(1,MAX(0,(nr_MEndPm1-$G1488+0.5)/$C$1480))-MIN(1,MAX(0,(nr_MStartPm1-1-$G1488+0.5)/$C$1480))</f>
        <v/>
      </c>
      <c r="Q1488" s="208">
        <f>MIN(1,MAX(0,(nr_MEndP-$G1488+0.5)/$C$1480))-MIN(1,MAX(0,(nr_MStartP-1-$G1488+0.5)/$C$1480))</f>
        <v/>
      </c>
      <c r="R1488" s="208">
        <f>MIN(1,MAX(0,(nr_MEndP1-$G1488+0.5)/$C$1480))-MIN(1,MAX(0,(nr_MStartP1-1-$G1488+0.5)/$C$1480))</f>
        <v/>
      </c>
      <c r="S1488" s="208">
        <f>IF($L$1480,$N1488*IF($O$1480=1,$O1488/$F$1480,1),"")</f>
        <v/>
      </c>
      <c r="T1488" s="208">
        <f>IF(NOT($L$1480),"",IF($G1488&lt;nr_MStartP,$S1488,$T1476*(1+IF($G1488&lt;nr_MStartP1,$M$1480,$N$1480))))</f>
        <v/>
      </c>
      <c r="U1488" s="208">
        <f>IF($L$1480,$T1488,$N1488)</f>
        <v/>
      </c>
    </row>
    <row r="1489">
      <c r="A1489" s="145" t="n">
        <v>7</v>
      </c>
      <c r="B1489" s="204">
        <f>EDATE($B1488,1)</f>
        <v/>
      </c>
      <c r="C1489" s="205">
        <f>EOMONTH($B1489,0)</f>
        <v/>
      </c>
      <c r="D1489" s="201">
        <f>$C1489-$B1489+1</f>
        <v/>
      </c>
      <c r="E1489" s="201">
        <f>MONTH($B1489)</f>
        <v/>
      </c>
      <c r="F1489" s="235">
        <f>($B1489+$C1489+1)/2</f>
        <v/>
      </c>
      <c r="G1489" s="201">
        <f>YEAR($B1489)*12+MONTH($B1489)-1</f>
        <v/>
      </c>
      <c r="H1489" s="207">
        <f>IF(OR(nr_SeasonOn="OFF",$D$1480=0,$E$1480=0),1,12*INDEX(se_block,$D$1480,$E1489)/$E$1480)</f>
        <v/>
      </c>
      <c r="I1489" s="208">
        <f>EXP(SUMPRODUCT((rl_eff&lt;$B1489)*(rl_key=$A$1480)*rl_ln1p))</f>
        <v/>
      </c>
      <c r="J1489" s="208">
        <f>EXP(SUMPRODUCT((rl_eff&lt;=$C1489)*(rl_key=$A$1480)*rl_ln1p))</f>
        <v/>
      </c>
      <c r="K1489" s="201">
        <f>COUNTIFS(rl_key,$A$1480,rl_eff,"&gt;="&amp;$B1489,rl_eff,"&lt;="&amp;$C1489)</f>
        <v/>
      </c>
      <c r="L1489" s="201">
        <f>SUMIFS(rl_daysafter,rl_key,$A$1480,rl_effmonth,$B1489,rl_first,1)</f>
        <v/>
      </c>
      <c r="M1489" s="209">
        <f>IF($K1489=0,0,MIN(1,$L1489/$D1489))</f>
        <v/>
      </c>
      <c r="N1489" s="208">
        <f>IF($K1489=0,$J1489,(1-$M1489)*$I1489+$M1489*$J1489)</f>
        <v/>
      </c>
      <c r="O1489" s="209">
        <f>IF($F1489&lt;$B$1481,$E$1481+$I$1481*($F1489-$A$1481),IF($F1489&lt;$C$1481,$F$1481+$J$1481*($F1489-$B$1481),$G$1481+$K$1481*($F1489-$C$1481)))</f>
        <v/>
      </c>
      <c r="P1489" s="208">
        <f>MIN(1,MAX(0,(nr_MEndPm1-$G1489+0.5)/$C$1480))-MIN(1,MAX(0,(nr_MStartPm1-1-$G1489+0.5)/$C$1480))</f>
        <v/>
      </c>
      <c r="Q1489" s="208">
        <f>MIN(1,MAX(0,(nr_MEndP-$G1489+0.5)/$C$1480))-MIN(1,MAX(0,(nr_MStartP-1-$G1489+0.5)/$C$1480))</f>
        <v/>
      </c>
      <c r="R1489" s="208">
        <f>MIN(1,MAX(0,(nr_MEndP1-$G1489+0.5)/$C$1480))-MIN(1,MAX(0,(nr_MStartP1-1-$G1489+0.5)/$C$1480))</f>
        <v/>
      </c>
      <c r="S1489" s="208">
        <f>IF($L$1480,$N1489*IF($O$1480=1,$O1489/$F$1480,1),"")</f>
        <v/>
      </c>
      <c r="T1489" s="208">
        <f>IF(NOT($L$1480),"",IF($G1489&lt;nr_MStartP,$S1489,$T1477*(1+IF($G1489&lt;nr_MStartP1,$M$1480,$N$1480))))</f>
        <v/>
      </c>
      <c r="U1489" s="208">
        <f>IF($L$1480,$T1489,$N1489)</f>
        <v/>
      </c>
    </row>
    <row r="1490">
      <c r="A1490" s="145" t="n">
        <v>8</v>
      </c>
      <c r="B1490" s="204">
        <f>EDATE($B1489,1)</f>
        <v/>
      </c>
      <c r="C1490" s="205">
        <f>EOMONTH($B1490,0)</f>
        <v/>
      </c>
      <c r="D1490" s="201">
        <f>$C1490-$B1490+1</f>
        <v/>
      </c>
      <c r="E1490" s="201">
        <f>MONTH($B1490)</f>
        <v/>
      </c>
      <c r="F1490" s="235">
        <f>($B1490+$C1490+1)/2</f>
        <v/>
      </c>
      <c r="G1490" s="201">
        <f>YEAR($B1490)*12+MONTH($B1490)-1</f>
        <v/>
      </c>
      <c r="H1490" s="207">
        <f>IF(OR(nr_SeasonOn="OFF",$D$1480=0,$E$1480=0),1,12*INDEX(se_block,$D$1480,$E1490)/$E$1480)</f>
        <v/>
      </c>
      <c r="I1490" s="208">
        <f>EXP(SUMPRODUCT((rl_eff&lt;$B1490)*(rl_key=$A$1480)*rl_ln1p))</f>
        <v/>
      </c>
      <c r="J1490" s="208">
        <f>EXP(SUMPRODUCT((rl_eff&lt;=$C1490)*(rl_key=$A$1480)*rl_ln1p))</f>
        <v/>
      </c>
      <c r="K1490" s="201">
        <f>COUNTIFS(rl_key,$A$1480,rl_eff,"&gt;="&amp;$B1490,rl_eff,"&lt;="&amp;$C1490)</f>
        <v/>
      </c>
      <c r="L1490" s="201">
        <f>SUMIFS(rl_daysafter,rl_key,$A$1480,rl_effmonth,$B1490,rl_first,1)</f>
        <v/>
      </c>
      <c r="M1490" s="209">
        <f>IF($K1490=0,0,MIN(1,$L1490/$D1490))</f>
        <v/>
      </c>
      <c r="N1490" s="208">
        <f>IF($K1490=0,$J1490,(1-$M1490)*$I1490+$M1490*$J1490)</f>
        <v/>
      </c>
      <c r="O1490" s="209">
        <f>IF($F1490&lt;$B$1481,$E$1481+$I$1481*($F1490-$A$1481),IF($F1490&lt;$C$1481,$F$1481+$J$1481*($F1490-$B$1481),$G$1481+$K$1481*($F1490-$C$1481)))</f>
        <v/>
      </c>
      <c r="P1490" s="208">
        <f>MIN(1,MAX(0,(nr_MEndPm1-$G1490+0.5)/$C$1480))-MIN(1,MAX(0,(nr_MStartPm1-1-$G1490+0.5)/$C$1480))</f>
        <v/>
      </c>
      <c r="Q1490" s="208">
        <f>MIN(1,MAX(0,(nr_MEndP-$G1490+0.5)/$C$1480))-MIN(1,MAX(0,(nr_MStartP-1-$G1490+0.5)/$C$1480))</f>
        <v/>
      </c>
      <c r="R1490" s="208">
        <f>MIN(1,MAX(0,(nr_MEndP1-$G1490+0.5)/$C$1480))-MIN(1,MAX(0,(nr_MStartP1-1-$G1490+0.5)/$C$1480))</f>
        <v/>
      </c>
      <c r="S1490" s="208">
        <f>IF($L$1480,$N1490*IF($O$1480=1,$O1490/$F$1480,1),"")</f>
        <v/>
      </c>
      <c r="T1490" s="208">
        <f>IF(NOT($L$1480),"",IF($G1490&lt;nr_MStartP,$S1490,$T1478*(1+IF($G1490&lt;nr_MStartP1,$M$1480,$N$1480))))</f>
        <v/>
      </c>
      <c r="U1490" s="208">
        <f>IF($L$1480,$T1490,$N1490)</f>
        <v/>
      </c>
    </row>
    <row r="1491">
      <c r="A1491" s="145" t="n">
        <v>9</v>
      </c>
      <c r="B1491" s="204">
        <f>EDATE($B1490,1)</f>
        <v/>
      </c>
      <c r="C1491" s="205">
        <f>EOMONTH($B1491,0)</f>
        <v/>
      </c>
      <c r="D1491" s="201">
        <f>$C1491-$B1491+1</f>
        <v/>
      </c>
      <c r="E1491" s="201">
        <f>MONTH($B1491)</f>
        <v/>
      </c>
      <c r="F1491" s="235">
        <f>($B1491+$C1491+1)/2</f>
        <v/>
      </c>
      <c r="G1491" s="201">
        <f>YEAR($B1491)*12+MONTH($B1491)-1</f>
        <v/>
      </c>
      <c r="H1491" s="207">
        <f>IF(OR(nr_SeasonOn="OFF",$D$1480=0,$E$1480=0),1,12*INDEX(se_block,$D$1480,$E1491)/$E$1480)</f>
        <v/>
      </c>
      <c r="I1491" s="208">
        <f>EXP(SUMPRODUCT((rl_eff&lt;$B1491)*(rl_key=$A$1480)*rl_ln1p))</f>
        <v/>
      </c>
      <c r="J1491" s="208">
        <f>EXP(SUMPRODUCT((rl_eff&lt;=$C1491)*(rl_key=$A$1480)*rl_ln1p))</f>
        <v/>
      </c>
      <c r="K1491" s="201">
        <f>COUNTIFS(rl_key,$A$1480,rl_eff,"&gt;="&amp;$B1491,rl_eff,"&lt;="&amp;$C1491)</f>
        <v/>
      </c>
      <c r="L1491" s="201">
        <f>SUMIFS(rl_daysafter,rl_key,$A$1480,rl_effmonth,$B1491,rl_first,1)</f>
        <v/>
      </c>
      <c r="M1491" s="209">
        <f>IF($K1491=0,0,MIN(1,$L1491/$D1491))</f>
        <v/>
      </c>
      <c r="N1491" s="208">
        <f>IF($K1491=0,$J1491,(1-$M1491)*$I1491+$M1491*$J1491)</f>
        <v/>
      </c>
      <c r="O1491" s="209">
        <f>IF($F1491&lt;$B$1481,$E$1481+$I$1481*($F1491-$A$1481),IF($F1491&lt;$C$1481,$F$1481+$J$1481*($F1491-$B$1481),$G$1481+$K$1481*($F1491-$C$1481)))</f>
        <v/>
      </c>
      <c r="P1491" s="208">
        <f>MIN(1,MAX(0,(nr_MEndPm1-$G1491+0.5)/$C$1480))-MIN(1,MAX(0,(nr_MStartPm1-1-$G1491+0.5)/$C$1480))</f>
        <v/>
      </c>
      <c r="Q1491" s="208">
        <f>MIN(1,MAX(0,(nr_MEndP-$G1491+0.5)/$C$1480))-MIN(1,MAX(0,(nr_MStartP-1-$G1491+0.5)/$C$1480))</f>
        <v/>
      </c>
      <c r="R1491" s="208">
        <f>MIN(1,MAX(0,(nr_MEndP1-$G1491+0.5)/$C$1480))-MIN(1,MAX(0,(nr_MStartP1-1-$G1491+0.5)/$C$1480))</f>
        <v/>
      </c>
      <c r="S1491" s="208">
        <f>IF($L$1480,$N1491*IF($O$1480=1,$O1491/$F$1480,1),"")</f>
        <v/>
      </c>
      <c r="T1491" s="208">
        <f>IF(NOT($L$1480),"",IF($G1491&lt;nr_MStartP,$S1491,$T1479*(1+IF($G1491&lt;nr_MStartP1,$M$1480,$N$1480))))</f>
        <v/>
      </c>
      <c r="U1491" s="208">
        <f>IF($L$1480,$T1491,$N1491)</f>
        <v/>
      </c>
    </row>
    <row r="1492">
      <c r="A1492" s="145" t="n">
        <v>10</v>
      </c>
      <c r="B1492" s="204">
        <f>EDATE($B1491,1)</f>
        <v/>
      </c>
      <c r="C1492" s="205">
        <f>EOMONTH($B1492,0)</f>
        <v/>
      </c>
      <c r="D1492" s="201">
        <f>$C1492-$B1492+1</f>
        <v/>
      </c>
      <c r="E1492" s="201">
        <f>MONTH($B1492)</f>
        <v/>
      </c>
      <c r="F1492" s="235">
        <f>($B1492+$C1492+1)/2</f>
        <v/>
      </c>
      <c r="G1492" s="201">
        <f>YEAR($B1492)*12+MONTH($B1492)-1</f>
        <v/>
      </c>
      <c r="H1492" s="207">
        <f>IF(OR(nr_SeasonOn="OFF",$D$1480=0,$E$1480=0),1,12*INDEX(se_block,$D$1480,$E1492)/$E$1480)</f>
        <v/>
      </c>
      <c r="I1492" s="208">
        <f>EXP(SUMPRODUCT((rl_eff&lt;$B1492)*(rl_key=$A$1480)*rl_ln1p))</f>
        <v/>
      </c>
      <c r="J1492" s="208">
        <f>EXP(SUMPRODUCT((rl_eff&lt;=$C1492)*(rl_key=$A$1480)*rl_ln1p))</f>
        <v/>
      </c>
      <c r="K1492" s="201">
        <f>COUNTIFS(rl_key,$A$1480,rl_eff,"&gt;="&amp;$B1492,rl_eff,"&lt;="&amp;$C1492)</f>
        <v/>
      </c>
      <c r="L1492" s="201">
        <f>SUMIFS(rl_daysafter,rl_key,$A$1480,rl_effmonth,$B1492,rl_first,1)</f>
        <v/>
      </c>
      <c r="M1492" s="209">
        <f>IF($K1492=0,0,MIN(1,$L1492/$D1492))</f>
        <v/>
      </c>
      <c r="N1492" s="208">
        <f>IF($K1492=0,$J1492,(1-$M1492)*$I1492+$M1492*$J1492)</f>
        <v/>
      </c>
      <c r="O1492" s="209">
        <f>IF($F1492&lt;$B$1481,$E$1481+$I$1481*($F1492-$A$1481),IF($F1492&lt;$C$1481,$F$1481+$J$1481*($F1492-$B$1481),$G$1481+$K$1481*($F1492-$C$1481)))</f>
        <v/>
      </c>
      <c r="P1492" s="208">
        <f>MIN(1,MAX(0,(nr_MEndPm1-$G1492+0.5)/$C$1480))-MIN(1,MAX(0,(nr_MStartPm1-1-$G1492+0.5)/$C$1480))</f>
        <v/>
      </c>
      <c r="Q1492" s="208">
        <f>MIN(1,MAX(0,(nr_MEndP-$G1492+0.5)/$C$1480))-MIN(1,MAX(0,(nr_MStartP-1-$G1492+0.5)/$C$1480))</f>
        <v/>
      </c>
      <c r="R1492" s="208">
        <f>MIN(1,MAX(0,(nr_MEndP1-$G1492+0.5)/$C$1480))-MIN(1,MAX(0,(nr_MStartP1-1-$G1492+0.5)/$C$1480))</f>
        <v/>
      </c>
      <c r="S1492" s="208">
        <f>IF($L$1480,$N1492*IF($O$1480=1,$O1492/$F$1480,1),"")</f>
        <v/>
      </c>
      <c r="T1492" s="208">
        <f>IF(NOT($L$1480),"",IF($G1492&lt;nr_MStartP,$S1492,$T1480*(1+IF($G1492&lt;nr_MStartP1,$M$1480,$N$1480))))</f>
        <v/>
      </c>
      <c r="U1492" s="208">
        <f>IF($L$1480,$T1492,$N1492)</f>
        <v/>
      </c>
    </row>
    <row r="1493">
      <c r="A1493" s="145" t="n">
        <v>11</v>
      </c>
      <c r="B1493" s="204">
        <f>EDATE($B1492,1)</f>
        <v/>
      </c>
      <c r="C1493" s="205">
        <f>EOMONTH($B1493,0)</f>
        <v/>
      </c>
      <c r="D1493" s="201">
        <f>$C1493-$B1493+1</f>
        <v/>
      </c>
      <c r="E1493" s="201">
        <f>MONTH($B1493)</f>
        <v/>
      </c>
      <c r="F1493" s="235">
        <f>($B1493+$C1493+1)/2</f>
        <v/>
      </c>
      <c r="G1493" s="201">
        <f>YEAR($B1493)*12+MONTH($B1493)-1</f>
        <v/>
      </c>
      <c r="H1493" s="207">
        <f>IF(OR(nr_SeasonOn="OFF",$D$1480=0,$E$1480=0),1,12*INDEX(se_block,$D$1480,$E1493)/$E$1480)</f>
        <v/>
      </c>
      <c r="I1493" s="208">
        <f>EXP(SUMPRODUCT((rl_eff&lt;$B1493)*(rl_key=$A$1480)*rl_ln1p))</f>
        <v/>
      </c>
      <c r="J1493" s="208">
        <f>EXP(SUMPRODUCT((rl_eff&lt;=$C1493)*(rl_key=$A$1480)*rl_ln1p))</f>
        <v/>
      </c>
      <c r="K1493" s="201">
        <f>COUNTIFS(rl_key,$A$1480,rl_eff,"&gt;="&amp;$B1493,rl_eff,"&lt;="&amp;$C1493)</f>
        <v/>
      </c>
      <c r="L1493" s="201">
        <f>SUMIFS(rl_daysafter,rl_key,$A$1480,rl_effmonth,$B1493,rl_first,1)</f>
        <v/>
      </c>
      <c r="M1493" s="209">
        <f>IF($K1493=0,0,MIN(1,$L1493/$D1493))</f>
        <v/>
      </c>
      <c r="N1493" s="208">
        <f>IF($K1493=0,$J1493,(1-$M1493)*$I1493+$M1493*$J1493)</f>
        <v/>
      </c>
      <c r="O1493" s="209">
        <f>IF($F1493&lt;$B$1481,$E$1481+$I$1481*($F1493-$A$1481),IF($F1493&lt;$C$1481,$F$1481+$J$1481*($F1493-$B$1481),$G$1481+$K$1481*($F1493-$C$1481)))</f>
        <v/>
      </c>
      <c r="P1493" s="208">
        <f>MIN(1,MAX(0,(nr_MEndPm1-$G1493+0.5)/$C$1480))-MIN(1,MAX(0,(nr_MStartPm1-1-$G1493+0.5)/$C$1480))</f>
        <v/>
      </c>
      <c r="Q1493" s="208">
        <f>MIN(1,MAX(0,(nr_MEndP-$G1493+0.5)/$C$1480))-MIN(1,MAX(0,(nr_MStartP-1-$G1493+0.5)/$C$1480))</f>
        <v/>
      </c>
      <c r="R1493" s="208">
        <f>MIN(1,MAX(0,(nr_MEndP1-$G1493+0.5)/$C$1480))-MIN(1,MAX(0,(nr_MStartP1-1-$G1493+0.5)/$C$1480))</f>
        <v/>
      </c>
      <c r="S1493" s="208">
        <f>IF($L$1480,$N1493*IF($O$1480=1,$O1493/$F$1480,1),"")</f>
        <v/>
      </c>
      <c r="T1493" s="208">
        <f>IF(NOT($L$1480),"",IF($G1493&lt;nr_MStartP,$S1493,$T1481*(1+IF($G1493&lt;nr_MStartP1,$M$1480,$N$1480))))</f>
        <v/>
      </c>
      <c r="U1493" s="208">
        <f>IF($L$1480,$T1493,$N1493)</f>
        <v/>
      </c>
    </row>
    <row r="1494">
      <c r="A1494" s="145" t="n">
        <v>12</v>
      </c>
      <c r="B1494" s="204">
        <f>EDATE($B1493,1)</f>
        <v/>
      </c>
      <c r="C1494" s="205">
        <f>EOMONTH($B1494,0)</f>
        <v/>
      </c>
      <c r="D1494" s="201">
        <f>$C1494-$B1494+1</f>
        <v/>
      </c>
      <c r="E1494" s="201">
        <f>MONTH($B1494)</f>
        <v/>
      </c>
      <c r="F1494" s="235">
        <f>($B1494+$C1494+1)/2</f>
        <v/>
      </c>
      <c r="G1494" s="201">
        <f>YEAR($B1494)*12+MONTH($B1494)-1</f>
        <v/>
      </c>
      <c r="H1494" s="207">
        <f>IF(OR(nr_SeasonOn="OFF",$D$1480=0,$E$1480=0),1,12*INDEX(se_block,$D$1480,$E1494)/$E$1480)</f>
        <v/>
      </c>
      <c r="I1494" s="208">
        <f>EXP(SUMPRODUCT((rl_eff&lt;$B1494)*(rl_key=$A$1480)*rl_ln1p))</f>
        <v/>
      </c>
      <c r="J1494" s="208">
        <f>EXP(SUMPRODUCT((rl_eff&lt;=$C1494)*(rl_key=$A$1480)*rl_ln1p))</f>
        <v/>
      </c>
      <c r="K1494" s="201">
        <f>COUNTIFS(rl_key,$A$1480,rl_eff,"&gt;="&amp;$B1494,rl_eff,"&lt;="&amp;$C1494)</f>
        <v/>
      </c>
      <c r="L1494" s="201">
        <f>SUMIFS(rl_daysafter,rl_key,$A$1480,rl_effmonth,$B1494,rl_first,1)</f>
        <v/>
      </c>
      <c r="M1494" s="209">
        <f>IF($K1494=0,0,MIN(1,$L1494/$D1494))</f>
        <v/>
      </c>
      <c r="N1494" s="208">
        <f>IF($K1494=0,$J1494,(1-$M1494)*$I1494+$M1494*$J1494)</f>
        <v/>
      </c>
      <c r="O1494" s="209">
        <f>IF($F1494&lt;$B$1481,$E$1481+$I$1481*($F1494-$A$1481),IF($F1494&lt;$C$1481,$F$1481+$J$1481*($F1494-$B$1481),$G$1481+$K$1481*($F1494-$C$1481)))</f>
        <v/>
      </c>
      <c r="P1494" s="208">
        <f>MIN(1,MAX(0,(nr_MEndPm1-$G1494+0.5)/$C$1480))-MIN(1,MAX(0,(nr_MStartPm1-1-$G1494+0.5)/$C$1480))</f>
        <v/>
      </c>
      <c r="Q1494" s="208">
        <f>MIN(1,MAX(0,(nr_MEndP-$G1494+0.5)/$C$1480))-MIN(1,MAX(0,(nr_MStartP-1-$G1494+0.5)/$C$1480))</f>
        <v/>
      </c>
      <c r="R1494" s="208">
        <f>MIN(1,MAX(0,(nr_MEndP1-$G1494+0.5)/$C$1480))-MIN(1,MAX(0,(nr_MStartP1-1-$G1494+0.5)/$C$1480))</f>
        <v/>
      </c>
      <c r="S1494" s="208">
        <f>IF($L$1480,$N1494*IF($O$1480=1,$O1494/$F$1480,1),"")</f>
        <v/>
      </c>
      <c r="T1494" s="208">
        <f>IF(NOT($L$1480),"",IF($G1494&lt;nr_MStartP,$S1494,$T1482*(1+IF($G1494&lt;nr_MStartP1,$M$1480,$N$1480))))</f>
        <v/>
      </c>
      <c r="U1494" s="208">
        <f>IF($L$1480,$T1494,$N1494)</f>
        <v/>
      </c>
    </row>
    <row r="1495">
      <c r="A1495" s="145" t="n">
        <v>13</v>
      </c>
      <c r="B1495" s="204">
        <f>EDATE($B1494,1)</f>
        <v/>
      </c>
      <c r="C1495" s="205">
        <f>EOMONTH($B1495,0)</f>
        <v/>
      </c>
      <c r="D1495" s="201">
        <f>$C1495-$B1495+1</f>
        <v/>
      </c>
      <c r="E1495" s="201">
        <f>MONTH($B1495)</f>
        <v/>
      </c>
      <c r="F1495" s="235">
        <f>($B1495+$C1495+1)/2</f>
        <v/>
      </c>
      <c r="G1495" s="201">
        <f>YEAR($B1495)*12+MONTH($B1495)-1</f>
        <v/>
      </c>
      <c r="H1495" s="207">
        <f>IF(OR(nr_SeasonOn="OFF",$D$1480=0,$E$1480=0),1,12*INDEX(se_block,$D$1480,$E1495)/$E$1480)</f>
        <v/>
      </c>
      <c r="I1495" s="208">
        <f>EXP(SUMPRODUCT((rl_eff&lt;$B1495)*(rl_key=$A$1480)*rl_ln1p))</f>
        <v/>
      </c>
      <c r="J1495" s="208">
        <f>EXP(SUMPRODUCT((rl_eff&lt;=$C1495)*(rl_key=$A$1480)*rl_ln1p))</f>
        <v/>
      </c>
      <c r="K1495" s="201">
        <f>COUNTIFS(rl_key,$A$1480,rl_eff,"&gt;="&amp;$B1495,rl_eff,"&lt;="&amp;$C1495)</f>
        <v/>
      </c>
      <c r="L1495" s="201">
        <f>SUMIFS(rl_daysafter,rl_key,$A$1480,rl_effmonth,$B1495,rl_first,1)</f>
        <v/>
      </c>
      <c r="M1495" s="209">
        <f>IF($K1495=0,0,MIN(1,$L1495/$D1495))</f>
        <v/>
      </c>
      <c r="N1495" s="208">
        <f>IF($K1495=0,$J1495,(1-$M1495)*$I1495+$M1495*$J1495)</f>
        <v/>
      </c>
      <c r="O1495" s="209">
        <f>IF($F1495&lt;$B$1481,$E$1481+$I$1481*($F1495-$A$1481),IF($F1495&lt;$C$1481,$F$1481+$J$1481*($F1495-$B$1481),$G$1481+$K$1481*($F1495-$C$1481)))</f>
        <v/>
      </c>
      <c r="P1495" s="208">
        <f>MIN(1,MAX(0,(nr_MEndPm1-$G1495+0.5)/$C$1480))-MIN(1,MAX(0,(nr_MStartPm1-1-$G1495+0.5)/$C$1480))</f>
        <v/>
      </c>
      <c r="Q1495" s="208">
        <f>MIN(1,MAX(0,(nr_MEndP-$G1495+0.5)/$C$1480))-MIN(1,MAX(0,(nr_MStartP-1-$G1495+0.5)/$C$1480))</f>
        <v/>
      </c>
      <c r="R1495" s="208">
        <f>MIN(1,MAX(0,(nr_MEndP1-$G1495+0.5)/$C$1480))-MIN(1,MAX(0,(nr_MStartP1-1-$G1495+0.5)/$C$1480))</f>
        <v/>
      </c>
      <c r="S1495" s="208">
        <f>IF($L$1480,$N1495*IF($O$1480=1,$O1495/$F$1480,1),"")</f>
        <v/>
      </c>
      <c r="T1495" s="208">
        <f>IF(NOT($L$1480),"",IF($G1495&lt;nr_MStartP,$S1495,$T1483*(1+IF($G1495&lt;nr_MStartP1,$M$1480,$N$1480))))</f>
        <v/>
      </c>
      <c r="U1495" s="208">
        <f>IF($L$1480,$T1495,$N1495)</f>
        <v/>
      </c>
    </row>
    <row r="1496">
      <c r="A1496" s="145" t="n">
        <v>14</v>
      </c>
      <c r="B1496" s="204">
        <f>EDATE($B1495,1)</f>
        <v/>
      </c>
      <c r="C1496" s="205">
        <f>EOMONTH($B1496,0)</f>
        <v/>
      </c>
      <c r="D1496" s="201">
        <f>$C1496-$B1496+1</f>
        <v/>
      </c>
      <c r="E1496" s="201">
        <f>MONTH($B1496)</f>
        <v/>
      </c>
      <c r="F1496" s="235">
        <f>($B1496+$C1496+1)/2</f>
        <v/>
      </c>
      <c r="G1496" s="201">
        <f>YEAR($B1496)*12+MONTH($B1496)-1</f>
        <v/>
      </c>
      <c r="H1496" s="207">
        <f>IF(OR(nr_SeasonOn="OFF",$D$1480=0,$E$1480=0),1,12*INDEX(se_block,$D$1480,$E1496)/$E$1480)</f>
        <v/>
      </c>
      <c r="I1496" s="208">
        <f>EXP(SUMPRODUCT((rl_eff&lt;$B1496)*(rl_key=$A$1480)*rl_ln1p))</f>
        <v/>
      </c>
      <c r="J1496" s="208">
        <f>EXP(SUMPRODUCT((rl_eff&lt;=$C1496)*(rl_key=$A$1480)*rl_ln1p))</f>
        <v/>
      </c>
      <c r="K1496" s="201">
        <f>COUNTIFS(rl_key,$A$1480,rl_eff,"&gt;="&amp;$B1496,rl_eff,"&lt;="&amp;$C1496)</f>
        <v/>
      </c>
      <c r="L1496" s="201">
        <f>SUMIFS(rl_daysafter,rl_key,$A$1480,rl_effmonth,$B1496,rl_first,1)</f>
        <v/>
      </c>
      <c r="M1496" s="209">
        <f>IF($K1496=0,0,MIN(1,$L1496/$D1496))</f>
        <v/>
      </c>
      <c r="N1496" s="208">
        <f>IF($K1496=0,$J1496,(1-$M1496)*$I1496+$M1496*$J1496)</f>
        <v/>
      </c>
      <c r="O1496" s="209">
        <f>IF($F1496&lt;$B$1481,$E$1481+$I$1481*($F1496-$A$1481),IF($F1496&lt;$C$1481,$F$1481+$J$1481*($F1496-$B$1481),$G$1481+$K$1481*($F1496-$C$1481)))</f>
        <v/>
      </c>
      <c r="P1496" s="208">
        <f>MIN(1,MAX(0,(nr_MEndPm1-$G1496+0.5)/$C$1480))-MIN(1,MAX(0,(nr_MStartPm1-1-$G1496+0.5)/$C$1480))</f>
        <v/>
      </c>
      <c r="Q1496" s="208">
        <f>MIN(1,MAX(0,(nr_MEndP-$G1496+0.5)/$C$1480))-MIN(1,MAX(0,(nr_MStartP-1-$G1496+0.5)/$C$1480))</f>
        <v/>
      </c>
      <c r="R1496" s="208">
        <f>MIN(1,MAX(0,(nr_MEndP1-$G1496+0.5)/$C$1480))-MIN(1,MAX(0,(nr_MStartP1-1-$G1496+0.5)/$C$1480))</f>
        <v/>
      </c>
      <c r="S1496" s="208">
        <f>IF($L$1480,$N1496*IF($O$1480=1,$O1496/$F$1480,1),"")</f>
        <v/>
      </c>
      <c r="T1496" s="208">
        <f>IF(NOT($L$1480),"",IF($G1496&lt;nr_MStartP,$S1496,$T1484*(1+IF($G1496&lt;nr_MStartP1,$M$1480,$N$1480))))</f>
        <v/>
      </c>
      <c r="U1496" s="208">
        <f>IF($L$1480,$T1496,$N1496)</f>
        <v/>
      </c>
    </row>
    <row r="1497">
      <c r="A1497" s="145" t="n">
        <v>15</v>
      </c>
      <c r="B1497" s="204">
        <f>EDATE($B1496,1)</f>
        <v/>
      </c>
      <c r="C1497" s="205">
        <f>EOMONTH($B1497,0)</f>
        <v/>
      </c>
      <c r="D1497" s="201">
        <f>$C1497-$B1497+1</f>
        <v/>
      </c>
      <c r="E1497" s="201">
        <f>MONTH($B1497)</f>
        <v/>
      </c>
      <c r="F1497" s="235">
        <f>($B1497+$C1497+1)/2</f>
        <v/>
      </c>
      <c r="G1497" s="201">
        <f>YEAR($B1497)*12+MONTH($B1497)-1</f>
        <v/>
      </c>
      <c r="H1497" s="207">
        <f>IF(OR(nr_SeasonOn="OFF",$D$1480=0,$E$1480=0),1,12*INDEX(se_block,$D$1480,$E1497)/$E$1480)</f>
        <v/>
      </c>
      <c r="I1497" s="208">
        <f>EXP(SUMPRODUCT((rl_eff&lt;$B1497)*(rl_key=$A$1480)*rl_ln1p))</f>
        <v/>
      </c>
      <c r="J1497" s="208">
        <f>EXP(SUMPRODUCT((rl_eff&lt;=$C1497)*(rl_key=$A$1480)*rl_ln1p))</f>
        <v/>
      </c>
      <c r="K1497" s="201">
        <f>COUNTIFS(rl_key,$A$1480,rl_eff,"&gt;="&amp;$B1497,rl_eff,"&lt;="&amp;$C1497)</f>
        <v/>
      </c>
      <c r="L1497" s="201">
        <f>SUMIFS(rl_daysafter,rl_key,$A$1480,rl_effmonth,$B1497,rl_first,1)</f>
        <v/>
      </c>
      <c r="M1497" s="209">
        <f>IF($K1497=0,0,MIN(1,$L1497/$D1497))</f>
        <v/>
      </c>
      <c r="N1497" s="208">
        <f>IF($K1497=0,$J1497,(1-$M1497)*$I1497+$M1497*$J1497)</f>
        <v/>
      </c>
      <c r="O1497" s="209">
        <f>IF($F1497&lt;$B$1481,$E$1481+$I$1481*($F1497-$A$1481),IF($F1497&lt;$C$1481,$F$1481+$J$1481*($F1497-$B$1481),$G$1481+$K$1481*($F1497-$C$1481)))</f>
        <v/>
      </c>
      <c r="P1497" s="208">
        <f>MIN(1,MAX(0,(nr_MEndPm1-$G1497+0.5)/$C$1480))-MIN(1,MAX(0,(nr_MStartPm1-1-$G1497+0.5)/$C$1480))</f>
        <v/>
      </c>
      <c r="Q1497" s="208">
        <f>MIN(1,MAX(0,(nr_MEndP-$G1497+0.5)/$C$1480))-MIN(1,MAX(0,(nr_MStartP-1-$G1497+0.5)/$C$1480))</f>
        <v/>
      </c>
      <c r="R1497" s="208">
        <f>MIN(1,MAX(0,(nr_MEndP1-$G1497+0.5)/$C$1480))-MIN(1,MAX(0,(nr_MStartP1-1-$G1497+0.5)/$C$1480))</f>
        <v/>
      </c>
      <c r="S1497" s="208">
        <f>IF($L$1480,$N1497*IF($O$1480=1,$O1497/$F$1480,1),"")</f>
        <v/>
      </c>
      <c r="T1497" s="208">
        <f>IF(NOT($L$1480),"",IF($G1497&lt;nr_MStartP,$S1497,$T1485*(1+IF($G1497&lt;nr_MStartP1,$M$1480,$N$1480))))</f>
        <v/>
      </c>
      <c r="U1497" s="208">
        <f>IF($L$1480,$T1497,$N1497)</f>
        <v/>
      </c>
    </row>
    <row r="1498">
      <c r="A1498" s="145" t="n">
        <v>16</v>
      </c>
      <c r="B1498" s="204">
        <f>EDATE($B1497,1)</f>
        <v/>
      </c>
      <c r="C1498" s="205">
        <f>EOMONTH($B1498,0)</f>
        <v/>
      </c>
      <c r="D1498" s="201">
        <f>$C1498-$B1498+1</f>
        <v/>
      </c>
      <c r="E1498" s="201">
        <f>MONTH($B1498)</f>
        <v/>
      </c>
      <c r="F1498" s="235">
        <f>($B1498+$C1498+1)/2</f>
        <v/>
      </c>
      <c r="G1498" s="201">
        <f>YEAR($B1498)*12+MONTH($B1498)-1</f>
        <v/>
      </c>
      <c r="H1498" s="207">
        <f>IF(OR(nr_SeasonOn="OFF",$D$1480=0,$E$1480=0),1,12*INDEX(se_block,$D$1480,$E1498)/$E$1480)</f>
        <v/>
      </c>
      <c r="I1498" s="208">
        <f>EXP(SUMPRODUCT((rl_eff&lt;$B1498)*(rl_key=$A$1480)*rl_ln1p))</f>
        <v/>
      </c>
      <c r="J1498" s="208">
        <f>EXP(SUMPRODUCT((rl_eff&lt;=$C1498)*(rl_key=$A$1480)*rl_ln1p))</f>
        <v/>
      </c>
      <c r="K1498" s="201">
        <f>COUNTIFS(rl_key,$A$1480,rl_eff,"&gt;="&amp;$B1498,rl_eff,"&lt;="&amp;$C1498)</f>
        <v/>
      </c>
      <c r="L1498" s="201">
        <f>SUMIFS(rl_daysafter,rl_key,$A$1480,rl_effmonth,$B1498,rl_first,1)</f>
        <v/>
      </c>
      <c r="M1498" s="209">
        <f>IF($K1498=0,0,MIN(1,$L1498/$D1498))</f>
        <v/>
      </c>
      <c r="N1498" s="208">
        <f>IF($K1498=0,$J1498,(1-$M1498)*$I1498+$M1498*$J1498)</f>
        <v/>
      </c>
      <c r="O1498" s="209">
        <f>IF($F1498&lt;$B$1481,$E$1481+$I$1481*($F1498-$A$1481),IF($F1498&lt;$C$1481,$F$1481+$J$1481*($F1498-$B$1481),$G$1481+$K$1481*($F1498-$C$1481)))</f>
        <v/>
      </c>
      <c r="P1498" s="208">
        <f>MIN(1,MAX(0,(nr_MEndPm1-$G1498+0.5)/$C$1480))-MIN(1,MAX(0,(nr_MStartPm1-1-$G1498+0.5)/$C$1480))</f>
        <v/>
      </c>
      <c r="Q1498" s="208">
        <f>MIN(1,MAX(0,(nr_MEndP-$G1498+0.5)/$C$1480))-MIN(1,MAX(0,(nr_MStartP-1-$G1498+0.5)/$C$1480))</f>
        <v/>
      </c>
      <c r="R1498" s="208">
        <f>MIN(1,MAX(0,(nr_MEndP1-$G1498+0.5)/$C$1480))-MIN(1,MAX(0,(nr_MStartP1-1-$G1498+0.5)/$C$1480))</f>
        <v/>
      </c>
      <c r="S1498" s="208">
        <f>IF($L$1480,$N1498*IF($O$1480=1,$O1498/$F$1480,1),"")</f>
        <v/>
      </c>
      <c r="T1498" s="208">
        <f>IF(NOT($L$1480),"",IF($G1498&lt;nr_MStartP,$S1498,$T1486*(1+IF($G1498&lt;nr_MStartP1,$M$1480,$N$1480))))</f>
        <v/>
      </c>
      <c r="U1498" s="208">
        <f>IF($L$1480,$T1498,$N1498)</f>
        <v/>
      </c>
    </row>
    <row r="1499">
      <c r="A1499" s="145" t="n">
        <v>17</v>
      </c>
      <c r="B1499" s="204">
        <f>EDATE($B1498,1)</f>
        <v/>
      </c>
      <c r="C1499" s="205">
        <f>EOMONTH($B1499,0)</f>
        <v/>
      </c>
      <c r="D1499" s="201">
        <f>$C1499-$B1499+1</f>
        <v/>
      </c>
      <c r="E1499" s="201">
        <f>MONTH($B1499)</f>
        <v/>
      </c>
      <c r="F1499" s="235">
        <f>($B1499+$C1499+1)/2</f>
        <v/>
      </c>
      <c r="G1499" s="201">
        <f>YEAR($B1499)*12+MONTH($B1499)-1</f>
        <v/>
      </c>
      <c r="H1499" s="207">
        <f>IF(OR(nr_SeasonOn="OFF",$D$1480=0,$E$1480=0),1,12*INDEX(se_block,$D$1480,$E1499)/$E$1480)</f>
        <v/>
      </c>
      <c r="I1499" s="208">
        <f>EXP(SUMPRODUCT((rl_eff&lt;$B1499)*(rl_key=$A$1480)*rl_ln1p))</f>
        <v/>
      </c>
      <c r="J1499" s="208">
        <f>EXP(SUMPRODUCT((rl_eff&lt;=$C1499)*(rl_key=$A$1480)*rl_ln1p))</f>
        <v/>
      </c>
      <c r="K1499" s="201">
        <f>COUNTIFS(rl_key,$A$1480,rl_eff,"&gt;="&amp;$B1499,rl_eff,"&lt;="&amp;$C1499)</f>
        <v/>
      </c>
      <c r="L1499" s="201">
        <f>SUMIFS(rl_daysafter,rl_key,$A$1480,rl_effmonth,$B1499,rl_first,1)</f>
        <v/>
      </c>
      <c r="M1499" s="209">
        <f>IF($K1499=0,0,MIN(1,$L1499/$D1499))</f>
        <v/>
      </c>
      <c r="N1499" s="208">
        <f>IF($K1499=0,$J1499,(1-$M1499)*$I1499+$M1499*$J1499)</f>
        <v/>
      </c>
      <c r="O1499" s="209">
        <f>IF($F1499&lt;$B$1481,$E$1481+$I$1481*($F1499-$A$1481),IF($F1499&lt;$C$1481,$F$1481+$J$1481*($F1499-$B$1481),$G$1481+$K$1481*($F1499-$C$1481)))</f>
        <v/>
      </c>
      <c r="P1499" s="208">
        <f>MIN(1,MAX(0,(nr_MEndPm1-$G1499+0.5)/$C$1480))-MIN(1,MAX(0,(nr_MStartPm1-1-$G1499+0.5)/$C$1480))</f>
        <v/>
      </c>
      <c r="Q1499" s="208">
        <f>MIN(1,MAX(0,(nr_MEndP-$G1499+0.5)/$C$1480))-MIN(1,MAX(0,(nr_MStartP-1-$G1499+0.5)/$C$1480))</f>
        <v/>
      </c>
      <c r="R1499" s="208">
        <f>MIN(1,MAX(0,(nr_MEndP1-$G1499+0.5)/$C$1480))-MIN(1,MAX(0,(nr_MStartP1-1-$G1499+0.5)/$C$1480))</f>
        <v/>
      </c>
      <c r="S1499" s="208">
        <f>IF($L$1480,$N1499*IF($O$1480=1,$O1499/$F$1480,1),"")</f>
        <v/>
      </c>
      <c r="T1499" s="208">
        <f>IF(NOT($L$1480),"",IF($G1499&lt;nr_MStartP,$S1499,$T1487*(1+IF($G1499&lt;nr_MStartP1,$M$1480,$N$1480))))</f>
        <v/>
      </c>
      <c r="U1499" s="208">
        <f>IF($L$1480,$T1499,$N1499)</f>
        <v/>
      </c>
    </row>
    <row r="1500">
      <c r="A1500" s="145" t="n">
        <v>18</v>
      </c>
      <c r="B1500" s="204">
        <f>EDATE($B1499,1)</f>
        <v/>
      </c>
      <c r="C1500" s="205">
        <f>EOMONTH($B1500,0)</f>
        <v/>
      </c>
      <c r="D1500" s="201">
        <f>$C1500-$B1500+1</f>
        <v/>
      </c>
      <c r="E1500" s="201">
        <f>MONTH($B1500)</f>
        <v/>
      </c>
      <c r="F1500" s="235">
        <f>($B1500+$C1500+1)/2</f>
        <v/>
      </c>
      <c r="G1500" s="201">
        <f>YEAR($B1500)*12+MONTH($B1500)-1</f>
        <v/>
      </c>
      <c r="H1500" s="207">
        <f>IF(OR(nr_SeasonOn="OFF",$D$1480=0,$E$1480=0),1,12*INDEX(se_block,$D$1480,$E1500)/$E$1480)</f>
        <v/>
      </c>
      <c r="I1500" s="208">
        <f>EXP(SUMPRODUCT((rl_eff&lt;$B1500)*(rl_key=$A$1480)*rl_ln1p))</f>
        <v/>
      </c>
      <c r="J1500" s="208">
        <f>EXP(SUMPRODUCT((rl_eff&lt;=$C1500)*(rl_key=$A$1480)*rl_ln1p))</f>
        <v/>
      </c>
      <c r="K1500" s="201">
        <f>COUNTIFS(rl_key,$A$1480,rl_eff,"&gt;="&amp;$B1500,rl_eff,"&lt;="&amp;$C1500)</f>
        <v/>
      </c>
      <c r="L1500" s="201">
        <f>SUMIFS(rl_daysafter,rl_key,$A$1480,rl_effmonth,$B1500,rl_first,1)</f>
        <v/>
      </c>
      <c r="M1500" s="209">
        <f>IF($K1500=0,0,MIN(1,$L1500/$D1500))</f>
        <v/>
      </c>
      <c r="N1500" s="208">
        <f>IF($K1500=0,$J1500,(1-$M1500)*$I1500+$M1500*$J1500)</f>
        <v/>
      </c>
      <c r="O1500" s="209">
        <f>IF($F1500&lt;$B$1481,$E$1481+$I$1481*($F1500-$A$1481),IF($F1500&lt;$C$1481,$F$1481+$J$1481*($F1500-$B$1481),$G$1481+$K$1481*($F1500-$C$1481)))</f>
        <v/>
      </c>
      <c r="P1500" s="208">
        <f>MIN(1,MAX(0,(nr_MEndPm1-$G1500+0.5)/$C$1480))-MIN(1,MAX(0,(nr_MStartPm1-1-$G1500+0.5)/$C$1480))</f>
        <v/>
      </c>
      <c r="Q1500" s="208">
        <f>MIN(1,MAX(0,(nr_MEndP-$G1500+0.5)/$C$1480))-MIN(1,MAX(0,(nr_MStartP-1-$G1500+0.5)/$C$1480))</f>
        <v/>
      </c>
      <c r="R1500" s="208">
        <f>MIN(1,MAX(0,(nr_MEndP1-$G1500+0.5)/$C$1480))-MIN(1,MAX(0,(nr_MStartP1-1-$G1500+0.5)/$C$1480))</f>
        <v/>
      </c>
      <c r="S1500" s="208">
        <f>IF($L$1480,$N1500*IF($O$1480=1,$O1500/$F$1480,1),"")</f>
        <v/>
      </c>
      <c r="T1500" s="208">
        <f>IF(NOT($L$1480),"",IF($G1500&lt;nr_MStartP,$S1500,$T1488*(1+IF($G1500&lt;nr_MStartP1,$M$1480,$N$1480))))</f>
        <v/>
      </c>
      <c r="U1500" s="208">
        <f>IF($L$1480,$T1500,$N1500)</f>
        <v/>
      </c>
    </row>
    <row r="1501">
      <c r="A1501" s="145" t="n">
        <v>19</v>
      </c>
      <c r="B1501" s="204">
        <f>EDATE($B1500,1)</f>
        <v/>
      </c>
      <c r="C1501" s="205">
        <f>EOMONTH($B1501,0)</f>
        <v/>
      </c>
      <c r="D1501" s="201">
        <f>$C1501-$B1501+1</f>
        <v/>
      </c>
      <c r="E1501" s="201">
        <f>MONTH($B1501)</f>
        <v/>
      </c>
      <c r="F1501" s="235">
        <f>($B1501+$C1501+1)/2</f>
        <v/>
      </c>
      <c r="G1501" s="201">
        <f>YEAR($B1501)*12+MONTH($B1501)-1</f>
        <v/>
      </c>
      <c r="H1501" s="207">
        <f>IF(OR(nr_SeasonOn="OFF",$D$1480=0,$E$1480=0),1,12*INDEX(se_block,$D$1480,$E1501)/$E$1480)</f>
        <v/>
      </c>
      <c r="I1501" s="208">
        <f>EXP(SUMPRODUCT((rl_eff&lt;$B1501)*(rl_key=$A$1480)*rl_ln1p))</f>
        <v/>
      </c>
      <c r="J1501" s="208">
        <f>EXP(SUMPRODUCT((rl_eff&lt;=$C1501)*(rl_key=$A$1480)*rl_ln1p))</f>
        <v/>
      </c>
      <c r="K1501" s="201">
        <f>COUNTIFS(rl_key,$A$1480,rl_eff,"&gt;="&amp;$B1501,rl_eff,"&lt;="&amp;$C1501)</f>
        <v/>
      </c>
      <c r="L1501" s="201">
        <f>SUMIFS(rl_daysafter,rl_key,$A$1480,rl_effmonth,$B1501,rl_first,1)</f>
        <v/>
      </c>
      <c r="M1501" s="209">
        <f>IF($K1501=0,0,MIN(1,$L1501/$D1501))</f>
        <v/>
      </c>
      <c r="N1501" s="208">
        <f>IF($K1501=0,$J1501,(1-$M1501)*$I1501+$M1501*$J1501)</f>
        <v/>
      </c>
      <c r="O1501" s="209">
        <f>IF($F1501&lt;$B$1481,$E$1481+$I$1481*($F1501-$A$1481),IF($F1501&lt;$C$1481,$F$1481+$J$1481*($F1501-$B$1481),$G$1481+$K$1481*($F1501-$C$1481)))</f>
        <v/>
      </c>
      <c r="P1501" s="208">
        <f>MIN(1,MAX(0,(nr_MEndPm1-$G1501+0.5)/$C$1480))-MIN(1,MAX(0,(nr_MStartPm1-1-$G1501+0.5)/$C$1480))</f>
        <v/>
      </c>
      <c r="Q1501" s="208">
        <f>MIN(1,MAX(0,(nr_MEndP-$G1501+0.5)/$C$1480))-MIN(1,MAX(0,(nr_MStartP-1-$G1501+0.5)/$C$1480))</f>
        <v/>
      </c>
      <c r="R1501" s="208">
        <f>MIN(1,MAX(0,(nr_MEndP1-$G1501+0.5)/$C$1480))-MIN(1,MAX(0,(nr_MStartP1-1-$G1501+0.5)/$C$1480))</f>
        <v/>
      </c>
      <c r="S1501" s="208">
        <f>IF($L$1480,$N1501*IF($O$1480=1,$O1501/$F$1480,1),"")</f>
        <v/>
      </c>
      <c r="T1501" s="208">
        <f>IF(NOT($L$1480),"",IF($G1501&lt;nr_MStartP,$S1501,$T1489*(1+IF($G1501&lt;nr_MStartP1,$M$1480,$N$1480))))</f>
        <v/>
      </c>
      <c r="U1501" s="208">
        <f>IF($L$1480,$T1501,$N1501)</f>
        <v/>
      </c>
    </row>
    <row r="1502">
      <c r="A1502" s="145" t="n">
        <v>20</v>
      </c>
      <c r="B1502" s="204">
        <f>EDATE($B1501,1)</f>
        <v/>
      </c>
      <c r="C1502" s="205">
        <f>EOMONTH($B1502,0)</f>
        <v/>
      </c>
      <c r="D1502" s="201">
        <f>$C1502-$B1502+1</f>
        <v/>
      </c>
      <c r="E1502" s="201">
        <f>MONTH($B1502)</f>
        <v/>
      </c>
      <c r="F1502" s="235">
        <f>($B1502+$C1502+1)/2</f>
        <v/>
      </c>
      <c r="G1502" s="201">
        <f>YEAR($B1502)*12+MONTH($B1502)-1</f>
        <v/>
      </c>
      <c r="H1502" s="207">
        <f>IF(OR(nr_SeasonOn="OFF",$D$1480=0,$E$1480=0),1,12*INDEX(se_block,$D$1480,$E1502)/$E$1480)</f>
        <v/>
      </c>
      <c r="I1502" s="208">
        <f>EXP(SUMPRODUCT((rl_eff&lt;$B1502)*(rl_key=$A$1480)*rl_ln1p))</f>
        <v/>
      </c>
      <c r="J1502" s="208">
        <f>EXP(SUMPRODUCT((rl_eff&lt;=$C1502)*(rl_key=$A$1480)*rl_ln1p))</f>
        <v/>
      </c>
      <c r="K1502" s="201">
        <f>COUNTIFS(rl_key,$A$1480,rl_eff,"&gt;="&amp;$B1502,rl_eff,"&lt;="&amp;$C1502)</f>
        <v/>
      </c>
      <c r="L1502" s="201">
        <f>SUMIFS(rl_daysafter,rl_key,$A$1480,rl_effmonth,$B1502,rl_first,1)</f>
        <v/>
      </c>
      <c r="M1502" s="209">
        <f>IF($K1502=0,0,MIN(1,$L1502/$D1502))</f>
        <v/>
      </c>
      <c r="N1502" s="208">
        <f>IF($K1502=0,$J1502,(1-$M1502)*$I1502+$M1502*$J1502)</f>
        <v/>
      </c>
      <c r="O1502" s="209">
        <f>IF($F1502&lt;$B$1481,$E$1481+$I$1481*($F1502-$A$1481),IF($F1502&lt;$C$1481,$F$1481+$J$1481*($F1502-$B$1481),$G$1481+$K$1481*($F1502-$C$1481)))</f>
        <v/>
      </c>
      <c r="P1502" s="208">
        <f>MIN(1,MAX(0,(nr_MEndPm1-$G1502+0.5)/$C$1480))-MIN(1,MAX(0,(nr_MStartPm1-1-$G1502+0.5)/$C$1480))</f>
        <v/>
      </c>
      <c r="Q1502" s="208">
        <f>MIN(1,MAX(0,(nr_MEndP-$G1502+0.5)/$C$1480))-MIN(1,MAX(0,(nr_MStartP-1-$G1502+0.5)/$C$1480))</f>
        <v/>
      </c>
      <c r="R1502" s="208">
        <f>MIN(1,MAX(0,(nr_MEndP1-$G1502+0.5)/$C$1480))-MIN(1,MAX(0,(nr_MStartP1-1-$G1502+0.5)/$C$1480))</f>
        <v/>
      </c>
      <c r="S1502" s="208">
        <f>IF($L$1480,$N1502*IF($O$1480=1,$O1502/$F$1480,1),"")</f>
        <v/>
      </c>
      <c r="T1502" s="208">
        <f>IF(NOT($L$1480),"",IF($G1502&lt;nr_MStartP,$S1502,$T1490*(1+IF($G1502&lt;nr_MStartP1,$M$1480,$N$1480))))</f>
        <v/>
      </c>
      <c r="U1502" s="208">
        <f>IF($L$1480,$T1502,$N1502)</f>
        <v/>
      </c>
    </row>
    <row r="1503">
      <c r="A1503" s="145" t="n">
        <v>21</v>
      </c>
      <c r="B1503" s="204">
        <f>EDATE($B1502,1)</f>
        <v/>
      </c>
      <c r="C1503" s="205">
        <f>EOMONTH($B1503,0)</f>
        <v/>
      </c>
      <c r="D1503" s="201">
        <f>$C1503-$B1503+1</f>
        <v/>
      </c>
      <c r="E1503" s="201">
        <f>MONTH($B1503)</f>
        <v/>
      </c>
      <c r="F1503" s="235">
        <f>($B1503+$C1503+1)/2</f>
        <v/>
      </c>
      <c r="G1503" s="201">
        <f>YEAR($B1503)*12+MONTH($B1503)-1</f>
        <v/>
      </c>
      <c r="H1503" s="207">
        <f>IF(OR(nr_SeasonOn="OFF",$D$1480=0,$E$1480=0),1,12*INDEX(se_block,$D$1480,$E1503)/$E$1480)</f>
        <v/>
      </c>
      <c r="I1503" s="208">
        <f>EXP(SUMPRODUCT((rl_eff&lt;$B1503)*(rl_key=$A$1480)*rl_ln1p))</f>
        <v/>
      </c>
      <c r="J1503" s="208">
        <f>EXP(SUMPRODUCT((rl_eff&lt;=$C1503)*(rl_key=$A$1480)*rl_ln1p))</f>
        <v/>
      </c>
      <c r="K1503" s="201">
        <f>COUNTIFS(rl_key,$A$1480,rl_eff,"&gt;="&amp;$B1503,rl_eff,"&lt;="&amp;$C1503)</f>
        <v/>
      </c>
      <c r="L1503" s="201">
        <f>SUMIFS(rl_daysafter,rl_key,$A$1480,rl_effmonth,$B1503,rl_first,1)</f>
        <v/>
      </c>
      <c r="M1503" s="209">
        <f>IF($K1503=0,0,MIN(1,$L1503/$D1503))</f>
        <v/>
      </c>
      <c r="N1503" s="208">
        <f>IF($K1503=0,$J1503,(1-$M1503)*$I1503+$M1503*$J1503)</f>
        <v/>
      </c>
      <c r="O1503" s="209">
        <f>IF($F1503&lt;$B$1481,$E$1481+$I$1481*($F1503-$A$1481),IF($F1503&lt;$C$1481,$F$1481+$J$1481*($F1503-$B$1481),$G$1481+$K$1481*($F1503-$C$1481)))</f>
        <v/>
      </c>
      <c r="P1503" s="208">
        <f>MIN(1,MAX(0,(nr_MEndPm1-$G1503+0.5)/$C$1480))-MIN(1,MAX(0,(nr_MStartPm1-1-$G1503+0.5)/$C$1480))</f>
        <v/>
      </c>
      <c r="Q1503" s="208">
        <f>MIN(1,MAX(0,(nr_MEndP-$G1503+0.5)/$C$1480))-MIN(1,MAX(0,(nr_MStartP-1-$G1503+0.5)/$C$1480))</f>
        <v/>
      </c>
      <c r="R1503" s="208">
        <f>MIN(1,MAX(0,(nr_MEndP1-$G1503+0.5)/$C$1480))-MIN(1,MAX(0,(nr_MStartP1-1-$G1503+0.5)/$C$1480))</f>
        <v/>
      </c>
      <c r="S1503" s="208">
        <f>IF($L$1480,$N1503*IF($O$1480=1,$O1503/$F$1480,1),"")</f>
        <v/>
      </c>
      <c r="T1503" s="208">
        <f>IF(NOT($L$1480),"",IF($G1503&lt;nr_MStartP,$S1503,$T1491*(1+IF($G1503&lt;nr_MStartP1,$M$1480,$N$1480))))</f>
        <v/>
      </c>
      <c r="U1503" s="208">
        <f>IF($L$1480,$T1503,$N1503)</f>
        <v/>
      </c>
    </row>
    <row r="1504">
      <c r="A1504" s="145" t="n">
        <v>22</v>
      </c>
      <c r="B1504" s="204">
        <f>EDATE($B1503,1)</f>
        <v/>
      </c>
      <c r="C1504" s="205">
        <f>EOMONTH($B1504,0)</f>
        <v/>
      </c>
      <c r="D1504" s="201">
        <f>$C1504-$B1504+1</f>
        <v/>
      </c>
      <c r="E1504" s="201">
        <f>MONTH($B1504)</f>
        <v/>
      </c>
      <c r="F1504" s="235">
        <f>($B1504+$C1504+1)/2</f>
        <v/>
      </c>
      <c r="G1504" s="201">
        <f>YEAR($B1504)*12+MONTH($B1504)-1</f>
        <v/>
      </c>
      <c r="H1504" s="207">
        <f>IF(OR(nr_SeasonOn="OFF",$D$1480=0,$E$1480=0),1,12*INDEX(se_block,$D$1480,$E1504)/$E$1480)</f>
        <v/>
      </c>
      <c r="I1504" s="208">
        <f>EXP(SUMPRODUCT((rl_eff&lt;$B1504)*(rl_key=$A$1480)*rl_ln1p))</f>
        <v/>
      </c>
      <c r="J1504" s="208">
        <f>EXP(SUMPRODUCT((rl_eff&lt;=$C1504)*(rl_key=$A$1480)*rl_ln1p))</f>
        <v/>
      </c>
      <c r="K1504" s="201">
        <f>COUNTIFS(rl_key,$A$1480,rl_eff,"&gt;="&amp;$B1504,rl_eff,"&lt;="&amp;$C1504)</f>
        <v/>
      </c>
      <c r="L1504" s="201">
        <f>SUMIFS(rl_daysafter,rl_key,$A$1480,rl_effmonth,$B1504,rl_first,1)</f>
        <v/>
      </c>
      <c r="M1504" s="209">
        <f>IF($K1504=0,0,MIN(1,$L1504/$D1504))</f>
        <v/>
      </c>
      <c r="N1504" s="208">
        <f>IF($K1504=0,$J1504,(1-$M1504)*$I1504+$M1504*$J1504)</f>
        <v/>
      </c>
      <c r="O1504" s="209">
        <f>IF($F1504&lt;$B$1481,$E$1481+$I$1481*($F1504-$A$1481),IF($F1504&lt;$C$1481,$F$1481+$J$1481*($F1504-$B$1481),$G$1481+$K$1481*($F1504-$C$1481)))</f>
        <v/>
      </c>
      <c r="P1504" s="208">
        <f>MIN(1,MAX(0,(nr_MEndPm1-$G1504+0.5)/$C$1480))-MIN(1,MAX(0,(nr_MStartPm1-1-$G1504+0.5)/$C$1480))</f>
        <v/>
      </c>
      <c r="Q1504" s="208">
        <f>MIN(1,MAX(0,(nr_MEndP-$G1504+0.5)/$C$1480))-MIN(1,MAX(0,(nr_MStartP-1-$G1504+0.5)/$C$1480))</f>
        <v/>
      </c>
      <c r="R1504" s="208">
        <f>MIN(1,MAX(0,(nr_MEndP1-$G1504+0.5)/$C$1480))-MIN(1,MAX(0,(nr_MStartP1-1-$G1504+0.5)/$C$1480))</f>
        <v/>
      </c>
      <c r="S1504" s="208">
        <f>IF($L$1480,$N1504*IF($O$1480=1,$O1504/$F$1480,1),"")</f>
        <v/>
      </c>
      <c r="T1504" s="208">
        <f>IF(NOT($L$1480),"",IF($G1504&lt;nr_MStartP,$S1504,$T1492*(1+IF($G1504&lt;nr_MStartP1,$M$1480,$N$1480))))</f>
        <v/>
      </c>
      <c r="U1504" s="208">
        <f>IF($L$1480,$T1504,$N1504)</f>
        <v/>
      </c>
    </row>
    <row r="1505">
      <c r="A1505" s="145" t="n">
        <v>23</v>
      </c>
      <c r="B1505" s="204">
        <f>EDATE($B1504,1)</f>
        <v/>
      </c>
      <c r="C1505" s="205">
        <f>EOMONTH($B1505,0)</f>
        <v/>
      </c>
      <c r="D1505" s="201">
        <f>$C1505-$B1505+1</f>
        <v/>
      </c>
      <c r="E1505" s="201">
        <f>MONTH($B1505)</f>
        <v/>
      </c>
      <c r="F1505" s="235">
        <f>($B1505+$C1505+1)/2</f>
        <v/>
      </c>
      <c r="G1505" s="201">
        <f>YEAR($B1505)*12+MONTH($B1505)-1</f>
        <v/>
      </c>
      <c r="H1505" s="207">
        <f>IF(OR(nr_SeasonOn="OFF",$D$1480=0,$E$1480=0),1,12*INDEX(se_block,$D$1480,$E1505)/$E$1480)</f>
        <v/>
      </c>
      <c r="I1505" s="208">
        <f>EXP(SUMPRODUCT((rl_eff&lt;$B1505)*(rl_key=$A$1480)*rl_ln1p))</f>
        <v/>
      </c>
      <c r="J1505" s="208">
        <f>EXP(SUMPRODUCT((rl_eff&lt;=$C1505)*(rl_key=$A$1480)*rl_ln1p))</f>
        <v/>
      </c>
      <c r="K1505" s="201">
        <f>COUNTIFS(rl_key,$A$1480,rl_eff,"&gt;="&amp;$B1505,rl_eff,"&lt;="&amp;$C1505)</f>
        <v/>
      </c>
      <c r="L1505" s="201">
        <f>SUMIFS(rl_daysafter,rl_key,$A$1480,rl_effmonth,$B1505,rl_first,1)</f>
        <v/>
      </c>
      <c r="M1505" s="209">
        <f>IF($K1505=0,0,MIN(1,$L1505/$D1505))</f>
        <v/>
      </c>
      <c r="N1505" s="208">
        <f>IF($K1505=0,$J1505,(1-$M1505)*$I1505+$M1505*$J1505)</f>
        <v/>
      </c>
      <c r="O1505" s="209">
        <f>IF($F1505&lt;$B$1481,$E$1481+$I$1481*($F1505-$A$1481),IF($F1505&lt;$C$1481,$F$1481+$J$1481*($F1505-$B$1481),$G$1481+$K$1481*($F1505-$C$1481)))</f>
        <v/>
      </c>
      <c r="P1505" s="208">
        <f>MIN(1,MAX(0,(nr_MEndPm1-$G1505+0.5)/$C$1480))-MIN(1,MAX(0,(nr_MStartPm1-1-$G1505+0.5)/$C$1480))</f>
        <v/>
      </c>
      <c r="Q1505" s="208">
        <f>MIN(1,MAX(0,(nr_MEndP-$G1505+0.5)/$C$1480))-MIN(1,MAX(0,(nr_MStartP-1-$G1505+0.5)/$C$1480))</f>
        <v/>
      </c>
      <c r="R1505" s="208">
        <f>MIN(1,MAX(0,(nr_MEndP1-$G1505+0.5)/$C$1480))-MIN(1,MAX(0,(nr_MStartP1-1-$G1505+0.5)/$C$1480))</f>
        <v/>
      </c>
      <c r="S1505" s="208">
        <f>IF($L$1480,$N1505*IF($O$1480=1,$O1505/$F$1480,1),"")</f>
        <v/>
      </c>
      <c r="T1505" s="208">
        <f>IF(NOT($L$1480),"",IF($G1505&lt;nr_MStartP,$S1505,$T1493*(1+IF($G1505&lt;nr_MStartP1,$M$1480,$N$1480))))</f>
        <v/>
      </c>
      <c r="U1505" s="208">
        <f>IF($L$1480,$T1505,$N1505)</f>
        <v/>
      </c>
    </row>
    <row r="1506">
      <c r="A1506" s="145" t="n">
        <v>24</v>
      </c>
      <c r="B1506" s="204">
        <f>EDATE($B1505,1)</f>
        <v/>
      </c>
      <c r="C1506" s="205">
        <f>EOMONTH($B1506,0)</f>
        <v/>
      </c>
      <c r="D1506" s="201">
        <f>$C1506-$B1506+1</f>
        <v/>
      </c>
      <c r="E1506" s="201">
        <f>MONTH($B1506)</f>
        <v/>
      </c>
      <c r="F1506" s="235">
        <f>($B1506+$C1506+1)/2</f>
        <v/>
      </c>
      <c r="G1506" s="201">
        <f>YEAR($B1506)*12+MONTH($B1506)-1</f>
        <v/>
      </c>
      <c r="H1506" s="207">
        <f>IF(OR(nr_SeasonOn="OFF",$D$1480=0,$E$1480=0),1,12*INDEX(se_block,$D$1480,$E1506)/$E$1480)</f>
        <v/>
      </c>
      <c r="I1506" s="208">
        <f>EXP(SUMPRODUCT((rl_eff&lt;$B1506)*(rl_key=$A$1480)*rl_ln1p))</f>
        <v/>
      </c>
      <c r="J1506" s="208">
        <f>EXP(SUMPRODUCT((rl_eff&lt;=$C1506)*(rl_key=$A$1480)*rl_ln1p))</f>
        <v/>
      </c>
      <c r="K1506" s="201">
        <f>COUNTIFS(rl_key,$A$1480,rl_eff,"&gt;="&amp;$B1506,rl_eff,"&lt;="&amp;$C1506)</f>
        <v/>
      </c>
      <c r="L1506" s="201">
        <f>SUMIFS(rl_daysafter,rl_key,$A$1480,rl_effmonth,$B1506,rl_first,1)</f>
        <v/>
      </c>
      <c r="M1506" s="209">
        <f>IF($K1506=0,0,MIN(1,$L1506/$D1506))</f>
        <v/>
      </c>
      <c r="N1506" s="208">
        <f>IF($K1506=0,$J1506,(1-$M1506)*$I1506+$M1506*$J1506)</f>
        <v/>
      </c>
      <c r="O1506" s="209">
        <f>IF($F1506&lt;$B$1481,$E$1481+$I$1481*($F1506-$A$1481),IF($F1506&lt;$C$1481,$F$1481+$J$1481*($F1506-$B$1481),$G$1481+$K$1481*($F1506-$C$1481)))</f>
        <v/>
      </c>
      <c r="P1506" s="208">
        <f>MIN(1,MAX(0,(nr_MEndPm1-$G1506+0.5)/$C$1480))-MIN(1,MAX(0,(nr_MStartPm1-1-$G1506+0.5)/$C$1480))</f>
        <v/>
      </c>
      <c r="Q1506" s="208">
        <f>MIN(1,MAX(0,(nr_MEndP-$G1506+0.5)/$C$1480))-MIN(1,MAX(0,(nr_MStartP-1-$G1506+0.5)/$C$1480))</f>
        <v/>
      </c>
      <c r="R1506" s="208">
        <f>MIN(1,MAX(0,(nr_MEndP1-$G1506+0.5)/$C$1480))-MIN(1,MAX(0,(nr_MStartP1-1-$G1506+0.5)/$C$1480))</f>
        <v/>
      </c>
      <c r="S1506" s="208">
        <f>IF($L$1480,$N1506*IF($O$1480=1,$O1506/$F$1480,1),"")</f>
        <v/>
      </c>
      <c r="T1506" s="208">
        <f>IF(NOT($L$1480),"",IF($G1506&lt;nr_MStartP,$S1506,$T1494*(1+IF($G1506&lt;nr_MStartP1,$M$1480,$N$1480))))</f>
        <v/>
      </c>
      <c r="U1506" s="208">
        <f>IF($L$1480,$T1506,$N1506)</f>
        <v/>
      </c>
    </row>
    <row r="1507">
      <c r="A1507" s="145" t="n">
        <v>25</v>
      </c>
      <c r="B1507" s="204">
        <f>EDATE($B1506,1)</f>
        <v/>
      </c>
      <c r="C1507" s="205">
        <f>EOMONTH($B1507,0)</f>
        <v/>
      </c>
      <c r="D1507" s="201">
        <f>$C1507-$B1507+1</f>
        <v/>
      </c>
      <c r="E1507" s="201">
        <f>MONTH($B1507)</f>
        <v/>
      </c>
      <c r="F1507" s="235">
        <f>($B1507+$C1507+1)/2</f>
        <v/>
      </c>
      <c r="G1507" s="201">
        <f>YEAR($B1507)*12+MONTH($B1507)-1</f>
        <v/>
      </c>
      <c r="H1507" s="207">
        <f>IF(OR(nr_SeasonOn="OFF",$D$1480=0,$E$1480=0),1,12*INDEX(se_block,$D$1480,$E1507)/$E$1480)</f>
        <v/>
      </c>
      <c r="I1507" s="208">
        <f>EXP(SUMPRODUCT((rl_eff&lt;$B1507)*(rl_key=$A$1480)*rl_ln1p))</f>
        <v/>
      </c>
      <c r="J1507" s="208">
        <f>EXP(SUMPRODUCT((rl_eff&lt;=$C1507)*(rl_key=$A$1480)*rl_ln1p))</f>
        <v/>
      </c>
      <c r="K1507" s="201">
        <f>COUNTIFS(rl_key,$A$1480,rl_eff,"&gt;="&amp;$B1507,rl_eff,"&lt;="&amp;$C1507)</f>
        <v/>
      </c>
      <c r="L1507" s="201">
        <f>SUMIFS(rl_daysafter,rl_key,$A$1480,rl_effmonth,$B1507,rl_first,1)</f>
        <v/>
      </c>
      <c r="M1507" s="209">
        <f>IF($K1507=0,0,MIN(1,$L1507/$D1507))</f>
        <v/>
      </c>
      <c r="N1507" s="208">
        <f>IF($K1507=0,$J1507,(1-$M1507)*$I1507+$M1507*$J1507)</f>
        <v/>
      </c>
      <c r="O1507" s="209">
        <f>IF($F1507&lt;$B$1481,$E$1481+$I$1481*($F1507-$A$1481),IF($F1507&lt;$C$1481,$F$1481+$J$1481*($F1507-$B$1481),$G$1481+$K$1481*($F1507-$C$1481)))</f>
        <v/>
      </c>
      <c r="P1507" s="208">
        <f>MIN(1,MAX(0,(nr_MEndPm1-$G1507+0.5)/$C$1480))-MIN(1,MAX(0,(nr_MStartPm1-1-$G1507+0.5)/$C$1480))</f>
        <v/>
      </c>
      <c r="Q1507" s="208">
        <f>MIN(1,MAX(0,(nr_MEndP-$G1507+0.5)/$C$1480))-MIN(1,MAX(0,(nr_MStartP-1-$G1507+0.5)/$C$1480))</f>
        <v/>
      </c>
      <c r="R1507" s="208">
        <f>MIN(1,MAX(0,(nr_MEndP1-$G1507+0.5)/$C$1480))-MIN(1,MAX(0,(nr_MStartP1-1-$G1507+0.5)/$C$1480))</f>
        <v/>
      </c>
      <c r="S1507" s="208">
        <f>IF($L$1480,$N1507*IF($O$1480=1,$O1507/$F$1480,1),"")</f>
        <v/>
      </c>
      <c r="T1507" s="208">
        <f>IF(NOT($L$1480),"",IF($G1507&lt;nr_MStartP,$S1507,$T1495*(1+IF($G1507&lt;nr_MStartP1,$M$1480,$N$1480))))</f>
        <v/>
      </c>
      <c r="U1507" s="208">
        <f>IF($L$1480,$T1507,$N1507)</f>
        <v/>
      </c>
    </row>
    <row r="1508">
      <c r="A1508" s="145" t="n">
        <v>26</v>
      </c>
      <c r="B1508" s="204">
        <f>EDATE($B1507,1)</f>
        <v/>
      </c>
      <c r="C1508" s="205">
        <f>EOMONTH($B1508,0)</f>
        <v/>
      </c>
      <c r="D1508" s="201">
        <f>$C1508-$B1508+1</f>
        <v/>
      </c>
      <c r="E1508" s="201">
        <f>MONTH($B1508)</f>
        <v/>
      </c>
      <c r="F1508" s="235">
        <f>($B1508+$C1508+1)/2</f>
        <v/>
      </c>
      <c r="G1508" s="201">
        <f>YEAR($B1508)*12+MONTH($B1508)-1</f>
        <v/>
      </c>
      <c r="H1508" s="207">
        <f>IF(OR(nr_SeasonOn="OFF",$D$1480=0,$E$1480=0),1,12*INDEX(se_block,$D$1480,$E1508)/$E$1480)</f>
        <v/>
      </c>
      <c r="I1508" s="208">
        <f>EXP(SUMPRODUCT((rl_eff&lt;$B1508)*(rl_key=$A$1480)*rl_ln1p))</f>
        <v/>
      </c>
      <c r="J1508" s="208">
        <f>EXP(SUMPRODUCT((rl_eff&lt;=$C1508)*(rl_key=$A$1480)*rl_ln1p))</f>
        <v/>
      </c>
      <c r="K1508" s="201">
        <f>COUNTIFS(rl_key,$A$1480,rl_eff,"&gt;="&amp;$B1508,rl_eff,"&lt;="&amp;$C1508)</f>
        <v/>
      </c>
      <c r="L1508" s="201">
        <f>SUMIFS(rl_daysafter,rl_key,$A$1480,rl_effmonth,$B1508,rl_first,1)</f>
        <v/>
      </c>
      <c r="M1508" s="209">
        <f>IF($K1508=0,0,MIN(1,$L1508/$D1508))</f>
        <v/>
      </c>
      <c r="N1508" s="208">
        <f>IF($K1508=0,$J1508,(1-$M1508)*$I1508+$M1508*$J1508)</f>
        <v/>
      </c>
      <c r="O1508" s="209">
        <f>IF($F1508&lt;$B$1481,$E$1481+$I$1481*($F1508-$A$1481),IF($F1508&lt;$C$1481,$F$1481+$J$1481*($F1508-$B$1481),$G$1481+$K$1481*($F1508-$C$1481)))</f>
        <v/>
      </c>
      <c r="P1508" s="208">
        <f>MIN(1,MAX(0,(nr_MEndPm1-$G1508+0.5)/$C$1480))-MIN(1,MAX(0,(nr_MStartPm1-1-$G1508+0.5)/$C$1480))</f>
        <v/>
      </c>
      <c r="Q1508" s="208">
        <f>MIN(1,MAX(0,(nr_MEndP-$G1508+0.5)/$C$1480))-MIN(1,MAX(0,(nr_MStartP-1-$G1508+0.5)/$C$1480))</f>
        <v/>
      </c>
      <c r="R1508" s="208">
        <f>MIN(1,MAX(0,(nr_MEndP1-$G1508+0.5)/$C$1480))-MIN(1,MAX(0,(nr_MStartP1-1-$G1508+0.5)/$C$1480))</f>
        <v/>
      </c>
      <c r="S1508" s="208">
        <f>IF($L$1480,$N1508*IF($O$1480=1,$O1508/$F$1480,1),"")</f>
        <v/>
      </c>
      <c r="T1508" s="208">
        <f>IF(NOT($L$1480),"",IF($G1508&lt;nr_MStartP,$S1508,$T1496*(1+IF($G1508&lt;nr_MStartP1,$M$1480,$N$1480))))</f>
        <v/>
      </c>
      <c r="U1508" s="208">
        <f>IF($L$1480,$T1508,$N1508)</f>
        <v/>
      </c>
    </row>
    <row r="1509">
      <c r="A1509" s="145" t="n">
        <v>27</v>
      </c>
      <c r="B1509" s="204">
        <f>EDATE($B1508,1)</f>
        <v/>
      </c>
      <c r="C1509" s="205">
        <f>EOMONTH($B1509,0)</f>
        <v/>
      </c>
      <c r="D1509" s="201">
        <f>$C1509-$B1509+1</f>
        <v/>
      </c>
      <c r="E1509" s="201">
        <f>MONTH($B1509)</f>
        <v/>
      </c>
      <c r="F1509" s="235">
        <f>($B1509+$C1509+1)/2</f>
        <v/>
      </c>
      <c r="G1509" s="201">
        <f>YEAR($B1509)*12+MONTH($B1509)-1</f>
        <v/>
      </c>
      <c r="H1509" s="207">
        <f>IF(OR(nr_SeasonOn="OFF",$D$1480=0,$E$1480=0),1,12*INDEX(se_block,$D$1480,$E1509)/$E$1480)</f>
        <v/>
      </c>
      <c r="I1509" s="208">
        <f>EXP(SUMPRODUCT((rl_eff&lt;$B1509)*(rl_key=$A$1480)*rl_ln1p))</f>
        <v/>
      </c>
      <c r="J1509" s="208">
        <f>EXP(SUMPRODUCT((rl_eff&lt;=$C1509)*(rl_key=$A$1480)*rl_ln1p))</f>
        <v/>
      </c>
      <c r="K1509" s="201">
        <f>COUNTIFS(rl_key,$A$1480,rl_eff,"&gt;="&amp;$B1509,rl_eff,"&lt;="&amp;$C1509)</f>
        <v/>
      </c>
      <c r="L1509" s="201">
        <f>SUMIFS(rl_daysafter,rl_key,$A$1480,rl_effmonth,$B1509,rl_first,1)</f>
        <v/>
      </c>
      <c r="M1509" s="209">
        <f>IF($K1509=0,0,MIN(1,$L1509/$D1509))</f>
        <v/>
      </c>
      <c r="N1509" s="208">
        <f>IF($K1509=0,$J1509,(1-$M1509)*$I1509+$M1509*$J1509)</f>
        <v/>
      </c>
      <c r="O1509" s="209">
        <f>IF($F1509&lt;$B$1481,$E$1481+$I$1481*($F1509-$A$1481),IF($F1509&lt;$C$1481,$F$1481+$J$1481*($F1509-$B$1481),$G$1481+$K$1481*($F1509-$C$1481)))</f>
        <v/>
      </c>
      <c r="P1509" s="208">
        <f>MIN(1,MAX(0,(nr_MEndPm1-$G1509+0.5)/$C$1480))-MIN(1,MAX(0,(nr_MStartPm1-1-$G1509+0.5)/$C$1480))</f>
        <v/>
      </c>
      <c r="Q1509" s="208">
        <f>MIN(1,MAX(0,(nr_MEndP-$G1509+0.5)/$C$1480))-MIN(1,MAX(0,(nr_MStartP-1-$G1509+0.5)/$C$1480))</f>
        <v/>
      </c>
      <c r="R1509" s="208">
        <f>MIN(1,MAX(0,(nr_MEndP1-$G1509+0.5)/$C$1480))-MIN(1,MAX(0,(nr_MStartP1-1-$G1509+0.5)/$C$1480))</f>
        <v/>
      </c>
      <c r="S1509" s="208">
        <f>IF($L$1480,$N1509*IF($O$1480=1,$O1509/$F$1480,1),"")</f>
        <v/>
      </c>
      <c r="T1509" s="208">
        <f>IF(NOT($L$1480),"",IF($G1509&lt;nr_MStartP,$S1509,$T1497*(1+IF($G1509&lt;nr_MStartP1,$M$1480,$N$1480))))</f>
        <v/>
      </c>
      <c r="U1509" s="208">
        <f>IF($L$1480,$T1509,$N1509)</f>
        <v/>
      </c>
    </row>
    <row r="1510">
      <c r="A1510" s="145" t="n">
        <v>28</v>
      </c>
      <c r="B1510" s="204">
        <f>EDATE($B1509,1)</f>
        <v/>
      </c>
      <c r="C1510" s="205">
        <f>EOMONTH($B1510,0)</f>
        <v/>
      </c>
      <c r="D1510" s="201">
        <f>$C1510-$B1510+1</f>
        <v/>
      </c>
      <c r="E1510" s="201">
        <f>MONTH($B1510)</f>
        <v/>
      </c>
      <c r="F1510" s="235">
        <f>($B1510+$C1510+1)/2</f>
        <v/>
      </c>
      <c r="G1510" s="201">
        <f>YEAR($B1510)*12+MONTH($B1510)-1</f>
        <v/>
      </c>
      <c r="H1510" s="207">
        <f>IF(OR(nr_SeasonOn="OFF",$D$1480=0,$E$1480=0),1,12*INDEX(se_block,$D$1480,$E1510)/$E$1480)</f>
        <v/>
      </c>
      <c r="I1510" s="208">
        <f>EXP(SUMPRODUCT((rl_eff&lt;$B1510)*(rl_key=$A$1480)*rl_ln1p))</f>
        <v/>
      </c>
      <c r="J1510" s="208">
        <f>EXP(SUMPRODUCT((rl_eff&lt;=$C1510)*(rl_key=$A$1480)*rl_ln1p))</f>
        <v/>
      </c>
      <c r="K1510" s="201">
        <f>COUNTIFS(rl_key,$A$1480,rl_eff,"&gt;="&amp;$B1510,rl_eff,"&lt;="&amp;$C1510)</f>
        <v/>
      </c>
      <c r="L1510" s="201">
        <f>SUMIFS(rl_daysafter,rl_key,$A$1480,rl_effmonth,$B1510,rl_first,1)</f>
        <v/>
      </c>
      <c r="M1510" s="209">
        <f>IF($K1510=0,0,MIN(1,$L1510/$D1510))</f>
        <v/>
      </c>
      <c r="N1510" s="208">
        <f>IF($K1510=0,$J1510,(1-$M1510)*$I1510+$M1510*$J1510)</f>
        <v/>
      </c>
      <c r="O1510" s="209">
        <f>IF($F1510&lt;$B$1481,$E$1481+$I$1481*($F1510-$A$1481),IF($F1510&lt;$C$1481,$F$1481+$J$1481*($F1510-$B$1481),$G$1481+$K$1481*($F1510-$C$1481)))</f>
        <v/>
      </c>
      <c r="P1510" s="208">
        <f>MIN(1,MAX(0,(nr_MEndPm1-$G1510+0.5)/$C$1480))-MIN(1,MAX(0,(nr_MStartPm1-1-$G1510+0.5)/$C$1480))</f>
        <v/>
      </c>
      <c r="Q1510" s="208">
        <f>MIN(1,MAX(0,(nr_MEndP-$G1510+0.5)/$C$1480))-MIN(1,MAX(0,(nr_MStartP-1-$G1510+0.5)/$C$1480))</f>
        <v/>
      </c>
      <c r="R1510" s="208">
        <f>MIN(1,MAX(0,(nr_MEndP1-$G1510+0.5)/$C$1480))-MIN(1,MAX(0,(nr_MStartP1-1-$G1510+0.5)/$C$1480))</f>
        <v/>
      </c>
      <c r="S1510" s="208">
        <f>IF($L$1480,$N1510*IF($O$1480=1,$O1510/$F$1480,1),"")</f>
        <v/>
      </c>
      <c r="T1510" s="208">
        <f>IF(NOT($L$1480),"",IF($G1510&lt;nr_MStartP,$S1510,$T1498*(1+IF($G1510&lt;nr_MStartP1,$M$1480,$N$1480))))</f>
        <v/>
      </c>
      <c r="U1510" s="208">
        <f>IF($L$1480,$T1510,$N1510)</f>
        <v/>
      </c>
    </row>
    <row r="1511">
      <c r="A1511" s="145" t="n">
        <v>29</v>
      </c>
      <c r="B1511" s="204">
        <f>EDATE($B1510,1)</f>
        <v/>
      </c>
      <c r="C1511" s="205">
        <f>EOMONTH($B1511,0)</f>
        <v/>
      </c>
      <c r="D1511" s="201">
        <f>$C1511-$B1511+1</f>
        <v/>
      </c>
      <c r="E1511" s="201">
        <f>MONTH($B1511)</f>
        <v/>
      </c>
      <c r="F1511" s="235">
        <f>($B1511+$C1511+1)/2</f>
        <v/>
      </c>
      <c r="G1511" s="201">
        <f>YEAR($B1511)*12+MONTH($B1511)-1</f>
        <v/>
      </c>
      <c r="H1511" s="207">
        <f>IF(OR(nr_SeasonOn="OFF",$D$1480=0,$E$1480=0),1,12*INDEX(se_block,$D$1480,$E1511)/$E$1480)</f>
        <v/>
      </c>
      <c r="I1511" s="208">
        <f>EXP(SUMPRODUCT((rl_eff&lt;$B1511)*(rl_key=$A$1480)*rl_ln1p))</f>
        <v/>
      </c>
      <c r="J1511" s="208">
        <f>EXP(SUMPRODUCT((rl_eff&lt;=$C1511)*(rl_key=$A$1480)*rl_ln1p))</f>
        <v/>
      </c>
      <c r="K1511" s="201">
        <f>COUNTIFS(rl_key,$A$1480,rl_eff,"&gt;="&amp;$B1511,rl_eff,"&lt;="&amp;$C1511)</f>
        <v/>
      </c>
      <c r="L1511" s="201">
        <f>SUMIFS(rl_daysafter,rl_key,$A$1480,rl_effmonth,$B1511,rl_first,1)</f>
        <v/>
      </c>
      <c r="M1511" s="209">
        <f>IF($K1511=0,0,MIN(1,$L1511/$D1511))</f>
        <v/>
      </c>
      <c r="N1511" s="208">
        <f>IF($K1511=0,$J1511,(1-$M1511)*$I1511+$M1511*$J1511)</f>
        <v/>
      </c>
      <c r="O1511" s="209">
        <f>IF($F1511&lt;$B$1481,$E$1481+$I$1481*($F1511-$A$1481),IF($F1511&lt;$C$1481,$F$1481+$J$1481*($F1511-$B$1481),$G$1481+$K$1481*($F1511-$C$1481)))</f>
        <v/>
      </c>
      <c r="P1511" s="208">
        <f>MIN(1,MAX(0,(nr_MEndPm1-$G1511+0.5)/$C$1480))-MIN(1,MAX(0,(nr_MStartPm1-1-$G1511+0.5)/$C$1480))</f>
        <v/>
      </c>
      <c r="Q1511" s="208">
        <f>MIN(1,MAX(0,(nr_MEndP-$G1511+0.5)/$C$1480))-MIN(1,MAX(0,(nr_MStartP-1-$G1511+0.5)/$C$1480))</f>
        <v/>
      </c>
      <c r="R1511" s="208">
        <f>MIN(1,MAX(0,(nr_MEndP1-$G1511+0.5)/$C$1480))-MIN(1,MAX(0,(nr_MStartP1-1-$G1511+0.5)/$C$1480))</f>
        <v/>
      </c>
      <c r="S1511" s="208">
        <f>IF($L$1480,$N1511*IF($O$1480=1,$O1511/$F$1480,1),"")</f>
        <v/>
      </c>
      <c r="T1511" s="208">
        <f>IF(NOT($L$1480),"",IF($G1511&lt;nr_MStartP,$S1511,$T1499*(1+IF($G1511&lt;nr_MStartP1,$M$1480,$N$1480))))</f>
        <v/>
      </c>
      <c r="U1511" s="208">
        <f>IF($L$1480,$T1511,$N1511)</f>
        <v/>
      </c>
    </row>
    <row r="1512">
      <c r="A1512" s="145" t="n">
        <v>30</v>
      </c>
      <c r="B1512" s="204">
        <f>EDATE($B1511,1)</f>
        <v/>
      </c>
      <c r="C1512" s="205">
        <f>EOMONTH($B1512,0)</f>
        <v/>
      </c>
      <c r="D1512" s="201">
        <f>$C1512-$B1512+1</f>
        <v/>
      </c>
      <c r="E1512" s="201">
        <f>MONTH($B1512)</f>
        <v/>
      </c>
      <c r="F1512" s="235">
        <f>($B1512+$C1512+1)/2</f>
        <v/>
      </c>
      <c r="G1512" s="201">
        <f>YEAR($B1512)*12+MONTH($B1512)-1</f>
        <v/>
      </c>
      <c r="H1512" s="207">
        <f>IF(OR(nr_SeasonOn="OFF",$D$1480=0,$E$1480=0),1,12*INDEX(se_block,$D$1480,$E1512)/$E$1480)</f>
        <v/>
      </c>
      <c r="I1512" s="208">
        <f>EXP(SUMPRODUCT((rl_eff&lt;$B1512)*(rl_key=$A$1480)*rl_ln1p))</f>
        <v/>
      </c>
      <c r="J1512" s="208">
        <f>EXP(SUMPRODUCT((rl_eff&lt;=$C1512)*(rl_key=$A$1480)*rl_ln1p))</f>
        <v/>
      </c>
      <c r="K1512" s="201">
        <f>COUNTIFS(rl_key,$A$1480,rl_eff,"&gt;="&amp;$B1512,rl_eff,"&lt;="&amp;$C1512)</f>
        <v/>
      </c>
      <c r="L1512" s="201">
        <f>SUMIFS(rl_daysafter,rl_key,$A$1480,rl_effmonth,$B1512,rl_first,1)</f>
        <v/>
      </c>
      <c r="M1512" s="209">
        <f>IF($K1512=0,0,MIN(1,$L1512/$D1512))</f>
        <v/>
      </c>
      <c r="N1512" s="208">
        <f>IF($K1512=0,$J1512,(1-$M1512)*$I1512+$M1512*$J1512)</f>
        <v/>
      </c>
      <c r="O1512" s="209">
        <f>IF($F1512&lt;$B$1481,$E$1481+$I$1481*($F1512-$A$1481),IF($F1512&lt;$C$1481,$F$1481+$J$1481*($F1512-$B$1481),$G$1481+$K$1481*($F1512-$C$1481)))</f>
        <v/>
      </c>
      <c r="P1512" s="208">
        <f>MIN(1,MAX(0,(nr_MEndPm1-$G1512+0.5)/$C$1480))-MIN(1,MAX(0,(nr_MStartPm1-1-$G1512+0.5)/$C$1480))</f>
        <v/>
      </c>
      <c r="Q1512" s="208">
        <f>MIN(1,MAX(0,(nr_MEndP-$G1512+0.5)/$C$1480))-MIN(1,MAX(0,(nr_MStartP-1-$G1512+0.5)/$C$1480))</f>
        <v/>
      </c>
      <c r="R1512" s="208">
        <f>MIN(1,MAX(0,(nr_MEndP1-$G1512+0.5)/$C$1480))-MIN(1,MAX(0,(nr_MStartP1-1-$G1512+0.5)/$C$1480))</f>
        <v/>
      </c>
      <c r="S1512" s="208">
        <f>IF($L$1480,$N1512*IF($O$1480=1,$O1512/$F$1480,1),"")</f>
        <v/>
      </c>
      <c r="T1512" s="208">
        <f>IF(NOT($L$1480),"",IF($G1512&lt;nr_MStartP,$S1512,$T1500*(1+IF($G1512&lt;nr_MStartP1,$M$1480,$N$1480))))</f>
        <v/>
      </c>
      <c r="U1512" s="208">
        <f>IF($L$1480,$T1512,$N1512)</f>
        <v/>
      </c>
    </row>
    <row r="1513">
      <c r="A1513" s="145" t="n">
        <v>31</v>
      </c>
      <c r="B1513" s="204">
        <f>EDATE($B1512,1)</f>
        <v/>
      </c>
      <c r="C1513" s="205">
        <f>EOMONTH($B1513,0)</f>
        <v/>
      </c>
      <c r="D1513" s="201">
        <f>$C1513-$B1513+1</f>
        <v/>
      </c>
      <c r="E1513" s="201">
        <f>MONTH($B1513)</f>
        <v/>
      </c>
      <c r="F1513" s="235">
        <f>($B1513+$C1513+1)/2</f>
        <v/>
      </c>
      <c r="G1513" s="201">
        <f>YEAR($B1513)*12+MONTH($B1513)-1</f>
        <v/>
      </c>
      <c r="H1513" s="207">
        <f>IF(OR(nr_SeasonOn="OFF",$D$1480=0,$E$1480=0),1,12*INDEX(se_block,$D$1480,$E1513)/$E$1480)</f>
        <v/>
      </c>
      <c r="I1513" s="208">
        <f>EXP(SUMPRODUCT((rl_eff&lt;$B1513)*(rl_key=$A$1480)*rl_ln1p))</f>
        <v/>
      </c>
      <c r="J1513" s="208">
        <f>EXP(SUMPRODUCT((rl_eff&lt;=$C1513)*(rl_key=$A$1480)*rl_ln1p))</f>
        <v/>
      </c>
      <c r="K1513" s="201">
        <f>COUNTIFS(rl_key,$A$1480,rl_eff,"&gt;="&amp;$B1513,rl_eff,"&lt;="&amp;$C1513)</f>
        <v/>
      </c>
      <c r="L1513" s="201">
        <f>SUMIFS(rl_daysafter,rl_key,$A$1480,rl_effmonth,$B1513,rl_first,1)</f>
        <v/>
      </c>
      <c r="M1513" s="209">
        <f>IF($K1513=0,0,MIN(1,$L1513/$D1513))</f>
        <v/>
      </c>
      <c r="N1513" s="208">
        <f>IF($K1513=0,$J1513,(1-$M1513)*$I1513+$M1513*$J1513)</f>
        <v/>
      </c>
      <c r="O1513" s="209">
        <f>IF($F1513&lt;$B$1481,$E$1481+$I$1481*($F1513-$A$1481),IF($F1513&lt;$C$1481,$F$1481+$J$1481*($F1513-$B$1481),$G$1481+$K$1481*($F1513-$C$1481)))</f>
        <v/>
      </c>
      <c r="P1513" s="208">
        <f>MIN(1,MAX(0,(nr_MEndPm1-$G1513+0.5)/$C$1480))-MIN(1,MAX(0,(nr_MStartPm1-1-$G1513+0.5)/$C$1480))</f>
        <v/>
      </c>
      <c r="Q1513" s="208">
        <f>MIN(1,MAX(0,(nr_MEndP-$G1513+0.5)/$C$1480))-MIN(1,MAX(0,(nr_MStartP-1-$G1513+0.5)/$C$1480))</f>
        <v/>
      </c>
      <c r="R1513" s="208">
        <f>MIN(1,MAX(0,(nr_MEndP1-$G1513+0.5)/$C$1480))-MIN(1,MAX(0,(nr_MStartP1-1-$G1513+0.5)/$C$1480))</f>
        <v/>
      </c>
      <c r="S1513" s="208">
        <f>IF($L$1480,$N1513*IF($O$1480=1,$O1513/$F$1480,1),"")</f>
        <v/>
      </c>
      <c r="T1513" s="208">
        <f>IF(NOT($L$1480),"",IF($G1513&lt;nr_MStartP,$S1513,$T1501*(1+IF($G1513&lt;nr_MStartP1,$M$1480,$N$1480))))</f>
        <v/>
      </c>
      <c r="U1513" s="208">
        <f>IF($L$1480,$T1513,$N1513)</f>
        <v/>
      </c>
    </row>
    <row r="1514">
      <c r="A1514" s="145" t="n">
        <v>32</v>
      </c>
      <c r="B1514" s="204">
        <f>EDATE($B1513,1)</f>
        <v/>
      </c>
      <c r="C1514" s="205">
        <f>EOMONTH($B1514,0)</f>
        <v/>
      </c>
      <c r="D1514" s="201">
        <f>$C1514-$B1514+1</f>
        <v/>
      </c>
      <c r="E1514" s="201">
        <f>MONTH($B1514)</f>
        <v/>
      </c>
      <c r="F1514" s="235">
        <f>($B1514+$C1514+1)/2</f>
        <v/>
      </c>
      <c r="G1514" s="201">
        <f>YEAR($B1514)*12+MONTH($B1514)-1</f>
        <v/>
      </c>
      <c r="H1514" s="207">
        <f>IF(OR(nr_SeasonOn="OFF",$D$1480=0,$E$1480=0),1,12*INDEX(se_block,$D$1480,$E1514)/$E$1480)</f>
        <v/>
      </c>
      <c r="I1514" s="208">
        <f>EXP(SUMPRODUCT((rl_eff&lt;$B1514)*(rl_key=$A$1480)*rl_ln1p))</f>
        <v/>
      </c>
      <c r="J1514" s="208">
        <f>EXP(SUMPRODUCT((rl_eff&lt;=$C1514)*(rl_key=$A$1480)*rl_ln1p))</f>
        <v/>
      </c>
      <c r="K1514" s="201">
        <f>COUNTIFS(rl_key,$A$1480,rl_eff,"&gt;="&amp;$B1514,rl_eff,"&lt;="&amp;$C1514)</f>
        <v/>
      </c>
      <c r="L1514" s="201">
        <f>SUMIFS(rl_daysafter,rl_key,$A$1480,rl_effmonth,$B1514,rl_first,1)</f>
        <v/>
      </c>
      <c r="M1514" s="209">
        <f>IF($K1514=0,0,MIN(1,$L1514/$D1514))</f>
        <v/>
      </c>
      <c r="N1514" s="208">
        <f>IF($K1514=0,$J1514,(1-$M1514)*$I1514+$M1514*$J1514)</f>
        <v/>
      </c>
      <c r="O1514" s="209">
        <f>IF($F1514&lt;$B$1481,$E$1481+$I$1481*($F1514-$A$1481),IF($F1514&lt;$C$1481,$F$1481+$J$1481*($F1514-$B$1481),$G$1481+$K$1481*($F1514-$C$1481)))</f>
        <v/>
      </c>
      <c r="P1514" s="208">
        <f>MIN(1,MAX(0,(nr_MEndPm1-$G1514+0.5)/$C$1480))-MIN(1,MAX(0,(nr_MStartPm1-1-$G1514+0.5)/$C$1480))</f>
        <v/>
      </c>
      <c r="Q1514" s="208">
        <f>MIN(1,MAX(0,(nr_MEndP-$G1514+0.5)/$C$1480))-MIN(1,MAX(0,(nr_MStartP-1-$G1514+0.5)/$C$1480))</f>
        <v/>
      </c>
      <c r="R1514" s="208">
        <f>MIN(1,MAX(0,(nr_MEndP1-$G1514+0.5)/$C$1480))-MIN(1,MAX(0,(nr_MStartP1-1-$G1514+0.5)/$C$1480))</f>
        <v/>
      </c>
      <c r="S1514" s="208">
        <f>IF($L$1480,$N1514*IF($O$1480=1,$O1514/$F$1480,1),"")</f>
        <v/>
      </c>
      <c r="T1514" s="208">
        <f>IF(NOT($L$1480),"",IF($G1514&lt;nr_MStartP,$S1514,$T1502*(1+IF($G1514&lt;nr_MStartP1,$M$1480,$N$1480))))</f>
        <v/>
      </c>
      <c r="U1514" s="208">
        <f>IF($L$1480,$T1514,$N1514)</f>
        <v/>
      </c>
    </row>
    <row r="1515">
      <c r="A1515" s="145" t="n">
        <v>33</v>
      </c>
      <c r="B1515" s="204">
        <f>EDATE($B1514,1)</f>
        <v/>
      </c>
      <c r="C1515" s="205">
        <f>EOMONTH($B1515,0)</f>
        <v/>
      </c>
      <c r="D1515" s="201">
        <f>$C1515-$B1515+1</f>
        <v/>
      </c>
      <c r="E1515" s="201">
        <f>MONTH($B1515)</f>
        <v/>
      </c>
      <c r="F1515" s="235">
        <f>($B1515+$C1515+1)/2</f>
        <v/>
      </c>
      <c r="G1515" s="201">
        <f>YEAR($B1515)*12+MONTH($B1515)-1</f>
        <v/>
      </c>
      <c r="H1515" s="207">
        <f>IF(OR(nr_SeasonOn="OFF",$D$1480=0,$E$1480=0),1,12*INDEX(se_block,$D$1480,$E1515)/$E$1480)</f>
        <v/>
      </c>
      <c r="I1515" s="208">
        <f>EXP(SUMPRODUCT((rl_eff&lt;$B1515)*(rl_key=$A$1480)*rl_ln1p))</f>
        <v/>
      </c>
      <c r="J1515" s="208">
        <f>EXP(SUMPRODUCT((rl_eff&lt;=$C1515)*(rl_key=$A$1480)*rl_ln1p))</f>
        <v/>
      </c>
      <c r="K1515" s="201">
        <f>COUNTIFS(rl_key,$A$1480,rl_eff,"&gt;="&amp;$B1515,rl_eff,"&lt;="&amp;$C1515)</f>
        <v/>
      </c>
      <c r="L1515" s="201">
        <f>SUMIFS(rl_daysafter,rl_key,$A$1480,rl_effmonth,$B1515,rl_first,1)</f>
        <v/>
      </c>
      <c r="M1515" s="209">
        <f>IF($K1515=0,0,MIN(1,$L1515/$D1515))</f>
        <v/>
      </c>
      <c r="N1515" s="208">
        <f>IF($K1515=0,$J1515,(1-$M1515)*$I1515+$M1515*$J1515)</f>
        <v/>
      </c>
      <c r="O1515" s="209">
        <f>IF($F1515&lt;$B$1481,$E$1481+$I$1481*($F1515-$A$1481),IF($F1515&lt;$C$1481,$F$1481+$J$1481*($F1515-$B$1481),$G$1481+$K$1481*($F1515-$C$1481)))</f>
        <v/>
      </c>
      <c r="P1515" s="208">
        <f>MIN(1,MAX(0,(nr_MEndPm1-$G1515+0.5)/$C$1480))-MIN(1,MAX(0,(nr_MStartPm1-1-$G1515+0.5)/$C$1480))</f>
        <v/>
      </c>
      <c r="Q1515" s="208">
        <f>MIN(1,MAX(0,(nr_MEndP-$G1515+0.5)/$C$1480))-MIN(1,MAX(0,(nr_MStartP-1-$G1515+0.5)/$C$1480))</f>
        <v/>
      </c>
      <c r="R1515" s="208">
        <f>MIN(1,MAX(0,(nr_MEndP1-$G1515+0.5)/$C$1480))-MIN(1,MAX(0,(nr_MStartP1-1-$G1515+0.5)/$C$1480))</f>
        <v/>
      </c>
      <c r="S1515" s="208">
        <f>IF($L$1480,$N1515*IF($O$1480=1,$O1515/$F$1480,1),"")</f>
        <v/>
      </c>
      <c r="T1515" s="208">
        <f>IF(NOT($L$1480),"",IF($G1515&lt;nr_MStartP,$S1515,$T1503*(1+IF($G1515&lt;nr_MStartP1,$M$1480,$N$1480))))</f>
        <v/>
      </c>
      <c r="U1515" s="208">
        <f>IF($L$1480,$T1515,$N1515)</f>
        <v/>
      </c>
    </row>
    <row r="1516">
      <c r="A1516" s="145" t="n">
        <v>34</v>
      </c>
      <c r="B1516" s="204">
        <f>EDATE($B1515,1)</f>
        <v/>
      </c>
      <c r="C1516" s="205">
        <f>EOMONTH($B1516,0)</f>
        <v/>
      </c>
      <c r="D1516" s="201">
        <f>$C1516-$B1516+1</f>
        <v/>
      </c>
      <c r="E1516" s="201">
        <f>MONTH($B1516)</f>
        <v/>
      </c>
      <c r="F1516" s="235">
        <f>($B1516+$C1516+1)/2</f>
        <v/>
      </c>
      <c r="G1516" s="201">
        <f>YEAR($B1516)*12+MONTH($B1516)-1</f>
        <v/>
      </c>
      <c r="H1516" s="207">
        <f>IF(OR(nr_SeasonOn="OFF",$D$1480=0,$E$1480=0),1,12*INDEX(se_block,$D$1480,$E1516)/$E$1480)</f>
        <v/>
      </c>
      <c r="I1516" s="208">
        <f>EXP(SUMPRODUCT((rl_eff&lt;$B1516)*(rl_key=$A$1480)*rl_ln1p))</f>
        <v/>
      </c>
      <c r="J1516" s="208">
        <f>EXP(SUMPRODUCT((rl_eff&lt;=$C1516)*(rl_key=$A$1480)*rl_ln1p))</f>
        <v/>
      </c>
      <c r="K1516" s="201">
        <f>COUNTIFS(rl_key,$A$1480,rl_eff,"&gt;="&amp;$B1516,rl_eff,"&lt;="&amp;$C1516)</f>
        <v/>
      </c>
      <c r="L1516" s="201">
        <f>SUMIFS(rl_daysafter,rl_key,$A$1480,rl_effmonth,$B1516,rl_first,1)</f>
        <v/>
      </c>
      <c r="M1516" s="209">
        <f>IF($K1516=0,0,MIN(1,$L1516/$D1516))</f>
        <v/>
      </c>
      <c r="N1516" s="208">
        <f>IF($K1516=0,$J1516,(1-$M1516)*$I1516+$M1516*$J1516)</f>
        <v/>
      </c>
      <c r="O1516" s="209">
        <f>IF($F1516&lt;$B$1481,$E$1481+$I$1481*($F1516-$A$1481),IF($F1516&lt;$C$1481,$F$1481+$J$1481*($F1516-$B$1481),$G$1481+$K$1481*($F1516-$C$1481)))</f>
        <v/>
      </c>
      <c r="P1516" s="208">
        <f>MIN(1,MAX(0,(nr_MEndPm1-$G1516+0.5)/$C$1480))-MIN(1,MAX(0,(nr_MStartPm1-1-$G1516+0.5)/$C$1480))</f>
        <v/>
      </c>
      <c r="Q1516" s="208">
        <f>MIN(1,MAX(0,(nr_MEndP-$G1516+0.5)/$C$1480))-MIN(1,MAX(0,(nr_MStartP-1-$G1516+0.5)/$C$1480))</f>
        <v/>
      </c>
      <c r="R1516" s="208">
        <f>MIN(1,MAX(0,(nr_MEndP1-$G1516+0.5)/$C$1480))-MIN(1,MAX(0,(nr_MStartP1-1-$G1516+0.5)/$C$1480))</f>
        <v/>
      </c>
      <c r="S1516" s="208">
        <f>IF($L$1480,$N1516*IF($O$1480=1,$O1516/$F$1480,1),"")</f>
        <v/>
      </c>
      <c r="T1516" s="208">
        <f>IF(NOT($L$1480),"",IF($G1516&lt;nr_MStartP,$S1516,$T1504*(1+IF($G1516&lt;nr_MStartP1,$M$1480,$N$1480))))</f>
        <v/>
      </c>
      <c r="U1516" s="208">
        <f>IF($L$1480,$T1516,$N1516)</f>
        <v/>
      </c>
    </row>
    <row r="1517">
      <c r="A1517" s="145" t="n">
        <v>35</v>
      </c>
      <c r="B1517" s="204">
        <f>EDATE($B1516,1)</f>
        <v/>
      </c>
      <c r="C1517" s="205">
        <f>EOMONTH($B1517,0)</f>
        <v/>
      </c>
      <c r="D1517" s="201">
        <f>$C1517-$B1517+1</f>
        <v/>
      </c>
      <c r="E1517" s="201">
        <f>MONTH($B1517)</f>
        <v/>
      </c>
      <c r="F1517" s="235">
        <f>($B1517+$C1517+1)/2</f>
        <v/>
      </c>
      <c r="G1517" s="201">
        <f>YEAR($B1517)*12+MONTH($B1517)-1</f>
        <v/>
      </c>
      <c r="H1517" s="207">
        <f>IF(OR(nr_SeasonOn="OFF",$D$1480=0,$E$1480=0),1,12*INDEX(se_block,$D$1480,$E1517)/$E$1480)</f>
        <v/>
      </c>
      <c r="I1517" s="208">
        <f>EXP(SUMPRODUCT((rl_eff&lt;$B1517)*(rl_key=$A$1480)*rl_ln1p))</f>
        <v/>
      </c>
      <c r="J1517" s="208">
        <f>EXP(SUMPRODUCT((rl_eff&lt;=$C1517)*(rl_key=$A$1480)*rl_ln1p))</f>
        <v/>
      </c>
      <c r="K1517" s="201">
        <f>COUNTIFS(rl_key,$A$1480,rl_eff,"&gt;="&amp;$B1517,rl_eff,"&lt;="&amp;$C1517)</f>
        <v/>
      </c>
      <c r="L1517" s="201">
        <f>SUMIFS(rl_daysafter,rl_key,$A$1480,rl_effmonth,$B1517,rl_first,1)</f>
        <v/>
      </c>
      <c r="M1517" s="209">
        <f>IF($K1517=0,0,MIN(1,$L1517/$D1517))</f>
        <v/>
      </c>
      <c r="N1517" s="208">
        <f>IF($K1517=0,$J1517,(1-$M1517)*$I1517+$M1517*$J1517)</f>
        <v/>
      </c>
      <c r="O1517" s="209">
        <f>IF($F1517&lt;$B$1481,$E$1481+$I$1481*($F1517-$A$1481),IF($F1517&lt;$C$1481,$F$1481+$J$1481*($F1517-$B$1481),$G$1481+$K$1481*($F1517-$C$1481)))</f>
        <v/>
      </c>
      <c r="P1517" s="208">
        <f>MIN(1,MAX(0,(nr_MEndPm1-$G1517+0.5)/$C$1480))-MIN(1,MAX(0,(nr_MStartPm1-1-$G1517+0.5)/$C$1480))</f>
        <v/>
      </c>
      <c r="Q1517" s="208">
        <f>MIN(1,MAX(0,(nr_MEndP-$G1517+0.5)/$C$1480))-MIN(1,MAX(0,(nr_MStartP-1-$G1517+0.5)/$C$1480))</f>
        <v/>
      </c>
      <c r="R1517" s="208">
        <f>MIN(1,MAX(0,(nr_MEndP1-$G1517+0.5)/$C$1480))-MIN(1,MAX(0,(nr_MStartP1-1-$G1517+0.5)/$C$1480))</f>
        <v/>
      </c>
      <c r="S1517" s="208">
        <f>IF($L$1480,$N1517*IF($O$1480=1,$O1517/$F$1480,1),"")</f>
        <v/>
      </c>
      <c r="T1517" s="208">
        <f>IF(NOT($L$1480),"",IF($G1517&lt;nr_MStartP,$S1517,$T1505*(1+IF($G1517&lt;nr_MStartP1,$M$1480,$N$1480))))</f>
        <v/>
      </c>
      <c r="U1517" s="208">
        <f>IF($L$1480,$T1517,$N1517)</f>
        <v/>
      </c>
    </row>
    <row r="1518">
      <c r="A1518" s="145" t="n">
        <v>36</v>
      </c>
      <c r="B1518" s="204">
        <f>EDATE($B1517,1)</f>
        <v/>
      </c>
      <c r="C1518" s="205">
        <f>EOMONTH($B1518,0)</f>
        <v/>
      </c>
      <c r="D1518" s="201">
        <f>$C1518-$B1518+1</f>
        <v/>
      </c>
      <c r="E1518" s="201">
        <f>MONTH($B1518)</f>
        <v/>
      </c>
      <c r="F1518" s="235">
        <f>($B1518+$C1518+1)/2</f>
        <v/>
      </c>
      <c r="G1518" s="201">
        <f>YEAR($B1518)*12+MONTH($B1518)-1</f>
        <v/>
      </c>
      <c r="H1518" s="207">
        <f>IF(OR(nr_SeasonOn="OFF",$D$1480=0,$E$1480=0),1,12*INDEX(se_block,$D$1480,$E1518)/$E$1480)</f>
        <v/>
      </c>
      <c r="I1518" s="208">
        <f>EXP(SUMPRODUCT((rl_eff&lt;$B1518)*(rl_key=$A$1480)*rl_ln1p))</f>
        <v/>
      </c>
      <c r="J1518" s="208">
        <f>EXP(SUMPRODUCT((rl_eff&lt;=$C1518)*(rl_key=$A$1480)*rl_ln1p))</f>
        <v/>
      </c>
      <c r="K1518" s="201">
        <f>COUNTIFS(rl_key,$A$1480,rl_eff,"&gt;="&amp;$B1518,rl_eff,"&lt;="&amp;$C1518)</f>
        <v/>
      </c>
      <c r="L1518" s="201">
        <f>SUMIFS(rl_daysafter,rl_key,$A$1480,rl_effmonth,$B1518,rl_first,1)</f>
        <v/>
      </c>
      <c r="M1518" s="209">
        <f>IF($K1518=0,0,MIN(1,$L1518/$D1518))</f>
        <v/>
      </c>
      <c r="N1518" s="208">
        <f>IF($K1518=0,$J1518,(1-$M1518)*$I1518+$M1518*$J1518)</f>
        <v/>
      </c>
      <c r="O1518" s="209">
        <f>IF($F1518&lt;$B$1481,$E$1481+$I$1481*($F1518-$A$1481),IF($F1518&lt;$C$1481,$F$1481+$J$1481*($F1518-$B$1481),$G$1481+$K$1481*($F1518-$C$1481)))</f>
        <v/>
      </c>
      <c r="P1518" s="208">
        <f>MIN(1,MAX(0,(nr_MEndPm1-$G1518+0.5)/$C$1480))-MIN(1,MAX(0,(nr_MStartPm1-1-$G1518+0.5)/$C$1480))</f>
        <v/>
      </c>
      <c r="Q1518" s="208">
        <f>MIN(1,MAX(0,(nr_MEndP-$G1518+0.5)/$C$1480))-MIN(1,MAX(0,(nr_MStartP-1-$G1518+0.5)/$C$1480))</f>
        <v/>
      </c>
      <c r="R1518" s="208">
        <f>MIN(1,MAX(0,(nr_MEndP1-$G1518+0.5)/$C$1480))-MIN(1,MAX(0,(nr_MStartP1-1-$G1518+0.5)/$C$1480))</f>
        <v/>
      </c>
      <c r="S1518" s="208">
        <f>IF($L$1480,$N1518*IF($O$1480=1,$O1518/$F$1480,1),"")</f>
        <v/>
      </c>
      <c r="T1518" s="208">
        <f>IF(NOT($L$1480),"",IF($G1518&lt;nr_MStartP,$S1518,$T1506*(1+IF($G1518&lt;nr_MStartP1,$M$1480,$N$1480))))</f>
        <v/>
      </c>
      <c r="U1518" s="208">
        <f>IF($L$1480,$T1518,$N1518)</f>
        <v/>
      </c>
    </row>
    <row r="1519">
      <c r="A1519" s="145" t="n">
        <v>37</v>
      </c>
      <c r="B1519" s="204">
        <f>EDATE($B1518,1)</f>
        <v/>
      </c>
      <c r="C1519" s="205">
        <f>EOMONTH($B1519,0)</f>
        <v/>
      </c>
      <c r="D1519" s="201">
        <f>$C1519-$B1519+1</f>
        <v/>
      </c>
      <c r="E1519" s="201">
        <f>MONTH($B1519)</f>
        <v/>
      </c>
      <c r="F1519" s="235">
        <f>($B1519+$C1519+1)/2</f>
        <v/>
      </c>
      <c r="G1519" s="201">
        <f>YEAR($B1519)*12+MONTH($B1519)-1</f>
        <v/>
      </c>
      <c r="H1519" s="207">
        <f>IF(OR(nr_SeasonOn="OFF",$D$1480=0,$E$1480=0),1,12*INDEX(se_block,$D$1480,$E1519)/$E$1480)</f>
        <v/>
      </c>
      <c r="I1519" s="208">
        <f>EXP(SUMPRODUCT((rl_eff&lt;$B1519)*(rl_key=$A$1480)*rl_ln1p))</f>
        <v/>
      </c>
      <c r="J1519" s="208">
        <f>EXP(SUMPRODUCT((rl_eff&lt;=$C1519)*(rl_key=$A$1480)*rl_ln1p))</f>
        <v/>
      </c>
      <c r="K1519" s="201">
        <f>COUNTIFS(rl_key,$A$1480,rl_eff,"&gt;="&amp;$B1519,rl_eff,"&lt;="&amp;$C1519)</f>
        <v/>
      </c>
      <c r="L1519" s="201">
        <f>SUMIFS(rl_daysafter,rl_key,$A$1480,rl_effmonth,$B1519,rl_first,1)</f>
        <v/>
      </c>
      <c r="M1519" s="209">
        <f>IF($K1519=0,0,MIN(1,$L1519/$D1519))</f>
        <v/>
      </c>
      <c r="N1519" s="208">
        <f>IF($K1519=0,$J1519,(1-$M1519)*$I1519+$M1519*$J1519)</f>
        <v/>
      </c>
      <c r="O1519" s="209">
        <f>IF($F1519&lt;$B$1481,$E$1481+$I$1481*($F1519-$A$1481),IF($F1519&lt;$C$1481,$F$1481+$J$1481*($F1519-$B$1481),$G$1481+$K$1481*($F1519-$C$1481)))</f>
        <v/>
      </c>
      <c r="P1519" s="208">
        <f>MIN(1,MAX(0,(nr_MEndPm1-$G1519+0.5)/$C$1480))-MIN(1,MAX(0,(nr_MStartPm1-1-$G1519+0.5)/$C$1480))</f>
        <v/>
      </c>
      <c r="Q1519" s="208">
        <f>MIN(1,MAX(0,(nr_MEndP-$G1519+0.5)/$C$1480))-MIN(1,MAX(0,(nr_MStartP-1-$G1519+0.5)/$C$1480))</f>
        <v/>
      </c>
      <c r="R1519" s="208">
        <f>MIN(1,MAX(0,(nr_MEndP1-$G1519+0.5)/$C$1480))-MIN(1,MAX(0,(nr_MStartP1-1-$G1519+0.5)/$C$1480))</f>
        <v/>
      </c>
      <c r="S1519" s="208">
        <f>IF($L$1480,$N1519*IF($O$1480=1,$O1519/$F$1480,1),"")</f>
        <v/>
      </c>
      <c r="T1519" s="208">
        <f>IF(NOT($L$1480),"",IF($G1519&lt;nr_MStartP,$S1519,$T1507*(1+IF($G1519&lt;nr_MStartP1,$M$1480,$N$1480))))</f>
        <v/>
      </c>
      <c r="U1519" s="208">
        <f>IF($L$1480,$T1519,$N1519)</f>
        <v/>
      </c>
    </row>
    <row r="1520">
      <c r="A1520" s="145" t="n">
        <v>38</v>
      </c>
      <c r="B1520" s="204">
        <f>EDATE($B1519,1)</f>
        <v/>
      </c>
      <c r="C1520" s="205">
        <f>EOMONTH($B1520,0)</f>
        <v/>
      </c>
      <c r="D1520" s="201">
        <f>$C1520-$B1520+1</f>
        <v/>
      </c>
      <c r="E1520" s="201">
        <f>MONTH($B1520)</f>
        <v/>
      </c>
      <c r="F1520" s="235">
        <f>($B1520+$C1520+1)/2</f>
        <v/>
      </c>
      <c r="G1520" s="201">
        <f>YEAR($B1520)*12+MONTH($B1520)-1</f>
        <v/>
      </c>
      <c r="H1520" s="207">
        <f>IF(OR(nr_SeasonOn="OFF",$D$1480=0,$E$1480=0),1,12*INDEX(se_block,$D$1480,$E1520)/$E$1480)</f>
        <v/>
      </c>
      <c r="I1520" s="208">
        <f>EXP(SUMPRODUCT((rl_eff&lt;$B1520)*(rl_key=$A$1480)*rl_ln1p))</f>
        <v/>
      </c>
      <c r="J1520" s="208">
        <f>EXP(SUMPRODUCT((rl_eff&lt;=$C1520)*(rl_key=$A$1480)*rl_ln1p))</f>
        <v/>
      </c>
      <c r="K1520" s="201">
        <f>COUNTIFS(rl_key,$A$1480,rl_eff,"&gt;="&amp;$B1520,rl_eff,"&lt;="&amp;$C1520)</f>
        <v/>
      </c>
      <c r="L1520" s="201">
        <f>SUMIFS(rl_daysafter,rl_key,$A$1480,rl_effmonth,$B1520,rl_first,1)</f>
        <v/>
      </c>
      <c r="M1520" s="209">
        <f>IF($K1520=0,0,MIN(1,$L1520/$D1520))</f>
        <v/>
      </c>
      <c r="N1520" s="208">
        <f>IF($K1520=0,$J1520,(1-$M1520)*$I1520+$M1520*$J1520)</f>
        <v/>
      </c>
      <c r="O1520" s="209">
        <f>IF($F1520&lt;$B$1481,$E$1481+$I$1481*($F1520-$A$1481),IF($F1520&lt;$C$1481,$F$1481+$J$1481*($F1520-$B$1481),$G$1481+$K$1481*($F1520-$C$1481)))</f>
        <v/>
      </c>
      <c r="P1520" s="208">
        <f>MIN(1,MAX(0,(nr_MEndPm1-$G1520+0.5)/$C$1480))-MIN(1,MAX(0,(nr_MStartPm1-1-$G1520+0.5)/$C$1480))</f>
        <v/>
      </c>
      <c r="Q1520" s="208">
        <f>MIN(1,MAX(0,(nr_MEndP-$G1520+0.5)/$C$1480))-MIN(1,MAX(0,(nr_MStartP-1-$G1520+0.5)/$C$1480))</f>
        <v/>
      </c>
      <c r="R1520" s="208">
        <f>MIN(1,MAX(0,(nr_MEndP1-$G1520+0.5)/$C$1480))-MIN(1,MAX(0,(nr_MStartP1-1-$G1520+0.5)/$C$1480))</f>
        <v/>
      </c>
      <c r="S1520" s="208">
        <f>IF($L$1480,$N1520*IF($O$1480=1,$O1520/$F$1480,1),"")</f>
        <v/>
      </c>
      <c r="T1520" s="208">
        <f>IF(NOT($L$1480),"",IF($G1520&lt;nr_MStartP,$S1520,$T1508*(1+IF($G1520&lt;nr_MStartP1,$M$1480,$N$1480))))</f>
        <v/>
      </c>
      <c r="U1520" s="208">
        <f>IF($L$1480,$T1520,$N1520)</f>
        <v/>
      </c>
    </row>
    <row r="1521">
      <c r="A1521" s="145" t="n">
        <v>39</v>
      </c>
      <c r="B1521" s="204">
        <f>EDATE($B1520,1)</f>
        <v/>
      </c>
      <c r="C1521" s="205">
        <f>EOMONTH($B1521,0)</f>
        <v/>
      </c>
      <c r="D1521" s="201">
        <f>$C1521-$B1521+1</f>
        <v/>
      </c>
      <c r="E1521" s="201">
        <f>MONTH($B1521)</f>
        <v/>
      </c>
      <c r="F1521" s="235">
        <f>($B1521+$C1521+1)/2</f>
        <v/>
      </c>
      <c r="G1521" s="201">
        <f>YEAR($B1521)*12+MONTH($B1521)-1</f>
        <v/>
      </c>
      <c r="H1521" s="207">
        <f>IF(OR(nr_SeasonOn="OFF",$D$1480=0,$E$1480=0),1,12*INDEX(se_block,$D$1480,$E1521)/$E$1480)</f>
        <v/>
      </c>
      <c r="I1521" s="208">
        <f>EXP(SUMPRODUCT((rl_eff&lt;$B1521)*(rl_key=$A$1480)*rl_ln1p))</f>
        <v/>
      </c>
      <c r="J1521" s="208">
        <f>EXP(SUMPRODUCT((rl_eff&lt;=$C1521)*(rl_key=$A$1480)*rl_ln1p))</f>
        <v/>
      </c>
      <c r="K1521" s="201">
        <f>COUNTIFS(rl_key,$A$1480,rl_eff,"&gt;="&amp;$B1521,rl_eff,"&lt;="&amp;$C1521)</f>
        <v/>
      </c>
      <c r="L1521" s="201">
        <f>SUMIFS(rl_daysafter,rl_key,$A$1480,rl_effmonth,$B1521,rl_first,1)</f>
        <v/>
      </c>
      <c r="M1521" s="209">
        <f>IF($K1521=0,0,MIN(1,$L1521/$D1521))</f>
        <v/>
      </c>
      <c r="N1521" s="208">
        <f>IF($K1521=0,$J1521,(1-$M1521)*$I1521+$M1521*$J1521)</f>
        <v/>
      </c>
      <c r="O1521" s="209">
        <f>IF($F1521&lt;$B$1481,$E$1481+$I$1481*($F1521-$A$1481),IF($F1521&lt;$C$1481,$F$1481+$J$1481*($F1521-$B$1481),$G$1481+$K$1481*($F1521-$C$1481)))</f>
        <v/>
      </c>
      <c r="P1521" s="208">
        <f>MIN(1,MAX(0,(nr_MEndPm1-$G1521+0.5)/$C$1480))-MIN(1,MAX(0,(nr_MStartPm1-1-$G1521+0.5)/$C$1480))</f>
        <v/>
      </c>
      <c r="Q1521" s="208">
        <f>MIN(1,MAX(0,(nr_MEndP-$G1521+0.5)/$C$1480))-MIN(1,MAX(0,(nr_MStartP-1-$G1521+0.5)/$C$1480))</f>
        <v/>
      </c>
      <c r="R1521" s="208">
        <f>MIN(1,MAX(0,(nr_MEndP1-$G1521+0.5)/$C$1480))-MIN(1,MAX(0,(nr_MStartP1-1-$G1521+0.5)/$C$1480))</f>
        <v/>
      </c>
      <c r="S1521" s="208">
        <f>IF($L$1480,$N1521*IF($O$1480=1,$O1521/$F$1480,1),"")</f>
        <v/>
      </c>
      <c r="T1521" s="208">
        <f>IF(NOT($L$1480),"",IF($G1521&lt;nr_MStartP,$S1521,$T1509*(1+IF($G1521&lt;nr_MStartP1,$M$1480,$N$1480))))</f>
        <v/>
      </c>
      <c r="U1521" s="208">
        <f>IF($L$1480,$T1521,$N1521)</f>
        <v/>
      </c>
    </row>
    <row r="1522">
      <c r="A1522" s="145" t="n">
        <v>40</v>
      </c>
      <c r="B1522" s="204">
        <f>EDATE($B1521,1)</f>
        <v/>
      </c>
      <c r="C1522" s="205">
        <f>EOMONTH($B1522,0)</f>
        <v/>
      </c>
      <c r="D1522" s="201">
        <f>$C1522-$B1522+1</f>
        <v/>
      </c>
      <c r="E1522" s="201">
        <f>MONTH($B1522)</f>
        <v/>
      </c>
      <c r="F1522" s="235">
        <f>($B1522+$C1522+1)/2</f>
        <v/>
      </c>
      <c r="G1522" s="201">
        <f>YEAR($B1522)*12+MONTH($B1522)-1</f>
        <v/>
      </c>
      <c r="H1522" s="207">
        <f>IF(OR(nr_SeasonOn="OFF",$D$1480=0,$E$1480=0),1,12*INDEX(se_block,$D$1480,$E1522)/$E$1480)</f>
        <v/>
      </c>
      <c r="I1522" s="208">
        <f>EXP(SUMPRODUCT((rl_eff&lt;$B1522)*(rl_key=$A$1480)*rl_ln1p))</f>
        <v/>
      </c>
      <c r="J1522" s="208">
        <f>EXP(SUMPRODUCT((rl_eff&lt;=$C1522)*(rl_key=$A$1480)*rl_ln1p))</f>
        <v/>
      </c>
      <c r="K1522" s="201">
        <f>COUNTIFS(rl_key,$A$1480,rl_eff,"&gt;="&amp;$B1522,rl_eff,"&lt;="&amp;$C1522)</f>
        <v/>
      </c>
      <c r="L1522" s="201">
        <f>SUMIFS(rl_daysafter,rl_key,$A$1480,rl_effmonth,$B1522,rl_first,1)</f>
        <v/>
      </c>
      <c r="M1522" s="209">
        <f>IF($K1522=0,0,MIN(1,$L1522/$D1522))</f>
        <v/>
      </c>
      <c r="N1522" s="208">
        <f>IF($K1522=0,$J1522,(1-$M1522)*$I1522+$M1522*$J1522)</f>
        <v/>
      </c>
      <c r="O1522" s="209">
        <f>IF($F1522&lt;$B$1481,$E$1481+$I$1481*($F1522-$A$1481),IF($F1522&lt;$C$1481,$F$1481+$J$1481*($F1522-$B$1481),$G$1481+$K$1481*($F1522-$C$1481)))</f>
        <v/>
      </c>
      <c r="P1522" s="208">
        <f>MIN(1,MAX(0,(nr_MEndPm1-$G1522+0.5)/$C$1480))-MIN(1,MAX(0,(nr_MStartPm1-1-$G1522+0.5)/$C$1480))</f>
        <v/>
      </c>
      <c r="Q1522" s="208">
        <f>MIN(1,MAX(0,(nr_MEndP-$G1522+0.5)/$C$1480))-MIN(1,MAX(0,(nr_MStartP-1-$G1522+0.5)/$C$1480))</f>
        <v/>
      </c>
      <c r="R1522" s="208">
        <f>MIN(1,MAX(0,(nr_MEndP1-$G1522+0.5)/$C$1480))-MIN(1,MAX(0,(nr_MStartP1-1-$G1522+0.5)/$C$1480))</f>
        <v/>
      </c>
      <c r="S1522" s="208">
        <f>IF($L$1480,$N1522*IF($O$1480=1,$O1522/$F$1480,1),"")</f>
        <v/>
      </c>
      <c r="T1522" s="208">
        <f>IF(NOT($L$1480),"",IF($G1522&lt;nr_MStartP,$S1522,$T1510*(1+IF($G1522&lt;nr_MStartP1,$M$1480,$N$1480))))</f>
        <v/>
      </c>
      <c r="U1522" s="208">
        <f>IF($L$1480,$T1522,$N1522)</f>
        <v/>
      </c>
    </row>
    <row r="1523">
      <c r="A1523" s="145" t="n">
        <v>41</v>
      </c>
      <c r="B1523" s="204">
        <f>EDATE($B1522,1)</f>
        <v/>
      </c>
      <c r="C1523" s="205">
        <f>EOMONTH($B1523,0)</f>
        <v/>
      </c>
      <c r="D1523" s="201">
        <f>$C1523-$B1523+1</f>
        <v/>
      </c>
      <c r="E1523" s="201">
        <f>MONTH($B1523)</f>
        <v/>
      </c>
      <c r="F1523" s="235">
        <f>($B1523+$C1523+1)/2</f>
        <v/>
      </c>
      <c r="G1523" s="201">
        <f>YEAR($B1523)*12+MONTH($B1523)-1</f>
        <v/>
      </c>
      <c r="H1523" s="207">
        <f>IF(OR(nr_SeasonOn="OFF",$D$1480=0,$E$1480=0),1,12*INDEX(se_block,$D$1480,$E1523)/$E$1480)</f>
        <v/>
      </c>
      <c r="I1523" s="208">
        <f>EXP(SUMPRODUCT((rl_eff&lt;$B1523)*(rl_key=$A$1480)*rl_ln1p))</f>
        <v/>
      </c>
      <c r="J1523" s="208">
        <f>EXP(SUMPRODUCT((rl_eff&lt;=$C1523)*(rl_key=$A$1480)*rl_ln1p))</f>
        <v/>
      </c>
      <c r="K1523" s="201">
        <f>COUNTIFS(rl_key,$A$1480,rl_eff,"&gt;="&amp;$B1523,rl_eff,"&lt;="&amp;$C1523)</f>
        <v/>
      </c>
      <c r="L1523" s="201">
        <f>SUMIFS(rl_daysafter,rl_key,$A$1480,rl_effmonth,$B1523,rl_first,1)</f>
        <v/>
      </c>
      <c r="M1523" s="209">
        <f>IF($K1523=0,0,MIN(1,$L1523/$D1523))</f>
        <v/>
      </c>
      <c r="N1523" s="208">
        <f>IF($K1523=0,$J1523,(1-$M1523)*$I1523+$M1523*$J1523)</f>
        <v/>
      </c>
      <c r="O1523" s="209">
        <f>IF($F1523&lt;$B$1481,$E$1481+$I$1481*($F1523-$A$1481),IF($F1523&lt;$C$1481,$F$1481+$J$1481*($F1523-$B$1481),$G$1481+$K$1481*($F1523-$C$1481)))</f>
        <v/>
      </c>
      <c r="P1523" s="208">
        <f>MIN(1,MAX(0,(nr_MEndPm1-$G1523+0.5)/$C$1480))-MIN(1,MAX(0,(nr_MStartPm1-1-$G1523+0.5)/$C$1480))</f>
        <v/>
      </c>
      <c r="Q1523" s="208">
        <f>MIN(1,MAX(0,(nr_MEndP-$G1523+0.5)/$C$1480))-MIN(1,MAX(0,(nr_MStartP-1-$G1523+0.5)/$C$1480))</f>
        <v/>
      </c>
      <c r="R1523" s="208">
        <f>MIN(1,MAX(0,(nr_MEndP1-$G1523+0.5)/$C$1480))-MIN(1,MAX(0,(nr_MStartP1-1-$G1523+0.5)/$C$1480))</f>
        <v/>
      </c>
      <c r="S1523" s="208">
        <f>IF($L$1480,$N1523*IF($O$1480=1,$O1523/$F$1480,1),"")</f>
        <v/>
      </c>
      <c r="T1523" s="208">
        <f>IF(NOT($L$1480),"",IF($G1523&lt;nr_MStartP,$S1523,$T1511*(1+IF($G1523&lt;nr_MStartP1,$M$1480,$N$1480))))</f>
        <v/>
      </c>
      <c r="U1523" s="208">
        <f>IF($L$1480,$T1523,$N1523)</f>
        <v/>
      </c>
    </row>
    <row r="1524">
      <c r="A1524" s="145" t="n">
        <v>42</v>
      </c>
      <c r="B1524" s="204">
        <f>EDATE($B1523,1)</f>
        <v/>
      </c>
      <c r="C1524" s="205">
        <f>EOMONTH($B1524,0)</f>
        <v/>
      </c>
      <c r="D1524" s="201">
        <f>$C1524-$B1524+1</f>
        <v/>
      </c>
      <c r="E1524" s="201">
        <f>MONTH($B1524)</f>
        <v/>
      </c>
      <c r="F1524" s="235">
        <f>($B1524+$C1524+1)/2</f>
        <v/>
      </c>
      <c r="G1524" s="201">
        <f>YEAR($B1524)*12+MONTH($B1524)-1</f>
        <v/>
      </c>
      <c r="H1524" s="207">
        <f>IF(OR(nr_SeasonOn="OFF",$D$1480=0,$E$1480=0),1,12*INDEX(se_block,$D$1480,$E1524)/$E$1480)</f>
        <v/>
      </c>
      <c r="I1524" s="208">
        <f>EXP(SUMPRODUCT((rl_eff&lt;$B1524)*(rl_key=$A$1480)*rl_ln1p))</f>
        <v/>
      </c>
      <c r="J1524" s="208">
        <f>EXP(SUMPRODUCT((rl_eff&lt;=$C1524)*(rl_key=$A$1480)*rl_ln1p))</f>
        <v/>
      </c>
      <c r="K1524" s="201">
        <f>COUNTIFS(rl_key,$A$1480,rl_eff,"&gt;="&amp;$B1524,rl_eff,"&lt;="&amp;$C1524)</f>
        <v/>
      </c>
      <c r="L1524" s="201">
        <f>SUMIFS(rl_daysafter,rl_key,$A$1480,rl_effmonth,$B1524,rl_first,1)</f>
        <v/>
      </c>
      <c r="M1524" s="209">
        <f>IF($K1524=0,0,MIN(1,$L1524/$D1524))</f>
        <v/>
      </c>
      <c r="N1524" s="208">
        <f>IF($K1524=0,$J1524,(1-$M1524)*$I1524+$M1524*$J1524)</f>
        <v/>
      </c>
      <c r="O1524" s="209">
        <f>IF($F1524&lt;$B$1481,$E$1481+$I$1481*($F1524-$A$1481),IF($F1524&lt;$C$1481,$F$1481+$J$1481*($F1524-$B$1481),$G$1481+$K$1481*($F1524-$C$1481)))</f>
        <v/>
      </c>
      <c r="P1524" s="208">
        <f>MIN(1,MAX(0,(nr_MEndPm1-$G1524+0.5)/$C$1480))-MIN(1,MAX(0,(nr_MStartPm1-1-$G1524+0.5)/$C$1480))</f>
        <v/>
      </c>
      <c r="Q1524" s="208">
        <f>MIN(1,MAX(0,(nr_MEndP-$G1524+0.5)/$C$1480))-MIN(1,MAX(0,(nr_MStartP-1-$G1524+0.5)/$C$1480))</f>
        <v/>
      </c>
      <c r="R1524" s="208">
        <f>MIN(1,MAX(0,(nr_MEndP1-$G1524+0.5)/$C$1480))-MIN(1,MAX(0,(nr_MStartP1-1-$G1524+0.5)/$C$1480))</f>
        <v/>
      </c>
      <c r="S1524" s="208">
        <f>IF($L$1480,$N1524*IF($O$1480=1,$O1524/$F$1480,1),"")</f>
        <v/>
      </c>
      <c r="T1524" s="208">
        <f>IF(NOT($L$1480),"",IF($G1524&lt;nr_MStartP,$S1524,$T1512*(1+IF($G1524&lt;nr_MStartP1,$M$1480,$N$1480))))</f>
        <v/>
      </c>
      <c r="U1524" s="208">
        <f>IF($L$1480,$T1524,$N1524)</f>
        <v/>
      </c>
    </row>
    <row r="1525">
      <c r="A1525" s="145" t="n">
        <v>43</v>
      </c>
      <c r="B1525" s="204">
        <f>EDATE($B1524,1)</f>
        <v/>
      </c>
      <c r="C1525" s="205">
        <f>EOMONTH($B1525,0)</f>
        <v/>
      </c>
      <c r="D1525" s="201">
        <f>$C1525-$B1525+1</f>
        <v/>
      </c>
      <c r="E1525" s="201">
        <f>MONTH($B1525)</f>
        <v/>
      </c>
      <c r="F1525" s="235">
        <f>($B1525+$C1525+1)/2</f>
        <v/>
      </c>
      <c r="G1525" s="201">
        <f>YEAR($B1525)*12+MONTH($B1525)-1</f>
        <v/>
      </c>
      <c r="H1525" s="207">
        <f>IF(OR(nr_SeasonOn="OFF",$D$1480=0,$E$1480=0),1,12*INDEX(se_block,$D$1480,$E1525)/$E$1480)</f>
        <v/>
      </c>
      <c r="I1525" s="208">
        <f>EXP(SUMPRODUCT((rl_eff&lt;$B1525)*(rl_key=$A$1480)*rl_ln1p))</f>
        <v/>
      </c>
      <c r="J1525" s="208">
        <f>EXP(SUMPRODUCT((rl_eff&lt;=$C1525)*(rl_key=$A$1480)*rl_ln1p))</f>
        <v/>
      </c>
      <c r="K1525" s="201">
        <f>COUNTIFS(rl_key,$A$1480,rl_eff,"&gt;="&amp;$B1525,rl_eff,"&lt;="&amp;$C1525)</f>
        <v/>
      </c>
      <c r="L1525" s="201">
        <f>SUMIFS(rl_daysafter,rl_key,$A$1480,rl_effmonth,$B1525,rl_first,1)</f>
        <v/>
      </c>
      <c r="M1525" s="209">
        <f>IF($K1525=0,0,MIN(1,$L1525/$D1525))</f>
        <v/>
      </c>
      <c r="N1525" s="208">
        <f>IF($K1525=0,$J1525,(1-$M1525)*$I1525+$M1525*$J1525)</f>
        <v/>
      </c>
      <c r="O1525" s="209">
        <f>IF($F1525&lt;$B$1481,$E$1481+$I$1481*($F1525-$A$1481),IF($F1525&lt;$C$1481,$F$1481+$J$1481*($F1525-$B$1481),$G$1481+$K$1481*($F1525-$C$1481)))</f>
        <v/>
      </c>
      <c r="P1525" s="208">
        <f>MIN(1,MAX(0,(nr_MEndPm1-$G1525+0.5)/$C$1480))-MIN(1,MAX(0,(nr_MStartPm1-1-$G1525+0.5)/$C$1480))</f>
        <v/>
      </c>
      <c r="Q1525" s="208">
        <f>MIN(1,MAX(0,(nr_MEndP-$G1525+0.5)/$C$1480))-MIN(1,MAX(0,(nr_MStartP-1-$G1525+0.5)/$C$1480))</f>
        <v/>
      </c>
      <c r="R1525" s="208">
        <f>MIN(1,MAX(0,(nr_MEndP1-$G1525+0.5)/$C$1480))-MIN(1,MAX(0,(nr_MStartP1-1-$G1525+0.5)/$C$1480))</f>
        <v/>
      </c>
      <c r="S1525" s="208">
        <f>IF($L$1480,$N1525*IF($O$1480=1,$O1525/$F$1480,1),"")</f>
        <v/>
      </c>
      <c r="T1525" s="208">
        <f>IF(NOT($L$1480),"",IF($G1525&lt;nr_MStartP,$S1525,$T1513*(1+IF($G1525&lt;nr_MStartP1,$M$1480,$N$1480))))</f>
        <v/>
      </c>
      <c r="U1525" s="208">
        <f>IF($L$1480,$T1525,$N1525)</f>
        <v/>
      </c>
    </row>
    <row r="1526">
      <c r="A1526" s="145" t="n">
        <v>44</v>
      </c>
      <c r="B1526" s="204">
        <f>EDATE($B1525,1)</f>
        <v/>
      </c>
      <c r="C1526" s="205">
        <f>EOMONTH($B1526,0)</f>
        <v/>
      </c>
      <c r="D1526" s="201">
        <f>$C1526-$B1526+1</f>
        <v/>
      </c>
      <c r="E1526" s="201">
        <f>MONTH($B1526)</f>
        <v/>
      </c>
      <c r="F1526" s="235">
        <f>($B1526+$C1526+1)/2</f>
        <v/>
      </c>
      <c r="G1526" s="201">
        <f>YEAR($B1526)*12+MONTH($B1526)-1</f>
        <v/>
      </c>
      <c r="H1526" s="207">
        <f>IF(OR(nr_SeasonOn="OFF",$D$1480=0,$E$1480=0),1,12*INDEX(se_block,$D$1480,$E1526)/$E$1480)</f>
        <v/>
      </c>
      <c r="I1526" s="208">
        <f>EXP(SUMPRODUCT((rl_eff&lt;$B1526)*(rl_key=$A$1480)*rl_ln1p))</f>
        <v/>
      </c>
      <c r="J1526" s="208">
        <f>EXP(SUMPRODUCT((rl_eff&lt;=$C1526)*(rl_key=$A$1480)*rl_ln1p))</f>
        <v/>
      </c>
      <c r="K1526" s="201">
        <f>COUNTIFS(rl_key,$A$1480,rl_eff,"&gt;="&amp;$B1526,rl_eff,"&lt;="&amp;$C1526)</f>
        <v/>
      </c>
      <c r="L1526" s="201">
        <f>SUMIFS(rl_daysafter,rl_key,$A$1480,rl_effmonth,$B1526,rl_first,1)</f>
        <v/>
      </c>
      <c r="M1526" s="209">
        <f>IF($K1526=0,0,MIN(1,$L1526/$D1526))</f>
        <v/>
      </c>
      <c r="N1526" s="208">
        <f>IF($K1526=0,$J1526,(1-$M1526)*$I1526+$M1526*$J1526)</f>
        <v/>
      </c>
      <c r="O1526" s="209">
        <f>IF($F1526&lt;$B$1481,$E$1481+$I$1481*($F1526-$A$1481),IF($F1526&lt;$C$1481,$F$1481+$J$1481*($F1526-$B$1481),$G$1481+$K$1481*($F1526-$C$1481)))</f>
        <v/>
      </c>
      <c r="P1526" s="208">
        <f>MIN(1,MAX(0,(nr_MEndPm1-$G1526+0.5)/$C$1480))-MIN(1,MAX(0,(nr_MStartPm1-1-$G1526+0.5)/$C$1480))</f>
        <v/>
      </c>
      <c r="Q1526" s="208">
        <f>MIN(1,MAX(0,(nr_MEndP-$G1526+0.5)/$C$1480))-MIN(1,MAX(0,(nr_MStartP-1-$G1526+0.5)/$C$1480))</f>
        <v/>
      </c>
      <c r="R1526" s="208">
        <f>MIN(1,MAX(0,(nr_MEndP1-$G1526+0.5)/$C$1480))-MIN(1,MAX(0,(nr_MStartP1-1-$G1526+0.5)/$C$1480))</f>
        <v/>
      </c>
      <c r="S1526" s="208">
        <f>IF($L$1480,$N1526*IF($O$1480=1,$O1526/$F$1480,1),"")</f>
        <v/>
      </c>
      <c r="T1526" s="208">
        <f>IF(NOT($L$1480),"",IF($G1526&lt;nr_MStartP,$S1526,$T1514*(1+IF($G1526&lt;nr_MStartP1,$M$1480,$N$1480))))</f>
        <v/>
      </c>
      <c r="U1526" s="208">
        <f>IF($L$1480,$T1526,$N1526)</f>
        <v/>
      </c>
    </row>
    <row r="1527">
      <c r="A1527" s="145" t="n">
        <v>45</v>
      </c>
      <c r="B1527" s="204">
        <f>EDATE($B1526,1)</f>
        <v/>
      </c>
      <c r="C1527" s="205">
        <f>EOMONTH($B1527,0)</f>
        <v/>
      </c>
      <c r="D1527" s="201">
        <f>$C1527-$B1527+1</f>
        <v/>
      </c>
      <c r="E1527" s="201">
        <f>MONTH($B1527)</f>
        <v/>
      </c>
      <c r="F1527" s="235">
        <f>($B1527+$C1527+1)/2</f>
        <v/>
      </c>
      <c r="G1527" s="201">
        <f>YEAR($B1527)*12+MONTH($B1527)-1</f>
        <v/>
      </c>
      <c r="H1527" s="207">
        <f>IF(OR(nr_SeasonOn="OFF",$D$1480=0,$E$1480=0),1,12*INDEX(se_block,$D$1480,$E1527)/$E$1480)</f>
        <v/>
      </c>
      <c r="I1527" s="208">
        <f>EXP(SUMPRODUCT((rl_eff&lt;$B1527)*(rl_key=$A$1480)*rl_ln1p))</f>
        <v/>
      </c>
      <c r="J1527" s="208">
        <f>EXP(SUMPRODUCT((rl_eff&lt;=$C1527)*(rl_key=$A$1480)*rl_ln1p))</f>
        <v/>
      </c>
      <c r="K1527" s="201">
        <f>COUNTIFS(rl_key,$A$1480,rl_eff,"&gt;="&amp;$B1527,rl_eff,"&lt;="&amp;$C1527)</f>
        <v/>
      </c>
      <c r="L1527" s="201">
        <f>SUMIFS(rl_daysafter,rl_key,$A$1480,rl_effmonth,$B1527,rl_first,1)</f>
        <v/>
      </c>
      <c r="M1527" s="209">
        <f>IF($K1527=0,0,MIN(1,$L1527/$D1527))</f>
        <v/>
      </c>
      <c r="N1527" s="208">
        <f>IF($K1527=0,$J1527,(1-$M1527)*$I1527+$M1527*$J1527)</f>
        <v/>
      </c>
      <c r="O1527" s="209">
        <f>IF($F1527&lt;$B$1481,$E$1481+$I$1481*($F1527-$A$1481),IF($F1527&lt;$C$1481,$F$1481+$J$1481*($F1527-$B$1481),$G$1481+$K$1481*($F1527-$C$1481)))</f>
        <v/>
      </c>
      <c r="P1527" s="208">
        <f>MIN(1,MAX(0,(nr_MEndPm1-$G1527+0.5)/$C$1480))-MIN(1,MAX(0,(nr_MStartPm1-1-$G1527+0.5)/$C$1480))</f>
        <v/>
      </c>
      <c r="Q1527" s="208">
        <f>MIN(1,MAX(0,(nr_MEndP-$G1527+0.5)/$C$1480))-MIN(1,MAX(0,(nr_MStartP-1-$G1527+0.5)/$C$1480))</f>
        <v/>
      </c>
      <c r="R1527" s="208">
        <f>MIN(1,MAX(0,(nr_MEndP1-$G1527+0.5)/$C$1480))-MIN(1,MAX(0,(nr_MStartP1-1-$G1527+0.5)/$C$1480))</f>
        <v/>
      </c>
      <c r="S1527" s="208">
        <f>IF($L$1480,$N1527*IF($O$1480=1,$O1527/$F$1480,1),"")</f>
        <v/>
      </c>
      <c r="T1527" s="208">
        <f>IF(NOT($L$1480),"",IF($G1527&lt;nr_MStartP,$S1527,$T1515*(1+IF($G1527&lt;nr_MStartP1,$M$1480,$N$1480))))</f>
        <v/>
      </c>
      <c r="U1527" s="208">
        <f>IF($L$1480,$T1527,$N1527)</f>
        <v/>
      </c>
    </row>
    <row r="1528">
      <c r="A1528" s="145" t="n">
        <v>46</v>
      </c>
      <c r="B1528" s="204">
        <f>EDATE($B1527,1)</f>
        <v/>
      </c>
      <c r="C1528" s="205">
        <f>EOMONTH($B1528,0)</f>
        <v/>
      </c>
      <c r="D1528" s="201">
        <f>$C1528-$B1528+1</f>
        <v/>
      </c>
      <c r="E1528" s="201">
        <f>MONTH($B1528)</f>
        <v/>
      </c>
      <c r="F1528" s="235">
        <f>($B1528+$C1528+1)/2</f>
        <v/>
      </c>
      <c r="G1528" s="201">
        <f>YEAR($B1528)*12+MONTH($B1528)-1</f>
        <v/>
      </c>
      <c r="H1528" s="207">
        <f>IF(OR(nr_SeasonOn="OFF",$D$1480=0,$E$1480=0),1,12*INDEX(se_block,$D$1480,$E1528)/$E$1480)</f>
        <v/>
      </c>
      <c r="I1528" s="208">
        <f>EXP(SUMPRODUCT((rl_eff&lt;$B1528)*(rl_key=$A$1480)*rl_ln1p))</f>
        <v/>
      </c>
      <c r="J1528" s="208">
        <f>EXP(SUMPRODUCT((rl_eff&lt;=$C1528)*(rl_key=$A$1480)*rl_ln1p))</f>
        <v/>
      </c>
      <c r="K1528" s="201">
        <f>COUNTIFS(rl_key,$A$1480,rl_eff,"&gt;="&amp;$B1528,rl_eff,"&lt;="&amp;$C1528)</f>
        <v/>
      </c>
      <c r="L1528" s="201">
        <f>SUMIFS(rl_daysafter,rl_key,$A$1480,rl_effmonth,$B1528,rl_first,1)</f>
        <v/>
      </c>
      <c r="M1528" s="209">
        <f>IF($K1528=0,0,MIN(1,$L1528/$D1528))</f>
        <v/>
      </c>
      <c r="N1528" s="208">
        <f>IF($K1528=0,$J1528,(1-$M1528)*$I1528+$M1528*$J1528)</f>
        <v/>
      </c>
      <c r="O1528" s="209">
        <f>IF($F1528&lt;$B$1481,$E$1481+$I$1481*($F1528-$A$1481),IF($F1528&lt;$C$1481,$F$1481+$J$1481*($F1528-$B$1481),$G$1481+$K$1481*($F1528-$C$1481)))</f>
        <v/>
      </c>
      <c r="P1528" s="208">
        <f>MIN(1,MAX(0,(nr_MEndPm1-$G1528+0.5)/$C$1480))-MIN(1,MAX(0,(nr_MStartPm1-1-$G1528+0.5)/$C$1480))</f>
        <v/>
      </c>
      <c r="Q1528" s="208">
        <f>MIN(1,MAX(0,(nr_MEndP-$G1528+0.5)/$C$1480))-MIN(1,MAX(0,(nr_MStartP-1-$G1528+0.5)/$C$1480))</f>
        <v/>
      </c>
      <c r="R1528" s="208">
        <f>MIN(1,MAX(0,(nr_MEndP1-$G1528+0.5)/$C$1480))-MIN(1,MAX(0,(nr_MStartP1-1-$G1528+0.5)/$C$1480))</f>
        <v/>
      </c>
      <c r="S1528" s="208">
        <f>IF($L$1480,$N1528*IF($O$1480=1,$O1528/$F$1480,1),"")</f>
        <v/>
      </c>
      <c r="T1528" s="208">
        <f>IF(NOT($L$1480),"",IF($G1528&lt;nr_MStartP,$S1528,$T1516*(1+IF($G1528&lt;nr_MStartP1,$M$1480,$N$1480))))</f>
        <v/>
      </c>
      <c r="U1528" s="208">
        <f>IF($L$1480,$T1528,$N1528)</f>
        <v/>
      </c>
    </row>
    <row r="1529">
      <c r="A1529" s="145" t="n">
        <v>47</v>
      </c>
      <c r="B1529" s="204">
        <f>EDATE($B1528,1)</f>
        <v/>
      </c>
      <c r="C1529" s="205">
        <f>EOMONTH($B1529,0)</f>
        <v/>
      </c>
      <c r="D1529" s="201">
        <f>$C1529-$B1529+1</f>
        <v/>
      </c>
      <c r="E1529" s="201">
        <f>MONTH($B1529)</f>
        <v/>
      </c>
      <c r="F1529" s="235">
        <f>($B1529+$C1529+1)/2</f>
        <v/>
      </c>
      <c r="G1529" s="201">
        <f>YEAR($B1529)*12+MONTH($B1529)-1</f>
        <v/>
      </c>
      <c r="H1529" s="207">
        <f>IF(OR(nr_SeasonOn="OFF",$D$1480=0,$E$1480=0),1,12*INDEX(se_block,$D$1480,$E1529)/$E$1480)</f>
        <v/>
      </c>
      <c r="I1529" s="208">
        <f>EXP(SUMPRODUCT((rl_eff&lt;$B1529)*(rl_key=$A$1480)*rl_ln1p))</f>
        <v/>
      </c>
      <c r="J1529" s="208">
        <f>EXP(SUMPRODUCT((rl_eff&lt;=$C1529)*(rl_key=$A$1480)*rl_ln1p))</f>
        <v/>
      </c>
      <c r="K1529" s="201">
        <f>COUNTIFS(rl_key,$A$1480,rl_eff,"&gt;="&amp;$B1529,rl_eff,"&lt;="&amp;$C1529)</f>
        <v/>
      </c>
      <c r="L1529" s="201">
        <f>SUMIFS(rl_daysafter,rl_key,$A$1480,rl_effmonth,$B1529,rl_first,1)</f>
        <v/>
      </c>
      <c r="M1529" s="209">
        <f>IF($K1529=0,0,MIN(1,$L1529/$D1529))</f>
        <v/>
      </c>
      <c r="N1529" s="208">
        <f>IF($K1529=0,$J1529,(1-$M1529)*$I1529+$M1529*$J1529)</f>
        <v/>
      </c>
      <c r="O1529" s="209">
        <f>IF($F1529&lt;$B$1481,$E$1481+$I$1481*($F1529-$A$1481),IF($F1529&lt;$C$1481,$F$1481+$J$1481*($F1529-$B$1481),$G$1481+$K$1481*($F1529-$C$1481)))</f>
        <v/>
      </c>
      <c r="P1529" s="208">
        <f>MIN(1,MAX(0,(nr_MEndPm1-$G1529+0.5)/$C$1480))-MIN(1,MAX(0,(nr_MStartPm1-1-$G1529+0.5)/$C$1480))</f>
        <v/>
      </c>
      <c r="Q1529" s="208">
        <f>MIN(1,MAX(0,(nr_MEndP-$G1529+0.5)/$C$1480))-MIN(1,MAX(0,(nr_MStartP-1-$G1529+0.5)/$C$1480))</f>
        <v/>
      </c>
      <c r="R1529" s="208">
        <f>MIN(1,MAX(0,(nr_MEndP1-$G1529+0.5)/$C$1480))-MIN(1,MAX(0,(nr_MStartP1-1-$G1529+0.5)/$C$1480))</f>
        <v/>
      </c>
      <c r="S1529" s="208">
        <f>IF($L$1480,$N1529*IF($O$1480=1,$O1529/$F$1480,1),"")</f>
        <v/>
      </c>
      <c r="T1529" s="208">
        <f>IF(NOT($L$1480),"",IF($G1529&lt;nr_MStartP,$S1529,$T1517*(1+IF($G1529&lt;nr_MStartP1,$M$1480,$N$1480))))</f>
        <v/>
      </c>
      <c r="U1529" s="208">
        <f>IF($L$1480,$T1529,$N1529)</f>
        <v/>
      </c>
    </row>
    <row r="1530">
      <c r="A1530" s="145" t="n">
        <v>48</v>
      </c>
      <c r="B1530" s="204">
        <f>EDATE($B1529,1)</f>
        <v/>
      </c>
      <c r="C1530" s="205">
        <f>EOMONTH($B1530,0)</f>
        <v/>
      </c>
      <c r="D1530" s="201">
        <f>$C1530-$B1530+1</f>
        <v/>
      </c>
      <c r="E1530" s="201">
        <f>MONTH($B1530)</f>
        <v/>
      </c>
      <c r="F1530" s="235">
        <f>($B1530+$C1530+1)/2</f>
        <v/>
      </c>
      <c r="G1530" s="201">
        <f>YEAR($B1530)*12+MONTH($B1530)-1</f>
        <v/>
      </c>
      <c r="H1530" s="207">
        <f>IF(OR(nr_SeasonOn="OFF",$D$1480=0,$E$1480=0),1,12*INDEX(se_block,$D$1480,$E1530)/$E$1480)</f>
        <v/>
      </c>
      <c r="I1530" s="208">
        <f>EXP(SUMPRODUCT((rl_eff&lt;$B1530)*(rl_key=$A$1480)*rl_ln1p))</f>
        <v/>
      </c>
      <c r="J1530" s="208">
        <f>EXP(SUMPRODUCT((rl_eff&lt;=$C1530)*(rl_key=$A$1480)*rl_ln1p))</f>
        <v/>
      </c>
      <c r="K1530" s="201">
        <f>COUNTIFS(rl_key,$A$1480,rl_eff,"&gt;="&amp;$B1530,rl_eff,"&lt;="&amp;$C1530)</f>
        <v/>
      </c>
      <c r="L1530" s="201">
        <f>SUMIFS(rl_daysafter,rl_key,$A$1480,rl_effmonth,$B1530,rl_first,1)</f>
        <v/>
      </c>
      <c r="M1530" s="209">
        <f>IF($K1530=0,0,MIN(1,$L1530/$D1530))</f>
        <v/>
      </c>
      <c r="N1530" s="208">
        <f>IF($K1530=0,$J1530,(1-$M1530)*$I1530+$M1530*$J1530)</f>
        <v/>
      </c>
      <c r="O1530" s="209">
        <f>IF($F1530&lt;$B$1481,$E$1481+$I$1481*($F1530-$A$1481),IF($F1530&lt;$C$1481,$F$1481+$J$1481*($F1530-$B$1481),$G$1481+$K$1481*($F1530-$C$1481)))</f>
        <v/>
      </c>
      <c r="P1530" s="208">
        <f>MIN(1,MAX(0,(nr_MEndPm1-$G1530+0.5)/$C$1480))-MIN(1,MAX(0,(nr_MStartPm1-1-$G1530+0.5)/$C$1480))</f>
        <v/>
      </c>
      <c r="Q1530" s="208">
        <f>MIN(1,MAX(0,(nr_MEndP-$G1530+0.5)/$C$1480))-MIN(1,MAX(0,(nr_MStartP-1-$G1530+0.5)/$C$1480))</f>
        <v/>
      </c>
      <c r="R1530" s="208">
        <f>MIN(1,MAX(0,(nr_MEndP1-$G1530+0.5)/$C$1480))-MIN(1,MAX(0,(nr_MStartP1-1-$G1530+0.5)/$C$1480))</f>
        <v/>
      </c>
      <c r="S1530" s="208">
        <f>IF($L$1480,$N1530*IF($O$1480=1,$O1530/$F$1480,1),"")</f>
        <v/>
      </c>
      <c r="T1530" s="208">
        <f>IF(NOT($L$1480),"",IF($G1530&lt;nr_MStartP,$S1530,$T1518*(1+IF($G1530&lt;nr_MStartP1,$M$1480,$N$1480))))</f>
        <v/>
      </c>
      <c r="U1530" s="208">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184">
        <f>SUMPRODUCT($H$1483:$H$1530,$Q$1483:$Q$1530,$O$1483:$O$1530)/SUMPRODUCT($H$1483:$H$1530,$Q$1483:$Q$1530)</f>
        <v/>
      </c>
      <c r="G1531" s="184">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184">
        <f>IF(N(INDEX(lr_mind,28))=0,1,INDEX(lr_mind,28))</f>
        <v/>
      </c>
      <c r="G1534" s="184">
        <f>IF(N(INDEX(lr_m0,28))=0,1,INDEX(lr_m0,28))</f>
        <v/>
      </c>
      <c r="H1534" s="73">
        <f>IF(N(INDEX(lr_m0asof,28))=0,DATE(nr_PlanYear-1,10,1),INDEX(lr_m0asof,28))</f>
        <v/>
      </c>
      <c r="I1534" s="184">
        <f>IF(N(INDEX(lr_m1,28))=0,1,INDEX(lr_m1,28))</f>
        <v/>
      </c>
      <c r="J1534" s="184">
        <f>INDEX(lr_mprior,28)</f>
        <v/>
      </c>
      <c r="K1534" s="184">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145" t="n">
        <v>1</v>
      </c>
      <c r="B1537" s="204">
        <f>DATE(nr_PlanYear-2,1,1)</f>
        <v/>
      </c>
      <c r="C1537" s="205">
        <f>EOMONTH($B1537,0)</f>
        <v/>
      </c>
      <c r="D1537" s="201">
        <f>$C1537-$B1537+1</f>
        <v/>
      </c>
      <c r="E1537" s="201">
        <f>MONTH($B1537)</f>
        <v/>
      </c>
      <c r="F1537" s="235">
        <f>($B1537+$C1537+1)/2</f>
        <v/>
      </c>
      <c r="G1537" s="201">
        <f>YEAR($B1537)*12+MONTH($B1537)-1</f>
        <v/>
      </c>
      <c r="H1537" s="207">
        <f>IF(OR(nr_SeasonOn="OFF",$D$1534=0,$E$1534=0),1,12*INDEX(se_block,$D$1534,$E1537)/$E$1534)</f>
        <v/>
      </c>
      <c r="I1537" s="208">
        <f>EXP(SUMPRODUCT((rl_eff&lt;$B1537)*(rl_key=$A$1534)*rl_ln1p))</f>
        <v/>
      </c>
      <c r="J1537" s="208">
        <f>EXP(SUMPRODUCT((rl_eff&lt;=$C1537)*(rl_key=$A$1534)*rl_ln1p))</f>
        <v/>
      </c>
      <c r="K1537" s="201">
        <f>COUNTIFS(rl_key,$A$1534,rl_eff,"&gt;="&amp;$B1537,rl_eff,"&lt;="&amp;$C1537)</f>
        <v/>
      </c>
      <c r="L1537" s="201">
        <f>SUMIFS(rl_daysafter,rl_key,$A$1534,rl_effmonth,$B1537,rl_first,1)</f>
        <v/>
      </c>
      <c r="M1537" s="209">
        <f>IF($K1537=0,0,MIN(1,$L1537/$D1537))</f>
        <v/>
      </c>
      <c r="N1537" s="208">
        <f>IF($K1537=0,$J1537,(1-$M1537)*$I1537+$M1537*$J1537)</f>
        <v/>
      </c>
      <c r="O1537" s="209">
        <f>IF($F1537&lt;$B$1535,$E$1535+$I$1535*($F1537-$A$1535),IF($F1537&lt;$C$1535,$F$1535+$J$1535*($F1537-$B$1535),$G$1535+$K$1535*($F1537-$C$1535)))</f>
        <v/>
      </c>
      <c r="P1537" s="208">
        <f>MIN(1,MAX(0,(nr_MEndPm1-$G1537+0.5)/$C$1534))-MIN(1,MAX(0,(nr_MStartPm1-1-$G1537+0.5)/$C$1534))</f>
        <v/>
      </c>
      <c r="Q1537" s="208">
        <f>MIN(1,MAX(0,(nr_MEndP-$G1537+0.5)/$C$1534))-MIN(1,MAX(0,(nr_MStartP-1-$G1537+0.5)/$C$1534))</f>
        <v/>
      </c>
      <c r="R1537" s="208">
        <f>MIN(1,MAX(0,(nr_MEndP1-$G1537+0.5)/$C$1534))-MIN(1,MAX(0,(nr_MStartP1-1-$G1537+0.5)/$C$1534))</f>
        <v/>
      </c>
      <c r="S1537" s="208">
        <f>IF($L$1534,$N1537*IF($O$1534=1,$O1537/$F$1534,1),"")</f>
        <v/>
      </c>
      <c r="T1537" s="208">
        <f>IF(NOT($L$1534),"",IF($G1537&lt;nr_MStartP,$S1537,$T1525*(1+IF($G1537&lt;nr_MStartP1,$M$1534,$N$1534))))</f>
        <v/>
      </c>
      <c r="U1537" s="208">
        <f>IF($L$1534,$T1537,$N1537)</f>
        <v/>
      </c>
    </row>
    <row r="1538">
      <c r="A1538" s="145" t="n">
        <v>2</v>
      </c>
      <c r="B1538" s="204">
        <f>EDATE($B1537,1)</f>
        <v/>
      </c>
      <c r="C1538" s="205">
        <f>EOMONTH($B1538,0)</f>
        <v/>
      </c>
      <c r="D1538" s="201">
        <f>$C1538-$B1538+1</f>
        <v/>
      </c>
      <c r="E1538" s="201">
        <f>MONTH($B1538)</f>
        <v/>
      </c>
      <c r="F1538" s="235">
        <f>($B1538+$C1538+1)/2</f>
        <v/>
      </c>
      <c r="G1538" s="201">
        <f>YEAR($B1538)*12+MONTH($B1538)-1</f>
        <v/>
      </c>
      <c r="H1538" s="207">
        <f>IF(OR(nr_SeasonOn="OFF",$D$1534=0,$E$1534=0),1,12*INDEX(se_block,$D$1534,$E1538)/$E$1534)</f>
        <v/>
      </c>
      <c r="I1538" s="208">
        <f>EXP(SUMPRODUCT((rl_eff&lt;$B1538)*(rl_key=$A$1534)*rl_ln1p))</f>
        <v/>
      </c>
      <c r="J1538" s="208">
        <f>EXP(SUMPRODUCT((rl_eff&lt;=$C1538)*(rl_key=$A$1534)*rl_ln1p))</f>
        <v/>
      </c>
      <c r="K1538" s="201">
        <f>COUNTIFS(rl_key,$A$1534,rl_eff,"&gt;="&amp;$B1538,rl_eff,"&lt;="&amp;$C1538)</f>
        <v/>
      </c>
      <c r="L1538" s="201">
        <f>SUMIFS(rl_daysafter,rl_key,$A$1534,rl_effmonth,$B1538,rl_first,1)</f>
        <v/>
      </c>
      <c r="M1538" s="209">
        <f>IF($K1538=0,0,MIN(1,$L1538/$D1538))</f>
        <v/>
      </c>
      <c r="N1538" s="208">
        <f>IF($K1538=0,$J1538,(1-$M1538)*$I1538+$M1538*$J1538)</f>
        <v/>
      </c>
      <c r="O1538" s="209">
        <f>IF($F1538&lt;$B$1535,$E$1535+$I$1535*($F1538-$A$1535),IF($F1538&lt;$C$1535,$F$1535+$J$1535*($F1538-$B$1535),$G$1535+$K$1535*($F1538-$C$1535)))</f>
        <v/>
      </c>
      <c r="P1538" s="208">
        <f>MIN(1,MAX(0,(nr_MEndPm1-$G1538+0.5)/$C$1534))-MIN(1,MAX(0,(nr_MStartPm1-1-$G1538+0.5)/$C$1534))</f>
        <v/>
      </c>
      <c r="Q1538" s="208">
        <f>MIN(1,MAX(0,(nr_MEndP-$G1538+0.5)/$C$1534))-MIN(1,MAX(0,(nr_MStartP-1-$G1538+0.5)/$C$1534))</f>
        <v/>
      </c>
      <c r="R1538" s="208">
        <f>MIN(1,MAX(0,(nr_MEndP1-$G1538+0.5)/$C$1534))-MIN(1,MAX(0,(nr_MStartP1-1-$G1538+0.5)/$C$1534))</f>
        <v/>
      </c>
      <c r="S1538" s="208">
        <f>IF($L$1534,$N1538*IF($O$1534=1,$O1538/$F$1534,1),"")</f>
        <v/>
      </c>
      <c r="T1538" s="208">
        <f>IF(NOT($L$1534),"",IF($G1538&lt;nr_MStartP,$S1538,$T1526*(1+IF($G1538&lt;nr_MStartP1,$M$1534,$N$1534))))</f>
        <v/>
      </c>
      <c r="U1538" s="208">
        <f>IF($L$1534,$T1538,$N1538)</f>
        <v/>
      </c>
    </row>
    <row r="1539">
      <c r="A1539" s="145" t="n">
        <v>3</v>
      </c>
      <c r="B1539" s="204">
        <f>EDATE($B1538,1)</f>
        <v/>
      </c>
      <c r="C1539" s="205">
        <f>EOMONTH($B1539,0)</f>
        <v/>
      </c>
      <c r="D1539" s="201">
        <f>$C1539-$B1539+1</f>
        <v/>
      </c>
      <c r="E1539" s="201">
        <f>MONTH($B1539)</f>
        <v/>
      </c>
      <c r="F1539" s="235">
        <f>($B1539+$C1539+1)/2</f>
        <v/>
      </c>
      <c r="G1539" s="201">
        <f>YEAR($B1539)*12+MONTH($B1539)-1</f>
        <v/>
      </c>
      <c r="H1539" s="207">
        <f>IF(OR(nr_SeasonOn="OFF",$D$1534=0,$E$1534=0),1,12*INDEX(se_block,$D$1534,$E1539)/$E$1534)</f>
        <v/>
      </c>
      <c r="I1539" s="208">
        <f>EXP(SUMPRODUCT((rl_eff&lt;$B1539)*(rl_key=$A$1534)*rl_ln1p))</f>
        <v/>
      </c>
      <c r="J1539" s="208">
        <f>EXP(SUMPRODUCT((rl_eff&lt;=$C1539)*(rl_key=$A$1534)*rl_ln1p))</f>
        <v/>
      </c>
      <c r="K1539" s="201">
        <f>COUNTIFS(rl_key,$A$1534,rl_eff,"&gt;="&amp;$B1539,rl_eff,"&lt;="&amp;$C1539)</f>
        <v/>
      </c>
      <c r="L1539" s="201">
        <f>SUMIFS(rl_daysafter,rl_key,$A$1534,rl_effmonth,$B1539,rl_first,1)</f>
        <v/>
      </c>
      <c r="M1539" s="209">
        <f>IF($K1539=0,0,MIN(1,$L1539/$D1539))</f>
        <v/>
      </c>
      <c r="N1539" s="208">
        <f>IF($K1539=0,$J1539,(1-$M1539)*$I1539+$M1539*$J1539)</f>
        <v/>
      </c>
      <c r="O1539" s="209">
        <f>IF($F1539&lt;$B$1535,$E$1535+$I$1535*($F1539-$A$1535),IF($F1539&lt;$C$1535,$F$1535+$J$1535*($F1539-$B$1535),$G$1535+$K$1535*($F1539-$C$1535)))</f>
        <v/>
      </c>
      <c r="P1539" s="208">
        <f>MIN(1,MAX(0,(nr_MEndPm1-$G1539+0.5)/$C$1534))-MIN(1,MAX(0,(nr_MStartPm1-1-$G1539+0.5)/$C$1534))</f>
        <v/>
      </c>
      <c r="Q1539" s="208">
        <f>MIN(1,MAX(0,(nr_MEndP-$G1539+0.5)/$C$1534))-MIN(1,MAX(0,(nr_MStartP-1-$G1539+0.5)/$C$1534))</f>
        <v/>
      </c>
      <c r="R1539" s="208">
        <f>MIN(1,MAX(0,(nr_MEndP1-$G1539+0.5)/$C$1534))-MIN(1,MAX(0,(nr_MStartP1-1-$G1539+0.5)/$C$1534))</f>
        <v/>
      </c>
      <c r="S1539" s="208">
        <f>IF($L$1534,$N1539*IF($O$1534=1,$O1539/$F$1534,1),"")</f>
        <v/>
      </c>
      <c r="T1539" s="208">
        <f>IF(NOT($L$1534),"",IF($G1539&lt;nr_MStartP,$S1539,$T1527*(1+IF($G1539&lt;nr_MStartP1,$M$1534,$N$1534))))</f>
        <v/>
      </c>
      <c r="U1539" s="208">
        <f>IF($L$1534,$T1539,$N1539)</f>
        <v/>
      </c>
    </row>
    <row r="1540">
      <c r="A1540" s="145" t="n">
        <v>4</v>
      </c>
      <c r="B1540" s="204">
        <f>EDATE($B1539,1)</f>
        <v/>
      </c>
      <c r="C1540" s="205">
        <f>EOMONTH($B1540,0)</f>
        <v/>
      </c>
      <c r="D1540" s="201">
        <f>$C1540-$B1540+1</f>
        <v/>
      </c>
      <c r="E1540" s="201">
        <f>MONTH($B1540)</f>
        <v/>
      </c>
      <c r="F1540" s="235">
        <f>($B1540+$C1540+1)/2</f>
        <v/>
      </c>
      <c r="G1540" s="201">
        <f>YEAR($B1540)*12+MONTH($B1540)-1</f>
        <v/>
      </c>
      <c r="H1540" s="207">
        <f>IF(OR(nr_SeasonOn="OFF",$D$1534=0,$E$1534=0),1,12*INDEX(se_block,$D$1534,$E1540)/$E$1534)</f>
        <v/>
      </c>
      <c r="I1540" s="208">
        <f>EXP(SUMPRODUCT((rl_eff&lt;$B1540)*(rl_key=$A$1534)*rl_ln1p))</f>
        <v/>
      </c>
      <c r="J1540" s="208">
        <f>EXP(SUMPRODUCT((rl_eff&lt;=$C1540)*(rl_key=$A$1534)*rl_ln1p))</f>
        <v/>
      </c>
      <c r="K1540" s="201">
        <f>COUNTIFS(rl_key,$A$1534,rl_eff,"&gt;="&amp;$B1540,rl_eff,"&lt;="&amp;$C1540)</f>
        <v/>
      </c>
      <c r="L1540" s="201">
        <f>SUMIFS(rl_daysafter,rl_key,$A$1534,rl_effmonth,$B1540,rl_first,1)</f>
        <v/>
      </c>
      <c r="M1540" s="209">
        <f>IF($K1540=0,0,MIN(1,$L1540/$D1540))</f>
        <v/>
      </c>
      <c r="N1540" s="208">
        <f>IF($K1540=0,$J1540,(1-$M1540)*$I1540+$M1540*$J1540)</f>
        <v/>
      </c>
      <c r="O1540" s="209">
        <f>IF($F1540&lt;$B$1535,$E$1535+$I$1535*($F1540-$A$1535),IF($F1540&lt;$C$1535,$F$1535+$J$1535*($F1540-$B$1535),$G$1535+$K$1535*($F1540-$C$1535)))</f>
        <v/>
      </c>
      <c r="P1540" s="208">
        <f>MIN(1,MAX(0,(nr_MEndPm1-$G1540+0.5)/$C$1534))-MIN(1,MAX(0,(nr_MStartPm1-1-$G1540+0.5)/$C$1534))</f>
        <v/>
      </c>
      <c r="Q1540" s="208">
        <f>MIN(1,MAX(0,(nr_MEndP-$G1540+0.5)/$C$1534))-MIN(1,MAX(0,(nr_MStartP-1-$G1540+0.5)/$C$1534))</f>
        <v/>
      </c>
      <c r="R1540" s="208">
        <f>MIN(1,MAX(0,(nr_MEndP1-$G1540+0.5)/$C$1534))-MIN(1,MAX(0,(nr_MStartP1-1-$G1540+0.5)/$C$1534))</f>
        <v/>
      </c>
      <c r="S1540" s="208">
        <f>IF($L$1534,$N1540*IF($O$1534=1,$O1540/$F$1534,1),"")</f>
        <v/>
      </c>
      <c r="T1540" s="208">
        <f>IF(NOT($L$1534),"",IF($G1540&lt;nr_MStartP,$S1540,$T1528*(1+IF($G1540&lt;nr_MStartP1,$M$1534,$N$1534))))</f>
        <v/>
      </c>
      <c r="U1540" s="208">
        <f>IF($L$1534,$T1540,$N1540)</f>
        <v/>
      </c>
    </row>
    <row r="1541">
      <c r="A1541" s="145" t="n">
        <v>5</v>
      </c>
      <c r="B1541" s="204">
        <f>EDATE($B1540,1)</f>
        <v/>
      </c>
      <c r="C1541" s="205">
        <f>EOMONTH($B1541,0)</f>
        <v/>
      </c>
      <c r="D1541" s="201">
        <f>$C1541-$B1541+1</f>
        <v/>
      </c>
      <c r="E1541" s="201">
        <f>MONTH($B1541)</f>
        <v/>
      </c>
      <c r="F1541" s="235">
        <f>($B1541+$C1541+1)/2</f>
        <v/>
      </c>
      <c r="G1541" s="201">
        <f>YEAR($B1541)*12+MONTH($B1541)-1</f>
        <v/>
      </c>
      <c r="H1541" s="207">
        <f>IF(OR(nr_SeasonOn="OFF",$D$1534=0,$E$1534=0),1,12*INDEX(se_block,$D$1534,$E1541)/$E$1534)</f>
        <v/>
      </c>
      <c r="I1541" s="208">
        <f>EXP(SUMPRODUCT((rl_eff&lt;$B1541)*(rl_key=$A$1534)*rl_ln1p))</f>
        <v/>
      </c>
      <c r="J1541" s="208">
        <f>EXP(SUMPRODUCT((rl_eff&lt;=$C1541)*(rl_key=$A$1534)*rl_ln1p))</f>
        <v/>
      </c>
      <c r="K1541" s="201">
        <f>COUNTIFS(rl_key,$A$1534,rl_eff,"&gt;="&amp;$B1541,rl_eff,"&lt;="&amp;$C1541)</f>
        <v/>
      </c>
      <c r="L1541" s="201">
        <f>SUMIFS(rl_daysafter,rl_key,$A$1534,rl_effmonth,$B1541,rl_first,1)</f>
        <v/>
      </c>
      <c r="M1541" s="209">
        <f>IF($K1541=0,0,MIN(1,$L1541/$D1541))</f>
        <v/>
      </c>
      <c r="N1541" s="208">
        <f>IF($K1541=0,$J1541,(1-$M1541)*$I1541+$M1541*$J1541)</f>
        <v/>
      </c>
      <c r="O1541" s="209">
        <f>IF($F1541&lt;$B$1535,$E$1535+$I$1535*($F1541-$A$1535),IF($F1541&lt;$C$1535,$F$1535+$J$1535*($F1541-$B$1535),$G$1535+$K$1535*($F1541-$C$1535)))</f>
        <v/>
      </c>
      <c r="P1541" s="208">
        <f>MIN(1,MAX(0,(nr_MEndPm1-$G1541+0.5)/$C$1534))-MIN(1,MAX(0,(nr_MStartPm1-1-$G1541+0.5)/$C$1534))</f>
        <v/>
      </c>
      <c r="Q1541" s="208">
        <f>MIN(1,MAX(0,(nr_MEndP-$G1541+0.5)/$C$1534))-MIN(1,MAX(0,(nr_MStartP-1-$G1541+0.5)/$C$1534))</f>
        <v/>
      </c>
      <c r="R1541" s="208">
        <f>MIN(1,MAX(0,(nr_MEndP1-$G1541+0.5)/$C$1534))-MIN(1,MAX(0,(nr_MStartP1-1-$G1541+0.5)/$C$1534))</f>
        <v/>
      </c>
      <c r="S1541" s="208">
        <f>IF($L$1534,$N1541*IF($O$1534=1,$O1541/$F$1534,1),"")</f>
        <v/>
      </c>
      <c r="T1541" s="208">
        <f>IF(NOT($L$1534),"",IF($G1541&lt;nr_MStartP,$S1541,$T1529*(1+IF($G1541&lt;nr_MStartP1,$M$1534,$N$1534))))</f>
        <v/>
      </c>
      <c r="U1541" s="208">
        <f>IF($L$1534,$T1541,$N1541)</f>
        <v/>
      </c>
    </row>
    <row r="1542">
      <c r="A1542" s="145" t="n">
        <v>6</v>
      </c>
      <c r="B1542" s="204">
        <f>EDATE($B1541,1)</f>
        <v/>
      </c>
      <c r="C1542" s="205">
        <f>EOMONTH($B1542,0)</f>
        <v/>
      </c>
      <c r="D1542" s="201">
        <f>$C1542-$B1542+1</f>
        <v/>
      </c>
      <c r="E1542" s="201">
        <f>MONTH($B1542)</f>
        <v/>
      </c>
      <c r="F1542" s="235">
        <f>($B1542+$C1542+1)/2</f>
        <v/>
      </c>
      <c r="G1542" s="201">
        <f>YEAR($B1542)*12+MONTH($B1542)-1</f>
        <v/>
      </c>
      <c r="H1542" s="207">
        <f>IF(OR(nr_SeasonOn="OFF",$D$1534=0,$E$1534=0),1,12*INDEX(se_block,$D$1534,$E1542)/$E$1534)</f>
        <v/>
      </c>
      <c r="I1542" s="208">
        <f>EXP(SUMPRODUCT((rl_eff&lt;$B1542)*(rl_key=$A$1534)*rl_ln1p))</f>
        <v/>
      </c>
      <c r="J1542" s="208">
        <f>EXP(SUMPRODUCT((rl_eff&lt;=$C1542)*(rl_key=$A$1534)*rl_ln1p))</f>
        <v/>
      </c>
      <c r="K1542" s="201">
        <f>COUNTIFS(rl_key,$A$1534,rl_eff,"&gt;="&amp;$B1542,rl_eff,"&lt;="&amp;$C1542)</f>
        <v/>
      </c>
      <c r="L1542" s="201">
        <f>SUMIFS(rl_daysafter,rl_key,$A$1534,rl_effmonth,$B1542,rl_first,1)</f>
        <v/>
      </c>
      <c r="M1542" s="209">
        <f>IF($K1542=0,0,MIN(1,$L1542/$D1542))</f>
        <v/>
      </c>
      <c r="N1542" s="208">
        <f>IF($K1542=0,$J1542,(1-$M1542)*$I1542+$M1542*$J1542)</f>
        <v/>
      </c>
      <c r="O1542" s="209">
        <f>IF($F1542&lt;$B$1535,$E$1535+$I$1535*($F1542-$A$1535),IF($F1542&lt;$C$1535,$F$1535+$J$1535*($F1542-$B$1535),$G$1535+$K$1535*($F1542-$C$1535)))</f>
        <v/>
      </c>
      <c r="P1542" s="208">
        <f>MIN(1,MAX(0,(nr_MEndPm1-$G1542+0.5)/$C$1534))-MIN(1,MAX(0,(nr_MStartPm1-1-$G1542+0.5)/$C$1534))</f>
        <v/>
      </c>
      <c r="Q1542" s="208">
        <f>MIN(1,MAX(0,(nr_MEndP-$G1542+0.5)/$C$1534))-MIN(1,MAX(0,(nr_MStartP-1-$G1542+0.5)/$C$1534))</f>
        <v/>
      </c>
      <c r="R1542" s="208">
        <f>MIN(1,MAX(0,(nr_MEndP1-$G1542+0.5)/$C$1534))-MIN(1,MAX(0,(nr_MStartP1-1-$G1542+0.5)/$C$1534))</f>
        <v/>
      </c>
      <c r="S1542" s="208">
        <f>IF($L$1534,$N1542*IF($O$1534=1,$O1542/$F$1534,1),"")</f>
        <v/>
      </c>
      <c r="T1542" s="208">
        <f>IF(NOT($L$1534),"",IF($G1542&lt;nr_MStartP,$S1542,$T1530*(1+IF($G1542&lt;nr_MStartP1,$M$1534,$N$1534))))</f>
        <v/>
      </c>
      <c r="U1542" s="208">
        <f>IF($L$1534,$T1542,$N1542)</f>
        <v/>
      </c>
    </row>
    <row r="1543">
      <c r="A1543" s="145" t="n">
        <v>7</v>
      </c>
      <c r="B1543" s="204">
        <f>EDATE($B1542,1)</f>
        <v/>
      </c>
      <c r="C1543" s="205">
        <f>EOMONTH($B1543,0)</f>
        <v/>
      </c>
      <c r="D1543" s="201">
        <f>$C1543-$B1543+1</f>
        <v/>
      </c>
      <c r="E1543" s="201">
        <f>MONTH($B1543)</f>
        <v/>
      </c>
      <c r="F1543" s="235">
        <f>($B1543+$C1543+1)/2</f>
        <v/>
      </c>
      <c r="G1543" s="201">
        <f>YEAR($B1543)*12+MONTH($B1543)-1</f>
        <v/>
      </c>
      <c r="H1543" s="207">
        <f>IF(OR(nr_SeasonOn="OFF",$D$1534=0,$E$1534=0),1,12*INDEX(se_block,$D$1534,$E1543)/$E$1534)</f>
        <v/>
      </c>
      <c r="I1543" s="208">
        <f>EXP(SUMPRODUCT((rl_eff&lt;$B1543)*(rl_key=$A$1534)*rl_ln1p))</f>
        <v/>
      </c>
      <c r="J1543" s="208">
        <f>EXP(SUMPRODUCT((rl_eff&lt;=$C1543)*(rl_key=$A$1534)*rl_ln1p))</f>
        <v/>
      </c>
      <c r="K1543" s="201">
        <f>COUNTIFS(rl_key,$A$1534,rl_eff,"&gt;="&amp;$B1543,rl_eff,"&lt;="&amp;$C1543)</f>
        <v/>
      </c>
      <c r="L1543" s="201">
        <f>SUMIFS(rl_daysafter,rl_key,$A$1534,rl_effmonth,$B1543,rl_first,1)</f>
        <v/>
      </c>
      <c r="M1543" s="209">
        <f>IF($K1543=0,0,MIN(1,$L1543/$D1543))</f>
        <v/>
      </c>
      <c r="N1543" s="208">
        <f>IF($K1543=0,$J1543,(1-$M1543)*$I1543+$M1543*$J1543)</f>
        <v/>
      </c>
      <c r="O1543" s="209">
        <f>IF($F1543&lt;$B$1535,$E$1535+$I$1535*($F1543-$A$1535),IF($F1543&lt;$C$1535,$F$1535+$J$1535*($F1543-$B$1535),$G$1535+$K$1535*($F1543-$C$1535)))</f>
        <v/>
      </c>
      <c r="P1543" s="208">
        <f>MIN(1,MAX(0,(nr_MEndPm1-$G1543+0.5)/$C$1534))-MIN(1,MAX(0,(nr_MStartPm1-1-$G1543+0.5)/$C$1534))</f>
        <v/>
      </c>
      <c r="Q1543" s="208">
        <f>MIN(1,MAX(0,(nr_MEndP-$G1543+0.5)/$C$1534))-MIN(1,MAX(0,(nr_MStartP-1-$G1543+0.5)/$C$1534))</f>
        <v/>
      </c>
      <c r="R1543" s="208">
        <f>MIN(1,MAX(0,(nr_MEndP1-$G1543+0.5)/$C$1534))-MIN(1,MAX(0,(nr_MStartP1-1-$G1543+0.5)/$C$1534))</f>
        <v/>
      </c>
      <c r="S1543" s="208">
        <f>IF($L$1534,$N1543*IF($O$1534=1,$O1543/$F$1534,1),"")</f>
        <v/>
      </c>
      <c r="T1543" s="208">
        <f>IF(NOT($L$1534),"",IF($G1543&lt;nr_MStartP,$S1543,$T1531*(1+IF($G1543&lt;nr_MStartP1,$M$1534,$N$1534))))</f>
        <v/>
      </c>
      <c r="U1543" s="208">
        <f>IF($L$1534,$T1543,$N1543)</f>
        <v/>
      </c>
    </row>
    <row r="1544">
      <c r="A1544" s="145" t="n">
        <v>8</v>
      </c>
      <c r="B1544" s="204">
        <f>EDATE($B1543,1)</f>
        <v/>
      </c>
      <c r="C1544" s="205">
        <f>EOMONTH($B1544,0)</f>
        <v/>
      </c>
      <c r="D1544" s="201">
        <f>$C1544-$B1544+1</f>
        <v/>
      </c>
      <c r="E1544" s="201">
        <f>MONTH($B1544)</f>
        <v/>
      </c>
      <c r="F1544" s="235">
        <f>($B1544+$C1544+1)/2</f>
        <v/>
      </c>
      <c r="G1544" s="201">
        <f>YEAR($B1544)*12+MONTH($B1544)-1</f>
        <v/>
      </c>
      <c r="H1544" s="207">
        <f>IF(OR(nr_SeasonOn="OFF",$D$1534=0,$E$1534=0),1,12*INDEX(se_block,$D$1534,$E1544)/$E$1534)</f>
        <v/>
      </c>
      <c r="I1544" s="208">
        <f>EXP(SUMPRODUCT((rl_eff&lt;$B1544)*(rl_key=$A$1534)*rl_ln1p))</f>
        <v/>
      </c>
      <c r="J1544" s="208">
        <f>EXP(SUMPRODUCT((rl_eff&lt;=$C1544)*(rl_key=$A$1534)*rl_ln1p))</f>
        <v/>
      </c>
      <c r="K1544" s="201">
        <f>COUNTIFS(rl_key,$A$1534,rl_eff,"&gt;="&amp;$B1544,rl_eff,"&lt;="&amp;$C1544)</f>
        <v/>
      </c>
      <c r="L1544" s="201">
        <f>SUMIFS(rl_daysafter,rl_key,$A$1534,rl_effmonth,$B1544,rl_first,1)</f>
        <v/>
      </c>
      <c r="M1544" s="209">
        <f>IF($K1544=0,0,MIN(1,$L1544/$D1544))</f>
        <v/>
      </c>
      <c r="N1544" s="208">
        <f>IF($K1544=0,$J1544,(1-$M1544)*$I1544+$M1544*$J1544)</f>
        <v/>
      </c>
      <c r="O1544" s="209">
        <f>IF($F1544&lt;$B$1535,$E$1535+$I$1535*($F1544-$A$1535),IF($F1544&lt;$C$1535,$F$1535+$J$1535*($F1544-$B$1535),$G$1535+$K$1535*($F1544-$C$1535)))</f>
        <v/>
      </c>
      <c r="P1544" s="208">
        <f>MIN(1,MAX(0,(nr_MEndPm1-$G1544+0.5)/$C$1534))-MIN(1,MAX(0,(nr_MStartPm1-1-$G1544+0.5)/$C$1534))</f>
        <v/>
      </c>
      <c r="Q1544" s="208">
        <f>MIN(1,MAX(0,(nr_MEndP-$G1544+0.5)/$C$1534))-MIN(1,MAX(0,(nr_MStartP-1-$G1544+0.5)/$C$1534))</f>
        <v/>
      </c>
      <c r="R1544" s="208">
        <f>MIN(1,MAX(0,(nr_MEndP1-$G1544+0.5)/$C$1534))-MIN(1,MAX(0,(nr_MStartP1-1-$G1544+0.5)/$C$1534))</f>
        <v/>
      </c>
      <c r="S1544" s="208">
        <f>IF($L$1534,$N1544*IF($O$1534=1,$O1544/$F$1534,1),"")</f>
        <v/>
      </c>
      <c r="T1544" s="208">
        <f>IF(NOT($L$1534),"",IF($G1544&lt;nr_MStartP,$S1544,$T1532*(1+IF($G1544&lt;nr_MStartP1,$M$1534,$N$1534))))</f>
        <v/>
      </c>
      <c r="U1544" s="208">
        <f>IF($L$1534,$T1544,$N1544)</f>
        <v/>
      </c>
    </row>
    <row r="1545">
      <c r="A1545" s="145" t="n">
        <v>9</v>
      </c>
      <c r="B1545" s="204">
        <f>EDATE($B1544,1)</f>
        <v/>
      </c>
      <c r="C1545" s="205">
        <f>EOMONTH($B1545,0)</f>
        <v/>
      </c>
      <c r="D1545" s="201">
        <f>$C1545-$B1545+1</f>
        <v/>
      </c>
      <c r="E1545" s="201">
        <f>MONTH($B1545)</f>
        <v/>
      </c>
      <c r="F1545" s="235">
        <f>($B1545+$C1545+1)/2</f>
        <v/>
      </c>
      <c r="G1545" s="201">
        <f>YEAR($B1545)*12+MONTH($B1545)-1</f>
        <v/>
      </c>
      <c r="H1545" s="207">
        <f>IF(OR(nr_SeasonOn="OFF",$D$1534=0,$E$1534=0),1,12*INDEX(se_block,$D$1534,$E1545)/$E$1534)</f>
        <v/>
      </c>
      <c r="I1545" s="208">
        <f>EXP(SUMPRODUCT((rl_eff&lt;$B1545)*(rl_key=$A$1534)*rl_ln1p))</f>
        <v/>
      </c>
      <c r="J1545" s="208">
        <f>EXP(SUMPRODUCT((rl_eff&lt;=$C1545)*(rl_key=$A$1534)*rl_ln1p))</f>
        <v/>
      </c>
      <c r="K1545" s="201">
        <f>COUNTIFS(rl_key,$A$1534,rl_eff,"&gt;="&amp;$B1545,rl_eff,"&lt;="&amp;$C1545)</f>
        <v/>
      </c>
      <c r="L1545" s="201">
        <f>SUMIFS(rl_daysafter,rl_key,$A$1534,rl_effmonth,$B1545,rl_first,1)</f>
        <v/>
      </c>
      <c r="M1545" s="209">
        <f>IF($K1545=0,0,MIN(1,$L1545/$D1545))</f>
        <v/>
      </c>
      <c r="N1545" s="208">
        <f>IF($K1545=0,$J1545,(1-$M1545)*$I1545+$M1545*$J1545)</f>
        <v/>
      </c>
      <c r="O1545" s="209">
        <f>IF($F1545&lt;$B$1535,$E$1535+$I$1535*($F1545-$A$1535),IF($F1545&lt;$C$1535,$F$1535+$J$1535*($F1545-$B$1535),$G$1535+$K$1535*($F1545-$C$1535)))</f>
        <v/>
      </c>
      <c r="P1545" s="208">
        <f>MIN(1,MAX(0,(nr_MEndPm1-$G1545+0.5)/$C$1534))-MIN(1,MAX(0,(nr_MStartPm1-1-$G1545+0.5)/$C$1534))</f>
        <v/>
      </c>
      <c r="Q1545" s="208">
        <f>MIN(1,MAX(0,(nr_MEndP-$G1545+0.5)/$C$1534))-MIN(1,MAX(0,(nr_MStartP-1-$G1545+0.5)/$C$1534))</f>
        <v/>
      </c>
      <c r="R1545" s="208">
        <f>MIN(1,MAX(0,(nr_MEndP1-$G1545+0.5)/$C$1534))-MIN(1,MAX(0,(nr_MStartP1-1-$G1545+0.5)/$C$1534))</f>
        <v/>
      </c>
      <c r="S1545" s="208">
        <f>IF($L$1534,$N1545*IF($O$1534=1,$O1545/$F$1534,1),"")</f>
        <v/>
      </c>
      <c r="T1545" s="208">
        <f>IF(NOT($L$1534),"",IF($G1545&lt;nr_MStartP,$S1545,$T1533*(1+IF($G1545&lt;nr_MStartP1,$M$1534,$N$1534))))</f>
        <v/>
      </c>
      <c r="U1545" s="208">
        <f>IF($L$1534,$T1545,$N1545)</f>
        <v/>
      </c>
    </row>
    <row r="1546">
      <c r="A1546" s="145" t="n">
        <v>10</v>
      </c>
      <c r="B1546" s="204">
        <f>EDATE($B1545,1)</f>
        <v/>
      </c>
      <c r="C1546" s="205">
        <f>EOMONTH($B1546,0)</f>
        <v/>
      </c>
      <c r="D1546" s="201">
        <f>$C1546-$B1546+1</f>
        <v/>
      </c>
      <c r="E1546" s="201">
        <f>MONTH($B1546)</f>
        <v/>
      </c>
      <c r="F1546" s="235">
        <f>($B1546+$C1546+1)/2</f>
        <v/>
      </c>
      <c r="G1546" s="201">
        <f>YEAR($B1546)*12+MONTH($B1546)-1</f>
        <v/>
      </c>
      <c r="H1546" s="207">
        <f>IF(OR(nr_SeasonOn="OFF",$D$1534=0,$E$1534=0),1,12*INDEX(se_block,$D$1534,$E1546)/$E$1534)</f>
        <v/>
      </c>
      <c r="I1546" s="208">
        <f>EXP(SUMPRODUCT((rl_eff&lt;$B1546)*(rl_key=$A$1534)*rl_ln1p))</f>
        <v/>
      </c>
      <c r="J1546" s="208">
        <f>EXP(SUMPRODUCT((rl_eff&lt;=$C1546)*(rl_key=$A$1534)*rl_ln1p))</f>
        <v/>
      </c>
      <c r="K1546" s="201">
        <f>COUNTIFS(rl_key,$A$1534,rl_eff,"&gt;="&amp;$B1546,rl_eff,"&lt;="&amp;$C1546)</f>
        <v/>
      </c>
      <c r="L1546" s="201">
        <f>SUMIFS(rl_daysafter,rl_key,$A$1534,rl_effmonth,$B1546,rl_first,1)</f>
        <v/>
      </c>
      <c r="M1546" s="209">
        <f>IF($K1546=0,0,MIN(1,$L1546/$D1546))</f>
        <v/>
      </c>
      <c r="N1546" s="208">
        <f>IF($K1546=0,$J1546,(1-$M1546)*$I1546+$M1546*$J1546)</f>
        <v/>
      </c>
      <c r="O1546" s="209">
        <f>IF($F1546&lt;$B$1535,$E$1535+$I$1535*($F1546-$A$1535),IF($F1546&lt;$C$1535,$F$1535+$J$1535*($F1546-$B$1535),$G$1535+$K$1535*($F1546-$C$1535)))</f>
        <v/>
      </c>
      <c r="P1546" s="208">
        <f>MIN(1,MAX(0,(nr_MEndPm1-$G1546+0.5)/$C$1534))-MIN(1,MAX(0,(nr_MStartPm1-1-$G1546+0.5)/$C$1534))</f>
        <v/>
      </c>
      <c r="Q1546" s="208">
        <f>MIN(1,MAX(0,(nr_MEndP-$G1546+0.5)/$C$1534))-MIN(1,MAX(0,(nr_MStartP-1-$G1546+0.5)/$C$1534))</f>
        <v/>
      </c>
      <c r="R1546" s="208">
        <f>MIN(1,MAX(0,(nr_MEndP1-$G1546+0.5)/$C$1534))-MIN(1,MAX(0,(nr_MStartP1-1-$G1546+0.5)/$C$1534))</f>
        <v/>
      </c>
      <c r="S1546" s="208">
        <f>IF($L$1534,$N1546*IF($O$1534=1,$O1546/$F$1534,1),"")</f>
        <v/>
      </c>
      <c r="T1546" s="208">
        <f>IF(NOT($L$1534),"",IF($G1546&lt;nr_MStartP,$S1546,$T1534*(1+IF($G1546&lt;nr_MStartP1,$M$1534,$N$1534))))</f>
        <v/>
      </c>
      <c r="U1546" s="208">
        <f>IF($L$1534,$T1546,$N1546)</f>
        <v/>
      </c>
    </row>
    <row r="1547">
      <c r="A1547" s="145" t="n">
        <v>11</v>
      </c>
      <c r="B1547" s="204">
        <f>EDATE($B1546,1)</f>
        <v/>
      </c>
      <c r="C1547" s="205">
        <f>EOMONTH($B1547,0)</f>
        <v/>
      </c>
      <c r="D1547" s="201">
        <f>$C1547-$B1547+1</f>
        <v/>
      </c>
      <c r="E1547" s="201">
        <f>MONTH($B1547)</f>
        <v/>
      </c>
      <c r="F1547" s="235">
        <f>($B1547+$C1547+1)/2</f>
        <v/>
      </c>
      <c r="G1547" s="201">
        <f>YEAR($B1547)*12+MONTH($B1547)-1</f>
        <v/>
      </c>
      <c r="H1547" s="207">
        <f>IF(OR(nr_SeasonOn="OFF",$D$1534=0,$E$1534=0),1,12*INDEX(se_block,$D$1534,$E1547)/$E$1534)</f>
        <v/>
      </c>
      <c r="I1547" s="208">
        <f>EXP(SUMPRODUCT((rl_eff&lt;$B1547)*(rl_key=$A$1534)*rl_ln1p))</f>
        <v/>
      </c>
      <c r="J1547" s="208">
        <f>EXP(SUMPRODUCT((rl_eff&lt;=$C1547)*(rl_key=$A$1534)*rl_ln1p))</f>
        <v/>
      </c>
      <c r="K1547" s="201">
        <f>COUNTIFS(rl_key,$A$1534,rl_eff,"&gt;="&amp;$B1547,rl_eff,"&lt;="&amp;$C1547)</f>
        <v/>
      </c>
      <c r="L1547" s="201">
        <f>SUMIFS(rl_daysafter,rl_key,$A$1534,rl_effmonth,$B1547,rl_first,1)</f>
        <v/>
      </c>
      <c r="M1547" s="209">
        <f>IF($K1547=0,0,MIN(1,$L1547/$D1547))</f>
        <v/>
      </c>
      <c r="N1547" s="208">
        <f>IF($K1547=0,$J1547,(1-$M1547)*$I1547+$M1547*$J1547)</f>
        <v/>
      </c>
      <c r="O1547" s="209">
        <f>IF($F1547&lt;$B$1535,$E$1535+$I$1535*($F1547-$A$1535),IF($F1547&lt;$C$1535,$F$1535+$J$1535*($F1547-$B$1535),$G$1535+$K$1535*($F1547-$C$1535)))</f>
        <v/>
      </c>
      <c r="P1547" s="208">
        <f>MIN(1,MAX(0,(nr_MEndPm1-$G1547+0.5)/$C$1534))-MIN(1,MAX(0,(nr_MStartPm1-1-$G1547+0.5)/$C$1534))</f>
        <v/>
      </c>
      <c r="Q1547" s="208">
        <f>MIN(1,MAX(0,(nr_MEndP-$G1547+0.5)/$C$1534))-MIN(1,MAX(0,(nr_MStartP-1-$G1547+0.5)/$C$1534))</f>
        <v/>
      </c>
      <c r="R1547" s="208">
        <f>MIN(1,MAX(0,(nr_MEndP1-$G1547+0.5)/$C$1534))-MIN(1,MAX(0,(nr_MStartP1-1-$G1547+0.5)/$C$1534))</f>
        <v/>
      </c>
      <c r="S1547" s="208">
        <f>IF($L$1534,$N1547*IF($O$1534=1,$O1547/$F$1534,1),"")</f>
        <v/>
      </c>
      <c r="T1547" s="208">
        <f>IF(NOT($L$1534),"",IF($G1547&lt;nr_MStartP,$S1547,$T1535*(1+IF($G1547&lt;nr_MStartP1,$M$1534,$N$1534))))</f>
        <v/>
      </c>
      <c r="U1547" s="208">
        <f>IF($L$1534,$T1547,$N1547)</f>
        <v/>
      </c>
    </row>
    <row r="1548">
      <c r="A1548" s="145" t="n">
        <v>12</v>
      </c>
      <c r="B1548" s="204">
        <f>EDATE($B1547,1)</f>
        <v/>
      </c>
      <c r="C1548" s="205">
        <f>EOMONTH($B1548,0)</f>
        <v/>
      </c>
      <c r="D1548" s="201">
        <f>$C1548-$B1548+1</f>
        <v/>
      </c>
      <c r="E1548" s="201">
        <f>MONTH($B1548)</f>
        <v/>
      </c>
      <c r="F1548" s="235">
        <f>($B1548+$C1548+1)/2</f>
        <v/>
      </c>
      <c r="G1548" s="201">
        <f>YEAR($B1548)*12+MONTH($B1548)-1</f>
        <v/>
      </c>
      <c r="H1548" s="207">
        <f>IF(OR(nr_SeasonOn="OFF",$D$1534=0,$E$1534=0),1,12*INDEX(se_block,$D$1534,$E1548)/$E$1534)</f>
        <v/>
      </c>
      <c r="I1548" s="208">
        <f>EXP(SUMPRODUCT((rl_eff&lt;$B1548)*(rl_key=$A$1534)*rl_ln1p))</f>
        <v/>
      </c>
      <c r="J1548" s="208">
        <f>EXP(SUMPRODUCT((rl_eff&lt;=$C1548)*(rl_key=$A$1534)*rl_ln1p))</f>
        <v/>
      </c>
      <c r="K1548" s="201">
        <f>COUNTIFS(rl_key,$A$1534,rl_eff,"&gt;="&amp;$B1548,rl_eff,"&lt;="&amp;$C1548)</f>
        <v/>
      </c>
      <c r="L1548" s="201">
        <f>SUMIFS(rl_daysafter,rl_key,$A$1534,rl_effmonth,$B1548,rl_first,1)</f>
        <v/>
      </c>
      <c r="M1548" s="209">
        <f>IF($K1548=0,0,MIN(1,$L1548/$D1548))</f>
        <v/>
      </c>
      <c r="N1548" s="208">
        <f>IF($K1548=0,$J1548,(1-$M1548)*$I1548+$M1548*$J1548)</f>
        <v/>
      </c>
      <c r="O1548" s="209">
        <f>IF($F1548&lt;$B$1535,$E$1535+$I$1535*($F1548-$A$1535),IF($F1548&lt;$C$1535,$F$1535+$J$1535*($F1548-$B$1535),$G$1535+$K$1535*($F1548-$C$1535)))</f>
        <v/>
      </c>
      <c r="P1548" s="208">
        <f>MIN(1,MAX(0,(nr_MEndPm1-$G1548+0.5)/$C$1534))-MIN(1,MAX(0,(nr_MStartPm1-1-$G1548+0.5)/$C$1534))</f>
        <v/>
      </c>
      <c r="Q1548" s="208">
        <f>MIN(1,MAX(0,(nr_MEndP-$G1548+0.5)/$C$1534))-MIN(1,MAX(0,(nr_MStartP-1-$G1548+0.5)/$C$1534))</f>
        <v/>
      </c>
      <c r="R1548" s="208">
        <f>MIN(1,MAX(0,(nr_MEndP1-$G1548+0.5)/$C$1534))-MIN(1,MAX(0,(nr_MStartP1-1-$G1548+0.5)/$C$1534))</f>
        <v/>
      </c>
      <c r="S1548" s="208">
        <f>IF($L$1534,$N1548*IF($O$1534=1,$O1548/$F$1534,1),"")</f>
        <v/>
      </c>
      <c r="T1548" s="208">
        <f>IF(NOT($L$1534),"",IF($G1548&lt;nr_MStartP,$S1548,$T1536*(1+IF($G1548&lt;nr_MStartP1,$M$1534,$N$1534))))</f>
        <v/>
      </c>
      <c r="U1548" s="208">
        <f>IF($L$1534,$T1548,$N1548)</f>
        <v/>
      </c>
    </row>
    <row r="1549">
      <c r="A1549" s="145" t="n">
        <v>13</v>
      </c>
      <c r="B1549" s="204">
        <f>EDATE($B1548,1)</f>
        <v/>
      </c>
      <c r="C1549" s="205">
        <f>EOMONTH($B1549,0)</f>
        <v/>
      </c>
      <c r="D1549" s="201">
        <f>$C1549-$B1549+1</f>
        <v/>
      </c>
      <c r="E1549" s="201">
        <f>MONTH($B1549)</f>
        <v/>
      </c>
      <c r="F1549" s="235">
        <f>($B1549+$C1549+1)/2</f>
        <v/>
      </c>
      <c r="G1549" s="201">
        <f>YEAR($B1549)*12+MONTH($B1549)-1</f>
        <v/>
      </c>
      <c r="H1549" s="207">
        <f>IF(OR(nr_SeasonOn="OFF",$D$1534=0,$E$1534=0),1,12*INDEX(se_block,$D$1534,$E1549)/$E$1534)</f>
        <v/>
      </c>
      <c r="I1549" s="208">
        <f>EXP(SUMPRODUCT((rl_eff&lt;$B1549)*(rl_key=$A$1534)*rl_ln1p))</f>
        <v/>
      </c>
      <c r="J1549" s="208">
        <f>EXP(SUMPRODUCT((rl_eff&lt;=$C1549)*(rl_key=$A$1534)*rl_ln1p))</f>
        <v/>
      </c>
      <c r="K1549" s="201">
        <f>COUNTIFS(rl_key,$A$1534,rl_eff,"&gt;="&amp;$B1549,rl_eff,"&lt;="&amp;$C1549)</f>
        <v/>
      </c>
      <c r="L1549" s="201">
        <f>SUMIFS(rl_daysafter,rl_key,$A$1534,rl_effmonth,$B1549,rl_first,1)</f>
        <v/>
      </c>
      <c r="M1549" s="209">
        <f>IF($K1549=0,0,MIN(1,$L1549/$D1549))</f>
        <v/>
      </c>
      <c r="N1549" s="208">
        <f>IF($K1549=0,$J1549,(1-$M1549)*$I1549+$M1549*$J1549)</f>
        <v/>
      </c>
      <c r="O1549" s="209">
        <f>IF($F1549&lt;$B$1535,$E$1535+$I$1535*($F1549-$A$1535),IF($F1549&lt;$C$1535,$F$1535+$J$1535*($F1549-$B$1535),$G$1535+$K$1535*($F1549-$C$1535)))</f>
        <v/>
      </c>
      <c r="P1549" s="208">
        <f>MIN(1,MAX(0,(nr_MEndPm1-$G1549+0.5)/$C$1534))-MIN(1,MAX(0,(nr_MStartPm1-1-$G1549+0.5)/$C$1534))</f>
        <v/>
      </c>
      <c r="Q1549" s="208">
        <f>MIN(1,MAX(0,(nr_MEndP-$G1549+0.5)/$C$1534))-MIN(1,MAX(0,(nr_MStartP-1-$G1549+0.5)/$C$1534))</f>
        <v/>
      </c>
      <c r="R1549" s="208">
        <f>MIN(1,MAX(0,(nr_MEndP1-$G1549+0.5)/$C$1534))-MIN(1,MAX(0,(nr_MStartP1-1-$G1549+0.5)/$C$1534))</f>
        <v/>
      </c>
      <c r="S1549" s="208">
        <f>IF($L$1534,$N1549*IF($O$1534=1,$O1549/$F$1534,1),"")</f>
        <v/>
      </c>
      <c r="T1549" s="208">
        <f>IF(NOT($L$1534),"",IF($G1549&lt;nr_MStartP,$S1549,$T1537*(1+IF($G1549&lt;nr_MStartP1,$M$1534,$N$1534))))</f>
        <v/>
      </c>
      <c r="U1549" s="208">
        <f>IF($L$1534,$T1549,$N1549)</f>
        <v/>
      </c>
    </row>
    <row r="1550">
      <c r="A1550" s="145" t="n">
        <v>14</v>
      </c>
      <c r="B1550" s="204">
        <f>EDATE($B1549,1)</f>
        <v/>
      </c>
      <c r="C1550" s="205">
        <f>EOMONTH($B1550,0)</f>
        <v/>
      </c>
      <c r="D1550" s="201">
        <f>$C1550-$B1550+1</f>
        <v/>
      </c>
      <c r="E1550" s="201">
        <f>MONTH($B1550)</f>
        <v/>
      </c>
      <c r="F1550" s="235">
        <f>($B1550+$C1550+1)/2</f>
        <v/>
      </c>
      <c r="G1550" s="201">
        <f>YEAR($B1550)*12+MONTH($B1550)-1</f>
        <v/>
      </c>
      <c r="H1550" s="207">
        <f>IF(OR(nr_SeasonOn="OFF",$D$1534=0,$E$1534=0),1,12*INDEX(se_block,$D$1534,$E1550)/$E$1534)</f>
        <v/>
      </c>
      <c r="I1550" s="208">
        <f>EXP(SUMPRODUCT((rl_eff&lt;$B1550)*(rl_key=$A$1534)*rl_ln1p))</f>
        <v/>
      </c>
      <c r="J1550" s="208">
        <f>EXP(SUMPRODUCT((rl_eff&lt;=$C1550)*(rl_key=$A$1534)*rl_ln1p))</f>
        <v/>
      </c>
      <c r="K1550" s="201">
        <f>COUNTIFS(rl_key,$A$1534,rl_eff,"&gt;="&amp;$B1550,rl_eff,"&lt;="&amp;$C1550)</f>
        <v/>
      </c>
      <c r="L1550" s="201">
        <f>SUMIFS(rl_daysafter,rl_key,$A$1534,rl_effmonth,$B1550,rl_first,1)</f>
        <v/>
      </c>
      <c r="M1550" s="209">
        <f>IF($K1550=0,0,MIN(1,$L1550/$D1550))</f>
        <v/>
      </c>
      <c r="N1550" s="208">
        <f>IF($K1550=0,$J1550,(1-$M1550)*$I1550+$M1550*$J1550)</f>
        <v/>
      </c>
      <c r="O1550" s="209">
        <f>IF($F1550&lt;$B$1535,$E$1535+$I$1535*($F1550-$A$1535),IF($F1550&lt;$C$1535,$F$1535+$J$1535*($F1550-$B$1535),$G$1535+$K$1535*($F1550-$C$1535)))</f>
        <v/>
      </c>
      <c r="P1550" s="208">
        <f>MIN(1,MAX(0,(nr_MEndPm1-$G1550+0.5)/$C$1534))-MIN(1,MAX(0,(nr_MStartPm1-1-$G1550+0.5)/$C$1534))</f>
        <v/>
      </c>
      <c r="Q1550" s="208">
        <f>MIN(1,MAX(0,(nr_MEndP-$G1550+0.5)/$C$1534))-MIN(1,MAX(0,(nr_MStartP-1-$G1550+0.5)/$C$1534))</f>
        <v/>
      </c>
      <c r="R1550" s="208">
        <f>MIN(1,MAX(0,(nr_MEndP1-$G1550+0.5)/$C$1534))-MIN(1,MAX(0,(nr_MStartP1-1-$G1550+0.5)/$C$1534))</f>
        <v/>
      </c>
      <c r="S1550" s="208">
        <f>IF($L$1534,$N1550*IF($O$1534=1,$O1550/$F$1534,1),"")</f>
        <v/>
      </c>
      <c r="T1550" s="208">
        <f>IF(NOT($L$1534),"",IF($G1550&lt;nr_MStartP,$S1550,$T1538*(1+IF($G1550&lt;nr_MStartP1,$M$1534,$N$1534))))</f>
        <v/>
      </c>
      <c r="U1550" s="208">
        <f>IF($L$1534,$T1550,$N1550)</f>
        <v/>
      </c>
    </row>
    <row r="1551">
      <c r="A1551" s="145" t="n">
        <v>15</v>
      </c>
      <c r="B1551" s="204">
        <f>EDATE($B1550,1)</f>
        <v/>
      </c>
      <c r="C1551" s="205">
        <f>EOMONTH($B1551,0)</f>
        <v/>
      </c>
      <c r="D1551" s="201">
        <f>$C1551-$B1551+1</f>
        <v/>
      </c>
      <c r="E1551" s="201">
        <f>MONTH($B1551)</f>
        <v/>
      </c>
      <c r="F1551" s="235">
        <f>($B1551+$C1551+1)/2</f>
        <v/>
      </c>
      <c r="G1551" s="201">
        <f>YEAR($B1551)*12+MONTH($B1551)-1</f>
        <v/>
      </c>
      <c r="H1551" s="207">
        <f>IF(OR(nr_SeasonOn="OFF",$D$1534=0,$E$1534=0),1,12*INDEX(se_block,$D$1534,$E1551)/$E$1534)</f>
        <v/>
      </c>
      <c r="I1551" s="208">
        <f>EXP(SUMPRODUCT((rl_eff&lt;$B1551)*(rl_key=$A$1534)*rl_ln1p))</f>
        <v/>
      </c>
      <c r="J1551" s="208">
        <f>EXP(SUMPRODUCT((rl_eff&lt;=$C1551)*(rl_key=$A$1534)*rl_ln1p))</f>
        <v/>
      </c>
      <c r="K1551" s="201">
        <f>COUNTIFS(rl_key,$A$1534,rl_eff,"&gt;="&amp;$B1551,rl_eff,"&lt;="&amp;$C1551)</f>
        <v/>
      </c>
      <c r="L1551" s="201">
        <f>SUMIFS(rl_daysafter,rl_key,$A$1534,rl_effmonth,$B1551,rl_first,1)</f>
        <v/>
      </c>
      <c r="M1551" s="209">
        <f>IF($K1551=0,0,MIN(1,$L1551/$D1551))</f>
        <v/>
      </c>
      <c r="N1551" s="208">
        <f>IF($K1551=0,$J1551,(1-$M1551)*$I1551+$M1551*$J1551)</f>
        <v/>
      </c>
      <c r="O1551" s="209">
        <f>IF($F1551&lt;$B$1535,$E$1535+$I$1535*($F1551-$A$1535),IF($F1551&lt;$C$1535,$F$1535+$J$1535*($F1551-$B$1535),$G$1535+$K$1535*($F1551-$C$1535)))</f>
        <v/>
      </c>
      <c r="P1551" s="208">
        <f>MIN(1,MAX(0,(nr_MEndPm1-$G1551+0.5)/$C$1534))-MIN(1,MAX(0,(nr_MStartPm1-1-$G1551+0.5)/$C$1534))</f>
        <v/>
      </c>
      <c r="Q1551" s="208">
        <f>MIN(1,MAX(0,(nr_MEndP-$G1551+0.5)/$C$1534))-MIN(1,MAX(0,(nr_MStartP-1-$G1551+0.5)/$C$1534))</f>
        <v/>
      </c>
      <c r="R1551" s="208">
        <f>MIN(1,MAX(0,(nr_MEndP1-$G1551+0.5)/$C$1534))-MIN(1,MAX(0,(nr_MStartP1-1-$G1551+0.5)/$C$1534))</f>
        <v/>
      </c>
      <c r="S1551" s="208">
        <f>IF($L$1534,$N1551*IF($O$1534=1,$O1551/$F$1534,1),"")</f>
        <v/>
      </c>
      <c r="T1551" s="208">
        <f>IF(NOT($L$1534),"",IF($G1551&lt;nr_MStartP,$S1551,$T1539*(1+IF($G1551&lt;nr_MStartP1,$M$1534,$N$1534))))</f>
        <v/>
      </c>
      <c r="U1551" s="208">
        <f>IF($L$1534,$T1551,$N1551)</f>
        <v/>
      </c>
    </row>
    <row r="1552">
      <c r="A1552" s="145" t="n">
        <v>16</v>
      </c>
      <c r="B1552" s="204">
        <f>EDATE($B1551,1)</f>
        <v/>
      </c>
      <c r="C1552" s="205">
        <f>EOMONTH($B1552,0)</f>
        <v/>
      </c>
      <c r="D1552" s="201">
        <f>$C1552-$B1552+1</f>
        <v/>
      </c>
      <c r="E1552" s="201">
        <f>MONTH($B1552)</f>
        <v/>
      </c>
      <c r="F1552" s="235">
        <f>($B1552+$C1552+1)/2</f>
        <v/>
      </c>
      <c r="G1552" s="201">
        <f>YEAR($B1552)*12+MONTH($B1552)-1</f>
        <v/>
      </c>
      <c r="H1552" s="207">
        <f>IF(OR(nr_SeasonOn="OFF",$D$1534=0,$E$1534=0),1,12*INDEX(se_block,$D$1534,$E1552)/$E$1534)</f>
        <v/>
      </c>
      <c r="I1552" s="208">
        <f>EXP(SUMPRODUCT((rl_eff&lt;$B1552)*(rl_key=$A$1534)*rl_ln1p))</f>
        <v/>
      </c>
      <c r="J1552" s="208">
        <f>EXP(SUMPRODUCT((rl_eff&lt;=$C1552)*(rl_key=$A$1534)*rl_ln1p))</f>
        <v/>
      </c>
      <c r="K1552" s="201">
        <f>COUNTIFS(rl_key,$A$1534,rl_eff,"&gt;="&amp;$B1552,rl_eff,"&lt;="&amp;$C1552)</f>
        <v/>
      </c>
      <c r="L1552" s="201">
        <f>SUMIFS(rl_daysafter,rl_key,$A$1534,rl_effmonth,$B1552,rl_first,1)</f>
        <v/>
      </c>
      <c r="M1552" s="209">
        <f>IF($K1552=0,0,MIN(1,$L1552/$D1552))</f>
        <v/>
      </c>
      <c r="N1552" s="208">
        <f>IF($K1552=0,$J1552,(1-$M1552)*$I1552+$M1552*$J1552)</f>
        <v/>
      </c>
      <c r="O1552" s="209">
        <f>IF($F1552&lt;$B$1535,$E$1535+$I$1535*($F1552-$A$1535),IF($F1552&lt;$C$1535,$F$1535+$J$1535*($F1552-$B$1535),$G$1535+$K$1535*($F1552-$C$1535)))</f>
        <v/>
      </c>
      <c r="P1552" s="208">
        <f>MIN(1,MAX(0,(nr_MEndPm1-$G1552+0.5)/$C$1534))-MIN(1,MAX(0,(nr_MStartPm1-1-$G1552+0.5)/$C$1534))</f>
        <v/>
      </c>
      <c r="Q1552" s="208">
        <f>MIN(1,MAX(0,(nr_MEndP-$G1552+0.5)/$C$1534))-MIN(1,MAX(0,(nr_MStartP-1-$G1552+0.5)/$C$1534))</f>
        <v/>
      </c>
      <c r="R1552" s="208">
        <f>MIN(1,MAX(0,(nr_MEndP1-$G1552+0.5)/$C$1534))-MIN(1,MAX(0,(nr_MStartP1-1-$G1552+0.5)/$C$1534))</f>
        <v/>
      </c>
      <c r="S1552" s="208">
        <f>IF($L$1534,$N1552*IF($O$1534=1,$O1552/$F$1534,1),"")</f>
        <v/>
      </c>
      <c r="T1552" s="208">
        <f>IF(NOT($L$1534),"",IF($G1552&lt;nr_MStartP,$S1552,$T1540*(1+IF($G1552&lt;nr_MStartP1,$M$1534,$N$1534))))</f>
        <v/>
      </c>
      <c r="U1552" s="208">
        <f>IF($L$1534,$T1552,$N1552)</f>
        <v/>
      </c>
    </row>
    <row r="1553">
      <c r="A1553" s="145" t="n">
        <v>17</v>
      </c>
      <c r="B1553" s="204">
        <f>EDATE($B1552,1)</f>
        <v/>
      </c>
      <c r="C1553" s="205">
        <f>EOMONTH($B1553,0)</f>
        <v/>
      </c>
      <c r="D1553" s="201">
        <f>$C1553-$B1553+1</f>
        <v/>
      </c>
      <c r="E1553" s="201">
        <f>MONTH($B1553)</f>
        <v/>
      </c>
      <c r="F1553" s="235">
        <f>($B1553+$C1553+1)/2</f>
        <v/>
      </c>
      <c r="G1553" s="201">
        <f>YEAR($B1553)*12+MONTH($B1553)-1</f>
        <v/>
      </c>
      <c r="H1553" s="207">
        <f>IF(OR(nr_SeasonOn="OFF",$D$1534=0,$E$1534=0),1,12*INDEX(se_block,$D$1534,$E1553)/$E$1534)</f>
        <v/>
      </c>
      <c r="I1553" s="208">
        <f>EXP(SUMPRODUCT((rl_eff&lt;$B1553)*(rl_key=$A$1534)*rl_ln1p))</f>
        <v/>
      </c>
      <c r="J1553" s="208">
        <f>EXP(SUMPRODUCT((rl_eff&lt;=$C1553)*(rl_key=$A$1534)*rl_ln1p))</f>
        <v/>
      </c>
      <c r="K1553" s="201">
        <f>COUNTIFS(rl_key,$A$1534,rl_eff,"&gt;="&amp;$B1553,rl_eff,"&lt;="&amp;$C1553)</f>
        <v/>
      </c>
      <c r="L1553" s="201">
        <f>SUMIFS(rl_daysafter,rl_key,$A$1534,rl_effmonth,$B1553,rl_first,1)</f>
        <v/>
      </c>
      <c r="M1553" s="209">
        <f>IF($K1553=0,0,MIN(1,$L1553/$D1553))</f>
        <v/>
      </c>
      <c r="N1553" s="208">
        <f>IF($K1553=0,$J1553,(1-$M1553)*$I1553+$M1553*$J1553)</f>
        <v/>
      </c>
      <c r="O1553" s="209">
        <f>IF($F1553&lt;$B$1535,$E$1535+$I$1535*($F1553-$A$1535),IF($F1553&lt;$C$1535,$F$1535+$J$1535*($F1553-$B$1535),$G$1535+$K$1535*($F1553-$C$1535)))</f>
        <v/>
      </c>
      <c r="P1553" s="208">
        <f>MIN(1,MAX(0,(nr_MEndPm1-$G1553+0.5)/$C$1534))-MIN(1,MAX(0,(nr_MStartPm1-1-$G1553+0.5)/$C$1534))</f>
        <v/>
      </c>
      <c r="Q1553" s="208">
        <f>MIN(1,MAX(0,(nr_MEndP-$G1553+0.5)/$C$1534))-MIN(1,MAX(0,(nr_MStartP-1-$G1553+0.5)/$C$1534))</f>
        <v/>
      </c>
      <c r="R1553" s="208">
        <f>MIN(1,MAX(0,(nr_MEndP1-$G1553+0.5)/$C$1534))-MIN(1,MAX(0,(nr_MStartP1-1-$G1553+0.5)/$C$1534))</f>
        <v/>
      </c>
      <c r="S1553" s="208">
        <f>IF($L$1534,$N1553*IF($O$1534=1,$O1553/$F$1534,1),"")</f>
        <v/>
      </c>
      <c r="T1553" s="208">
        <f>IF(NOT($L$1534),"",IF($G1553&lt;nr_MStartP,$S1553,$T1541*(1+IF($G1553&lt;nr_MStartP1,$M$1534,$N$1534))))</f>
        <v/>
      </c>
      <c r="U1553" s="208">
        <f>IF($L$1534,$T1553,$N1553)</f>
        <v/>
      </c>
    </row>
    <row r="1554">
      <c r="A1554" s="145" t="n">
        <v>18</v>
      </c>
      <c r="B1554" s="204">
        <f>EDATE($B1553,1)</f>
        <v/>
      </c>
      <c r="C1554" s="205">
        <f>EOMONTH($B1554,0)</f>
        <v/>
      </c>
      <c r="D1554" s="201">
        <f>$C1554-$B1554+1</f>
        <v/>
      </c>
      <c r="E1554" s="201">
        <f>MONTH($B1554)</f>
        <v/>
      </c>
      <c r="F1554" s="235">
        <f>($B1554+$C1554+1)/2</f>
        <v/>
      </c>
      <c r="G1554" s="201">
        <f>YEAR($B1554)*12+MONTH($B1554)-1</f>
        <v/>
      </c>
      <c r="H1554" s="207">
        <f>IF(OR(nr_SeasonOn="OFF",$D$1534=0,$E$1534=0),1,12*INDEX(se_block,$D$1534,$E1554)/$E$1534)</f>
        <v/>
      </c>
      <c r="I1554" s="208">
        <f>EXP(SUMPRODUCT((rl_eff&lt;$B1554)*(rl_key=$A$1534)*rl_ln1p))</f>
        <v/>
      </c>
      <c r="J1554" s="208">
        <f>EXP(SUMPRODUCT((rl_eff&lt;=$C1554)*(rl_key=$A$1534)*rl_ln1p))</f>
        <v/>
      </c>
      <c r="K1554" s="201">
        <f>COUNTIFS(rl_key,$A$1534,rl_eff,"&gt;="&amp;$B1554,rl_eff,"&lt;="&amp;$C1554)</f>
        <v/>
      </c>
      <c r="L1554" s="201">
        <f>SUMIFS(rl_daysafter,rl_key,$A$1534,rl_effmonth,$B1554,rl_first,1)</f>
        <v/>
      </c>
      <c r="M1554" s="209">
        <f>IF($K1554=0,0,MIN(1,$L1554/$D1554))</f>
        <v/>
      </c>
      <c r="N1554" s="208">
        <f>IF($K1554=0,$J1554,(1-$M1554)*$I1554+$M1554*$J1554)</f>
        <v/>
      </c>
      <c r="O1554" s="209">
        <f>IF($F1554&lt;$B$1535,$E$1535+$I$1535*($F1554-$A$1535),IF($F1554&lt;$C$1535,$F$1535+$J$1535*($F1554-$B$1535),$G$1535+$K$1535*($F1554-$C$1535)))</f>
        <v/>
      </c>
      <c r="P1554" s="208">
        <f>MIN(1,MAX(0,(nr_MEndPm1-$G1554+0.5)/$C$1534))-MIN(1,MAX(0,(nr_MStartPm1-1-$G1554+0.5)/$C$1534))</f>
        <v/>
      </c>
      <c r="Q1554" s="208">
        <f>MIN(1,MAX(0,(nr_MEndP-$G1554+0.5)/$C$1534))-MIN(1,MAX(0,(nr_MStartP-1-$G1554+0.5)/$C$1534))</f>
        <v/>
      </c>
      <c r="R1554" s="208">
        <f>MIN(1,MAX(0,(nr_MEndP1-$G1554+0.5)/$C$1534))-MIN(1,MAX(0,(nr_MStartP1-1-$G1554+0.5)/$C$1534))</f>
        <v/>
      </c>
      <c r="S1554" s="208">
        <f>IF($L$1534,$N1554*IF($O$1534=1,$O1554/$F$1534,1),"")</f>
        <v/>
      </c>
      <c r="T1554" s="208">
        <f>IF(NOT($L$1534),"",IF($G1554&lt;nr_MStartP,$S1554,$T1542*(1+IF($G1554&lt;nr_MStartP1,$M$1534,$N$1534))))</f>
        <v/>
      </c>
      <c r="U1554" s="208">
        <f>IF($L$1534,$T1554,$N1554)</f>
        <v/>
      </c>
    </row>
    <row r="1555">
      <c r="A1555" s="145" t="n">
        <v>19</v>
      </c>
      <c r="B1555" s="204">
        <f>EDATE($B1554,1)</f>
        <v/>
      </c>
      <c r="C1555" s="205">
        <f>EOMONTH($B1555,0)</f>
        <v/>
      </c>
      <c r="D1555" s="201">
        <f>$C1555-$B1555+1</f>
        <v/>
      </c>
      <c r="E1555" s="201">
        <f>MONTH($B1555)</f>
        <v/>
      </c>
      <c r="F1555" s="235">
        <f>($B1555+$C1555+1)/2</f>
        <v/>
      </c>
      <c r="G1555" s="201">
        <f>YEAR($B1555)*12+MONTH($B1555)-1</f>
        <v/>
      </c>
      <c r="H1555" s="207">
        <f>IF(OR(nr_SeasonOn="OFF",$D$1534=0,$E$1534=0),1,12*INDEX(se_block,$D$1534,$E1555)/$E$1534)</f>
        <v/>
      </c>
      <c r="I1555" s="208">
        <f>EXP(SUMPRODUCT((rl_eff&lt;$B1555)*(rl_key=$A$1534)*rl_ln1p))</f>
        <v/>
      </c>
      <c r="J1555" s="208">
        <f>EXP(SUMPRODUCT((rl_eff&lt;=$C1555)*(rl_key=$A$1534)*rl_ln1p))</f>
        <v/>
      </c>
      <c r="K1555" s="201">
        <f>COUNTIFS(rl_key,$A$1534,rl_eff,"&gt;="&amp;$B1555,rl_eff,"&lt;="&amp;$C1555)</f>
        <v/>
      </c>
      <c r="L1555" s="201">
        <f>SUMIFS(rl_daysafter,rl_key,$A$1534,rl_effmonth,$B1555,rl_first,1)</f>
        <v/>
      </c>
      <c r="M1555" s="209">
        <f>IF($K1555=0,0,MIN(1,$L1555/$D1555))</f>
        <v/>
      </c>
      <c r="N1555" s="208">
        <f>IF($K1555=0,$J1555,(1-$M1555)*$I1555+$M1555*$J1555)</f>
        <v/>
      </c>
      <c r="O1555" s="209">
        <f>IF($F1555&lt;$B$1535,$E$1535+$I$1535*($F1555-$A$1535),IF($F1555&lt;$C$1535,$F$1535+$J$1535*($F1555-$B$1535),$G$1535+$K$1535*($F1555-$C$1535)))</f>
        <v/>
      </c>
      <c r="P1555" s="208">
        <f>MIN(1,MAX(0,(nr_MEndPm1-$G1555+0.5)/$C$1534))-MIN(1,MAX(0,(nr_MStartPm1-1-$G1555+0.5)/$C$1534))</f>
        <v/>
      </c>
      <c r="Q1555" s="208">
        <f>MIN(1,MAX(0,(nr_MEndP-$G1555+0.5)/$C$1534))-MIN(1,MAX(0,(nr_MStartP-1-$G1555+0.5)/$C$1534))</f>
        <v/>
      </c>
      <c r="R1555" s="208">
        <f>MIN(1,MAX(0,(nr_MEndP1-$G1555+0.5)/$C$1534))-MIN(1,MAX(0,(nr_MStartP1-1-$G1555+0.5)/$C$1534))</f>
        <v/>
      </c>
      <c r="S1555" s="208">
        <f>IF($L$1534,$N1555*IF($O$1534=1,$O1555/$F$1534,1),"")</f>
        <v/>
      </c>
      <c r="T1555" s="208">
        <f>IF(NOT($L$1534),"",IF($G1555&lt;nr_MStartP,$S1555,$T1543*(1+IF($G1555&lt;nr_MStartP1,$M$1534,$N$1534))))</f>
        <v/>
      </c>
      <c r="U1555" s="208">
        <f>IF($L$1534,$T1555,$N1555)</f>
        <v/>
      </c>
    </row>
    <row r="1556">
      <c r="A1556" s="145" t="n">
        <v>20</v>
      </c>
      <c r="B1556" s="204">
        <f>EDATE($B1555,1)</f>
        <v/>
      </c>
      <c r="C1556" s="205">
        <f>EOMONTH($B1556,0)</f>
        <v/>
      </c>
      <c r="D1556" s="201">
        <f>$C1556-$B1556+1</f>
        <v/>
      </c>
      <c r="E1556" s="201">
        <f>MONTH($B1556)</f>
        <v/>
      </c>
      <c r="F1556" s="235">
        <f>($B1556+$C1556+1)/2</f>
        <v/>
      </c>
      <c r="G1556" s="201">
        <f>YEAR($B1556)*12+MONTH($B1556)-1</f>
        <v/>
      </c>
      <c r="H1556" s="207">
        <f>IF(OR(nr_SeasonOn="OFF",$D$1534=0,$E$1534=0),1,12*INDEX(se_block,$D$1534,$E1556)/$E$1534)</f>
        <v/>
      </c>
      <c r="I1556" s="208">
        <f>EXP(SUMPRODUCT((rl_eff&lt;$B1556)*(rl_key=$A$1534)*rl_ln1p))</f>
        <v/>
      </c>
      <c r="J1556" s="208">
        <f>EXP(SUMPRODUCT((rl_eff&lt;=$C1556)*(rl_key=$A$1534)*rl_ln1p))</f>
        <v/>
      </c>
      <c r="K1556" s="201">
        <f>COUNTIFS(rl_key,$A$1534,rl_eff,"&gt;="&amp;$B1556,rl_eff,"&lt;="&amp;$C1556)</f>
        <v/>
      </c>
      <c r="L1556" s="201">
        <f>SUMIFS(rl_daysafter,rl_key,$A$1534,rl_effmonth,$B1556,rl_first,1)</f>
        <v/>
      </c>
      <c r="M1556" s="209">
        <f>IF($K1556=0,0,MIN(1,$L1556/$D1556))</f>
        <v/>
      </c>
      <c r="N1556" s="208">
        <f>IF($K1556=0,$J1556,(1-$M1556)*$I1556+$M1556*$J1556)</f>
        <v/>
      </c>
      <c r="O1556" s="209">
        <f>IF($F1556&lt;$B$1535,$E$1535+$I$1535*($F1556-$A$1535),IF($F1556&lt;$C$1535,$F$1535+$J$1535*($F1556-$B$1535),$G$1535+$K$1535*($F1556-$C$1535)))</f>
        <v/>
      </c>
      <c r="P1556" s="208">
        <f>MIN(1,MAX(0,(nr_MEndPm1-$G1556+0.5)/$C$1534))-MIN(1,MAX(0,(nr_MStartPm1-1-$G1556+0.5)/$C$1534))</f>
        <v/>
      </c>
      <c r="Q1556" s="208">
        <f>MIN(1,MAX(0,(nr_MEndP-$G1556+0.5)/$C$1534))-MIN(1,MAX(0,(nr_MStartP-1-$G1556+0.5)/$C$1534))</f>
        <v/>
      </c>
      <c r="R1556" s="208">
        <f>MIN(1,MAX(0,(nr_MEndP1-$G1556+0.5)/$C$1534))-MIN(1,MAX(0,(nr_MStartP1-1-$G1556+0.5)/$C$1534))</f>
        <v/>
      </c>
      <c r="S1556" s="208">
        <f>IF($L$1534,$N1556*IF($O$1534=1,$O1556/$F$1534,1),"")</f>
        <v/>
      </c>
      <c r="T1556" s="208">
        <f>IF(NOT($L$1534),"",IF($G1556&lt;nr_MStartP,$S1556,$T1544*(1+IF($G1556&lt;nr_MStartP1,$M$1534,$N$1534))))</f>
        <v/>
      </c>
      <c r="U1556" s="208">
        <f>IF($L$1534,$T1556,$N1556)</f>
        <v/>
      </c>
    </row>
    <row r="1557">
      <c r="A1557" s="145" t="n">
        <v>21</v>
      </c>
      <c r="B1557" s="204">
        <f>EDATE($B1556,1)</f>
        <v/>
      </c>
      <c r="C1557" s="205">
        <f>EOMONTH($B1557,0)</f>
        <v/>
      </c>
      <c r="D1557" s="201">
        <f>$C1557-$B1557+1</f>
        <v/>
      </c>
      <c r="E1557" s="201">
        <f>MONTH($B1557)</f>
        <v/>
      </c>
      <c r="F1557" s="235">
        <f>($B1557+$C1557+1)/2</f>
        <v/>
      </c>
      <c r="G1557" s="201">
        <f>YEAR($B1557)*12+MONTH($B1557)-1</f>
        <v/>
      </c>
      <c r="H1557" s="207">
        <f>IF(OR(nr_SeasonOn="OFF",$D$1534=0,$E$1534=0),1,12*INDEX(se_block,$D$1534,$E1557)/$E$1534)</f>
        <v/>
      </c>
      <c r="I1557" s="208">
        <f>EXP(SUMPRODUCT((rl_eff&lt;$B1557)*(rl_key=$A$1534)*rl_ln1p))</f>
        <v/>
      </c>
      <c r="J1557" s="208">
        <f>EXP(SUMPRODUCT((rl_eff&lt;=$C1557)*(rl_key=$A$1534)*rl_ln1p))</f>
        <v/>
      </c>
      <c r="K1557" s="201">
        <f>COUNTIFS(rl_key,$A$1534,rl_eff,"&gt;="&amp;$B1557,rl_eff,"&lt;="&amp;$C1557)</f>
        <v/>
      </c>
      <c r="L1557" s="201">
        <f>SUMIFS(rl_daysafter,rl_key,$A$1534,rl_effmonth,$B1557,rl_first,1)</f>
        <v/>
      </c>
      <c r="M1557" s="209">
        <f>IF($K1557=0,0,MIN(1,$L1557/$D1557))</f>
        <v/>
      </c>
      <c r="N1557" s="208">
        <f>IF($K1557=0,$J1557,(1-$M1557)*$I1557+$M1557*$J1557)</f>
        <v/>
      </c>
      <c r="O1557" s="209">
        <f>IF($F1557&lt;$B$1535,$E$1535+$I$1535*($F1557-$A$1535),IF($F1557&lt;$C$1535,$F$1535+$J$1535*($F1557-$B$1535),$G$1535+$K$1535*($F1557-$C$1535)))</f>
        <v/>
      </c>
      <c r="P1557" s="208">
        <f>MIN(1,MAX(0,(nr_MEndPm1-$G1557+0.5)/$C$1534))-MIN(1,MAX(0,(nr_MStartPm1-1-$G1557+0.5)/$C$1534))</f>
        <v/>
      </c>
      <c r="Q1557" s="208">
        <f>MIN(1,MAX(0,(nr_MEndP-$G1557+0.5)/$C$1534))-MIN(1,MAX(0,(nr_MStartP-1-$G1557+0.5)/$C$1534))</f>
        <v/>
      </c>
      <c r="R1557" s="208">
        <f>MIN(1,MAX(0,(nr_MEndP1-$G1557+0.5)/$C$1534))-MIN(1,MAX(0,(nr_MStartP1-1-$G1557+0.5)/$C$1534))</f>
        <v/>
      </c>
      <c r="S1557" s="208">
        <f>IF($L$1534,$N1557*IF($O$1534=1,$O1557/$F$1534,1),"")</f>
        <v/>
      </c>
      <c r="T1557" s="208">
        <f>IF(NOT($L$1534),"",IF($G1557&lt;nr_MStartP,$S1557,$T1545*(1+IF($G1557&lt;nr_MStartP1,$M$1534,$N$1534))))</f>
        <v/>
      </c>
      <c r="U1557" s="208">
        <f>IF($L$1534,$T1557,$N1557)</f>
        <v/>
      </c>
    </row>
    <row r="1558">
      <c r="A1558" s="145" t="n">
        <v>22</v>
      </c>
      <c r="B1558" s="204">
        <f>EDATE($B1557,1)</f>
        <v/>
      </c>
      <c r="C1558" s="205">
        <f>EOMONTH($B1558,0)</f>
        <v/>
      </c>
      <c r="D1558" s="201">
        <f>$C1558-$B1558+1</f>
        <v/>
      </c>
      <c r="E1558" s="201">
        <f>MONTH($B1558)</f>
        <v/>
      </c>
      <c r="F1558" s="235">
        <f>($B1558+$C1558+1)/2</f>
        <v/>
      </c>
      <c r="G1558" s="201">
        <f>YEAR($B1558)*12+MONTH($B1558)-1</f>
        <v/>
      </c>
      <c r="H1558" s="207">
        <f>IF(OR(nr_SeasonOn="OFF",$D$1534=0,$E$1534=0),1,12*INDEX(se_block,$D$1534,$E1558)/$E$1534)</f>
        <v/>
      </c>
      <c r="I1558" s="208">
        <f>EXP(SUMPRODUCT((rl_eff&lt;$B1558)*(rl_key=$A$1534)*rl_ln1p))</f>
        <v/>
      </c>
      <c r="J1558" s="208">
        <f>EXP(SUMPRODUCT((rl_eff&lt;=$C1558)*(rl_key=$A$1534)*rl_ln1p))</f>
        <v/>
      </c>
      <c r="K1558" s="201">
        <f>COUNTIFS(rl_key,$A$1534,rl_eff,"&gt;="&amp;$B1558,rl_eff,"&lt;="&amp;$C1558)</f>
        <v/>
      </c>
      <c r="L1558" s="201">
        <f>SUMIFS(rl_daysafter,rl_key,$A$1534,rl_effmonth,$B1558,rl_first,1)</f>
        <v/>
      </c>
      <c r="M1558" s="209">
        <f>IF($K1558=0,0,MIN(1,$L1558/$D1558))</f>
        <v/>
      </c>
      <c r="N1558" s="208">
        <f>IF($K1558=0,$J1558,(1-$M1558)*$I1558+$M1558*$J1558)</f>
        <v/>
      </c>
      <c r="O1558" s="209">
        <f>IF($F1558&lt;$B$1535,$E$1535+$I$1535*($F1558-$A$1535),IF($F1558&lt;$C$1535,$F$1535+$J$1535*($F1558-$B$1535),$G$1535+$K$1535*($F1558-$C$1535)))</f>
        <v/>
      </c>
      <c r="P1558" s="208">
        <f>MIN(1,MAX(0,(nr_MEndPm1-$G1558+0.5)/$C$1534))-MIN(1,MAX(0,(nr_MStartPm1-1-$G1558+0.5)/$C$1534))</f>
        <v/>
      </c>
      <c r="Q1558" s="208">
        <f>MIN(1,MAX(0,(nr_MEndP-$G1558+0.5)/$C$1534))-MIN(1,MAX(0,(nr_MStartP-1-$G1558+0.5)/$C$1534))</f>
        <v/>
      </c>
      <c r="R1558" s="208">
        <f>MIN(1,MAX(0,(nr_MEndP1-$G1558+0.5)/$C$1534))-MIN(1,MAX(0,(nr_MStartP1-1-$G1558+0.5)/$C$1534))</f>
        <v/>
      </c>
      <c r="S1558" s="208">
        <f>IF($L$1534,$N1558*IF($O$1534=1,$O1558/$F$1534,1),"")</f>
        <v/>
      </c>
      <c r="T1558" s="208">
        <f>IF(NOT($L$1534),"",IF($G1558&lt;nr_MStartP,$S1558,$T1546*(1+IF($G1558&lt;nr_MStartP1,$M$1534,$N$1534))))</f>
        <v/>
      </c>
      <c r="U1558" s="208">
        <f>IF($L$1534,$T1558,$N1558)</f>
        <v/>
      </c>
    </row>
    <row r="1559">
      <c r="A1559" s="145" t="n">
        <v>23</v>
      </c>
      <c r="B1559" s="204">
        <f>EDATE($B1558,1)</f>
        <v/>
      </c>
      <c r="C1559" s="205">
        <f>EOMONTH($B1559,0)</f>
        <v/>
      </c>
      <c r="D1559" s="201">
        <f>$C1559-$B1559+1</f>
        <v/>
      </c>
      <c r="E1559" s="201">
        <f>MONTH($B1559)</f>
        <v/>
      </c>
      <c r="F1559" s="235">
        <f>($B1559+$C1559+1)/2</f>
        <v/>
      </c>
      <c r="G1559" s="201">
        <f>YEAR($B1559)*12+MONTH($B1559)-1</f>
        <v/>
      </c>
      <c r="H1559" s="207">
        <f>IF(OR(nr_SeasonOn="OFF",$D$1534=0,$E$1534=0),1,12*INDEX(se_block,$D$1534,$E1559)/$E$1534)</f>
        <v/>
      </c>
      <c r="I1559" s="208">
        <f>EXP(SUMPRODUCT((rl_eff&lt;$B1559)*(rl_key=$A$1534)*rl_ln1p))</f>
        <v/>
      </c>
      <c r="J1559" s="208">
        <f>EXP(SUMPRODUCT((rl_eff&lt;=$C1559)*(rl_key=$A$1534)*rl_ln1p))</f>
        <v/>
      </c>
      <c r="K1559" s="201">
        <f>COUNTIFS(rl_key,$A$1534,rl_eff,"&gt;="&amp;$B1559,rl_eff,"&lt;="&amp;$C1559)</f>
        <v/>
      </c>
      <c r="L1559" s="201">
        <f>SUMIFS(rl_daysafter,rl_key,$A$1534,rl_effmonth,$B1559,rl_first,1)</f>
        <v/>
      </c>
      <c r="M1559" s="209">
        <f>IF($K1559=0,0,MIN(1,$L1559/$D1559))</f>
        <v/>
      </c>
      <c r="N1559" s="208">
        <f>IF($K1559=0,$J1559,(1-$M1559)*$I1559+$M1559*$J1559)</f>
        <v/>
      </c>
      <c r="O1559" s="209">
        <f>IF($F1559&lt;$B$1535,$E$1535+$I$1535*($F1559-$A$1535),IF($F1559&lt;$C$1535,$F$1535+$J$1535*($F1559-$B$1535),$G$1535+$K$1535*($F1559-$C$1535)))</f>
        <v/>
      </c>
      <c r="P1559" s="208">
        <f>MIN(1,MAX(0,(nr_MEndPm1-$G1559+0.5)/$C$1534))-MIN(1,MAX(0,(nr_MStartPm1-1-$G1559+0.5)/$C$1534))</f>
        <v/>
      </c>
      <c r="Q1559" s="208">
        <f>MIN(1,MAX(0,(nr_MEndP-$G1559+0.5)/$C$1534))-MIN(1,MAX(0,(nr_MStartP-1-$G1559+0.5)/$C$1534))</f>
        <v/>
      </c>
      <c r="R1559" s="208">
        <f>MIN(1,MAX(0,(nr_MEndP1-$G1559+0.5)/$C$1534))-MIN(1,MAX(0,(nr_MStartP1-1-$G1559+0.5)/$C$1534))</f>
        <v/>
      </c>
      <c r="S1559" s="208">
        <f>IF($L$1534,$N1559*IF($O$1534=1,$O1559/$F$1534,1),"")</f>
        <v/>
      </c>
      <c r="T1559" s="208">
        <f>IF(NOT($L$1534),"",IF($G1559&lt;nr_MStartP,$S1559,$T1547*(1+IF($G1559&lt;nr_MStartP1,$M$1534,$N$1534))))</f>
        <v/>
      </c>
      <c r="U1559" s="208">
        <f>IF($L$1534,$T1559,$N1559)</f>
        <v/>
      </c>
    </row>
    <row r="1560">
      <c r="A1560" s="145" t="n">
        <v>24</v>
      </c>
      <c r="B1560" s="204">
        <f>EDATE($B1559,1)</f>
        <v/>
      </c>
      <c r="C1560" s="205">
        <f>EOMONTH($B1560,0)</f>
        <v/>
      </c>
      <c r="D1560" s="201">
        <f>$C1560-$B1560+1</f>
        <v/>
      </c>
      <c r="E1560" s="201">
        <f>MONTH($B1560)</f>
        <v/>
      </c>
      <c r="F1560" s="235">
        <f>($B1560+$C1560+1)/2</f>
        <v/>
      </c>
      <c r="G1560" s="201">
        <f>YEAR($B1560)*12+MONTH($B1560)-1</f>
        <v/>
      </c>
      <c r="H1560" s="207">
        <f>IF(OR(nr_SeasonOn="OFF",$D$1534=0,$E$1534=0),1,12*INDEX(se_block,$D$1534,$E1560)/$E$1534)</f>
        <v/>
      </c>
      <c r="I1560" s="208">
        <f>EXP(SUMPRODUCT((rl_eff&lt;$B1560)*(rl_key=$A$1534)*rl_ln1p))</f>
        <v/>
      </c>
      <c r="J1560" s="208">
        <f>EXP(SUMPRODUCT((rl_eff&lt;=$C1560)*(rl_key=$A$1534)*rl_ln1p))</f>
        <v/>
      </c>
      <c r="K1560" s="201">
        <f>COUNTIFS(rl_key,$A$1534,rl_eff,"&gt;="&amp;$B1560,rl_eff,"&lt;="&amp;$C1560)</f>
        <v/>
      </c>
      <c r="L1560" s="201">
        <f>SUMIFS(rl_daysafter,rl_key,$A$1534,rl_effmonth,$B1560,rl_first,1)</f>
        <v/>
      </c>
      <c r="M1560" s="209">
        <f>IF($K1560=0,0,MIN(1,$L1560/$D1560))</f>
        <v/>
      </c>
      <c r="N1560" s="208">
        <f>IF($K1560=0,$J1560,(1-$M1560)*$I1560+$M1560*$J1560)</f>
        <v/>
      </c>
      <c r="O1560" s="209">
        <f>IF($F1560&lt;$B$1535,$E$1535+$I$1535*($F1560-$A$1535),IF($F1560&lt;$C$1535,$F$1535+$J$1535*($F1560-$B$1535),$G$1535+$K$1535*($F1560-$C$1535)))</f>
        <v/>
      </c>
      <c r="P1560" s="208">
        <f>MIN(1,MAX(0,(nr_MEndPm1-$G1560+0.5)/$C$1534))-MIN(1,MAX(0,(nr_MStartPm1-1-$G1560+0.5)/$C$1534))</f>
        <v/>
      </c>
      <c r="Q1560" s="208">
        <f>MIN(1,MAX(0,(nr_MEndP-$G1560+0.5)/$C$1534))-MIN(1,MAX(0,(nr_MStartP-1-$G1560+0.5)/$C$1534))</f>
        <v/>
      </c>
      <c r="R1560" s="208">
        <f>MIN(1,MAX(0,(nr_MEndP1-$G1560+0.5)/$C$1534))-MIN(1,MAX(0,(nr_MStartP1-1-$G1560+0.5)/$C$1534))</f>
        <v/>
      </c>
      <c r="S1560" s="208">
        <f>IF($L$1534,$N1560*IF($O$1534=1,$O1560/$F$1534,1),"")</f>
        <v/>
      </c>
      <c r="T1560" s="208">
        <f>IF(NOT($L$1534),"",IF($G1560&lt;nr_MStartP,$S1560,$T1548*(1+IF($G1560&lt;nr_MStartP1,$M$1534,$N$1534))))</f>
        <v/>
      </c>
      <c r="U1560" s="208">
        <f>IF($L$1534,$T1560,$N1560)</f>
        <v/>
      </c>
    </row>
    <row r="1561">
      <c r="A1561" s="145" t="n">
        <v>25</v>
      </c>
      <c r="B1561" s="204">
        <f>EDATE($B1560,1)</f>
        <v/>
      </c>
      <c r="C1561" s="205">
        <f>EOMONTH($B1561,0)</f>
        <v/>
      </c>
      <c r="D1561" s="201">
        <f>$C1561-$B1561+1</f>
        <v/>
      </c>
      <c r="E1561" s="201">
        <f>MONTH($B1561)</f>
        <v/>
      </c>
      <c r="F1561" s="235">
        <f>($B1561+$C1561+1)/2</f>
        <v/>
      </c>
      <c r="G1561" s="201">
        <f>YEAR($B1561)*12+MONTH($B1561)-1</f>
        <v/>
      </c>
      <c r="H1561" s="207">
        <f>IF(OR(nr_SeasonOn="OFF",$D$1534=0,$E$1534=0),1,12*INDEX(se_block,$D$1534,$E1561)/$E$1534)</f>
        <v/>
      </c>
      <c r="I1561" s="208">
        <f>EXP(SUMPRODUCT((rl_eff&lt;$B1561)*(rl_key=$A$1534)*rl_ln1p))</f>
        <v/>
      </c>
      <c r="J1561" s="208">
        <f>EXP(SUMPRODUCT((rl_eff&lt;=$C1561)*(rl_key=$A$1534)*rl_ln1p))</f>
        <v/>
      </c>
      <c r="K1561" s="201">
        <f>COUNTIFS(rl_key,$A$1534,rl_eff,"&gt;="&amp;$B1561,rl_eff,"&lt;="&amp;$C1561)</f>
        <v/>
      </c>
      <c r="L1561" s="201">
        <f>SUMIFS(rl_daysafter,rl_key,$A$1534,rl_effmonth,$B1561,rl_first,1)</f>
        <v/>
      </c>
      <c r="M1561" s="209">
        <f>IF($K1561=0,0,MIN(1,$L1561/$D1561))</f>
        <v/>
      </c>
      <c r="N1561" s="208">
        <f>IF($K1561=0,$J1561,(1-$M1561)*$I1561+$M1561*$J1561)</f>
        <v/>
      </c>
      <c r="O1561" s="209">
        <f>IF($F1561&lt;$B$1535,$E$1535+$I$1535*($F1561-$A$1535),IF($F1561&lt;$C$1535,$F$1535+$J$1535*($F1561-$B$1535),$G$1535+$K$1535*($F1561-$C$1535)))</f>
        <v/>
      </c>
      <c r="P1561" s="208">
        <f>MIN(1,MAX(0,(nr_MEndPm1-$G1561+0.5)/$C$1534))-MIN(1,MAX(0,(nr_MStartPm1-1-$G1561+0.5)/$C$1534))</f>
        <v/>
      </c>
      <c r="Q1561" s="208">
        <f>MIN(1,MAX(0,(nr_MEndP-$G1561+0.5)/$C$1534))-MIN(1,MAX(0,(nr_MStartP-1-$G1561+0.5)/$C$1534))</f>
        <v/>
      </c>
      <c r="R1561" s="208">
        <f>MIN(1,MAX(0,(nr_MEndP1-$G1561+0.5)/$C$1534))-MIN(1,MAX(0,(nr_MStartP1-1-$G1561+0.5)/$C$1534))</f>
        <v/>
      </c>
      <c r="S1561" s="208">
        <f>IF($L$1534,$N1561*IF($O$1534=1,$O1561/$F$1534,1),"")</f>
        <v/>
      </c>
      <c r="T1561" s="208">
        <f>IF(NOT($L$1534),"",IF($G1561&lt;nr_MStartP,$S1561,$T1549*(1+IF($G1561&lt;nr_MStartP1,$M$1534,$N$1534))))</f>
        <v/>
      </c>
      <c r="U1561" s="208">
        <f>IF($L$1534,$T1561,$N1561)</f>
        <v/>
      </c>
    </row>
    <row r="1562">
      <c r="A1562" s="145" t="n">
        <v>26</v>
      </c>
      <c r="B1562" s="204">
        <f>EDATE($B1561,1)</f>
        <v/>
      </c>
      <c r="C1562" s="205">
        <f>EOMONTH($B1562,0)</f>
        <v/>
      </c>
      <c r="D1562" s="201">
        <f>$C1562-$B1562+1</f>
        <v/>
      </c>
      <c r="E1562" s="201">
        <f>MONTH($B1562)</f>
        <v/>
      </c>
      <c r="F1562" s="235">
        <f>($B1562+$C1562+1)/2</f>
        <v/>
      </c>
      <c r="G1562" s="201">
        <f>YEAR($B1562)*12+MONTH($B1562)-1</f>
        <v/>
      </c>
      <c r="H1562" s="207">
        <f>IF(OR(nr_SeasonOn="OFF",$D$1534=0,$E$1534=0),1,12*INDEX(se_block,$D$1534,$E1562)/$E$1534)</f>
        <v/>
      </c>
      <c r="I1562" s="208">
        <f>EXP(SUMPRODUCT((rl_eff&lt;$B1562)*(rl_key=$A$1534)*rl_ln1p))</f>
        <v/>
      </c>
      <c r="J1562" s="208">
        <f>EXP(SUMPRODUCT((rl_eff&lt;=$C1562)*(rl_key=$A$1534)*rl_ln1p))</f>
        <v/>
      </c>
      <c r="K1562" s="201">
        <f>COUNTIFS(rl_key,$A$1534,rl_eff,"&gt;="&amp;$B1562,rl_eff,"&lt;="&amp;$C1562)</f>
        <v/>
      </c>
      <c r="L1562" s="201">
        <f>SUMIFS(rl_daysafter,rl_key,$A$1534,rl_effmonth,$B1562,rl_first,1)</f>
        <v/>
      </c>
      <c r="M1562" s="209">
        <f>IF($K1562=0,0,MIN(1,$L1562/$D1562))</f>
        <v/>
      </c>
      <c r="N1562" s="208">
        <f>IF($K1562=0,$J1562,(1-$M1562)*$I1562+$M1562*$J1562)</f>
        <v/>
      </c>
      <c r="O1562" s="209">
        <f>IF($F1562&lt;$B$1535,$E$1535+$I$1535*($F1562-$A$1535),IF($F1562&lt;$C$1535,$F$1535+$J$1535*($F1562-$B$1535),$G$1535+$K$1535*($F1562-$C$1535)))</f>
        <v/>
      </c>
      <c r="P1562" s="208">
        <f>MIN(1,MAX(0,(nr_MEndPm1-$G1562+0.5)/$C$1534))-MIN(1,MAX(0,(nr_MStartPm1-1-$G1562+0.5)/$C$1534))</f>
        <v/>
      </c>
      <c r="Q1562" s="208">
        <f>MIN(1,MAX(0,(nr_MEndP-$G1562+0.5)/$C$1534))-MIN(1,MAX(0,(nr_MStartP-1-$G1562+0.5)/$C$1534))</f>
        <v/>
      </c>
      <c r="R1562" s="208">
        <f>MIN(1,MAX(0,(nr_MEndP1-$G1562+0.5)/$C$1534))-MIN(1,MAX(0,(nr_MStartP1-1-$G1562+0.5)/$C$1534))</f>
        <v/>
      </c>
      <c r="S1562" s="208">
        <f>IF($L$1534,$N1562*IF($O$1534=1,$O1562/$F$1534,1),"")</f>
        <v/>
      </c>
      <c r="T1562" s="208">
        <f>IF(NOT($L$1534),"",IF($G1562&lt;nr_MStartP,$S1562,$T1550*(1+IF($G1562&lt;nr_MStartP1,$M$1534,$N$1534))))</f>
        <v/>
      </c>
      <c r="U1562" s="208">
        <f>IF($L$1534,$T1562,$N1562)</f>
        <v/>
      </c>
    </row>
    <row r="1563">
      <c r="A1563" s="145" t="n">
        <v>27</v>
      </c>
      <c r="B1563" s="204">
        <f>EDATE($B1562,1)</f>
        <v/>
      </c>
      <c r="C1563" s="205">
        <f>EOMONTH($B1563,0)</f>
        <v/>
      </c>
      <c r="D1563" s="201">
        <f>$C1563-$B1563+1</f>
        <v/>
      </c>
      <c r="E1563" s="201">
        <f>MONTH($B1563)</f>
        <v/>
      </c>
      <c r="F1563" s="235">
        <f>($B1563+$C1563+1)/2</f>
        <v/>
      </c>
      <c r="G1563" s="201">
        <f>YEAR($B1563)*12+MONTH($B1563)-1</f>
        <v/>
      </c>
      <c r="H1563" s="207">
        <f>IF(OR(nr_SeasonOn="OFF",$D$1534=0,$E$1534=0),1,12*INDEX(se_block,$D$1534,$E1563)/$E$1534)</f>
        <v/>
      </c>
      <c r="I1563" s="208">
        <f>EXP(SUMPRODUCT((rl_eff&lt;$B1563)*(rl_key=$A$1534)*rl_ln1p))</f>
        <v/>
      </c>
      <c r="J1563" s="208">
        <f>EXP(SUMPRODUCT((rl_eff&lt;=$C1563)*(rl_key=$A$1534)*rl_ln1p))</f>
        <v/>
      </c>
      <c r="K1563" s="201">
        <f>COUNTIFS(rl_key,$A$1534,rl_eff,"&gt;="&amp;$B1563,rl_eff,"&lt;="&amp;$C1563)</f>
        <v/>
      </c>
      <c r="L1563" s="201">
        <f>SUMIFS(rl_daysafter,rl_key,$A$1534,rl_effmonth,$B1563,rl_first,1)</f>
        <v/>
      </c>
      <c r="M1563" s="209">
        <f>IF($K1563=0,0,MIN(1,$L1563/$D1563))</f>
        <v/>
      </c>
      <c r="N1563" s="208">
        <f>IF($K1563=0,$J1563,(1-$M1563)*$I1563+$M1563*$J1563)</f>
        <v/>
      </c>
      <c r="O1563" s="209">
        <f>IF($F1563&lt;$B$1535,$E$1535+$I$1535*($F1563-$A$1535),IF($F1563&lt;$C$1535,$F$1535+$J$1535*($F1563-$B$1535),$G$1535+$K$1535*($F1563-$C$1535)))</f>
        <v/>
      </c>
      <c r="P1563" s="208">
        <f>MIN(1,MAX(0,(nr_MEndPm1-$G1563+0.5)/$C$1534))-MIN(1,MAX(0,(nr_MStartPm1-1-$G1563+0.5)/$C$1534))</f>
        <v/>
      </c>
      <c r="Q1563" s="208">
        <f>MIN(1,MAX(0,(nr_MEndP-$G1563+0.5)/$C$1534))-MIN(1,MAX(0,(nr_MStartP-1-$G1563+0.5)/$C$1534))</f>
        <v/>
      </c>
      <c r="R1563" s="208">
        <f>MIN(1,MAX(0,(nr_MEndP1-$G1563+0.5)/$C$1534))-MIN(1,MAX(0,(nr_MStartP1-1-$G1563+0.5)/$C$1534))</f>
        <v/>
      </c>
      <c r="S1563" s="208">
        <f>IF($L$1534,$N1563*IF($O$1534=1,$O1563/$F$1534,1),"")</f>
        <v/>
      </c>
      <c r="T1563" s="208">
        <f>IF(NOT($L$1534),"",IF($G1563&lt;nr_MStartP,$S1563,$T1551*(1+IF($G1563&lt;nr_MStartP1,$M$1534,$N$1534))))</f>
        <v/>
      </c>
      <c r="U1563" s="208">
        <f>IF($L$1534,$T1563,$N1563)</f>
        <v/>
      </c>
    </row>
    <row r="1564">
      <c r="A1564" s="145" t="n">
        <v>28</v>
      </c>
      <c r="B1564" s="204">
        <f>EDATE($B1563,1)</f>
        <v/>
      </c>
      <c r="C1564" s="205">
        <f>EOMONTH($B1564,0)</f>
        <v/>
      </c>
      <c r="D1564" s="201">
        <f>$C1564-$B1564+1</f>
        <v/>
      </c>
      <c r="E1564" s="201">
        <f>MONTH($B1564)</f>
        <v/>
      </c>
      <c r="F1564" s="235">
        <f>($B1564+$C1564+1)/2</f>
        <v/>
      </c>
      <c r="G1564" s="201">
        <f>YEAR($B1564)*12+MONTH($B1564)-1</f>
        <v/>
      </c>
      <c r="H1564" s="207">
        <f>IF(OR(nr_SeasonOn="OFF",$D$1534=0,$E$1534=0),1,12*INDEX(se_block,$D$1534,$E1564)/$E$1534)</f>
        <v/>
      </c>
      <c r="I1564" s="208">
        <f>EXP(SUMPRODUCT((rl_eff&lt;$B1564)*(rl_key=$A$1534)*rl_ln1p))</f>
        <v/>
      </c>
      <c r="J1564" s="208">
        <f>EXP(SUMPRODUCT((rl_eff&lt;=$C1564)*(rl_key=$A$1534)*rl_ln1p))</f>
        <v/>
      </c>
      <c r="K1564" s="201">
        <f>COUNTIFS(rl_key,$A$1534,rl_eff,"&gt;="&amp;$B1564,rl_eff,"&lt;="&amp;$C1564)</f>
        <v/>
      </c>
      <c r="L1564" s="201">
        <f>SUMIFS(rl_daysafter,rl_key,$A$1534,rl_effmonth,$B1564,rl_first,1)</f>
        <v/>
      </c>
      <c r="M1564" s="209">
        <f>IF($K1564=0,0,MIN(1,$L1564/$D1564))</f>
        <v/>
      </c>
      <c r="N1564" s="208">
        <f>IF($K1564=0,$J1564,(1-$M1564)*$I1564+$M1564*$J1564)</f>
        <v/>
      </c>
      <c r="O1564" s="209">
        <f>IF($F1564&lt;$B$1535,$E$1535+$I$1535*($F1564-$A$1535),IF($F1564&lt;$C$1535,$F$1535+$J$1535*($F1564-$B$1535),$G$1535+$K$1535*($F1564-$C$1535)))</f>
        <v/>
      </c>
      <c r="P1564" s="208">
        <f>MIN(1,MAX(0,(nr_MEndPm1-$G1564+0.5)/$C$1534))-MIN(1,MAX(0,(nr_MStartPm1-1-$G1564+0.5)/$C$1534))</f>
        <v/>
      </c>
      <c r="Q1564" s="208">
        <f>MIN(1,MAX(0,(nr_MEndP-$G1564+0.5)/$C$1534))-MIN(1,MAX(0,(nr_MStartP-1-$G1564+0.5)/$C$1534))</f>
        <v/>
      </c>
      <c r="R1564" s="208">
        <f>MIN(1,MAX(0,(nr_MEndP1-$G1564+0.5)/$C$1534))-MIN(1,MAX(0,(nr_MStartP1-1-$G1564+0.5)/$C$1534))</f>
        <v/>
      </c>
      <c r="S1564" s="208">
        <f>IF($L$1534,$N1564*IF($O$1534=1,$O1564/$F$1534,1),"")</f>
        <v/>
      </c>
      <c r="T1564" s="208">
        <f>IF(NOT($L$1534),"",IF($G1564&lt;nr_MStartP,$S1564,$T1552*(1+IF($G1564&lt;nr_MStartP1,$M$1534,$N$1534))))</f>
        <v/>
      </c>
      <c r="U1564" s="208">
        <f>IF($L$1534,$T1564,$N1564)</f>
        <v/>
      </c>
    </row>
    <row r="1565">
      <c r="A1565" s="145" t="n">
        <v>29</v>
      </c>
      <c r="B1565" s="204">
        <f>EDATE($B1564,1)</f>
        <v/>
      </c>
      <c r="C1565" s="205">
        <f>EOMONTH($B1565,0)</f>
        <v/>
      </c>
      <c r="D1565" s="201">
        <f>$C1565-$B1565+1</f>
        <v/>
      </c>
      <c r="E1565" s="201">
        <f>MONTH($B1565)</f>
        <v/>
      </c>
      <c r="F1565" s="235">
        <f>($B1565+$C1565+1)/2</f>
        <v/>
      </c>
      <c r="G1565" s="201">
        <f>YEAR($B1565)*12+MONTH($B1565)-1</f>
        <v/>
      </c>
      <c r="H1565" s="207">
        <f>IF(OR(nr_SeasonOn="OFF",$D$1534=0,$E$1534=0),1,12*INDEX(se_block,$D$1534,$E1565)/$E$1534)</f>
        <v/>
      </c>
      <c r="I1565" s="208">
        <f>EXP(SUMPRODUCT((rl_eff&lt;$B1565)*(rl_key=$A$1534)*rl_ln1p))</f>
        <v/>
      </c>
      <c r="J1565" s="208">
        <f>EXP(SUMPRODUCT((rl_eff&lt;=$C1565)*(rl_key=$A$1534)*rl_ln1p))</f>
        <v/>
      </c>
      <c r="K1565" s="201">
        <f>COUNTIFS(rl_key,$A$1534,rl_eff,"&gt;="&amp;$B1565,rl_eff,"&lt;="&amp;$C1565)</f>
        <v/>
      </c>
      <c r="L1565" s="201">
        <f>SUMIFS(rl_daysafter,rl_key,$A$1534,rl_effmonth,$B1565,rl_first,1)</f>
        <v/>
      </c>
      <c r="M1565" s="209">
        <f>IF($K1565=0,0,MIN(1,$L1565/$D1565))</f>
        <v/>
      </c>
      <c r="N1565" s="208">
        <f>IF($K1565=0,$J1565,(1-$M1565)*$I1565+$M1565*$J1565)</f>
        <v/>
      </c>
      <c r="O1565" s="209">
        <f>IF($F1565&lt;$B$1535,$E$1535+$I$1535*($F1565-$A$1535),IF($F1565&lt;$C$1535,$F$1535+$J$1535*($F1565-$B$1535),$G$1535+$K$1535*($F1565-$C$1535)))</f>
        <v/>
      </c>
      <c r="P1565" s="208">
        <f>MIN(1,MAX(0,(nr_MEndPm1-$G1565+0.5)/$C$1534))-MIN(1,MAX(0,(nr_MStartPm1-1-$G1565+0.5)/$C$1534))</f>
        <v/>
      </c>
      <c r="Q1565" s="208">
        <f>MIN(1,MAX(0,(nr_MEndP-$G1565+0.5)/$C$1534))-MIN(1,MAX(0,(nr_MStartP-1-$G1565+0.5)/$C$1534))</f>
        <v/>
      </c>
      <c r="R1565" s="208">
        <f>MIN(1,MAX(0,(nr_MEndP1-$G1565+0.5)/$C$1534))-MIN(1,MAX(0,(nr_MStartP1-1-$G1565+0.5)/$C$1534))</f>
        <v/>
      </c>
      <c r="S1565" s="208">
        <f>IF($L$1534,$N1565*IF($O$1534=1,$O1565/$F$1534,1),"")</f>
        <v/>
      </c>
      <c r="T1565" s="208">
        <f>IF(NOT($L$1534),"",IF($G1565&lt;nr_MStartP,$S1565,$T1553*(1+IF($G1565&lt;nr_MStartP1,$M$1534,$N$1534))))</f>
        <v/>
      </c>
      <c r="U1565" s="208">
        <f>IF($L$1534,$T1565,$N1565)</f>
        <v/>
      </c>
    </row>
    <row r="1566">
      <c r="A1566" s="145" t="n">
        <v>30</v>
      </c>
      <c r="B1566" s="204">
        <f>EDATE($B1565,1)</f>
        <v/>
      </c>
      <c r="C1566" s="205">
        <f>EOMONTH($B1566,0)</f>
        <v/>
      </c>
      <c r="D1566" s="201">
        <f>$C1566-$B1566+1</f>
        <v/>
      </c>
      <c r="E1566" s="201">
        <f>MONTH($B1566)</f>
        <v/>
      </c>
      <c r="F1566" s="235">
        <f>($B1566+$C1566+1)/2</f>
        <v/>
      </c>
      <c r="G1566" s="201">
        <f>YEAR($B1566)*12+MONTH($B1566)-1</f>
        <v/>
      </c>
      <c r="H1566" s="207">
        <f>IF(OR(nr_SeasonOn="OFF",$D$1534=0,$E$1534=0),1,12*INDEX(se_block,$D$1534,$E1566)/$E$1534)</f>
        <v/>
      </c>
      <c r="I1566" s="208">
        <f>EXP(SUMPRODUCT((rl_eff&lt;$B1566)*(rl_key=$A$1534)*rl_ln1p))</f>
        <v/>
      </c>
      <c r="J1566" s="208">
        <f>EXP(SUMPRODUCT((rl_eff&lt;=$C1566)*(rl_key=$A$1534)*rl_ln1p))</f>
        <v/>
      </c>
      <c r="K1566" s="201">
        <f>COUNTIFS(rl_key,$A$1534,rl_eff,"&gt;="&amp;$B1566,rl_eff,"&lt;="&amp;$C1566)</f>
        <v/>
      </c>
      <c r="L1566" s="201">
        <f>SUMIFS(rl_daysafter,rl_key,$A$1534,rl_effmonth,$B1566,rl_first,1)</f>
        <v/>
      </c>
      <c r="M1566" s="209">
        <f>IF($K1566=0,0,MIN(1,$L1566/$D1566))</f>
        <v/>
      </c>
      <c r="N1566" s="208">
        <f>IF($K1566=0,$J1566,(1-$M1566)*$I1566+$M1566*$J1566)</f>
        <v/>
      </c>
      <c r="O1566" s="209">
        <f>IF($F1566&lt;$B$1535,$E$1535+$I$1535*($F1566-$A$1535),IF($F1566&lt;$C$1535,$F$1535+$J$1535*($F1566-$B$1535),$G$1535+$K$1535*($F1566-$C$1535)))</f>
        <v/>
      </c>
      <c r="P1566" s="208">
        <f>MIN(1,MAX(0,(nr_MEndPm1-$G1566+0.5)/$C$1534))-MIN(1,MAX(0,(nr_MStartPm1-1-$G1566+0.5)/$C$1534))</f>
        <v/>
      </c>
      <c r="Q1566" s="208">
        <f>MIN(1,MAX(0,(nr_MEndP-$G1566+0.5)/$C$1534))-MIN(1,MAX(0,(nr_MStartP-1-$G1566+0.5)/$C$1534))</f>
        <v/>
      </c>
      <c r="R1566" s="208">
        <f>MIN(1,MAX(0,(nr_MEndP1-$G1566+0.5)/$C$1534))-MIN(1,MAX(0,(nr_MStartP1-1-$G1566+0.5)/$C$1534))</f>
        <v/>
      </c>
      <c r="S1566" s="208">
        <f>IF($L$1534,$N1566*IF($O$1534=1,$O1566/$F$1534,1),"")</f>
        <v/>
      </c>
      <c r="T1566" s="208">
        <f>IF(NOT($L$1534),"",IF($G1566&lt;nr_MStartP,$S1566,$T1554*(1+IF($G1566&lt;nr_MStartP1,$M$1534,$N$1534))))</f>
        <v/>
      </c>
      <c r="U1566" s="208">
        <f>IF($L$1534,$T1566,$N1566)</f>
        <v/>
      </c>
    </row>
    <row r="1567">
      <c r="A1567" s="145" t="n">
        <v>31</v>
      </c>
      <c r="B1567" s="204">
        <f>EDATE($B1566,1)</f>
        <v/>
      </c>
      <c r="C1567" s="205">
        <f>EOMONTH($B1567,0)</f>
        <v/>
      </c>
      <c r="D1567" s="201">
        <f>$C1567-$B1567+1</f>
        <v/>
      </c>
      <c r="E1567" s="201">
        <f>MONTH($B1567)</f>
        <v/>
      </c>
      <c r="F1567" s="235">
        <f>($B1567+$C1567+1)/2</f>
        <v/>
      </c>
      <c r="G1567" s="201">
        <f>YEAR($B1567)*12+MONTH($B1567)-1</f>
        <v/>
      </c>
      <c r="H1567" s="207">
        <f>IF(OR(nr_SeasonOn="OFF",$D$1534=0,$E$1534=0),1,12*INDEX(se_block,$D$1534,$E1567)/$E$1534)</f>
        <v/>
      </c>
      <c r="I1567" s="208">
        <f>EXP(SUMPRODUCT((rl_eff&lt;$B1567)*(rl_key=$A$1534)*rl_ln1p))</f>
        <v/>
      </c>
      <c r="J1567" s="208">
        <f>EXP(SUMPRODUCT((rl_eff&lt;=$C1567)*(rl_key=$A$1534)*rl_ln1p))</f>
        <v/>
      </c>
      <c r="K1567" s="201">
        <f>COUNTIFS(rl_key,$A$1534,rl_eff,"&gt;="&amp;$B1567,rl_eff,"&lt;="&amp;$C1567)</f>
        <v/>
      </c>
      <c r="L1567" s="201">
        <f>SUMIFS(rl_daysafter,rl_key,$A$1534,rl_effmonth,$B1567,rl_first,1)</f>
        <v/>
      </c>
      <c r="M1567" s="209">
        <f>IF($K1567=0,0,MIN(1,$L1567/$D1567))</f>
        <v/>
      </c>
      <c r="N1567" s="208">
        <f>IF($K1567=0,$J1567,(1-$M1567)*$I1567+$M1567*$J1567)</f>
        <v/>
      </c>
      <c r="O1567" s="209">
        <f>IF($F1567&lt;$B$1535,$E$1535+$I$1535*($F1567-$A$1535),IF($F1567&lt;$C$1535,$F$1535+$J$1535*($F1567-$B$1535),$G$1535+$K$1535*($F1567-$C$1535)))</f>
        <v/>
      </c>
      <c r="P1567" s="208">
        <f>MIN(1,MAX(0,(nr_MEndPm1-$G1567+0.5)/$C$1534))-MIN(1,MAX(0,(nr_MStartPm1-1-$G1567+0.5)/$C$1534))</f>
        <v/>
      </c>
      <c r="Q1567" s="208">
        <f>MIN(1,MAX(0,(nr_MEndP-$G1567+0.5)/$C$1534))-MIN(1,MAX(0,(nr_MStartP-1-$G1567+0.5)/$C$1534))</f>
        <v/>
      </c>
      <c r="R1567" s="208">
        <f>MIN(1,MAX(0,(nr_MEndP1-$G1567+0.5)/$C$1534))-MIN(1,MAX(0,(nr_MStartP1-1-$G1567+0.5)/$C$1534))</f>
        <v/>
      </c>
      <c r="S1567" s="208">
        <f>IF($L$1534,$N1567*IF($O$1534=1,$O1567/$F$1534,1),"")</f>
        <v/>
      </c>
      <c r="T1567" s="208">
        <f>IF(NOT($L$1534),"",IF($G1567&lt;nr_MStartP,$S1567,$T1555*(1+IF($G1567&lt;nr_MStartP1,$M$1534,$N$1534))))</f>
        <v/>
      </c>
      <c r="U1567" s="208">
        <f>IF($L$1534,$T1567,$N1567)</f>
        <v/>
      </c>
    </row>
    <row r="1568">
      <c r="A1568" s="145" t="n">
        <v>32</v>
      </c>
      <c r="B1568" s="204">
        <f>EDATE($B1567,1)</f>
        <v/>
      </c>
      <c r="C1568" s="205">
        <f>EOMONTH($B1568,0)</f>
        <v/>
      </c>
      <c r="D1568" s="201">
        <f>$C1568-$B1568+1</f>
        <v/>
      </c>
      <c r="E1568" s="201">
        <f>MONTH($B1568)</f>
        <v/>
      </c>
      <c r="F1568" s="235">
        <f>($B1568+$C1568+1)/2</f>
        <v/>
      </c>
      <c r="G1568" s="201">
        <f>YEAR($B1568)*12+MONTH($B1568)-1</f>
        <v/>
      </c>
      <c r="H1568" s="207">
        <f>IF(OR(nr_SeasonOn="OFF",$D$1534=0,$E$1534=0),1,12*INDEX(se_block,$D$1534,$E1568)/$E$1534)</f>
        <v/>
      </c>
      <c r="I1568" s="208">
        <f>EXP(SUMPRODUCT((rl_eff&lt;$B1568)*(rl_key=$A$1534)*rl_ln1p))</f>
        <v/>
      </c>
      <c r="J1568" s="208">
        <f>EXP(SUMPRODUCT((rl_eff&lt;=$C1568)*(rl_key=$A$1534)*rl_ln1p))</f>
        <v/>
      </c>
      <c r="K1568" s="201">
        <f>COUNTIFS(rl_key,$A$1534,rl_eff,"&gt;="&amp;$B1568,rl_eff,"&lt;="&amp;$C1568)</f>
        <v/>
      </c>
      <c r="L1568" s="201">
        <f>SUMIFS(rl_daysafter,rl_key,$A$1534,rl_effmonth,$B1568,rl_first,1)</f>
        <v/>
      </c>
      <c r="M1568" s="209">
        <f>IF($K1568=0,0,MIN(1,$L1568/$D1568))</f>
        <v/>
      </c>
      <c r="N1568" s="208">
        <f>IF($K1568=0,$J1568,(1-$M1568)*$I1568+$M1568*$J1568)</f>
        <v/>
      </c>
      <c r="O1568" s="209">
        <f>IF($F1568&lt;$B$1535,$E$1535+$I$1535*($F1568-$A$1535),IF($F1568&lt;$C$1535,$F$1535+$J$1535*($F1568-$B$1535),$G$1535+$K$1535*($F1568-$C$1535)))</f>
        <v/>
      </c>
      <c r="P1568" s="208">
        <f>MIN(1,MAX(0,(nr_MEndPm1-$G1568+0.5)/$C$1534))-MIN(1,MAX(0,(nr_MStartPm1-1-$G1568+0.5)/$C$1534))</f>
        <v/>
      </c>
      <c r="Q1568" s="208">
        <f>MIN(1,MAX(0,(nr_MEndP-$G1568+0.5)/$C$1534))-MIN(1,MAX(0,(nr_MStartP-1-$G1568+0.5)/$C$1534))</f>
        <v/>
      </c>
      <c r="R1568" s="208">
        <f>MIN(1,MAX(0,(nr_MEndP1-$G1568+0.5)/$C$1534))-MIN(1,MAX(0,(nr_MStartP1-1-$G1568+0.5)/$C$1534))</f>
        <v/>
      </c>
      <c r="S1568" s="208">
        <f>IF($L$1534,$N1568*IF($O$1534=1,$O1568/$F$1534,1),"")</f>
        <v/>
      </c>
      <c r="T1568" s="208">
        <f>IF(NOT($L$1534),"",IF($G1568&lt;nr_MStartP,$S1568,$T1556*(1+IF($G1568&lt;nr_MStartP1,$M$1534,$N$1534))))</f>
        <v/>
      </c>
      <c r="U1568" s="208">
        <f>IF($L$1534,$T1568,$N1568)</f>
        <v/>
      </c>
    </row>
    <row r="1569">
      <c r="A1569" s="145" t="n">
        <v>33</v>
      </c>
      <c r="B1569" s="204">
        <f>EDATE($B1568,1)</f>
        <v/>
      </c>
      <c r="C1569" s="205">
        <f>EOMONTH($B1569,0)</f>
        <v/>
      </c>
      <c r="D1569" s="201">
        <f>$C1569-$B1569+1</f>
        <v/>
      </c>
      <c r="E1569" s="201">
        <f>MONTH($B1569)</f>
        <v/>
      </c>
      <c r="F1569" s="235">
        <f>($B1569+$C1569+1)/2</f>
        <v/>
      </c>
      <c r="G1569" s="201">
        <f>YEAR($B1569)*12+MONTH($B1569)-1</f>
        <v/>
      </c>
      <c r="H1569" s="207">
        <f>IF(OR(nr_SeasonOn="OFF",$D$1534=0,$E$1534=0),1,12*INDEX(se_block,$D$1534,$E1569)/$E$1534)</f>
        <v/>
      </c>
      <c r="I1569" s="208">
        <f>EXP(SUMPRODUCT((rl_eff&lt;$B1569)*(rl_key=$A$1534)*rl_ln1p))</f>
        <v/>
      </c>
      <c r="J1569" s="208">
        <f>EXP(SUMPRODUCT((rl_eff&lt;=$C1569)*(rl_key=$A$1534)*rl_ln1p))</f>
        <v/>
      </c>
      <c r="K1569" s="201">
        <f>COUNTIFS(rl_key,$A$1534,rl_eff,"&gt;="&amp;$B1569,rl_eff,"&lt;="&amp;$C1569)</f>
        <v/>
      </c>
      <c r="L1569" s="201">
        <f>SUMIFS(rl_daysafter,rl_key,$A$1534,rl_effmonth,$B1569,rl_first,1)</f>
        <v/>
      </c>
      <c r="M1569" s="209">
        <f>IF($K1569=0,0,MIN(1,$L1569/$D1569))</f>
        <v/>
      </c>
      <c r="N1569" s="208">
        <f>IF($K1569=0,$J1569,(1-$M1569)*$I1569+$M1569*$J1569)</f>
        <v/>
      </c>
      <c r="O1569" s="209">
        <f>IF($F1569&lt;$B$1535,$E$1535+$I$1535*($F1569-$A$1535),IF($F1569&lt;$C$1535,$F$1535+$J$1535*($F1569-$B$1535),$G$1535+$K$1535*($F1569-$C$1535)))</f>
        <v/>
      </c>
      <c r="P1569" s="208">
        <f>MIN(1,MAX(0,(nr_MEndPm1-$G1569+0.5)/$C$1534))-MIN(1,MAX(0,(nr_MStartPm1-1-$G1569+0.5)/$C$1534))</f>
        <v/>
      </c>
      <c r="Q1569" s="208">
        <f>MIN(1,MAX(0,(nr_MEndP-$G1569+0.5)/$C$1534))-MIN(1,MAX(0,(nr_MStartP-1-$G1569+0.5)/$C$1534))</f>
        <v/>
      </c>
      <c r="R1569" s="208">
        <f>MIN(1,MAX(0,(nr_MEndP1-$G1569+0.5)/$C$1534))-MIN(1,MAX(0,(nr_MStartP1-1-$G1569+0.5)/$C$1534))</f>
        <v/>
      </c>
      <c r="S1569" s="208">
        <f>IF($L$1534,$N1569*IF($O$1534=1,$O1569/$F$1534,1),"")</f>
        <v/>
      </c>
      <c r="T1569" s="208">
        <f>IF(NOT($L$1534),"",IF($G1569&lt;nr_MStartP,$S1569,$T1557*(1+IF($G1569&lt;nr_MStartP1,$M$1534,$N$1534))))</f>
        <v/>
      </c>
      <c r="U1569" s="208">
        <f>IF($L$1534,$T1569,$N1569)</f>
        <v/>
      </c>
    </row>
    <row r="1570">
      <c r="A1570" s="145" t="n">
        <v>34</v>
      </c>
      <c r="B1570" s="204">
        <f>EDATE($B1569,1)</f>
        <v/>
      </c>
      <c r="C1570" s="205">
        <f>EOMONTH($B1570,0)</f>
        <v/>
      </c>
      <c r="D1570" s="201">
        <f>$C1570-$B1570+1</f>
        <v/>
      </c>
      <c r="E1570" s="201">
        <f>MONTH($B1570)</f>
        <v/>
      </c>
      <c r="F1570" s="235">
        <f>($B1570+$C1570+1)/2</f>
        <v/>
      </c>
      <c r="G1570" s="201">
        <f>YEAR($B1570)*12+MONTH($B1570)-1</f>
        <v/>
      </c>
      <c r="H1570" s="207">
        <f>IF(OR(nr_SeasonOn="OFF",$D$1534=0,$E$1534=0),1,12*INDEX(se_block,$D$1534,$E1570)/$E$1534)</f>
        <v/>
      </c>
      <c r="I1570" s="208">
        <f>EXP(SUMPRODUCT((rl_eff&lt;$B1570)*(rl_key=$A$1534)*rl_ln1p))</f>
        <v/>
      </c>
      <c r="J1570" s="208">
        <f>EXP(SUMPRODUCT((rl_eff&lt;=$C1570)*(rl_key=$A$1534)*rl_ln1p))</f>
        <v/>
      </c>
      <c r="K1570" s="201">
        <f>COUNTIFS(rl_key,$A$1534,rl_eff,"&gt;="&amp;$B1570,rl_eff,"&lt;="&amp;$C1570)</f>
        <v/>
      </c>
      <c r="L1570" s="201">
        <f>SUMIFS(rl_daysafter,rl_key,$A$1534,rl_effmonth,$B1570,rl_first,1)</f>
        <v/>
      </c>
      <c r="M1570" s="209">
        <f>IF($K1570=0,0,MIN(1,$L1570/$D1570))</f>
        <v/>
      </c>
      <c r="N1570" s="208">
        <f>IF($K1570=0,$J1570,(1-$M1570)*$I1570+$M1570*$J1570)</f>
        <v/>
      </c>
      <c r="O1570" s="209">
        <f>IF($F1570&lt;$B$1535,$E$1535+$I$1535*($F1570-$A$1535),IF($F1570&lt;$C$1535,$F$1535+$J$1535*($F1570-$B$1535),$G$1535+$K$1535*($F1570-$C$1535)))</f>
        <v/>
      </c>
      <c r="P1570" s="208">
        <f>MIN(1,MAX(0,(nr_MEndPm1-$G1570+0.5)/$C$1534))-MIN(1,MAX(0,(nr_MStartPm1-1-$G1570+0.5)/$C$1534))</f>
        <v/>
      </c>
      <c r="Q1570" s="208">
        <f>MIN(1,MAX(0,(nr_MEndP-$G1570+0.5)/$C$1534))-MIN(1,MAX(0,(nr_MStartP-1-$G1570+0.5)/$C$1534))</f>
        <v/>
      </c>
      <c r="R1570" s="208">
        <f>MIN(1,MAX(0,(nr_MEndP1-$G1570+0.5)/$C$1534))-MIN(1,MAX(0,(nr_MStartP1-1-$G1570+0.5)/$C$1534))</f>
        <v/>
      </c>
      <c r="S1570" s="208">
        <f>IF($L$1534,$N1570*IF($O$1534=1,$O1570/$F$1534,1),"")</f>
        <v/>
      </c>
      <c r="T1570" s="208">
        <f>IF(NOT($L$1534),"",IF($G1570&lt;nr_MStartP,$S1570,$T1558*(1+IF($G1570&lt;nr_MStartP1,$M$1534,$N$1534))))</f>
        <v/>
      </c>
      <c r="U1570" s="208">
        <f>IF($L$1534,$T1570,$N1570)</f>
        <v/>
      </c>
    </row>
    <row r="1571">
      <c r="A1571" s="145" t="n">
        <v>35</v>
      </c>
      <c r="B1571" s="204">
        <f>EDATE($B1570,1)</f>
        <v/>
      </c>
      <c r="C1571" s="205">
        <f>EOMONTH($B1571,0)</f>
        <v/>
      </c>
      <c r="D1571" s="201">
        <f>$C1571-$B1571+1</f>
        <v/>
      </c>
      <c r="E1571" s="201">
        <f>MONTH($B1571)</f>
        <v/>
      </c>
      <c r="F1571" s="235">
        <f>($B1571+$C1571+1)/2</f>
        <v/>
      </c>
      <c r="G1571" s="201">
        <f>YEAR($B1571)*12+MONTH($B1571)-1</f>
        <v/>
      </c>
      <c r="H1571" s="207">
        <f>IF(OR(nr_SeasonOn="OFF",$D$1534=0,$E$1534=0),1,12*INDEX(se_block,$D$1534,$E1571)/$E$1534)</f>
        <v/>
      </c>
      <c r="I1571" s="208">
        <f>EXP(SUMPRODUCT((rl_eff&lt;$B1571)*(rl_key=$A$1534)*rl_ln1p))</f>
        <v/>
      </c>
      <c r="J1571" s="208">
        <f>EXP(SUMPRODUCT((rl_eff&lt;=$C1571)*(rl_key=$A$1534)*rl_ln1p))</f>
        <v/>
      </c>
      <c r="K1571" s="201">
        <f>COUNTIFS(rl_key,$A$1534,rl_eff,"&gt;="&amp;$B1571,rl_eff,"&lt;="&amp;$C1571)</f>
        <v/>
      </c>
      <c r="L1571" s="201">
        <f>SUMIFS(rl_daysafter,rl_key,$A$1534,rl_effmonth,$B1571,rl_first,1)</f>
        <v/>
      </c>
      <c r="M1571" s="209">
        <f>IF($K1571=0,0,MIN(1,$L1571/$D1571))</f>
        <v/>
      </c>
      <c r="N1571" s="208">
        <f>IF($K1571=0,$J1571,(1-$M1571)*$I1571+$M1571*$J1571)</f>
        <v/>
      </c>
      <c r="O1571" s="209">
        <f>IF($F1571&lt;$B$1535,$E$1535+$I$1535*($F1571-$A$1535),IF($F1571&lt;$C$1535,$F$1535+$J$1535*($F1571-$B$1535),$G$1535+$K$1535*($F1571-$C$1535)))</f>
        <v/>
      </c>
      <c r="P1571" s="208">
        <f>MIN(1,MAX(0,(nr_MEndPm1-$G1571+0.5)/$C$1534))-MIN(1,MAX(0,(nr_MStartPm1-1-$G1571+0.5)/$C$1534))</f>
        <v/>
      </c>
      <c r="Q1571" s="208">
        <f>MIN(1,MAX(0,(nr_MEndP-$G1571+0.5)/$C$1534))-MIN(1,MAX(0,(nr_MStartP-1-$G1571+0.5)/$C$1534))</f>
        <v/>
      </c>
      <c r="R1571" s="208">
        <f>MIN(1,MAX(0,(nr_MEndP1-$G1571+0.5)/$C$1534))-MIN(1,MAX(0,(nr_MStartP1-1-$G1571+0.5)/$C$1534))</f>
        <v/>
      </c>
      <c r="S1571" s="208">
        <f>IF($L$1534,$N1571*IF($O$1534=1,$O1571/$F$1534,1),"")</f>
        <v/>
      </c>
      <c r="T1571" s="208">
        <f>IF(NOT($L$1534),"",IF($G1571&lt;nr_MStartP,$S1571,$T1559*(1+IF($G1571&lt;nr_MStartP1,$M$1534,$N$1534))))</f>
        <v/>
      </c>
      <c r="U1571" s="208">
        <f>IF($L$1534,$T1571,$N1571)</f>
        <v/>
      </c>
    </row>
    <row r="1572">
      <c r="A1572" s="145" t="n">
        <v>36</v>
      </c>
      <c r="B1572" s="204">
        <f>EDATE($B1571,1)</f>
        <v/>
      </c>
      <c r="C1572" s="205">
        <f>EOMONTH($B1572,0)</f>
        <v/>
      </c>
      <c r="D1572" s="201">
        <f>$C1572-$B1572+1</f>
        <v/>
      </c>
      <c r="E1572" s="201">
        <f>MONTH($B1572)</f>
        <v/>
      </c>
      <c r="F1572" s="235">
        <f>($B1572+$C1572+1)/2</f>
        <v/>
      </c>
      <c r="G1572" s="201">
        <f>YEAR($B1572)*12+MONTH($B1572)-1</f>
        <v/>
      </c>
      <c r="H1572" s="207">
        <f>IF(OR(nr_SeasonOn="OFF",$D$1534=0,$E$1534=0),1,12*INDEX(se_block,$D$1534,$E1572)/$E$1534)</f>
        <v/>
      </c>
      <c r="I1572" s="208">
        <f>EXP(SUMPRODUCT((rl_eff&lt;$B1572)*(rl_key=$A$1534)*rl_ln1p))</f>
        <v/>
      </c>
      <c r="J1572" s="208">
        <f>EXP(SUMPRODUCT((rl_eff&lt;=$C1572)*(rl_key=$A$1534)*rl_ln1p))</f>
        <v/>
      </c>
      <c r="K1572" s="201">
        <f>COUNTIFS(rl_key,$A$1534,rl_eff,"&gt;="&amp;$B1572,rl_eff,"&lt;="&amp;$C1572)</f>
        <v/>
      </c>
      <c r="L1572" s="201">
        <f>SUMIFS(rl_daysafter,rl_key,$A$1534,rl_effmonth,$B1572,rl_first,1)</f>
        <v/>
      </c>
      <c r="M1572" s="209">
        <f>IF($K1572=0,0,MIN(1,$L1572/$D1572))</f>
        <v/>
      </c>
      <c r="N1572" s="208">
        <f>IF($K1572=0,$J1572,(1-$M1572)*$I1572+$M1572*$J1572)</f>
        <v/>
      </c>
      <c r="O1572" s="209">
        <f>IF($F1572&lt;$B$1535,$E$1535+$I$1535*($F1572-$A$1535),IF($F1572&lt;$C$1535,$F$1535+$J$1535*($F1572-$B$1535),$G$1535+$K$1535*($F1572-$C$1535)))</f>
        <v/>
      </c>
      <c r="P1572" s="208">
        <f>MIN(1,MAX(0,(nr_MEndPm1-$G1572+0.5)/$C$1534))-MIN(1,MAX(0,(nr_MStartPm1-1-$G1572+0.5)/$C$1534))</f>
        <v/>
      </c>
      <c r="Q1572" s="208">
        <f>MIN(1,MAX(0,(nr_MEndP-$G1572+0.5)/$C$1534))-MIN(1,MAX(0,(nr_MStartP-1-$G1572+0.5)/$C$1534))</f>
        <v/>
      </c>
      <c r="R1572" s="208">
        <f>MIN(1,MAX(0,(nr_MEndP1-$G1572+0.5)/$C$1534))-MIN(1,MAX(0,(nr_MStartP1-1-$G1572+0.5)/$C$1534))</f>
        <v/>
      </c>
      <c r="S1572" s="208">
        <f>IF($L$1534,$N1572*IF($O$1534=1,$O1572/$F$1534,1),"")</f>
        <v/>
      </c>
      <c r="T1572" s="208">
        <f>IF(NOT($L$1534),"",IF($G1572&lt;nr_MStartP,$S1572,$T1560*(1+IF($G1572&lt;nr_MStartP1,$M$1534,$N$1534))))</f>
        <v/>
      </c>
      <c r="U1572" s="208">
        <f>IF($L$1534,$T1572,$N1572)</f>
        <v/>
      </c>
    </row>
    <row r="1573">
      <c r="A1573" s="145" t="n">
        <v>37</v>
      </c>
      <c r="B1573" s="204">
        <f>EDATE($B1572,1)</f>
        <v/>
      </c>
      <c r="C1573" s="205">
        <f>EOMONTH($B1573,0)</f>
        <v/>
      </c>
      <c r="D1573" s="201">
        <f>$C1573-$B1573+1</f>
        <v/>
      </c>
      <c r="E1573" s="201">
        <f>MONTH($B1573)</f>
        <v/>
      </c>
      <c r="F1573" s="235">
        <f>($B1573+$C1573+1)/2</f>
        <v/>
      </c>
      <c r="G1573" s="201">
        <f>YEAR($B1573)*12+MONTH($B1573)-1</f>
        <v/>
      </c>
      <c r="H1573" s="207">
        <f>IF(OR(nr_SeasonOn="OFF",$D$1534=0,$E$1534=0),1,12*INDEX(se_block,$D$1534,$E1573)/$E$1534)</f>
        <v/>
      </c>
      <c r="I1573" s="208">
        <f>EXP(SUMPRODUCT((rl_eff&lt;$B1573)*(rl_key=$A$1534)*rl_ln1p))</f>
        <v/>
      </c>
      <c r="J1573" s="208">
        <f>EXP(SUMPRODUCT((rl_eff&lt;=$C1573)*(rl_key=$A$1534)*rl_ln1p))</f>
        <v/>
      </c>
      <c r="K1573" s="201">
        <f>COUNTIFS(rl_key,$A$1534,rl_eff,"&gt;="&amp;$B1573,rl_eff,"&lt;="&amp;$C1573)</f>
        <v/>
      </c>
      <c r="L1573" s="201">
        <f>SUMIFS(rl_daysafter,rl_key,$A$1534,rl_effmonth,$B1573,rl_first,1)</f>
        <v/>
      </c>
      <c r="M1573" s="209">
        <f>IF($K1573=0,0,MIN(1,$L1573/$D1573))</f>
        <v/>
      </c>
      <c r="N1573" s="208">
        <f>IF($K1573=0,$J1573,(1-$M1573)*$I1573+$M1573*$J1573)</f>
        <v/>
      </c>
      <c r="O1573" s="209">
        <f>IF($F1573&lt;$B$1535,$E$1535+$I$1535*($F1573-$A$1535),IF($F1573&lt;$C$1535,$F$1535+$J$1535*($F1573-$B$1535),$G$1535+$K$1535*($F1573-$C$1535)))</f>
        <v/>
      </c>
      <c r="P1573" s="208">
        <f>MIN(1,MAX(0,(nr_MEndPm1-$G1573+0.5)/$C$1534))-MIN(1,MAX(0,(nr_MStartPm1-1-$G1573+0.5)/$C$1534))</f>
        <v/>
      </c>
      <c r="Q1573" s="208">
        <f>MIN(1,MAX(0,(nr_MEndP-$G1573+0.5)/$C$1534))-MIN(1,MAX(0,(nr_MStartP-1-$G1573+0.5)/$C$1534))</f>
        <v/>
      </c>
      <c r="R1573" s="208">
        <f>MIN(1,MAX(0,(nr_MEndP1-$G1573+0.5)/$C$1534))-MIN(1,MAX(0,(nr_MStartP1-1-$G1573+0.5)/$C$1534))</f>
        <v/>
      </c>
      <c r="S1573" s="208">
        <f>IF($L$1534,$N1573*IF($O$1534=1,$O1573/$F$1534,1),"")</f>
        <v/>
      </c>
      <c r="T1573" s="208">
        <f>IF(NOT($L$1534),"",IF($G1573&lt;nr_MStartP,$S1573,$T1561*(1+IF($G1573&lt;nr_MStartP1,$M$1534,$N$1534))))</f>
        <v/>
      </c>
      <c r="U1573" s="208">
        <f>IF($L$1534,$T1573,$N1573)</f>
        <v/>
      </c>
    </row>
    <row r="1574">
      <c r="A1574" s="145" t="n">
        <v>38</v>
      </c>
      <c r="B1574" s="204">
        <f>EDATE($B1573,1)</f>
        <v/>
      </c>
      <c r="C1574" s="205">
        <f>EOMONTH($B1574,0)</f>
        <v/>
      </c>
      <c r="D1574" s="201">
        <f>$C1574-$B1574+1</f>
        <v/>
      </c>
      <c r="E1574" s="201">
        <f>MONTH($B1574)</f>
        <v/>
      </c>
      <c r="F1574" s="235">
        <f>($B1574+$C1574+1)/2</f>
        <v/>
      </c>
      <c r="G1574" s="201">
        <f>YEAR($B1574)*12+MONTH($B1574)-1</f>
        <v/>
      </c>
      <c r="H1574" s="207">
        <f>IF(OR(nr_SeasonOn="OFF",$D$1534=0,$E$1534=0),1,12*INDEX(se_block,$D$1534,$E1574)/$E$1534)</f>
        <v/>
      </c>
      <c r="I1574" s="208">
        <f>EXP(SUMPRODUCT((rl_eff&lt;$B1574)*(rl_key=$A$1534)*rl_ln1p))</f>
        <v/>
      </c>
      <c r="J1574" s="208">
        <f>EXP(SUMPRODUCT((rl_eff&lt;=$C1574)*(rl_key=$A$1534)*rl_ln1p))</f>
        <v/>
      </c>
      <c r="K1574" s="201">
        <f>COUNTIFS(rl_key,$A$1534,rl_eff,"&gt;="&amp;$B1574,rl_eff,"&lt;="&amp;$C1574)</f>
        <v/>
      </c>
      <c r="L1574" s="201">
        <f>SUMIFS(rl_daysafter,rl_key,$A$1534,rl_effmonth,$B1574,rl_first,1)</f>
        <v/>
      </c>
      <c r="M1574" s="209">
        <f>IF($K1574=0,0,MIN(1,$L1574/$D1574))</f>
        <v/>
      </c>
      <c r="N1574" s="208">
        <f>IF($K1574=0,$J1574,(1-$M1574)*$I1574+$M1574*$J1574)</f>
        <v/>
      </c>
      <c r="O1574" s="209">
        <f>IF($F1574&lt;$B$1535,$E$1535+$I$1535*($F1574-$A$1535),IF($F1574&lt;$C$1535,$F$1535+$J$1535*($F1574-$B$1535),$G$1535+$K$1535*($F1574-$C$1535)))</f>
        <v/>
      </c>
      <c r="P1574" s="208">
        <f>MIN(1,MAX(0,(nr_MEndPm1-$G1574+0.5)/$C$1534))-MIN(1,MAX(0,(nr_MStartPm1-1-$G1574+0.5)/$C$1534))</f>
        <v/>
      </c>
      <c r="Q1574" s="208">
        <f>MIN(1,MAX(0,(nr_MEndP-$G1574+0.5)/$C$1534))-MIN(1,MAX(0,(nr_MStartP-1-$G1574+0.5)/$C$1534))</f>
        <v/>
      </c>
      <c r="R1574" s="208">
        <f>MIN(1,MAX(0,(nr_MEndP1-$G1574+0.5)/$C$1534))-MIN(1,MAX(0,(nr_MStartP1-1-$G1574+0.5)/$C$1534))</f>
        <v/>
      </c>
      <c r="S1574" s="208">
        <f>IF($L$1534,$N1574*IF($O$1534=1,$O1574/$F$1534,1),"")</f>
        <v/>
      </c>
      <c r="T1574" s="208">
        <f>IF(NOT($L$1534),"",IF($G1574&lt;nr_MStartP,$S1574,$T1562*(1+IF($G1574&lt;nr_MStartP1,$M$1534,$N$1534))))</f>
        <v/>
      </c>
      <c r="U1574" s="208">
        <f>IF($L$1534,$T1574,$N1574)</f>
        <v/>
      </c>
    </row>
    <row r="1575">
      <c r="A1575" s="145" t="n">
        <v>39</v>
      </c>
      <c r="B1575" s="204">
        <f>EDATE($B1574,1)</f>
        <v/>
      </c>
      <c r="C1575" s="205">
        <f>EOMONTH($B1575,0)</f>
        <v/>
      </c>
      <c r="D1575" s="201">
        <f>$C1575-$B1575+1</f>
        <v/>
      </c>
      <c r="E1575" s="201">
        <f>MONTH($B1575)</f>
        <v/>
      </c>
      <c r="F1575" s="235">
        <f>($B1575+$C1575+1)/2</f>
        <v/>
      </c>
      <c r="G1575" s="201">
        <f>YEAR($B1575)*12+MONTH($B1575)-1</f>
        <v/>
      </c>
      <c r="H1575" s="207">
        <f>IF(OR(nr_SeasonOn="OFF",$D$1534=0,$E$1534=0),1,12*INDEX(se_block,$D$1534,$E1575)/$E$1534)</f>
        <v/>
      </c>
      <c r="I1575" s="208">
        <f>EXP(SUMPRODUCT((rl_eff&lt;$B1575)*(rl_key=$A$1534)*rl_ln1p))</f>
        <v/>
      </c>
      <c r="J1575" s="208">
        <f>EXP(SUMPRODUCT((rl_eff&lt;=$C1575)*(rl_key=$A$1534)*rl_ln1p))</f>
        <v/>
      </c>
      <c r="K1575" s="201">
        <f>COUNTIFS(rl_key,$A$1534,rl_eff,"&gt;="&amp;$B1575,rl_eff,"&lt;="&amp;$C1575)</f>
        <v/>
      </c>
      <c r="L1575" s="201">
        <f>SUMIFS(rl_daysafter,rl_key,$A$1534,rl_effmonth,$B1575,rl_first,1)</f>
        <v/>
      </c>
      <c r="M1575" s="209">
        <f>IF($K1575=0,0,MIN(1,$L1575/$D1575))</f>
        <v/>
      </c>
      <c r="N1575" s="208">
        <f>IF($K1575=0,$J1575,(1-$M1575)*$I1575+$M1575*$J1575)</f>
        <v/>
      </c>
      <c r="O1575" s="209">
        <f>IF($F1575&lt;$B$1535,$E$1535+$I$1535*($F1575-$A$1535),IF($F1575&lt;$C$1535,$F$1535+$J$1535*($F1575-$B$1535),$G$1535+$K$1535*($F1575-$C$1535)))</f>
        <v/>
      </c>
      <c r="P1575" s="208">
        <f>MIN(1,MAX(0,(nr_MEndPm1-$G1575+0.5)/$C$1534))-MIN(1,MAX(0,(nr_MStartPm1-1-$G1575+0.5)/$C$1534))</f>
        <v/>
      </c>
      <c r="Q1575" s="208">
        <f>MIN(1,MAX(0,(nr_MEndP-$G1575+0.5)/$C$1534))-MIN(1,MAX(0,(nr_MStartP-1-$G1575+0.5)/$C$1534))</f>
        <v/>
      </c>
      <c r="R1575" s="208">
        <f>MIN(1,MAX(0,(nr_MEndP1-$G1575+0.5)/$C$1534))-MIN(1,MAX(0,(nr_MStartP1-1-$G1575+0.5)/$C$1534))</f>
        <v/>
      </c>
      <c r="S1575" s="208">
        <f>IF($L$1534,$N1575*IF($O$1534=1,$O1575/$F$1534,1),"")</f>
        <v/>
      </c>
      <c r="T1575" s="208">
        <f>IF(NOT($L$1534),"",IF($G1575&lt;nr_MStartP,$S1575,$T1563*(1+IF($G1575&lt;nr_MStartP1,$M$1534,$N$1534))))</f>
        <v/>
      </c>
      <c r="U1575" s="208">
        <f>IF($L$1534,$T1575,$N1575)</f>
        <v/>
      </c>
    </row>
    <row r="1576">
      <c r="A1576" s="145" t="n">
        <v>40</v>
      </c>
      <c r="B1576" s="204">
        <f>EDATE($B1575,1)</f>
        <v/>
      </c>
      <c r="C1576" s="205">
        <f>EOMONTH($B1576,0)</f>
        <v/>
      </c>
      <c r="D1576" s="201">
        <f>$C1576-$B1576+1</f>
        <v/>
      </c>
      <c r="E1576" s="201">
        <f>MONTH($B1576)</f>
        <v/>
      </c>
      <c r="F1576" s="235">
        <f>($B1576+$C1576+1)/2</f>
        <v/>
      </c>
      <c r="G1576" s="201">
        <f>YEAR($B1576)*12+MONTH($B1576)-1</f>
        <v/>
      </c>
      <c r="H1576" s="207">
        <f>IF(OR(nr_SeasonOn="OFF",$D$1534=0,$E$1534=0),1,12*INDEX(se_block,$D$1534,$E1576)/$E$1534)</f>
        <v/>
      </c>
      <c r="I1576" s="208">
        <f>EXP(SUMPRODUCT((rl_eff&lt;$B1576)*(rl_key=$A$1534)*rl_ln1p))</f>
        <v/>
      </c>
      <c r="J1576" s="208">
        <f>EXP(SUMPRODUCT((rl_eff&lt;=$C1576)*(rl_key=$A$1534)*rl_ln1p))</f>
        <v/>
      </c>
      <c r="K1576" s="201">
        <f>COUNTIFS(rl_key,$A$1534,rl_eff,"&gt;="&amp;$B1576,rl_eff,"&lt;="&amp;$C1576)</f>
        <v/>
      </c>
      <c r="L1576" s="201">
        <f>SUMIFS(rl_daysafter,rl_key,$A$1534,rl_effmonth,$B1576,rl_first,1)</f>
        <v/>
      </c>
      <c r="M1576" s="209">
        <f>IF($K1576=0,0,MIN(1,$L1576/$D1576))</f>
        <v/>
      </c>
      <c r="N1576" s="208">
        <f>IF($K1576=0,$J1576,(1-$M1576)*$I1576+$M1576*$J1576)</f>
        <v/>
      </c>
      <c r="O1576" s="209">
        <f>IF($F1576&lt;$B$1535,$E$1535+$I$1535*($F1576-$A$1535),IF($F1576&lt;$C$1535,$F$1535+$J$1535*($F1576-$B$1535),$G$1535+$K$1535*($F1576-$C$1535)))</f>
        <v/>
      </c>
      <c r="P1576" s="208">
        <f>MIN(1,MAX(0,(nr_MEndPm1-$G1576+0.5)/$C$1534))-MIN(1,MAX(0,(nr_MStartPm1-1-$G1576+0.5)/$C$1534))</f>
        <v/>
      </c>
      <c r="Q1576" s="208">
        <f>MIN(1,MAX(0,(nr_MEndP-$G1576+0.5)/$C$1534))-MIN(1,MAX(0,(nr_MStartP-1-$G1576+0.5)/$C$1534))</f>
        <v/>
      </c>
      <c r="R1576" s="208">
        <f>MIN(1,MAX(0,(nr_MEndP1-$G1576+0.5)/$C$1534))-MIN(1,MAX(0,(nr_MStartP1-1-$G1576+0.5)/$C$1534))</f>
        <v/>
      </c>
      <c r="S1576" s="208">
        <f>IF($L$1534,$N1576*IF($O$1534=1,$O1576/$F$1534,1),"")</f>
        <v/>
      </c>
      <c r="T1576" s="208">
        <f>IF(NOT($L$1534),"",IF($G1576&lt;nr_MStartP,$S1576,$T1564*(1+IF($G1576&lt;nr_MStartP1,$M$1534,$N$1534))))</f>
        <v/>
      </c>
      <c r="U1576" s="208">
        <f>IF($L$1534,$T1576,$N1576)</f>
        <v/>
      </c>
    </row>
    <row r="1577">
      <c r="A1577" s="145" t="n">
        <v>41</v>
      </c>
      <c r="B1577" s="204">
        <f>EDATE($B1576,1)</f>
        <v/>
      </c>
      <c r="C1577" s="205">
        <f>EOMONTH($B1577,0)</f>
        <v/>
      </c>
      <c r="D1577" s="201">
        <f>$C1577-$B1577+1</f>
        <v/>
      </c>
      <c r="E1577" s="201">
        <f>MONTH($B1577)</f>
        <v/>
      </c>
      <c r="F1577" s="235">
        <f>($B1577+$C1577+1)/2</f>
        <v/>
      </c>
      <c r="G1577" s="201">
        <f>YEAR($B1577)*12+MONTH($B1577)-1</f>
        <v/>
      </c>
      <c r="H1577" s="207">
        <f>IF(OR(nr_SeasonOn="OFF",$D$1534=0,$E$1534=0),1,12*INDEX(se_block,$D$1534,$E1577)/$E$1534)</f>
        <v/>
      </c>
      <c r="I1577" s="208">
        <f>EXP(SUMPRODUCT((rl_eff&lt;$B1577)*(rl_key=$A$1534)*rl_ln1p))</f>
        <v/>
      </c>
      <c r="J1577" s="208">
        <f>EXP(SUMPRODUCT((rl_eff&lt;=$C1577)*(rl_key=$A$1534)*rl_ln1p))</f>
        <v/>
      </c>
      <c r="K1577" s="201">
        <f>COUNTIFS(rl_key,$A$1534,rl_eff,"&gt;="&amp;$B1577,rl_eff,"&lt;="&amp;$C1577)</f>
        <v/>
      </c>
      <c r="L1577" s="201">
        <f>SUMIFS(rl_daysafter,rl_key,$A$1534,rl_effmonth,$B1577,rl_first,1)</f>
        <v/>
      </c>
      <c r="M1577" s="209">
        <f>IF($K1577=0,0,MIN(1,$L1577/$D1577))</f>
        <v/>
      </c>
      <c r="N1577" s="208">
        <f>IF($K1577=0,$J1577,(1-$M1577)*$I1577+$M1577*$J1577)</f>
        <v/>
      </c>
      <c r="O1577" s="209">
        <f>IF($F1577&lt;$B$1535,$E$1535+$I$1535*($F1577-$A$1535),IF($F1577&lt;$C$1535,$F$1535+$J$1535*($F1577-$B$1535),$G$1535+$K$1535*($F1577-$C$1535)))</f>
        <v/>
      </c>
      <c r="P1577" s="208">
        <f>MIN(1,MAX(0,(nr_MEndPm1-$G1577+0.5)/$C$1534))-MIN(1,MAX(0,(nr_MStartPm1-1-$G1577+0.5)/$C$1534))</f>
        <v/>
      </c>
      <c r="Q1577" s="208">
        <f>MIN(1,MAX(0,(nr_MEndP-$G1577+0.5)/$C$1534))-MIN(1,MAX(0,(nr_MStartP-1-$G1577+0.5)/$C$1534))</f>
        <v/>
      </c>
      <c r="R1577" s="208">
        <f>MIN(1,MAX(0,(nr_MEndP1-$G1577+0.5)/$C$1534))-MIN(1,MAX(0,(nr_MStartP1-1-$G1577+0.5)/$C$1534))</f>
        <v/>
      </c>
      <c r="S1577" s="208">
        <f>IF($L$1534,$N1577*IF($O$1534=1,$O1577/$F$1534,1),"")</f>
        <v/>
      </c>
      <c r="T1577" s="208">
        <f>IF(NOT($L$1534),"",IF($G1577&lt;nr_MStartP,$S1577,$T1565*(1+IF($G1577&lt;nr_MStartP1,$M$1534,$N$1534))))</f>
        <v/>
      </c>
      <c r="U1577" s="208">
        <f>IF($L$1534,$T1577,$N1577)</f>
        <v/>
      </c>
    </row>
    <row r="1578">
      <c r="A1578" s="145" t="n">
        <v>42</v>
      </c>
      <c r="B1578" s="204">
        <f>EDATE($B1577,1)</f>
        <v/>
      </c>
      <c r="C1578" s="205">
        <f>EOMONTH($B1578,0)</f>
        <v/>
      </c>
      <c r="D1578" s="201">
        <f>$C1578-$B1578+1</f>
        <v/>
      </c>
      <c r="E1578" s="201">
        <f>MONTH($B1578)</f>
        <v/>
      </c>
      <c r="F1578" s="235">
        <f>($B1578+$C1578+1)/2</f>
        <v/>
      </c>
      <c r="G1578" s="201">
        <f>YEAR($B1578)*12+MONTH($B1578)-1</f>
        <v/>
      </c>
      <c r="H1578" s="207">
        <f>IF(OR(nr_SeasonOn="OFF",$D$1534=0,$E$1534=0),1,12*INDEX(se_block,$D$1534,$E1578)/$E$1534)</f>
        <v/>
      </c>
      <c r="I1578" s="208">
        <f>EXP(SUMPRODUCT((rl_eff&lt;$B1578)*(rl_key=$A$1534)*rl_ln1p))</f>
        <v/>
      </c>
      <c r="J1578" s="208">
        <f>EXP(SUMPRODUCT((rl_eff&lt;=$C1578)*(rl_key=$A$1534)*rl_ln1p))</f>
        <v/>
      </c>
      <c r="K1578" s="201">
        <f>COUNTIFS(rl_key,$A$1534,rl_eff,"&gt;="&amp;$B1578,rl_eff,"&lt;="&amp;$C1578)</f>
        <v/>
      </c>
      <c r="L1578" s="201">
        <f>SUMIFS(rl_daysafter,rl_key,$A$1534,rl_effmonth,$B1578,rl_first,1)</f>
        <v/>
      </c>
      <c r="M1578" s="209">
        <f>IF($K1578=0,0,MIN(1,$L1578/$D1578))</f>
        <v/>
      </c>
      <c r="N1578" s="208">
        <f>IF($K1578=0,$J1578,(1-$M1578)*$I1578+$M1578*$J1578)</f>
        <v/>
      </c>
      <c r="O1578" s="209">
        <f>IF($F1578&lt;$B$1535,$E$1535+$I$1535*($F1578-$A$1535),IF($F1578&lt;$C$1535,$F$1535+$J$1535*($F1578-$B$1535),$G$1535+$K$1535*($F1578-$C$1535)))</f>
        <v/>
      </c>
      <c r="P1578" s="208">
        <f>MIN(1,MAX(0,(nr_MEndPm1-$G1578+0.5)/$C$1534))-MIN(1,MAX(0,(nr_MStartPm1-1-$G1578+0.5)/$C$1534))</f>
        <v/>
      </c>
      <c r="Q1578" s="208">
        <f>MIN(1,MAX(0,(nr_MEndP-$G1578+0.5)/$C$1534))-MIN(1,MAX(0,(nr_MStartP-1-$G1578+0.5)/$C$1534))</f>
        <v/>
      </c>
      <c r="R1578" s="208">
        <f>MIN(1,MAX(0,(nr_MEndP1-$G1578+0.5)/$C$1534))-MIN(1,MAX(0,(nr_MStartP1-1-$G1578+0.5)/$C$1534))</f>
        <v/>
      </c>
      <c r="S1578" s="208">
        <f>IF($L$1534,$N1578*IF($O$1534=1,$O1578/$F$1534,1),"")</f>
        <v/>
      </c>
      <c r="T1578" s="208">
        <f>IF(NOT($L$1534),"",IF($G1578&lt;nr_MStartP,$S1578,$T1566*(1+IF($G1578&lt;nr_MStartP1,$M$1534,$N$1534))))</f>
        <v/>
      </c>
      <c r="U1578" s="208">
        <f>IF($L$1534,$T1578,$N1578)</f>
        <v/>
      </c>
    </row>
    <row r="1579">
      <c r="A1579" s="145" t="n">
        <v>43</v>
      </c>
      <c r="B1579" s="204">
        <f>EDATE($B1578,1)</f>
        <v/>
      </c>
      <c r="C1579" s="205">
        <f>EOMONTH($B1579,0)</f>
        <v/>
      </c>
      <c r="D1579" s="201">
        <f>$C1579-$B1579+1</f>
        <v/>
      </c>
      <c r="E1579" s="201">
        <f>MONTH($B1579)</f>
        <v/>
      </c>
      <c r="F1579" s="235">
        <f>($B1579+$C1579+1)/2</f>
        <v/>
      </c>
      <c r="G1579" s="201">
        <f>YEAR($B1579)*12+MONTH($B1579)-1</f>
        <v/>
      </c>
      <c r="H1579" s="207">
        <f>IF(OR(nr_SeasonOn="OFF",$D$1534=0,$E$1534=0),1,12*INDEX(se_block,$D$1534,$E1579)/$E$1534)</f>
        <v/>
      </c>
      <c r="I1579" s="208">
        <f>EXP(SUMPRODUCT((rl_eff&lt;$B1579)*(rl_key=$A$1534)*rl_ln1p))</f>
        <v/>
      </c>
      <c r="J1579" s="208">
        <f>EXP(SUMPRODUCT((rl_eff&lt;=$C1579)*(rl_key=$A$1534)*rl_ln1p))</f>
        <v/>
      </c>
      <c r="K1579" s="201">
        <f>COUNTIFS(rl_key,$A$1534,rl_eff,"&gt;="&amp;$B1579,rl_eff,"&lt;="&amp;$C1579)</f>
        <v/>
      </c>
      <c r="L1579" s="201">
        <f>SUMIFS(rl_daysafter,rl_key,$A$1534,rl_effmonth,$B1579,rl_first,1)</f>
        <v/>
      </c>
      <c r="M1579" s="209">
        <f>IF($K1579=0,0,MIN(1,$L1579/$D1579))</f>
        <v/>
      </c>
      <c r="N1579" s="208">
        <f>IF($K1579=0,$J1579,(1-$M1579)*$I1579+$M1579*$J1579)</f>
        <v/>
      </c>
      <c r="O1579" s="209">
        <f>IF($F1579&lt;$B$1535,$E$1535+$I$1535*($F1579-$A$1535),IF($F1579&lt;$C$1535,$F$1535+$J$1535*($F1579-$B$1535),$G$1535+$K$1535*($F1579-$C$1535)))</f>
        <v/>
      </c>
      <c r="P1579" s="208">
        <f>MIN(1,MAX(0,(nr_MEndPm1-$G1579+0.5)/$C$1534))-MIN(1,MAX(0,(nr_MStartPm1-1-$G1579+0.5)/$C$1534))</f>
        <v/>
      </c>
      <c r="Q1579" s="208">
        <f>MIN(1,MAX(0,(nr_MEndP-$G1579+0.5)/$C$1534))-MIN(1,MAX(0,(nr_MStartP-1-$G1579+0.5)/$C$1534))</f>
        <v/>
      </c>
      <c r="R1579" s="208">
        <f>MIN(1,MAX(0,(nr_MEndP1-$G1579+0.5)/$C$1534))-MIN(1,MAX(0,(nr_MStartP1-1-$G1579+0.5)/$C$1534))</f>
        <v/>
      </c>
      <c r="S1579" s="208">
        <f>IF($L$1534,$N1579*IF($O$1534=1,$O1579/$F$1534,1),"")</f>
        <v/>
      </c>
      <c r="T1579" s="208">
        <f>IF(NOT($L$1534),"",IF($G1579&lt;nr_MStartP,$S1579,$T1567*(1+IF($G1579&lt;nr_MStartP1,$M$1534,$N$1534))))</f>
        <v/>
      </c>
      <c r="U1579" s="208">
        <f>IF($L$1534,$T1579,$N1579)</f>
        <v/>
      </c>
    </row>
    <row r="1580">
      <c r="A1580" s="145" t="n">
        <v>44</v>
      </c>
      <c r="B1580" s="204">
        <f>EDATE($B1579,1)</f>
        <v/>
      </c>
      <c r="C1580" s="205">
        <f>EOMONTH($B1580,0)</f>
        <v/>
      </c>
      <c r="D1580" s="201">
        <f>$C1580-$B1580+1</f>
        <v/>
      </c>
      <c r="E1580" s="201">
        <f>MONTH($B1580)</f>
        <v/>
      </c>
      <c r="F1580" s="235">
        <f>($B1580+$C1580+1)/2</f>
        <v/>
      </c>
      <c r="G1580" s="201">
        <f>YEAR($B1580)*12+MONTH($B1580)-1</f>
        <v/>
      </c>
      <c r="H1580" s="207">
        <f>IF(OR(nr_SeasonOn="OFF",$D$1534=0,$E$1534=0),1,12*INDEX(se_block,$D$1534,$E1580)/$E$1534)</f>
        <v/>
      </c>
      <c r="I1580" s="208">
        <f>EXP(SUMPRODUCT((rl_eff&lt;$B1580)*(rl_key=$A$1534)*rl_ln1p))</f>
        <v/>
      </c>
      <c r="J1580" s="208">
        <f>EXP(SUMPRODUCT((rl_eff&lt;=$C1580)*(rl_key=$A$1534)*rl_ln1p))</f>
        <v/>
      </c>
      <c r="K1580" s="201">
        <f>COUNTIFS(rl_key,$A$1534,rl_eff,"&gt;="&amp;$B1580,rl_eff,"&lt;="&amp;$C1580)</f>
        <v/>
      </c>
      <c r="L1580" s="201">
        <f>SUMIFS(rl_daysafter,rl_key,$A$1534,rl_effmonth,$B1580,rl_first,1)</f>
        <v/>
      </c>
      <c r="M1580" s="209">
        <f>IF($K1580=0,0,MIN(1,$L1580/$D1580))</f>
        <v/>
      </c>
      <c r="N1580" s="208">
        <f>IF($K1580=0,$J1580,(1-$M1580)*$I1580+$M1580*$J1580)</f>
        <v/>
      </c>
      <c r="O1580" s="209">
        <f>IF($F1580&lt;$B$1535,$E$1535+$I$1535*($F1580-$A$1535),IF($F1580&lt;$C$1535,$F$1535+$J$1535*($F1580-$B$1535),$G$1535+$K$1535*($F1580-$C$1535)))</f>
        <v/>
      </c>
      <c r="P1580" s="208">
        <f>MIN(1,MAX(0,(nr_MEndPm1-$G1580+0.5)/$C$1534))-MIN(1,MAX(0,(nr_MStartPm1-1-$G1580+0.5)/$C$1534))</f>
        <v/>
      </c>
      <c r="Q1580" s="208">
        <f>MIN(1,MAX(0,(nr_MEndP-$G1580+0.5)/$C$1534))-MIN(1,MAX(0,(nr_MStartP-1-$G1580+0.5)/$C$1534))</f>
        <v/>
      </c>
      <c r="R1580" s="208">
        <f>MIN(1,MAX(0,(nr_MEndP1-$G1580+0.5)/$C$1534))-MIN(1,MAX(0,(nr_MStartP1-1-$G1580+0.5)/$C$1534))</f>
        <v/>
      </c>
      <c r="S1580" s="208">
        <f>IF($L$1534,$N1580*IF($O$1534=1,$O1580/$F$1534,1),"")</f>
        <v/>
      </c>
      <c r="T1580" s="208">
        <f>IF(NOT($L$1534),"",IF($G1580&lt;nr_MStartP,$S1580,$T1568*(1+IF($G1580&lt;nr_MStartP1,$M$1534,$N$1534))))</f>
        <v/>
      </c>
      <c r="U1580" s="208">
        <f>IF($L$1534,$T1580,$N1580)</f>
        <v/>
      </c>
    </row>
    <row r="1581">
      <c r="A1581" s="145" t="n">
        <v>45</v>
      </c>
      <c r="B1581" s="204">
        <f>EDATE($B1580,1)</f>
        <v/>
      </c>
      <c r="C1581" s="205">
        <f>EOMONTH($B1581,0)</f>
        <v/>
      </c>
      <c r="D1581" s="201">
        <f>$C1581-$B1581+1</f>
        <v/>
      </c>
      <c r="E1581" s="201">
        <f>MONTH($B1581)</f>
        <v/>
      </c>
      <c r="F1581" s="235">
        <f>($B1581+$C1581+1)/2</f>
        <v/>
      </c>
      <c r="G1581" s="201">
        <f>YEAR($B1581)*12+MONTH($B1581)-1</f>
        <v/>
      </c>
      <c r="H1581" s="207">
        <f>IF(OR(nr_SeasonOn="OFF",$D$1534=0,$E$1534=0),1,12*INDEX(se_block,$D$1534,$E1581)/$E$1534)</f>
        <v/>
      </c>
      <c r="I1581" s="208">
        <f>EXP(SUMPRODUCT((rl_eff&lt;$B1581)*(rl_key=$A$1534)*rl_ln1p))</f>
        <v/>
      </c>
      <c r="J1581" s="208">
        <f>EXP(SUMPRODUCT((rl_eff&lt;=$C1581)*(rl_key=$A$1534)*rl_ln1p))</f>
        <v/>
      </c>
      <c r="K1581" s="201">
        <f>COUNTIFS(rl_key,$A$1534,rl_eff,"&gt;="&amp;$B1581,rl_eff,"&lt;="&amp;$C1581)</f>
        <v/>
      </c>
      <c r="L1581" s="201">
        <f>SUMIFS(rl_daysafter,rl_key,$A$1534,rl_effmonth,$B1581,rl_first,1)</f>
        <v/>
      </c>
      <c r="M1581" s="209">
        <f>IF($K1581=0,0,MIN(1,$L1581/$D1581))</f>
        <v/>
      </c>
      <c r="N1581" s="208">
        <f>IF($K1581=0,$J1581,(1-$M1581)*$I1581+$M1581*$J1581)</f>
        <v/>
      </c>
      <c r="O1581" s="209">
        <f>IF($F1581&lt;$B$1535,$E$1535+$I$1535*($F1581-$A$1535),IF($F1581&lt;$C$1535,$F$1535+$J$1535*($F1581-$B$1535),$G$1535+$K$1535*($F1581-$C$1535)))</f>
        <v/>
      </c>
      <c r="P1581" s="208">
        <f>MIN(1,MAX(0,(nr_MEndPm1-$G1581+0.5)/$C$1534))-MIN(1,MAX(0,(nr_MStartPm1-1-$G1581+0.5)/$C$1534))</f>
        <v/>
      </c>
      <c r="Q1581" s="208">
        <f>MIN(1,MAX(0,(nr_MEndP-$G1581+0.5)/$C$1534))-MIN(1,MAX(0,(nr_MStartP-1-$G1581+0.5)/$C$1534))</f>
        <v/>
      </c>
      <c r="R1581" s="208">
        <f>MIN(1,MAX(0,(nr_MEndP1-$G1581+0.5)/$C$1534))-MIN(1,MAX(0,(nr_MStartP1-1-$G1581+0.5)/$C$1534))</f>
        <v/>
      </c>
      <c r="S1581" s="208">
        <f>IF($L$1534,$N1581*IF($O$1534=1,$O1581/$F$1534,1),"")</f>
        <v/>
      </c>
      <c r="T1581" s="208">
        <f>IF(NOT($L$1534),"",IF($G1581&lt;nr_MStartP,$S1581,$T1569*(1+IF($G1581&lt;nr_MStartP1,$M$1534,$N$1534))))</f>
        <v/>
      </c>
      <c r="U1581" s="208">
        <f>IF($L$1534,$T1581,$N1581)</f>
        <v/>
      </c>
    </row>
    <row r="1582">
      <c r="A1582" s="145" t="n">
        <v>46</v>
      </c>
      <c r="B1582" s="204">
        <f>EDATE($B1581,1)</f>
        <v/>
      </c>
      <c r="C1582" s="205">
        <f>EOMONTH($B1582,0)</f>
        <v/>
      </c>
      <c r="D1582" s="201">
        <f>$C1582-$B1582+1</f>
        <v/>
      </c>
      <c r="E1582" s="201">
        <f>MONTH($B1582)</f>
        <v/>
      </c>
      <c r="F1582" s="235">
        <f>($B1582+$C1582+1)/2</f>
        <v/>
      </c>
      <c r="G1582" s="201">
        <f>YEAR($B1582)*12+MONTH($B1582)-1</f>
        <v/>
      </c>
      <c r="H1582" s="207">
        <f>IF(OR(nr_SeasonOn="OFF",$D$1534=0,$E$1534=0),1,12*INDEX(se_block,$D$1534,$E1582)/$E$1534)</f>
        <v/>
      </c>
      <c r="I1582" s="208">
        <f>EXP(SUMPRODUCT((rl_eff&lt;$B1582)*(rl_key=$A$1534)*rl_ln1p))</f>
        <v/>
      </c>
      <c r="J1582" s="208">
        <f>EXP(SUMPRODUCT((rl_eff&lt;=$C1582)*(rl_key=$A$1534)*rl_ln1p))</f>
        <v/>
      </c>
      <c r="K1582" s="201">
        <f>COUNTIFS(rl_key,$A$1534,rl_eff,"&gt;="&amp;$B1582,rl_eff,"&lt;="&amp;$C1582)</f>
        <v/>
      </c>
      <c r="L1582" s="201">
        <f>SUMIFS(rl_daysafter,rl_key,$A$1534,rl_effmonth,$B1582,rl_first,1)</f>
        <v/>
      </c>
      <c r="M1582" s="209">
        <f>IF($K1582=0,0,MIN(1,$L1582/$D1582))</f>
        <v/>
      </c>
      <c r="N1582" s="208">
        <f>IF($K1582=0,$J1582,(1-$M1582)*$I1582+$M1582*$J1582)</f>
        <v/>
      </c>
      <c r="O1582" s="209">
        <f>IF($F1582&lt;$B$1535,$E$1535+$I$1535*($F1582-$A$1535),IF($F1582&lt;$C$1535,$F$1535+$J$1535*($F1582-$B$1535),$G$1535+$K$1535*($F1582-$C$1535)))</f>
        <v/>
      </c>
      <c r="P1582" s="208">
        <f>MIN(1,MAX(0,(nr_MEndPm1-$G1582+0.5)/$C$1534))-MIN(1,MAX(0,(nr_MStartPm1-1-$G1582+0.5)/$C$1534))</f>
        <v/>
      </c>
      <c r="Q1582" s="208">
        <f>MIN(1,MAX(0,(nr_MEndP-$G1582+0.5)/$C$1534))-MIN(1,MAX(0,(nr_MStartP-1-$G1582+0.5)/$C$1534))</f>
        <v/>
      </c>
      <c r="R1582" s="208">
        <f>MIN(1,MAX(0,(nr_MEndP1-$G1582+0.5)/$C$1534))-MIN(1,MAX(0,(nr_MStartP1-1-$G1582+0.5)/$C$1534))</f>
        <v/>
      </c>
      <c r="S1582" s="208">
        <f>IF($L$1534,$N1582*IF($O$1534=1,$O1582/$F$1534,1),"")</f>
        <v/>
      </c>
      <c r="T1582" s="208">
        <f>IF(NOT($L$1534),"",IF($G1582&lt;nr_MStartP,$S1582,$T1570*(1+IF($G1582&lt;nr_MStartP1,$M$1534,$N$1534))))</f>
        <v/>
      </c>
      <c r="U1582" s="208">
        <f>IF($L$1534,$T1582,$N1582)</f>
        <v/>
      </c>
    </row>
    <row r="1583">
      <c r="A1583" s="145" t="n">
        <v>47</v>
      </c>
      <c r="B1583" s="204">
        <f>EDATE($B1582,1)</f>
        <v/>
      </c>
      <c r="C1583" s="205">
        <f>EOMONTH($B1583,0)</f>
        <v/>
      </c>
      <c r="D1583" s="201">
        <f>$C1583-$B1583+1</f>
        <v/>
      </c>
      <c r="E1583" s="201">
        <f>MONTH($B1583)</f>
        <v/>
      </c>
      <c r="F1583" s="235">
        <f>($B1583+$C1583+1)/2</f>
        <v/>
      </c>
      <c r="G1583" s="201">
        <f>YEAR($B1583)*12+MONTH($B1583)-1</f>
        <v/>
      </c>
      <c r="H1583" s="207">
        <f>IF(OR(nr_SeasonOn="OFF",$D$1534=0,$E$1534=0),1,12*INDEX(se_block,$D$1534,$E1583)/$E$1534)</f>
        <v/>
      </c>
      <c r="I1583" s="208">
        <f>EXP(SUMPRODUCT((rl_eff&lt;$B1583)*(rl_key=$A$1534)*rl_ln1p))</f>
        <v/>
      </c>
      <c r="J1583" s="208">
        <f>EXP(SUMPRODUCT((rl_eff&lt;=$C1583)*(rl_key=$A$1534)*rl_ln1p))</f>
        <v/>
      </c>
      <c r="K1583" s="201">
        <f>COUNTIFS(rl_key,$A$1534,rl_eff,"&gt;="&amp;$B1583,rl_eff,"&lt;="&amp;$C1583)</f>
        <v/>
      </c>
      <c r="L1583" s="201">
        <f>SUMIFS(rl_daysafter,rl_key,$A$1534,rl_effmonth,$B1583,rl_first,1)</f>
        <v/>
      </c>
      <c r="M1583" s="209">
        <f>IF($K1583=0,0,MIN(1,$L1583/$D1583))</f>
        <v/>
      </c>
      <c r="N1583" s="208">
        <f>IF($K1583=0,$J1583,(1-$M1583)*$I1583+$M1583*$J1583)</f>
        <v/>
      </c>
      <c r="O1583" s="209">
        <f>IF($F1583&lt;$B$1535,$E$1535+$I$1535*($F1583-$A$1535),IF($F1583&lt;$C$1535,$F$1535+$J$1535*($F1583-$B$1535),$G$1535+$K$1535*($F1583-$C$1535)))</f>
        <v/>
      </c>
      <c r="P1583" s="208">
        <f>MIN(1,MAX(0,(nr_MEndPm1-$G1583+0.5)/$C$1534))-MIN(1,MAX(0,(nr_MStartPm1-1-$G1583+0.5)/$C$1534))</f>
        <v/>
      </c>
      <c r="Q1583" s="208">
        <f>MIN(1,MAX(0,(nr_MEndP-$G1583+0.5)/$C$1534))-MIN(1,MAX(0,(nr_MStartP-1-$G1583+0.5)/$C$1534))</f>
        <v/>
      </c>
      <c r="R1583" s="208">
        <f>MIN(1,MAX(0,(nr_MEndP1-$G1583+0.5)/$C$1534))-MIN(1,MAX(0,(nr_MStartP1-1-$G1583+0.5)/$C$1534))</f>
        <v/>
      </c>
      <c r="S1583" s="208">
        <f>IF($L$1534,$N1583*IF($O$1534=1,$O1583/$F$1534,1),"")</f>
        <v/>
      </c>
      <c r="T1583" s="208">
        <f>IF(NOT($L$1534),"",IF($G1583&lt;nr_MStartP,$S1583,$T1571*(1+IF($G1583&lt;nr_MStartP1,$M$1534,$N$1534))))</f>
        <v/>
      </c>
      <c r="U1583" s="208">
        <f>IF($L$1534,$T1583,$N1583)</f>
        <v/>
      </c>
    </row>
    <row r="1584">
      <c r="A1584" s="145" t="n">
        <v>48</v>
      </c>
      <c r="B1584" s="204">
        <f>EDATE($B1583,1)</f>
        <v/>
      </c>
      <c r="C1584" s="205">
        <f>EOMONTH($B1584,0)</f>
        <v/>
      </c>
      <c r="D1584" s="201">
        <f>$C1584-$B1584+1</f>
        <v/>
      </c>
      <c r="E1584" s="201">
        <f>MONTH($B1584)</f>
        <v/>
      </c>
      <c r="F1584" s="235">
        <f>($B1584+$C1584+1)/2</f>
        <v/>
      </c>
      <c r="G1584" s="201">
        <f>YEAR($B1584)*12+MONTH($B1584)-1</f>
        <v/>
      </c>
      <c r="H1584" s="207">
        <f>IF(OR(nr_SeasonOn="OFF",$D$1534=0,$E$1534=0),1,12*INDEX(se_block,$D$1534,$E1584)/$E$1534)</f>
        <v/>
      </c>
      <c r="I1584" s="208">
        <f>EXP(SUMPRODUCT((rl_eff&lt;$B1584)*(rl_key=$A$1534)*rl_ln1p))</f>
        <v/>
      </c>
      <c r="J1584" s="208">
        <f>EXP(SUMPRODUCT((rl_eff&lt;=$C1584)*(rl_key=$A$1534)*rl_ln1p))</f>
        <v/>
      </c>
      <c r="K1584" s="201">
        <f>COUNTIFS(rl_key,$A$1534,rl_eff,"&gt;="&amp;$B1584,rl_eff,"&lt;="&amp;$C1584)</f>
        <v/>
      </c>
      <c r="L1584" s="201">
        <f>SUMIFS(rl_daysafter,rl_key,$A$1534,rl_effmonth,$B1584,rl_first,1)</f>
        <v/>
      </c>
      <c r="M1584" s="209">
        <f>IF($K1584=0,0,MIN(1,$L1584/$D1584))</f>
        <v/>
      </c>
      <c r="N1584" s="208">
        <f>IF($K1584=0,$J1584,(1-$M1584)*$I1584+$M1584*$J1584)</f>
        <v/>
      </c>
      <c r="O1584" s="209">
        <f>IF($F1584&lt;$B$1535,$E$1535+$I$1535*($F1584-$A$1535),IF($F1584&lt;$C$1535,$F$1535+$J$1535*($F1584-$B$1535),$G$1535+$K$1535*($F1584-$C$1535)))</f>
        <v/>
      </c>
      <c r="P1584" s="208">
        <f>MIN(1,MAX(0,(nr_MEndPm1-$G1584+0.5)/$C$1534))-MIN(1,MAX(0,(nr_MStartPm1-1-$G1584+0.5)/$C$1534))</f>
        <v/>
      </c>
      <c r="Q1584" s="208">
        <f>MIN(1,MAX(0,(nr_MEndP-$G1584+0.5)/$C$1534))-MIN(1,MAX(0,(nr_MStartP-1-$G1584+0.5)/$C$1534))</f>
        <v/>
      </c>
      <c r="R1584" s="208">
        <f>MIN(1,MAX(0,(nr_MEndP1-$G1584+0.5)/$C$1534))-MIN(1,MAX(0,(nr_MStartP1-1-$G1584+0.5)/$C$1534))</f>
        <v/>
      </c>
      <c r="S1584" s="208">
        <f>IF($L$1534,$N1584*IF($O$1534=1,$O1584/$F$1534,1),"")</f>
        <v/>
      </c>
      <c r="T1584" s="208">
        <f>IF(NOT($L$1534),"",IF($G1584&lt;nr_MStartP,$S1584,$T1572*(1+IF($G1584&lt;nr_MStartP1,$M$1534,$N$1534))))</f>
        <v/>
      </c>
      <c r="U1584" s="208">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184">
        <f>SUMPRODUCT($H$1537:$H$1584,$Q$1537:$Q$1584,$O$1537:$O$1584)/SUMPRODUCT($H$1537:$H$1584,$Q$1537:$Q$1584)</f>
        <v/>
      </c>
      <c r="G1585" s="184">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184">
        <f>IF(N(INDEX(lr_mind,29))=0,1,INDEX(lr_mind,29))</f>
        <v/>
      </c>
      <c r="G1588" s="184">
        <f>IF(N(INDEX(lr_m0,29))=0,1,INDEX(lr_m0,29))</f>
        <v/>
      </c>
      <c r="H1588" s="73">
        <f>IF(N(INDEX(lr_m0asof,29))=0,DATE(nr_PlanYear-1,10,1),INDEX(lr_m0asof,29))</f>
        <v/>
      </c>
      <c r="I1588" s="184">
        <f>IF(N(INDEX(lr_m1,29))=0,1,INDEX(lr_m1,29))</f>
        <v/>
      </c>
      <c r="J1588" s="184">
        <f>INDEX(lr_mprior,29)</f>
        <v/>
      </c>
      <c r="K1588" s="184">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145" t="n">
        <v>1</v>
      </c>
      <c r="B1591" s="204">
        <f>DATE(nr_PlanYear-2,1,1)</f>
        <v/>
      </c>
      <c r="C1591" s="205">
        <f>EOMONTH($B1591,0)</f>
        <v/>
      </c>
      <c r="D1591" s="201">
        <f>$C1591-$B1591+1</f>
        <v/>
      </c>
      <c r="E1591" s="201">
        <f>MONTH($B1591)</f>
        <v/>
      </c>
      <c r="F1591" s="235">
        <f>($B1591+$C1591+1)/2</f>
        <v/>
      </c>
      <c r="G1591" s="201">
        <f>YEAR($B1591)*12+MONTH($B1591)-1</f>
        <v/>
      </c>
      <c r="H1591" s="207">
        <f>IF(OR(nr_SeasonOn="OFF",$D$1588=0,$E$1588=0),1,12*INDEX(se_block,$D$1588,$E1591)/$E$1588)</f>
        <v/>
      </c>
      <c r="I1591" s="208">
        <f>EXP(SUMPRODUCT((rl_eff&lt;$B1591)*(rl_key=$A$1588)*rl_ln1p))</f>
        <v/>
      </c>
      <c r="J1591" s="208">
        <f>EXP(SUMPRODUCT((rl_eff&lt;=$C1591)*(rl_key=$A$1588)*rl_ln1p))</f>
        <v/>
      </c>
      <c r="K1591" s="201">
        <f>COUNTIFS(rl_key,$A$1588,rl_eff,"&gt;="&amp;$B1591,rl_eff,"&lt;="&amp;$C1591)</f>
        <v/>
      </c>
      <c r="L1591" s="201">
        <f>SUMIFS(rl_daysafter,rl_key,$A$1588,rl_effmonth,$B1591,rl_first,1)</f>
        <v/>
      </c>
      <c r="M1591" s="209">
        <f>IF($K1591=0,0,MIN(1,$L1591/$D1591))</f>
        <v/>
      </c>
      <c r="N1591" s="208">
        <f>IF($K1591=0,$J1591,(1-$M1591)*$I1591+$M1591*$J1591)</f>
        <v/>
      </c>
      <c r="O1591" s="209">
        <f>IF($F1591&lt;$B$1589,$E$1589+$I$1589*($F1591-$A$1589),IF($F1591&lt;$C$1589,$F$1589+$J$1589*($F1591-$B$1589),$G$1589+$K$1589*($F1591-$C$1589)))</f>
        <v/>
      </c>
      <c r="P1591" s="208">
        <f>MIN(1,MAX(0,(nr_MEndPm1-$G1591+0.5)/$C$1588))-MIN(1,MAX(0,(nr_MStartPm1-1-$G1591+0.5)/$C$1588))</f>
        <v/>
      </c>
      <c r="Q1591" s="208">
        <f>MIN(1,MAX(0,(nr_MEndP-$G1591+0.5)/$C$1588))-MIN(1,MAX(0,(nr_MStartP-1-$G1591+0.5)/$C$1588))</f>
        <v/>
      </c>
      <c r="R1591" s="208">
        <f>MIN(1,MAX(0,(nr_MEndP1-$G1591+0.5)/$C$1588))-MIN(1,MAX(0,(nr_MStartP1-1-$G1591+0.5)/$C$1588))</f>
        <v/>
      </c>
      <c r="S1591" s="208">
        <f>IF($L$1588,$N1591*IF($O$1588=1,$O1591/$F$1588,1),"")</f>
        <v/>
      </c>
      <c r="T1591" s="208">
        <f>IF(NOT($L$1588),"",IF($G1591&lt;nr_MStartP,$S1591,$T1579*(1+IF($G1591&lt;nr_MStartP1,$M$1588,$N$1588))))</f>
        <v/>
      </c>
      <c r="U1591" s="208">
        <f>IF($L$1588,$T1591,$N1591)</f>
        <v/>
      </c>
    </row>
    <row r="1592">
      <c r="A1592" s="145" t="n">
        <v>2</v>
      </c>
      <c r="B1592" s="204">
        <f>EDATE($B1591,1)</f>
        <v/>
      </c>
      <c r="C1592" s="205">
        <f>EOMONTH($B1592,0)</f>
        <v/>
      </c>
      <c r="D1592" s="201">
        <f>$C1592-$B1592+1</f>
        <v/>
      </c>
      <c r="E1592" s="201">
        <f>MONTH($B1592)</f>
        <v/>
      </c>
      <c r="F1592" s="235">
        <f>($B1592+$C1592+1)/2</f>
        <v/>
      </c>
      <c r="G1592" s="201">
        <f>YEAR($B1592)*12+MONTH($B1592)-1</f>
        <v/>
      </c>
      <c r="H1592" s="207">
        <f>IF(OR(nr_SeasonOn="OFF",$D$1588=0,$E$1588=0),1,12*INDEX(se_block,$D$1588,$E1592)/$E$1588)</f>
        <v/>
      </c>
      <c r="I1592" s="208">
        <f>EXP(SUMPRODUCT((rl_eff&lt;$B1592)*(rl_key=$A$1588)*rl_ln1p))</f>
        <v/>
      </c>
      <c r="J1592" s="208">
        <f>EXP(SUMPRODUCT((rl_eff&lt;=$C1592)*(rl_key=$A$1588)*rl_ln1p))</f>
        <v/>
      </c>
      <c r="K1592" s="201">
        <f>COUNTIFS(rl_key,$A$1588,rl_eff,"&gt;="&amp;$B1592,rl_eff,"&lt;="&amp;$C1592)</f>
        <v/>
      </c>
      <c r="L1592" s="201">
        <f>SUMIFS(rl_daysafter,rl_key,$A$1588,rl_effmonth,$B1592,rl_first,1)</f>
        <v/>
      </c>
      <c r="M1592" s="209">
        <f>IF($K1592=0,0,MIN(1,$L1592/$D1592))</f>
        <v/>
      </c>
      <c r="N1592" s="208">
        <f>IF($K1592=0,$J1592,(1-$M1592)*$I1592+$M1592*$J1592)</f>
        <v/>
      </c>
      <c r="O1592" s="209">
        <f>IF($F1592&lt;$B$1589,$E$1589+$I$1589*($F1592-$A$1589),IF($F1592&lt;$C$1589,$F$1589+$J$1589*($F1592-$B$1589),$G$1589+$K$1589*($F1592-$C$1589)))</f>
        <v/>
      </c>
      <c r="P1592" s="208">
        <f>MIN(1,MAX(0,(nr_MEndPm1-$G1592+0.5)/$C$1588))-MIN(1,MAX(0,(nr_MStartPm1-1-$G1592+0.5)/$C$1588))</f>
        <v/>
      </c>
      <c r="Q1592" s="208">
        <f>MIN(1,MAX(0,(nr_MEndP-$G1592+0.5)/$C$1588))-MIN(1,MAX(0,(nr_MStartP-1-$G1592+0.5)/$C$1588))</f>
        <v/>
      </c>
      <c r="R1592" s="208">
        <f>MIN(1,MAX(0,(nr_MEndP1-$G1592+0.5)/$C$1588))-MIN(1,MAX(0,(nr_MStartP1-1-$G1592+0.5)/$C$1588))</f>
        <v/>
      </c>
      <c r="S1592" s="208">
        <f>IF($L$1588,$N1592*IF($O$1588=1,$O1592/$F$1588,1),"")</f>
        <v/>
      </c>
      <c r="T1592" s="208">
        <f>IF(NOT($L$1588),"",IF($G1592&lt;nr_MStartP,$S1592,$T1580*(1+IF($G1592&lt;nr_MStartP1,$M$1588,$N$1588))))</f>
        <v/>
      </c>
      <c r="U1592" s="208">
        <f>IF($L$1588,$T1592,$N1592)</f>
        <v/>
      </c>
    </row>
    <row r="1593">
      <c r="A1593" s="145" t="n">
        <v>3</v>
      </c>
      <c r="B1593" s="204">
        <f>EDATE($B1592,1)</f>
        <v/>
      </c>
      <c r="C1593" s="205">
        <f>EOMONTH($B1593,0)</f>
        <v/>
      </c>
      <c r="D1593" s="201">
        <f>$C1593-$B1593+1</f>
        <v/>
      </c>
      <c r="E1593" s="201">
        <f>MONTH($B1593)</f>
        <v/>
      </c>
      <c r="F1593" s="235">
        <f>($B1593+$C1593+1)/2</f>
        <v/>
      </c>
      <c r="G1593" s="201">
        <f>YEAR($B1593)*12+MONTH($B1593)-1</f>
        <v/>
      </c>
      <c r="H1593" s="207">
        <f>IF(OR(nr_SeasonOn="OFF",$D$1588=0,$E$1588=0),1,12*INDEX(se_block,$D$1588,$E1593)/$E$1588)</f>
        <v/>
      </c>
      <c r="I1593" s="208">
        <f>EXP(SUMPRODUCT((rl_eff&lt;$B1593)*(rl_key=$A$1588)*rl_ln1p))</f>
        <v/>
      </c>
      <c r="J1593" s="208">
        <f>EXP(SUMPRODUCT((rl_eff&lt;=$C1593)*(rl_key=$A$1588)*rl_ln1p))</f>
        <v/>
      </c>
      <c r="K1593" s="201">
        <f>COUNTIFS(rl_key,$A$1588,rl_eff,"&gt;="&amp;$B1593,rl_eff,"&lt;="&amp;$C1593)</f>
        <v/>
      </c>
      <c r="L1593" s="201">
        <f>SUMIFS(rl_daysafter,rl_key,$A$1588,rl_effmonth,$B1593,rl_first,1)</f>
        <v/>
      </c>
      <c r="M1593" s="209">
        <f>IF($K1593=0,0,MIN(1,$L1593/$D1593))</f>
        <v/>
      </c>
      <c r="N1593" s="208">
        <f>IF($K1593=0,$J1593,(1-$M1593)*$I1593+$M1593*$J1593)</f>
        <v/>
      </c>
      <c r="O1593" s="209">
        <f>IF($F1593&lt;$B$1589,$E$1589+$I$1589*($F1593-$A$1589),IF($F1593&lt;$C$1589,$F$1589+$J$1589*($F1593-$B$1589),$G$1589+$K$1589*($F1593-$C$1589)))</f>
        <v/>
      </c>
      <c r="P1593" s="208">
        <f>MIN(1,MAX(0,(nr_MEndPm1-$G1593+0.5)/$C$1588))-MIN(1,MAX(0,(nr_MStartPm1-1-$G1593+0.5)/$C$1588))</f>
        <v/>
      </c>
      <c r="Q1593" s="208">
        <f>MIN(1,MAX(0,(nr_MEndP-$G1593+0.5)/$C$1588))-MIN(1,MAX(0,(nr_MStartP-1-$G1593+0.5)/$C$1588))</f>
        <v/>
      </c>
      <c r="R1593" s="208">
        <f>MIN(1,MAX(0,(nr_MEndP1-$G1593+0.5)/$C$1588))-MIN(1,MAX(0,(nr_MStartP1-1-$G1593+0.5)/$C$1588))</f>
        <v/>
      </c>
      <c r="S1593" s="208">
        <f>IF($L$1588,$N1593*IF($O$1588=1,$O1593/$F$1588,1),"")</f>
        <v/>
      </c>
      <c r="T1593" s="208">
        <f>IF(NOT($L$1588),"",IF($G1593&lt;nr_MStartP,$S1593,$T1581*(1+IF($G1593&lt;nr_MStartP1,$M$1588,$N$1588))))</f>
        <v/>
      </c>
      <c r="U1593" s="208">
        <f>IF($L$1588,$T1593,$N1593)</f>
        <v/>
      </c>
    </row>
    <row r="1594">
      <c r="A1594" s="145" t="n">
        <v>4</v>
      </c>
      <c r="B1594" s="204">
        <f>EDATE($B1593,1)</f>
        <v/>
      </c>
      <c r="C1594" s="205">
        <f>EOMONTH($B1594,0)</f>
        <v/>
      </c>
      <c r="D1594" s="201">
        <f>$C1594-$B1594+1</f>
        <v/>
      </c>
      <c r="E1594" s="201">
        <f>MONTH($B1594)</f>
        <v/>
      </c>
      <c r="F1594" s="235">
        <f>($B1594+$C1594+1)/2</f>
        <v/>
      </c>
      <c r="G1594" s="201">
        <f>YEAR($B1594)*12+MONTH($B1594)-1</f>
        <v/>
      </c>
      <c r="H1594" s="207">
        <f>IF(OR(nr_SeasonOn="OFF",$D$1588=0,$E$1588=0),1,12*INDEX(se_block,$D$1588,$E1594)/$E$1588)</f>
        <v/>
      </c>
      <c r="I1594" s="208">
        <f>EXP(SUMPRODUCT((rl_eff&lt;$B1594)*(rl_key=$A$1588)*rl_ln1p))</f>
        <v/>
      </c>
      <c r="J1594" s="208">
        <f>EXP(SUMPRODUCT((rl_eff&lt;=$C1594)*(rl_key=$A$1588)*rl_ln1p))</f>
        <v/>
      </c>
      <c r="K1594" s="201">
        <f>COUNTIFS(rl_key,$A$1588,rl_eff,"&gt;="&amp;$B1594,rl_eff,"&lt;="&amp;$C1594)</f>
        <v/>
      </c>
      <c r="L1594" s="201">
        <f>SUMIFS(rl_daysafter,rl_key,$A$1588,rl_effmonth,$B1594,rl_first,1)</f>
        <v/>
      </c>
      <c r="M1594" s="209">
        <f>IF($K1594=0,0,MIN(1,$L1594/$D1594))</f>
        <v/>
      </c>
      <c r="N1594" s="208">
        <f>IF($K1594=0,$J1594,(1-$M1594)*$I1594+$M1594*$J1594)</f>
        <v/>
      </c>
      <c r="O1594" s="209">
        <f>IF($F1594&lt;$B$1589,$E$1589+$I$1589*($F1594-$A$1589),IF($F1594&lt;$C$1589,$F$1589+$J$1589*($F1594-$B$1589),$G$1589+$K$1589*($F1594-$C$1589)))</f>
        <v/>
      </c>
      <c r="P1594" s="208">
        <f>MIN(1,MAX(0,(nr_MEndPm1-$G1594+0.5)/$C$1588))-MIN(1,MAX(0,(nr_MStartPm1-1-$G1594+0.5)/$C$1588))</f>
        <v/>
      </c>
      <c r="Q1594" s="208">
        <f>MIN(1,MAX(0,(nr_MEndP-$G1594+0.5)/$C$1588))-MIN(1,MAX(0,(nr_MStartP-1-$G1594+0.5)/$C$1588))</f>
        <v/>
      </c>
      <c r="R1594" s="208">
        <f>MIN(1,MAX(0,(nr_MEndP1-$G1594+0.5)/$C$1588))-MIN(1,MAX(0,(nr_MStartP1-1-$G1594+0.5)/$C$1588))</f>
        <v/>
      </c>
      <c r="S1594" s="208">
        <f>IF($L$1588,$N1594*IF($O$1588=1,$O1594/$F$1588,1),"")</f>
        <v/>
      </c>
      <c r="T1594" s="208">
        <f>IF(NOT($L$1588),"",IF($G1594&lt;nr_MStartP,$S1594,$T1582*(1+IF($G1594&lt;nr_MStartP1,$M$1588,$N$1588))))</f>
        <v/>
      </c>
      <c r="U1594" s="208">
        <f>IF($L$1588,$T1594,$N1594)</f>
        <v/>
      </c>
    </row>
    <row r="1595">
      <c r="A1595" s="145" t="n">
        <v>5</v>
      </c>
      <c r="B1595" s="204">
        <f>EDATE($B1594,1)</f>
        <v/>
      </c>
      <c r="C1595" s="205">
        <f>EOMONTH($B1595,0)</f>
        <v/>
      </c>
      <c r="D1595" s="201">
        <f>$C1595-$B1595+1</f>
        <v/>
      </c>
      <c r="E1595" s="201">
        <f>MONTH($B1595)</f>
        <v/>
      </c>
      <c r="F1595" s="235">
        <f>($B1595+$C1595+1)/2</f>
        <v/>
      </c>
      <c r="G1595" s="201">
        <f>YEAR($B1595)*12+MONTH($B1595)-1</f>
        <v/>
      </c>
      <c r="H1595" s="207">
        <f>IF(OR(nr_SeasonOn="OFF",$D$1588=0,$E$1588=0),1,12*INDEX(se_block,$D$1588,$E1595)/$E$1588)</f>
        <v/>
      </c>
      <c r="I1595" s="208">
        <f>EXP(SUMPRODUCT((rl_eff&lt;$B1595)*(rl_key=$A$1588)*rl_ln1p))</f>
        <v/>
      </c>
      <c r="J1595" s="208">
        <f>EXP(SUMPRODUCT((rl_eff&lt;=$C1595)*(rl_key=$A$1588)*rl_ln1p))</f>
        <v/>
      </c>
      <c r="K1595" s="201">
        <f>COUNTIFS(rl_key,$A$1588,rl_eff,"&gt;="&amp;$B1595,rl_eff,"&lt;="&amp;$C1595)</f>
        <v/>
      </c>
      <c r="L1595" s="201">
        <f>SUMIFS(rl_daysafter,rl_key,$A$1588,rl_effmonth,$B1595,rl_first,1)</f>
        <v/>
      </c>
      <c r="M1595" s="209">
        <f>IF($K1595=0,0,MIN(1,$L1595/$D1595))</f>
        <v/>
      </c>
      <c r="N1595" s="208">
        <f>IF($K1595=0,$J1595,(1-$M1595)*$I1595+$M1595*$J1595)</f>
        <v/>
      </c>
      <c r="O1595" s="209">
        <f>IF($F1595&lt;$B$1589,$E$1589+$I$1589*($F1595-$A$1589),IF($F1595&lt;$C$1589,$F$1589+$J$1589*($F1595-$B$1589),$G$1589+$K$1589*($F1595-$C$1589)))</f>
        <v/>
      </c>
      <c r="P1595" s="208">
        <f>MIN(1,MAX(0,(nr_MEndPm1-$G1595+0.5)/$C$1588))-MIN(1,MAX(0,(nr_MStartPm1-1-$G1595+0.5)/$C$1588))</f>
        <v/>
      </c>
      <c r="Q1595" s="208">
        <f>MIN(1,MAX(0,(nr_MEndP-$G1595+0.5)/$C$1588))-MIN(1,MAX(0,(nr_MStartP-1-$G1595+0.5)/$C$1588))</f>
        <v/>
      </c>
      <c r="R1595" s="208">
        <f>MIN(1,MAX(0,(nr_MEndP1-$G1595+0.5)/$C$1588))-MIN(1,MAX(0,(nr_MStartP1-1-$G1595+0.5)/$C$1588))</f>
        <v/>
      </c>
      <c r="S1595" s="208">
        <f>IF($L$1588,$N1595*IF($O$1588=1,$O1595/$F$1588,1),"")</f>
        <v/>
      </c>
      <c r="T1595" s="208">
        <f>IF(NOT($L$1588),"",IF($G1595&lt;nr_MStartP,$S1595,$T1583*(1+IF($G1595&lt;nr_MStartP1,$M$1588,$N$1588))))</f>
        <v/>
      </c>
      <c r="U1595" s="208">
        <f>IF($L$1588,$T1595,$N1595)</f>
        <v/>
      </c>
    </row>
    <row r="1596">
      <c r="A1596" s="145" t="n">
        <v>6</v>
      </c>
      <c r="B1596" s="204">
        <f>EDATE($B1595,1)</f>
        <v/>
      </c>
      <c r="C1596" s="205">
        <f>EOMONTH($B1596,0)</f>
        <v/>
      </c>
      <c r="D1596" s="201">
        <f>$C1596-$B1596+1</f>
        <v/>
      </c>
      <c r="E1596" s="201">
        <f>MONTH($B1596)</f>
        <v/>
      </c>
      <c r="F1596" s="235">
        <f>($B1596+$C1596+1)/2</f>
        <v/>
      </c>
      <c r="G1596" s="201">
        <f>YEAR($B1596)*12+MONTH($B1596)-1</f>
        <v/>
      </c>
      <c r="H1596" s="207">
        <f>IF(OR(nr_SeasonOn="OFF",$D$1588=0,$E$1588=0),1,12*INDEX(se_block,$D$1588,$E1596)/$E$1588)</f>
        <v/>
      </c>
      <c r="I1596" s="208">
        <f>EXP(SUMPRODUCT((rl_eff&lt;$B1596)*(rl_key=$A$1588)*rl_ln1p))</f>
        <v/>
      </c>
      <c r="J1596" s="208">
        <f>EXP(SUMPRODUCT((rl_eff&lt;=$C1596)*(rl_key=$A$1588)*rl_ln1p))</f>
        <v/>
      </c>
      <c r="K1596" s="201">
        <f>COUNTIFS(rl_key,$A$1588,rl_eff,"&gt;="&amp;$B1596,rl_eff,"&lt;="&amp;$C1596)</f>
        <v/>
      </c>
      <c r="L1596" s="201">
        <f>SUMIFS(rl_daysafter,rl_key,$A$1588,rl_effmonth,$B1596,rl_first,1)</f>
        <v/>
      </c>
      <c r="M1596" s="209">
        <f>IF($K1596=0,0,MIN(1,$L1596/$D1596))</f>
        <v/>
      </c>
      <c r="N1596" s="208">
        <f>IF($K1596=0,$J1596,(1-$M1596)*$I1596+$M1596*$J1596)</f>
        <v/>
      </c>
      <c r="O1596" s="209">
        <f>IF($F1596&lt;$B$1589,$E$1589+$I$1589*($F1596-$A$1589),IF($F1596&lt;$C$1589,$F$1589+$J$1589*($F1596-$B$1589),$G$1589+$K$1589*($F1596-$C$1589)))</f>
        <v/>
      </c>
      <c r="P1596" s="208">
        <f>MIN(1,MAX(0,(nr_MEndPm1-$G1596+0.5)/$C$1588))-MIN(1,MAX(0,(nr_MStartPm1-1-$G1596+0.5)/$C$1588))</f>
        <v/>
      </c>
      <c r="Q1596" s="208">
        <f>MIN(1,MAX(0,(nr_MEndP-$G1596+0.5)/$C$1588))-MIN(1,MAX(0,(nr_MStartP-1-$G1596+0.5)/$C$1588))</f>
        <v/>
      </c>
      <c r="R1596" s="208">
        <f>MIN(1,MAX(0,(nr_MEndP1-$G1596+0.5)/$C$1588))-MIN(1,MAX(0,(nr_MStartP1-1-$G1596+0.5)/$C$1588))</f>
        <v/>
      </c>
      <c r="S1596" s="208">
        <f>IF($L$1588,$N1596*IF($O$1588=1,$O1596/$F$1588,1),"")</f>
        <v/>
      </c>
      <c r="T1596" s="208">
        <f>IF(NOT($L$1588),"",IF($G1596&lt;nr_MStartP,$S1596,$T1584*(1+IF($G1596&lt;nr_MStartP1,$M$1588,$N$1588))))</f>
        <v/>
      </c>
      <c r="U1596" s="208">
        <f>IF($L$1588,$T1596,$N1596)</f>
        <v/>
      </c>
    </row>
    <row r="1597">
      <c r="A1597" s="145" t="n">
        <v>7</v>
      </c>
      <c r="B1597" s="204">
        <f>EDATE($B1596,1)</f>
        <v/>
      </c>
      <c r="C1597" s="205">
        <f>EOMONTH($B1597,0)</f>
        <v/>
      </c>
      <c r="D1597" s="201">
        <f>$C1597-$B1597+1</f>
        <v/>
      </c>
      <c r="E1597" s="201">
        <f>MONTH($B1597)</f>
        <v/>
      </c>
      <c r="F1597" s="235">
        <f>($B1597+$C1597+1)/2</f>
        <v/>
      </c>
      <c r="G1597" s="201">
        <f>YEAR($B1597)*12+MONTH($B1597)-1</f>
        <v/>
      </c>
      <c r="H1597" s="207">
        <f>IF(OR(nr_SeasonOn="OFF",$D$1588=0,$E$1588=0),1,12*INDEX(se_block,$D$1588,$E1597)/$E$1588)</f>
        <v/>
      </c>
      <c r="I1597" s="208">
        <f>EXP(SUMPRODUCT((rl_eff&lt;$B1597)*(rl_key=$A$1588)*rl_ln1p))</f>
        <v/>
      </c>
      <c r="J1597" s="208">
        <f>EXP(SUMPRODUCT((rl_eff&lt;=$C1597)*(rl_key=$A$1588)*rl_ln1p))</f>
        <v/>
      </c>
      <c r="K1597" s="201">
        <f>COUNTIFS(rl_key,$A$1588,rl_eff,"&gt;="&amp;$B1597,rl_eff,"&lt;="&amp;$C1597)</f>
        <v/>
      </c>
      <c r="L1597" s="201">
        <f>SUMIFS(rl_daysafter,rl_key,$A$1588,rl_effmonth,$B1597,rl_first,1)</f>
        <v/>
      </c>
      <c r="M1597" s="209">
        <f>IF($K1597=0,0,MIN(1,$L1597/$D1597))</f>
        <v/>
      </c>
      <c r="N1597" s="208">
        <f>IF($K1597=0,$J1597,(1-$M1597)*$I1597+$M1597*$J1597)</f>
        <v/>
      </c>
      <c r="O1597" s="209">
        <f>IF($F1597&lt;$B$1589,$E$1589+$I$1589*($F1597-$A$1589),IF($F1597&lt;$C$1589,$F$1589+$J$1589*($F1597-$B$1589),$G$1589+$K$1589*($F1597-$C$1589)))</f>
        <v/>
      </c>
      <c r="P1597" s="208">
        <f>MIN(1,MAX(0,(nr_MEndPm1-$G1597+0.5)/$C$1588))-MIN(1,MAX(0,(nr_MStartPm1-1-$G1597+0.5)/$C$1588))</f>
        <v/>
      </c>
      <c r="Q1597" s="208">
        <f>MIN(1,MAX(0,(nr_MEndP-$G1597+0.5)/$C$1588))-MIN(1,MAX(0,(nr_MStartP-1-$G1597+0.5)/$C$1588))</f>
        <v/>
      </c>
      <c r="R1597" s="208">
        <f>MIN(1,MAX(0,(nr_MEndP1-$G1597+0.5)/$C$1588))-MIN(1,MAX(0,(nr_MStartP1-1-$G1597+0.5)/$C$1588))</f>
        <v/>
      </c>
      <c r="S1597" s="208">
        <f>IF($L$1588,$N1597*IF($O$1588=1,$O1597/$F$1588,1),"")</f>
        <v/>
      </c>
      <c r="T1597" s="208">
        <f>IF(NOT($L$1588),"",IF($G1597&lt;nr_MStartP,$S1597,$T1585*(1+IF($G1597&lt;nr_MStartP1,$M$1588,$N$1588))))</f>
        <v/>
      </c>
      <c r="U1597" s="208">
        <f>IF($L$1588,$T1597,$N1597)</f>
        <v/>
      </c>
    </row>
    <row r="1598">
      <c r="A1598" s="145" t="n">
        <v>8</v>
      </c>
      <c r="B1598" s="204">
        <f>EDATE($B1597,1)</f>
        <v/>
      </c>
      <c r="C1598" s="205">
        <f>EOMONTH($B1598,0)</f>
        <v/>
      </c>
      <c r="D1598" s="201">
        <f>$C1598-$B1598+1</f>
        <v/>
      </c>
      <c r="E1598" s="201">
        <f>MONTH($B1598)</f>
        <v/>
      </c>
      <c r="F1598" s="235">
        <f>($B1598+$C1598+1)/2</f>
        <v/>
      </c>
      <c r="G1598" s="201">
        <f>YEAR($B1598)*12+MONTH($B1598)-1</f>
        <v/>
      </c>
      <c r="H1598" s="207">
        <f>IF(OR(nr_SeasonOn="OFF",$D$1588=0,$E$1588=0),1,12*INDEX(se_block,$D$1588,$E1598)/$E$1588)</f>
        <v/>
      </c>
      <c r="I1598" s="208">
        <f>EXP(SUMPRODUCT((rl_eff&lt;$B1598)*(rl_key=$A$1588)*rl_ln1p))</f>
        <v/>
      </c>
      <c r="J1598" s="208">
        <f>EXP(SUMPRODUCT((rl_eff&lt;=$C1598)*(rl_key=$A$1588)*rl_ln1p))</f>
        <v/>
      </c>
      <c r="K1598" s="201">
        <f>COUNTIFS(rl_key,$A$1588,rl_eff,"&gt;="&amp;$B1598,rl_eff,"&lt;="&amp;$C1598)</f>
        <v/>
      </c>
      <c r="L1598" s="201">
        <f>SUMIFS(rl_daysafter,rl_key,$A$1588,rl_effmonth,$B1598,rl_first,1)</f>
        <v/>
      </c>
      <c r="M1598" s="209">
        <f>IF($K1598=0,0,MIN(1,$L1598/$D1598))</f>
        <v/>
      </c>
      <c r="N1598" s="208">
        <f>IF($K1598=0,$J1598,(1-$M1598)*$I1598+$M1598*$J1598)</f>
        <v/>
      </c>
      <c r="O1598" s="209">
        <f>IF($F1598&lt;$B$1589,$E$1589+$I$1589*($F1598-$A$1589),IF($F1598&lt;$C$1589,$F$1589+$J$1589*($F1598-$B$1589),$G$1589+$K$1589*($F1598-$C$1589)))</f>
        <v/>
      </c>
      <c r="P1598" s="208">
        <f>MIN(1,MAX(0,(nr_MEndPm1-$G1598+0.5)/$C$1588))-MIN(1,MAX(0,(nr_MStartPm1-1-$G1598+0.5)/$C$1588))</f>
        <v/>
      </c>
      <c r="Q1598" s="208">
        <f>MIN(1,MAX(0,(nr_MEndP-$G1598+0.5)/$C$1588))-MIN(1,MAX(0,(nr_MStartP-1-$G1598+0.5)/$C$1588))</f>
        <v/>
      </c>
      <c r="R1598" s="208">
        <f>MIN(1,MAX(0,(nr_MEndP1-$G1598+0.5)/$C$1588))-MIN(1,MAX(0,(nr_MStartP1-1-$G1598+0.5)/$C$1588))</f>
        <v/>
      </c>
      <c r="S1598" s="208">
        <f>IF($L$1588,$N1598*IF($O$1588=1,$O1598/$F$1588,1),"")</f>
        <v/>
      </c>
      <c r="T1598" s="208">
        <f>IF(NOT($L$1588),"",IF($G1598&lt;nr_MStartP,$S1598,$T1586*(1+IF($G1598&lt;nr_MStartP1,$M$1588,$N$1588))))</f>
        <v/>
      </c>
      <c r="U1598" s="208">
        <f>IF($L$1588,$T1598,$N1598)</f>
        <v/>
      </c>
    </row>
    <row r="1599">
      <c r="A1599" s="145" t="n">
        <v>9</v>
      </c>
      <c r="B1599" s="204">
        <f>EDATE($B1598,1)</f>
        <v/>
      </c>
      <c r="C1599" s="205">
        <f>EOMONTH($B1599,0)</f>
        <v/>
      </c>
      <c r="D1599" s="201">
        <f>$C1599-$B1599+1</f>
        <v/>
      </c>
      <c r="E1599" s="201">
        <f>MONTH($B1599)</f>
        <v/>
      </c>
      <c r="F1599" s="235">
        <f>($B1599+$C1599+1)/2</f>
        <v/>
      </c>
      <c r="G1599" s="201">
        <f>YEAR($B1599)*12+MONTH($B1599)-1</f>
        <v/>
      </c>
      <c r="H1599" s="207">
        <f>IF(OR(nr_SeasonOn="OFF",$D$1588=0,$E$1588=0),1,12*INDEX(se_block,$D$1588,$E1599)/$E$1588)</f>
        <v/>
      </c>
      <c r="I1599" s="208">
        <f>EXP(SUMPRODUCT((rl_eff&lt;$B1599)*(rl_key=$A$1588)*rl_ln1p))</f>
        <v/>
      </c>
      <c r="J1599" s="208">
        <f>EXP(SUMPRODUCT((rl_eff&lt;=$C1599)*(rl_key=$A$1588)*rl_ln1p))</f>
        <v/>
      </c>
      <c r="K1599" s="201">
        <f>COUNTIFS(rl_key,$A$1588,rl_eff,"&gt;="&amp;$B1599,rl_eff,"&lt;="&amp;$C1599)</f>
        <v/>
      </c>
      <c r="L1599" s="201">
        <f>SUMIFS(rl_daysafter,rl_key,$A$1588,rl_effmonth,$B1599,rl_first,1)</f>
        <v/>
      </c>
      <c r="M1599" s="209">
        <f>IF($K1599=0,0,MIN(1,$L1599/$D1599))</f>
        <v/>
      </c>
      <c r="N1599" s="208">
        <f>IF($K1599=0,$J1599,(1-$M1599)*$I1599+$M1599*$J1599)</f>
        <v/>
      </c>
      <c r="O1599" s="209">
        <f>IF($F1599&lt;$B$1589,$E$1589+$I$1589*($F1599-$A$1589),IF($F1599&lt;$C$1589,$F$1589+$J$1589*($F1599-$B$1589),$G$1589+$K$1589*($F1599-$C$1589)))</f>
        <v/>
      </c>
      <c r="P1599" s="208">
        <f>MIN(1,MAX(0,(nr_MEndPm1-$G1599+0.5)/$C$1588))-MIN(1,MAX(0,(nr_MStartPm1-1-$G1599+0.5)/$C$1588))</f>
        <v/>
      </c>
      <c r="Q1599" s="208">
        <f>MIN(1,MAX(0,(nr_MEndP-$G1599+0.5)/$C$1588))-MIN(1,MAX(0,(nr_MStartP-1-$G1599+0.5)/$C$1588))</f>
        <v/>
      </c>
      <c r="R1599" s="208">
        <f>MIN(1,MAX(0,(nr_MEndP1-$G1599+0.5)/$C$1588))-MIN(1,MAX(0,(nr_MStartP1-1-$G1599+0.5)/$C$1588))</f>
        <v/>
      </c>
      <c r="S1599" s="208">
        <f>IF($L$1588,$N1599*IF($O$1588=1,$O1599/$F$1588,1),"")</f>
        <v/>
      </c>
      <c r="T1599" s="208">
        <f>IF(NOT($L$1588),"",IF($G1599&lt;nr_MStartP,$S1599,$T1587*(1+IF($G1599&lt;nr_MStartP1,$M$1588,$N$1588))))</f>
        <v/>
      </c>
      <c r="U1599" s="208">
        <f>IF($L$1588,$T1599,$N1599)</f>
        <v/>
      </c>
    </row>
    <row r="1600">
      <c r="A1600" s="145" t="n">
        <v>10</v>
      </c>
      <c r="B1600" s="204">
        <f>EDATE($B1599,1)</f>
        <v/>
      </c>
      <c r="C1600" s="205">
        <f>EOMONTH($B1600,0)</f>
        <v/>
      </c>
      <c r="D1600" s="201">
        <f>$C1600-$B1600+1</f>
        <v/>
      </c>
      <c r="E1600" s="201">
        <f>MONTH($B1600)</f>
        <v/>
      </c>
      <c r="F1600" s="235">
        <f>($B1600+$C1600+1)/2</f>
        <v/>
      </c>
      <c r="G1600" s="201">
        <f>YEAR($B1600)*12+MONTH($B1600)-1</f>
        <v/>
      </c>
      <c r="H1600" s="207">
        <f>IF(OR(nr_SeasonOn="OFF",$D$1588=0,$E$1588=0),1,12*INDEX(se_block,$D$1588,$E1600)/$E$1588)</f>
        <v/>
      </c>
      <c r="I1600" s="208">
        <f>EXP(SUMPRODUCT((rl_eff&lt;$B1600)*(rl_key=$A$1588)*rl_ln1p))</f>
        <v/>
      </c>
      <c r="J1600" s="208">
        <f>EXP(SUMPRODUCT((rl_eff&lt;=$C1600)*(rl_key=$A$1588)*rl_ln1p))</f>
        <v/>
      </c>
      <c r="K1600" s="201">
        <f>COUNTIFS(rl_key,$A$1588,rl_eff,"&gt;="&amp;$B1600,rl_eff,"&lt;="&amp;$C1600)</f>
        <v/>
      </c>
      <c r="L1600" s="201">
        <f>SUMIFS(rl_daysafter,rl_key,$A$1588,rl_effmonth,$B1600,rl_first,1)</f>
        <v/>
      </c>
      <c r="M1600" s="209">
        <f>IF($K1600=0,0,MIN(1,$L1600/$D1600))</f>
        <v/>
      </c>
      <c r="N1600" s="208">
        <f>IF($K1600=0,$J1600,(1-$M1600)*$I1600+$M1600*$J1600)</f>
        <v/>
      </c>
      <c r="O1600" s="209">
        <f>IF($F1600&lt;$B$1589,$E$1589+$I$1589*($F1600-$A$1589),IF($F1600&lt;$C$1589,$F$1589+$J$1589*($F1600-$B$1589),$G$1589+$K$1589*($F1600-$C$1589)))</f>
        <v/>
      </c>
      <c r="P1600" s="208">
        <f>MIN(1,MAX(0,(nr_MEndPm1-$G1600+0.5)/$C$1588))-MIN(1,MAX(0,(nr_MStartPm1-1-$G1600+0.5)/$C$1588))</f>
        <v/>
      </c>
      <c r="Q1600" s="208">
        <f>MIN(1,MAX(0,(nr_MEndP-$G1600+0.5)/$C$1588))-MIN(1,MAX(0,(nr_MStartP-1-$G1600+0.5)/$C$1588))</f>
        <v/>
      </c>
      <c r="R1600" s="208">
        <f>MIN(1,MAX(0,(nr_MEndP1-$G1600+0.5)/$C$1588))-MIN(1,MAX(0,(nr_MStartP1-1-$G1600+0.5)/$C$1588))</f>
        <v/>
      </c>
      <c r="S1600" s="208">
        <f>IF($L$1588,$N1600*IF($O$1588=1,$O1600/$F$1588,1),"")</f>
        <v/>
      </c>
      <c r="T1600" s="208">
        <f>IF(NOT($L$1588),"",IF($G1600&lt;nr_MStartP,$S1600,$T1588*(1+IF($G1600&lt;nr_MStartP1,$M$1588,$N$1588))))</f>
        <v/>
      </c>
      <c r="U1600" s="208">
        <f>IF($L$1588,$T1600,$N1600)</f>
        <v/>
      </c>
    </row>
    <row r="1601">
      <c r="A1601" s="145" t="n">
        <v>11</v>
      </c>
      <c r="B1601" s="204">
        <f>EDATE($B1600,1)</f>
        <v/>
      </c>
      <c r="C1601" s="205">
        <f>EOMONTH($B1601,0)</f>
        <v/>
      </c>
      <c r="D1601" s="201">
        <f>$C1601-$B1601+1</f>
        <v/>
      </c>
      <c r="E1601" s="201">
        <f>MONTH($B1601)</f>
        <v/>
      </c>
      <c r="F1601" s="235">
        <f>($B1601+$C1601+1)/2</f>
        <v/>
      </c>
      <c r="G1601" s="201">
        <f>YEAR($B1601)*12+MONTH($B1601)-1</f>
        <v/>
      </c>
      <c r="H1601" s="207">
        <f>IF(OR(nr_SeasonOn="OFF",$D$1588=0,$E$1588=0),1,12*INDEX(se_block,$D$1588,$E1601)/$E$1588)</f>
        <v/>
      </c>
      <c r="I1601" s="208">
        <f>EXP(SUMPRODUCT((rl_eff&lt;$B1601)*(rl_key=$A$1588)*rl_ln1p))</f>
        <v/>
      </c>
      <c r="J1601" s="208">
        <f>EXP(SUMPRODUCT((rl_eff&lt;=$C1601)*(rl_key=$A$1588)*rl_ln1p))</f>
        <v/>
      </c>
      <c r="K1601" s="201">
        <f>COUNTIFS(rl_key,$A$1588,rl_eff,"&gt;="&amp;$B1601,rl_eff,"&lt;="&amp;$C1601)</f>
        <v/>
      </c>
      <c r="L1601" s="201">
        <f>SUMIFS(rl_daysafter,rl_key,$A$1588,rl_effmonth,$B1601,rl_first,1)</f>
        <v/>
      </c>
      <c r="M1601" s="209">
        <f>IF($K1601=0,0,MIN(1,$L1601/$D1601))</f>
        <v/>
      </c>
      <c r="N1601" s="208">
        <f>IF($K1601=0,$J1601,(1-$M1601)*$I1601+$M1601*$J1601)</f>
        <v/>
      </c>
      <c r="O1601" s="209">
        <f>IF($F1601&lt;$B$1589,$E$1589+$I$1589*($F1601-$A$1589),IF($F1601&lt;$C$1589,$F$1589+$J$1589*($F1601-$B$1589),$G$1589+$K$1589*($F1601-$C$1589)))</f>
        <v/>
      </c>
      <c r="P1601" s="208">
        <f>MIN(1,MAX(0,(nr_MEndPm1-$G1601+0.5)/$C$1588))-MIN(1,MAX(0,(nr_MStartPm1-1-$G1601+0.5)/$C$1588))</f>
        <v/>
      </c>
      <c r="Q1601" s="208">
        <f>MIN(1,MAX(0,(nr_MEndP-$G1601+0.5)/$C$1588))-MIN(1,MAX(0,(nr_MStartP-1-$G1601+0.5)/$C$1588))</f>
        <v/>
      </c>
      <c r="R1601" s="208">
        <f>MIN(1,MAX(0,(nr_MEndP1-$G1601+0.5)/$C$1588))-MIN(1,MAX(0,(nr_MStartP1-1-$G1601+0.5)/$C$1588))</f>
        <v/>
      </c>
      <c r="S1601" s="208">
        <f>IF($L$1588,$N1601*IF($O$1588=1,$O1601/$F$1588,1),"")</f>
        <v/>
      </c>
      <c r="T1601" s="208">
        <f>IF(NOT($L$1588),"",IF($G1601&lt;nr_MStartP,$S1601,$T1589*(1+IF($G1601&lt;nr_MStartP1,$M$1588,$N$1588))))</f>
        <v/>
      </c>
      <c r="U1601" s="208">
        <f>IF($L$1588,$T1601,$N1601)</f>
        <v/>
      </c>
    </row>
    <row r="1602">
      <c r="A1602" s="145" t="n">
        <v>12</v>
      </c>
      <c r="B1602" s="204">
        <f>EDATE($B1601,1)</f>
        <v/>
      </c>
      <c r="C1602" s="205">
        <f>EOMONTH($B1602,0)</f>
        <v/>
      </c>
      <c r="D1602" s="201">
        <f>$C1602-$B1602+1</f>
        <v/>
      </c>
      <c r="E1602" s="201">
        <f>MONTH($B1602)</f>
        <v/>
      </c>
      <c r="F1602" s="235">
        <f>($B1602+$C1602+1)/2</f>
        <v/>
      </c>
      <c r="G1602" s="201">
        <f>YEAR($B1602)*12+MONTH($B1602)-1</f>
        <v/>
      </c>
      <c r="H1602" s="207">
        <f>IF(OR(nr_SeasonOn="OFF",$D$1588=0,$E$1588=0),1,12*INDEX(se_block,$D$1588,$E1602)/$E$1588)</f>
        <v/>
      </c>
      <c r="I1602" s="208">
        <f>EXP(SUMPRODUCT((rl_eff&lt;$B1602)*(rl_key=$A$1588)*rl_ln1p))</f>
        <v/>
      </c>
      <c r="J1602" s="208">
        <f>EXP(SUMPRODUCT((rl_eff&lt;=$C1602)*(rl_key=$A$1588)*rl_ln1p))</f>
        <v/>
      </c>
      <c r="K1602" s="201">
        <f>COUNTIFS(rl_key,$A$1588,rl_eff,"&gt;="&amp;$B1602,rl_eff,"&lt;="&amp;$C1602)</f>
        <v/>
      </c>
      <c r="L1602" s="201">
        <f>SUMIFS(rl_daysafter,rl_key,$A$1588,rl_effmonth,$B1602,rl_first,1)</f>
        <v/>
      </c>
      <c r="M1602" s="209">
        <f>IF($K1602=0,0,MIN(1,$L1602/$D1602))</f>
        <v/>
      </c>
      <c r="N1602" s="208">
        <f>IF($K1602=0,$J1602,(1-$M1602)*$I1602+$M1602*$J1602)</f>
        <v/>
      </c>
      <c r="O1602" s="209">
        <f>IF($F1602&lt;$B$1589,$E$1589+$I$1589*($F1602-$A$1589),IF($F1602&lt;$C$1589,$F$1589+$J$1589*($F1602-$B$1589),$G$1589+$K$1589*($F1602-$C$1589)))</f>
        <v/>
      </c>
      <c r="P1602" s="208">
        <f>MIN(1,MAX(0,(nr_MEndPm1-$G1602+0.5)/$C$1588))-MIN(1,MAX(0,(nr_MStartPm1-1-$G1602+0.5)/$C$1588))</f>
        <v/>
      </c>
      <c r="Q1602" s="208">
        <f>MIN(1,MAX(0,(nr_MEndP-$G1602+0.5)/$C$1588))-MIN(1,MAX(0,(nr_MStartP-1-$G1602+0.5)/$C$1588))</f>
        <v/>
      </c>
      <c r="R1602" s="208">
        <f>MIN(1,MAX(0,(nr_MEndP1-$G1602+0.5)/$C$1588))-MIN(1,MAX(0,(nr_MStartP1-1-$G1602+0.5)/$C$1588))</f>
        <v/>
      </c>
      <c r="S1602" s="208">
        <f>IF($L$1588,$N1602*IF($O$1588=1,$O1602/$F$1588,1),"")</f>
        <v/>
      </c>
      <c r="T1602" s="208">
        <f>IF(NOT($L$1588),"",IF($G1602&lt;nr_MStartP,$S1602,$T1590*(1+IF($G1602&lt;nr_MStartP1,$M$1588,$N$1588))))</f>
        <v/>
      </c>
      <c r="U1602" s="208">
        <f>IF($L$1588,$T1602,$N1602)</f>
        <v/>
      </c>
    </row>
    <row r="1603">
      <c r="A1603" s="145" t="n">
        <v>13</v>
      </c>
      <c r="B1603" s="204">
        <f>EDATE($B1602,1)</f>
        <v/>
      </c>
      <c r="C1603" s="205">
        <f>EOMONTH($B1603,0)</f>
        <v/>
      </c>
      <c r="D1603" s="201">
        <f>$C1603-$B1603+1</f>
        <v/>
      </c>
      <c r="E1603" s="201">
        <f>MONTH($B1603)</f>
        <v/>
      </c>
      <c r="F1603" s="235">
        <f>($B1603+$C1603+1)/2</f>
        <v/>
      </c>
      <c r="G1603" s="201">
        <f>YEAR($B1603)*12+MONTH($B1603)-1</f>
        <v/>
      </c>
      <c r="H1603" s="207">
        <f>IF(OR(nr_SeasonOn="OFF",$D$1588=0,$E$1588=0),1,12*INDEX(se_block,$D$1588,$E1603)/$E$1588)</f>
        <v/>
      </c>
      <c r="I1603" s="208">
        <f>EXP(SUMPRODUCT((rl_eff&lt;$B1603)*(rl_key=$A$1588)*rl_ln1p))</f>
        <v/>
      </c>
      <c r="J1603" s="208">
        <f>EXP(SUMPRODUCT((rl_eff&lt;=$C1603)*(rl_key=$A$1588)*rl_ln1p))</f>
        <v/>
      </c>
      <c r="K1603" s="201">
        <f>COUNTIFS(rl_key,$A$1588,rl_eff,"&gt;="&amp;$B1603,rl_eff,"&lt;="&amp;$C1603)</f>
        <v/>
      </c>
      <c r="L1603" s="201">
        <f>SUMIFS(rl_daysafter,rl_key,$A$1588,rl_effmonth,$B1603,rl_first,1)</f>
        <v/>
      </c>
      <c r="M1603" s="209">
        <f>IF($K1603=0,0,MIN(1,$L1603/$D1603))</f>
        <v/>
      </c>
      <c r="N1603" s="208">
        <f>IF($K1603=0,$J1603,(1-$M1603)*$I1603+$M1603*$J1603)</f>
        <v/>
      </c>
      <c r="O1603" s="209">
        <f>IF($F1603&lt;$B$1589,$E$1589+$I$1589*($F1603-$A$1589),IF($F1603&lt;$C$1589,$F$1589+$J$1589*($F1603-$B$1589),$G$1589+$K$1589*($F1603-$C$1589)))</f>
        <v/>
      </c>
      <c r="P1603" s="208">
        <f>MIN(1,MAX(0,(nr_MEndPm1-$G1603+0.5)/$C$1588))-MIN(1,MAX(0,(nr_MStartPm1-1-$G1603+0.5)/$C$1588))</f>
        <v/>
      </c>
      <c r="Q1603" s="208">
        <f>MIN(1,MAX(0,(nr_MEndP-$G1603+0.5)/$C$1588))-MIN(1,MAX(0,(nr_MStartP-1-$G1603+0.5)/$C$1588))</f>
        <v/>
      </c>
      <c r="R1603" s="208">
        <f>MIN(1,MAX(0,(nr_MEndP1-$G1603+0.5)/$C$1588))-MIN(1,MAX(0,(nr_MStartP1-1-$G1603+0.5)/$C$1588))</f>
        <v/>
      </c>
      <c r="S1603" s="208">
        <f>IF($L$1588,$N1603*IF($O$1588=1,$O1603/$F$1588,1),"")</f>
        <v/>
      </c>
      <c r="T1603" s="208">
        <f>IF(NOT($L$1588),"",IF($G1603&lt;nr_MStartP,$S1603,$T1591*(1+IF($G1603&lt;nr_MStartP1,$M$1588,$N$1588))))</f>
        <v/>
      </c>
      <c r="U1603" s="208">
        <f>IF($L$1588,$T1603,$N1603)</f>
        <v/>
      </c>
    </row>
    <row r="1604">
      <c r="A1604" s="145" t="n">
        <v>14</v>
      </c>
      <c r="B1604" s="204">
        <f>EDATE($B1603,1)</f>
        <v/>
      </c>
      <c r="C1604" s="205">
        <f>EOMONTH($B1604,0)</f>
        <v/>
      </c>
      <c r="D1604" s="201">
        <f>$C1604-$B1604+1</f>
        <v/>
      </c>
      <c r="E1604" s="201">
        <f>MONTH($B1604)</f>
        <v/>
      </c>
      <c r="F1604" s="235">
        <f>($B1604+$C1604+1)/2</f>
        <v/>
      </c>
      <c r="G1604" s="201">
        <f>YEAR($B1604)*12+MONTH($B1604)-1</f>
        <v/>
      </c>
      <c r="H1604" s="207">
        <f>IF(OR(nr_SeasonOn="OFF",$D$1588=0,$E$1588=0),1,12*INDEX(se_block,$D$1588,$E1604)/$E$1588)</f>
        <v/>
      </c>
      <c r="I1604" s="208">
        <f>EXP(SUMPRODUCT((rl_eff&lt;$B1604)*(rl_key=$A$1588)*rl_ln1p))</f>
        <v/>
      </c>
      <c r="J1604" s="208">
        <f>EXP(SUMPRODUCT((rl_eff&lt;=$C1604)*(rl_key=$A$1588)*rl_ln1p))</f>
        <v/>
      </c>
      <c r="K1604" s="201">
        <f>COUNTIFS(rl_key,$A$1588,rl_eff,"&gt;="&amp;$B1604,rl_eff,"&lt;="&amp;$C1604)</f>
        <v/>
      </c>
      <c r="L1604" s="201">
        <f>SUMIFS(rl_daysafter,rl_key,$A$1588,rl_effmonth,$B1604,rl_first,1)</f>
        <v/>
      </c>
      <c r="M1604" s="209">
        <f>IF($K1604=0,0,MIN(1,$L1604/$D1604))</f>
        <v/>
      </c>
      <c r="N1604" s="208">
        <f>IF($K1604=0,$J1604,(1-$M1604)*$I1604+$M1604*$J1604)</f>
        <v/>
      </c>
      <c r="O1604" s="209">
        <f>IF($F1604&lt;$B$1589,$E$1589+$I$1589*($F1604-$A$1589),IF($F1604&lt;$C$1589,$F$1589+$J$1589*($F1604-$B$1589),$G$1589+$K$1589*($F1604-$C$1589)))</f>
        <v/>
      </c>
      <c r="P1604" s="208">
        <f>MIN(1,MAX(0,(nr_MEndPm1-$G1604+0.5)/$C$1588))-MIN(1,MAX(0,(nr_MStartPm1-1-$G1604+0.5)/$C$1588))</f>
        <v/>
      </c>
      <c r="Q1604" s="208">
        <f>MIN(1,MAX(0,(nr_MEndP-$G1604+0.5)/$C$1588))-MIN(1,MAX(0,(nr_MStartP-1-$G1604+0.5)/$C$1588))</f>
        <v/>
      </c>
      <c r="R1604" s="208">
        <f>MIN(1,MAX(0,(nr_MEndP1-$G1604+0.5)/$C$1588))-MIN(1,MAX(0,(nr_MStartP1-1-$G1604+0.5)/$C$1588))</f>
        <v/>
      </c>
      <c r="S1604" s="208">
        <f>IF($L$1588,$N1604*IF($O$1588=1,$O1604/$F$1588,1),"")</f>
        <v/>
      </c>
      <c r="T1604" s="208">
        <f>IF(NOT($L$1588),"",IF($G1604&lt;nr_MStartP,$S1604,$T1592*(1+IF($G1604&lt;nr_MStartP1,$M$1588,$N$1588))))</f>
        <v/>
      </c>
      <c r="U1604" s="208">
        <f>IF($L$1588,$T1604,$N1604)</f>
        <v/>
      </c>
    </row>
    <row r="1605">
      <c r="A1605" s="145" t="n">
        <v>15</v>
      </c>
      <c r="B1605" s="204">
        <f>EDATE($B1604,1)</f>
        <v/>
      </c>
      <c r="C1605" s="205">
        <f>EOMONTH($B1605,0)</f>
        <v/>
      </c>
      <c r="D1605" s="201">
        <f>$C1605-$B1605+1</f>
        <v/>
      </c>
      <c r="E1605" s="201">
        <f>MONTH($B1605)</f>
        <v/>
      </c>
      <c r="F1605" s="235">
        <f>($B1605+$C1605+1)/2</f>
        <v/>
      </c>
      <c r="G1605" s="201">
        <f>YEAR($B1605)*12+MONTH($B1605)-1</f>
        <v/>
      </c>
      <c r="H1605" s="207">
        <f>IF(OR(nr_SeasonOn="OFF",$D$1588=0,$E$1588=0),1,12*INDEX(se_block,$D$1588,$E1605)/$E$1588)</f>
        <v/>
      </c>
      <c r="I1605" s="208">
        <f>EXP(SUMPRODUCT((rl_eff&lt;$B1605)*(rl_key=$A$1588)*rl_ln1p))</f>
        <v/>
      </c>
      <c r="J1605" s="208">
        <f>EXP(SUMPRODUCT((rl_eff&lt;=$C1605)*(rl_key=$A$1588)*rl_ln1p))</f>
        <v/>
      </c>
      <c r="K1605" s="201">
        <f>COUNTIFS(rl_key,$A$1588,rl_eff,"&gt;="&amp;$B1605,rl_eff,"&lt;="&amp;$C1605)</f>
        <v/>
      </c>
      <c r="L1605" s="201">
        <f>SUMIFS(rl_daysafter,rl_key,$A$1588,rl_effmonth,$B1605,rl_first,1)</f>
        <v/>
      </c>
      <c r="M1605" s="209">
        <f>IF($K1605=0,0,MIN(1,$L1605/$D1605))</f>
        <v/>
      </c>
      <c r="N1605" s="208">
        <f>IF($K1605=0,$J1605,(1-$M1605)*$I1605+$M1605*$J1605)</f>
        <v/>
      </c>
      <c r="O1605" s="209">
        <f>IF($F1605&lt;$B$1589,$E$1589+$I$1589*($F1605-$A$1589),IF($F1605&lt;$C$1589,$F$1589+$J$1589*($F1605-$B$1589),$G$1589+$K$1589*($F1605-$C$1589)))</f>
        <v/>
      </c>
      <c r="P1605" s="208">
        <f>MIN(1,MAX(0,(nr_MEndPm1-$G1605+0.5)/$C$1588))-MIN(1,MAX(0,(nr_MStartPm1-1-$G1605+0.5)/$C$1588))</f>
        <v/>
      </c>
      <c r="Q1605" s="208">
        <f>MIN(1,MAX(0,(nr_MEndP-$G1605+0.5)/$C$1588))-MIN(1,MAX(0,(nr_MStartP-1-$G1605+0.5)/$C$1588))</f>
        <v/>
      </c>
      <c r="R1605" s="208">
        <f>MIN(1,MAX(0,(nr_MEndP1-$G1605+0.5)/$C$1588))-MIN(1,MAX(0,(nr_MStartP1-1-$G1605+0.5)/$C$1588))</f>
        <v/>
      </c>
      <c r="S1605" s="208">
        <f>IF($L$1588,$N1605*IF($O$1588=1,$O1605/$F$1588,1),"")</f>
        <v/>
      </c>
      <c r="T1605" s="208">
        <f>IF(NOT($L$1588),"",IF($G1605&lt;nr_MStartP,$S1605,$T1593*(1+IF($G1605&lt;nr_MStartP1,$M$1588,$N$1588))))</f>
        <v/>
      </c>
      <c r="U1605" s="208">
        <f>IF($L$1588,$T1605,$N1605)</f>
        <v/>
      </c>
    </row>
    <row r="1606">
      <c r="A1606" s="145" t="n">
        <v>16</v>
      </c>
      <c r="B1606" s="204">
        <f>EDATE($B1605,1)</f>
        <v/>
      </c>
      <c r="C1606" s="205">
        <f>EOMONTH($B1606,0)</f>
        <v/>
      </c>
      <c r="D1606" s="201">
        <f>$C1606-$B1606+1</f>
        <v/>
      </c>
      <c r="E1606" s="201">
        <f>MONTH($B1606)</f>
        <v/>
      </c>
      <c r="F1606" s="235">
        <f>($B1606+$C1606+1)/2</f>
        <v/>
      </c>
      <c r="G1606" s="201">
        <f>YEAR($B1606)*12+MONTH($B1606)-1</f>
        <v/>
      </c>
      <c r="H1606" s="207">
        <f>IF(OR(nr_SeasonOn="OFF",$D$1588=0,$E$1588=0),1,12*INDEX(se_block,$D$1588,$E1606)/$E$1588)</f>
        <v/>
      </c>
      <c r="I1606" s="208">
        <f>EXP(SUMPRODUCT((rl_eff&lt;$B1606)*(rl_key=$A$1588)*rl_ln1p))</f>
        <v/>
      </c>
      <c r="J1606" s="208">
        <f>EXP(SUMPRODUCT((rl_eff&lt;=$C1606)*(rl_key=$A$1588)*rl_ln1p))</f>
        <v/>
      </c>
      <c r="K1606" s="201">
        <f>COUNTIFS(rl_key,$A$1588,rl_eff,"&gt;="&amp;$B1606,rl_eff,"&lt;="&amp;$C1606)</f>
        <v/>
      </c>
      <c r="L1606" s="201">
        <f>SUMIFS(rl_daysafter,rl_key,$A$1588,rl_effmonth,$B1606,rl_first,1)</f>
        <v/>
      </c>
      <c r="M1606" s="209">
        <f>IF($K1606=0,0,MIN(1,$L1606/$D1606))</f>
        <v/>
      </c>
      <c r="N1606" s="208">
        <f>IF($K1606=0,$J1606,(1-$M1606)*$I1606+$M1606*$J1606)</f>
        <v/>
      </c>
      <c r="O1606" s="209">
        <f>IF($F1606&lt;$B$1589,$E$1589+$I$1589*($F1606-$A$1589),IF($F1606&lt;$C$1589,$F$1589+$J$1589*($F1606-$B$1589),$G$1589+$K$1589*($F1606-$C$1589)))</f>
        <v/>
      </c>
      <c r="P1606" s="208">
        <f>MIN(1,MAX(0,(nr_MEndPm1-$G1606+0.5)/$C$1588))-MIN(1,MAX(0,(nr_MStartPm1-1-$G1606+0.5)/$C$1588))</f>
        <v/>
      </c>
      <c r="Q1606" s="208">
        <f>MIN(1,MAX(0,(nr_MEndP-$G1606+0.5)/$C$1588))-MIN(1,MAX(0,(nr_MStartP-1-$G1606+0.5)/$C$1588))</f>
        <v/>
      </c>
      <c r="R1606" s="208">
        <f>MIN(1,MAX(0,(nr_MEndP1-$G1606+0.5)/$C$1588))-MIN(1,MAX(0,(nr_MStartP1-1-$G1606+0.5)/$C$1588))</f>
        <v/>
      </c>
      <c r="S1606" s="208">
        <f>IF($L$1588,$N1606*IF($O$1588=1,$O1606/$F$1588,1),"")</f>
        <v/>
      </c>
      <c r="T1606" s="208">
        <f>IF(NOT($L$1588),"",IF($G1606&lt;nr_MStartP,$S1606,$T1594*(1+IF($G1606&lt;nr_MStartP1,$M$1588,$N$1588))))</f>
        <v/>
      </c>
      <c r="U1606" s="208">
        <f>IF($L$1588,$T1606,$N1606)</f>
        <v/>
      </c>
    </row>
    <row r="1607">
      <c r="A1607" s="145" t="n">
        <v>17</v>
      </c>
      <c r="B1607" s="204">
        <f>EDATE($B1606,1)</f>
        <v/>
      </c>
      <c r="C1607" s="205">
        <f>EOMONTH($B1607,0)</f>
        <v/>
      </c>
      <c r="D1607" s="201">
        <f>$C1607-$B1607+1</f>
        <v/>
      </c>
      <c r="E1607" s="201">
        <f>MONTH($B1607)</f>
        <v/>
      </c>
      <c r="F1607" s="235">
        <f>($B1607+$C1607+1)/2</f>
        <v/>
      </c>
      <c r="G1607" s="201">
        <f>YEAR($B1607)*12+MONTH($B1607)-1</f>
        <v/>
      </c>
      <c r="H1607" s="207">
        <f>IF(OR(nr_SeasonOn="OFF",$D$1588=0,$E$1588=0),1,12*INDEX(se_block,$D$1588,$E1607)/$E$1588)</f>
        <v/>
      </c>
      <c r="I1607" s="208">
        <f>EXP(SUMPRODUCT((rl_eff&lt;$B1607)*(rl_key=$A$1588)*rl_ln1p))</f>
        <v/>
      </c>
      <c r="J1607" s="208">
        <f>EXP(SUMPRODUCT((rl_eff&lt;=$C1607)*(rl_key=$A$1588)*rl_ln1p))</f>
        <v/>
      </c>
      <c r="K1607" s="201">
        <f>COUNTIFS(rl_key,$A$1588,rl_eff,"&gt;="&amp;$B1607,rl_eff,"&lt;="&amp;$C1607)</f>
        <v/>
      </c>
      <c r="L1607" s="201">
        <f>SUMIFS(rl_daysafter,rl_key,$A$1588,rl_effmonth,$B1607,rl_first,1)</f>
        <v/>
      </c>
      <c r="M1607" s="209">
        <f>IF($K1607=0,0,MIN(1,$L1607/$D1607))</f>
        <v/>
      </c>
      <c r="N1607" s="208">
        <f>IF($K1607=0,$J1607,(1-$M1607)*$I1607+$M1607*$J1607)</f>
        <v/>
      </c>
      <c r="O1607" s="209">
        <f>IF($F1607&lt;$B$1589,$E$1589+$I$1589*($F1607-$A$1589),IF($F1607&lt;$C$1589,$F$1589+$J$1589*($F1607-$B$1589),$G$1589+$K$1589*($F1607-$C$1589)))</f>
        <v/>
      </c>
      <c r="P1607" s="208">
        <f>MIN(1,MAX(0,(nr_MEndPm1-$G1607+0.5)/$C$1588))-MIN(1,MAX(0,(nr_MStartPm1-1-$G1607+0.5)/$C$1588))</f>
        <v/>
      </c>
      <c r="Q1607" s="208">
        <f>MIN(1,MAX(0,(nr_MEndP-$G1607+0.5)/$C$1588))-MIN(1,MAX(0,(nr_MStartP-1-$G1607+0.5)/$C$1588))</f>
        <v/>
      </c>
      <c r="R1607" s="208">
        <f>MIN(1,MAX(0,(nr_MEndP1-$G1607+0.5)/$C$1588))-MIN(1,MAX(0,(nr_MStartP1-1-$G1607+0.5)/$C$1588))</f>
        <v/>
      </c>
      <c r="S1607" s="208">
        <f>IF($L$1588,$N1607*IF($O$1588=1,$O1607/$F$1588,1),"")</f>
        <v/>
      </c>
      <c r="T1607" s="208">
        <f>IF(NOT($L$1588),"",IF($G1607&lt;nr_MStartP,$S1607,$T1595*(1+IF($G1607&lt;nr_MStartP1,$M$1588,$N$1588))))</f>
        <v/>
      </c>
      <c r="U1607" s="208">
        <f>IF($L$1588,$T1607,$N1607)</f>
        <v/>
      </c>
    </row>
    <row r="1608">
      <c r="A1608" s="145" t="n">
        <v>18</v>
      </c>
      <c r="B1608" s="204">
        <f>EDATE($B1607,1)</f>
        <v/>
      </c>
      <c r="C1608" s="205">
        <f>EOMONTH($B1608,0)</f>
        <v/>
      </c>
      <c r="D1608" s="201">
        <f>$C1608-$B1608+1</f>
        <v/>
      </c>
      <c r="E1608" s="201">
        <f>MONTH($B1608)</f>
        <v/>
      </c>
      <c r="F1608" s="235">
        <f>($B1608+$C1608+1)/2</f>
        <v/>
      </c>
      <c r="G1608" s="201">
        <f>YEAR($B1608)*12+MONTH($B1608)-1</f>
        <v/>
      </c>
      <c r="H1608" s="207">
        <f>IF(OR(nr_SeasonOn="OFF",$D$1588=0,$E$1588=0),1,12*INDEX(se_block,$D$1588,$E1608)/$E$1588)</f>
        <v/>
      </c>
      <c r="I1608" s="208">
        <f>EXP(SUMPRODUCT((rl_eff&lt;$B1608)*(rl_key=$A$1588)*rl_ln1p))</f>
        <v/>
      </c>
      <c r="J1608" s="208">
        <f>EXP(SUMPRODUCT((rl_eff&lt;=$C1608)*(rl_key=$A$1588)*rl_ln1p))</f>
        <v/>
      </c>
      <c r="K1608" s="201">
        <f>COUNTIFS(rl_key,$A$1588,rl_eff,"&gt;="&amp;$B1608,rl_eff,"&lt;="&amp;$C1608)</f>
        <v/>
      </c>
      <c r="L1608" s="201">
        <f>SUMIFS(rl_daysafter,rl_key,$A$1588,rl_effmonth,$B1608,rl_first,1)</f>
        <v/>
      </c>
      <c r="M1608" s="209">
        <f>IF($K1608=0,0,MIN(1,$L1608/$D1608))</f>
        <v/>
      </c>
      <c r="N1608" s="208">
        <f>IF($K1608=0,$J1608,(1-$M1608)*$I1608+$M1608*$J1608)</f>
        <v/>
      </c>
      <c r="O1608" s="209">
        <f>IF($F1608&lt;$B$1589,$E$1589+$I$1589*($F1608-$A$1589),IF($F1608&lt;$C$1589,$F$1589+$J$1589*($F1608-$B$1589),$G$1589+$K$1589*($F1608-$C$1589)))</f>
        <v/>
      </c>
      <c r="P1608" s="208">
        <f>MIN(1,MAX(0,(nr_MEndPm1-$G1608+0.5)/$C$1588))-MIN(1,MAX(0,(nr_MStartPm1-1-$G1608+0.5)/$C$1588))</f>
        <v/>
      </c>
      <c r="Q1608" s="208">
        <f>MIN(1,MAX(0,(nr_MEndP-$G1608+0.5)/$C$1588))-MIN(1,MAX(0,(nr_MStartP-1-$G1608+0.5)/$C$1588))</f>
        <v/>
      </c>
      <c r="R1608" s="208">
        <f>MIN(1,MAX(0,(nr_MEndP1-$G1608+0.5)/$C$1588))-MIN(1,MAX(0,(nr_MStartP1-1-$G1608+0.5)/$C$1588))</f>
        <v/>
      </c>
      <c r="S1608" s="208">
        <f>IF($L$1588,$N1608*IF($O$1588=1,$O1608/$F$1588,1),"")</f>
        <v/>
      </c>
      <c r="T1608" s="208">
        <f>IF(NOT($L$1588),"",IF($G1608&lt;nr_MStartP,$S1608,$T1596*(1+IF($G1608&lt;nr_MStartP1,$M$1588,$N$1588))))</f>
        <v/>
      </c>
      <c r="U1608" s="208">
        <f>IF($L$1588,$T1608,$N1608)</f>
        <v/>
      </c>
    </row>
    <row r="1609">
      <c r="A1609" s="145" t="n">
        <v>19</v>
      </c>
      <c r="B1609" s="204">
        <f>EDATE($B1608,1)</f>
        <v/>
      </c>
      <c r="C1609" s="205">
        <f>EOMONTH($B1609,0)</f>
        <v/>
      </c>
      <c r="D1609" s="201">
        <f>$C1609-$B1609+1</f>
        <v/>
      </c>
      <c r="E1609" s="201">
        <f>MONTH($B1609)</f>
        <v/>
      </c>
      <c r="F1609" s="235">
        <f>($B1609+$C1609+1)/2</f>
        <v/>
      </c>
      <c r="G1609" s="201">
        <f>YEAR($B1609)*12+MONTH($B1609)-1</f>
        <v/>
      </c>
      <c r="H1609" s="207">
        <f>IF(OR(nr_SeasonOn="OFF",$D$1588=0,$E$1588=0),1,12*INDEX(se_block,$D$1588,$E1609)/$E$1588)</f>
        <v/>
      </c>
      <c r="I1609" s="208">
        <f>EXP(SUMPRODUCT((rl_eff&lt;$B1609)*(rl_key=$A$1588)*rl_ln1p))</f>
        <v/>
      </c>
      <c r="J1609" s="208">
        <f>EXP(SUMPRODUCT((rl_eff&lt;=$C1609)*(rl_key=$A$1588)*rl_ln1p))</f>
        <v/>
      </c>
      <c r="K1609" s="201">
        <f>COUNTIFS(rl_key,$A$1588,rl_eff,"&gt;="&amp;$B1609,rl_eff,"&lt;="&amp;$C1609)</f>
        <v/>
      </c>
      <c r="L1609" s="201">
        <f>SUMIFS(rl_daysafter,rl_key,$A$1588,rl_effmonth,$B1609,rl_first,1)</f>
        <v/>
      </c>
      <c r="M1609" s="209">
        <f>IF($K1609=0,0,MIN(1,$L1609/$D1609))</f>
        <v/>
      </c>
      <c r="N1609" s="208">
        <f>IF($K1609=0,$J1609,(1-$M1609)*$I1609+$M1609*$J1609)</f>
        <v/>
      </c>
      <c r="O1609" s="209">
        <f>IF($F1609&lt;$B$1589,$E$1589+$I$1589*($F1609-$A$1589),IF($F1609&lt;$C$1589,$F$1589+$J$1589*($F1609-$B$1589),$G$1589+$K$1589*($F1609-$C$1589)))</f>
        <v/>
      </c>
      <c r="P1609" s="208">
        <f>MIN(1,MAX(0,(nr_MEndPm1-$G1609+0.5)/$C$1588))-MIN(1,MAX(0,(nr_MStartPm1-1-$G1609+0.5)/$C$1588))</f>
        <v/>
      </c>
      <c r="Q1609" s="208">
        <f>MIN(1,MAX(0,(nr_MEndP-$G1609+0.5)/$C$1588))-MIN(1,MAX(0,(nr_MStartP-1-$G1609+0.5)/$C$1588))</f>
        <v/>
      </c>
      <c r="R1609" s="208">
        <f>MIN(1,MAX(0,(nr_MEndP1-$G1609+0.5)/$C$1588))-MIN(1,MAX(0,(nr_MStartP1-1-$G1609+0.5)/$C$1588))</f>
        <v/>
      </c>
      <c r="S1609" s="208">
        <f>IF($L$1588,$N1609*IF($O$1588=1,$O1609/$F$1588,1),"")</f>
        <v/>
      </c>
      <c r="T1609" s="208">
        <f>IF(NOT($L$1588),"",IF($G1609&lt;nr_MStartP,$S1609,$T1597*(1+IF($G1609&lt;nr_MStartP1,$M$1588,$N$1588))))</f>
        <v/>
      </c>
      <c r="U1609" s="208">
        <f>IF($L$1588,$T1609,$N1609)</f>
        <v/>
      </c>
    </row>
    <row r="1610">
      <c r="A1610" s="145" t="n">
        <v>20</v>
      </c>
      <c r="B1610" s="204">
        <f>EDATE($B1609,1)</f>
        <v/>
      </c>
      <c r="C1610" s="205">
        <f>EOMONTH($B1610,0)</f>
        <v/>
      </c>
      <c r="D1610" s="201">
        <f>$C1610-$B1610+1</f>
        <v/>
      </c>
      <c r="E1610" s="201">
        <f>MONTH($B1610)</f>
        <v/>
      </c>
      <c r="F1610" s="235">
        <f>($B1610+$C1610+1)/2</f>
        <v/>
      </c>
      <c r="G1610" s="201">
        <f>YEAR($B1610)*12+MONTH($B1610)-1</f>
        <v/>
      </c>
      <c r="H1610" s="207">
        <f>IF(OR(nr_SeasonOn="OFF",$D$1588=0,$E$1588=0),1,12*INDEX(se_block,$D$1588,$E1610)/$E$1588)</f>
        <v/>
      </c>
      <c r="I1610" s="208">
        <f>EXP(SUMPRODUCT((rl_eff&lt;$B1610)*(rl_key=$A$1588)*rl_ln1p))</f>
        <v/>
      </c>
      <c r="J1610" s="208">
        <f>EXP(SUMPRODUCT((rl_eff&lt;=$C1610)*(rl_key=$A$1588)*rl_ln1p))</f>
        <v/>
      </c>
      <c r="K1610" s="201">
        <f>COUNTIFS(rl_key,$A$1588,rl_eff,"&gt;="&amp;$B1610,rl_eff,"&lt;="&amp;$C1610)</f>
        <v/>
      </c>
      <c r="L1610" s="201">
        <f>SUMIFS(rl_daysafter,rl_key,$A$1588,rl_effmonth,$B1610,rl_first,1)</f>
        <v/>
      </c>
      <c r="M1610" s="209">
        <f>IF($K1610=0,0,MIN(1,$L1610/$D1610))</f>
        <v/>
      </c>
      <c r="N1610" s="208">
        <f>IF($K1610=0,$J1610,(1-$M1610)*$I1610+$M1610*$J1610)</f>
        <v/>
      </c>
      <c r="O1610" s="209">
        <f>IF($F1610&lt;$B$1589,$E$1589+$I$1589*($F1610-$A$1589),IF($F1610&lt;$C$1589,$F$1589+$J$1589*($F1610-$B$1589),$G$1589+$K$1589*($F1610-$C$1589)))</f>
        <v/>
      </c>
      <c r="P1610" s="208">
        <f>MIN(1,MAX(0,(nr_MEndPm1-$G1610+0.5)/$C$1588))-MIN(1,MAX(0,(nr_MStartPm1-1-$G1610+0.5)/$C$1588))</f>
        <v/>
      </c>
      <c r="Q1610" s="208">
        <f>MIN(1,MAX(0,(nr_MEndP-$G1610+0.5)/$C$1588))-MIN(1,MAX(0,(nr_MStartP-1-$G1610+0.5)/$C$1588))</f>
        <v/>
      </c>
      <c r="R1610" s="208">
        <f>MIN(1,MAX(0,(nr_MEndP1-$G1610+0.5)/$C$1588))-MIN(1,MAX(0,(nr_MStartP1-1-$G1610+0.5)/$C$1588))</f>
        <v/>
      </c>
      <c r="S1610" s="208">
        <f>IF($L$1588,$N1610*IF($O$1588=1,$O1610/$F$1588,1),"")</f>
        <v/>
      </c>
      <c r="T1610" s="208">
        <f>IF(NOT($L$1588),"",IF($G1610&lt;nr_MStartP,$S1610,$T1598*(1+IF($G1610&lt;nr_MStartP1,$M$1588,$N$1588))))</f>
        <v/>
      </c>
      <c r="U1610" s="208">
        <f>IF($L$1588,$T1610,$N1610)</f>
        <v/>
      </c>
    </row>
    <row r="1611">
      <c r="A1611" s="145" t="n">
        <v>21</v>
      </c>
      <c r="B1611" s="204">
        <f>EDATE($B1610,1)</f>
        <v/>
      </c>
      <c r="C1611" s="205">
        <f>EOMONTH($B1611,0)</f>
        <v/>
      </c>
      <c r="D1611" s="201">
        <f>$C1611-$B1611+1</f>
        <v/>
      </c>
      <c r="E1611" s="201">
        <f>MONTH($B1611)</f>
        <v/>
      </c>
      <c r="F1611" s="235">
        <f>($B1611+$C1611+1)/2</f>
        <v/>
      </c>
      <c r="G1611" s="201">
        <f>YEAR($B1611)*12+MONTH($B1611)-1</f>
        <v/>
      </c>
      <c r="H1611" s="207">
        <f>IF(OR(nr_SeasonOn="OFF",$D$1588=0,$E$1588=0),1,12*INDEX(se_block,$D$1588,$E1611)/$E$1588)</f>
        <v/>
      </c>
      <c r="I1611" s="208">
        <f>EXP(SUMPRODUCT((rl_eff&lt;$B1611)*(rl_key=$A$1588)*rl_ln1p))</f>
        <v/>
      </c>
      <c r="J1611" s="208">
        <f>EXP(SUMPRODUCT((rl_eff&lt;=$C1611)*(rl_key=$A$1588)*rl_ln1p))</f>
        <v/>
      </c>
      <c r="K1611" s="201">
        <f>COUNTIFS(rl_key,$A$1588,rl_eff,"&gt;="&amp;$B1611,rl_eff,"&lt;="&amp;$C1611)</f>
        <v/>
      </c>
      <c r="L1611" s="201">
        <f>SUMIFS(rl_daysafter,rl_key,$A$1588,rl_effmonth,$B1611,rl_first,1)</f>
        <v/>
      </c>
      <c r="M1611" s="209">
        <f>IF($K1611=0,0,MIN(1,$L1611/$D1611))</f>
        <v/>
      </c>
      <c r="N1611" s="208">
        <f>IF($K1611=0,$J1611,(1-$M1611)*$I1611+$M1611*$J1611)</f>
        <v/>
      </c>
      <c r="O1611" s="209">
        <f>IF($F1611&lt;$B$1589,$E$1589+$I$1589*($F1611-$A$1589),IF($F1611&lt;$C$1589,$F$1589+$J$1589*($F1611-$B$1589),$G$1589+$K$1589*($F1611-$C$1589)))</f>
        <v/>
      </c>
      <c r="P1611" s="208">
        <f>MIN(1,MAX(0,(nr_MEndPm1-$G1611+0.5)/$C$1588))-MIN(1,MAX(0,(nr_MStartPm1-1-$G1611+0.5)/$C$1588))</f>
        <v/>
      </c>
      <c r="Q1611" s="208">
        <f>MIN(1,MAX(0,(nr_MEndP-$G1611+0.5)/$C$1588))-MIN(1,MAX(0,(nr_MStartP-1-$G1611+0.5)/$C$1588))</f>
        <v/>
      </c>
      <c r="R1611" s="208">
        <f>MIN(1,MAX(0,(nr_MEndP1-$G1611+0.5)/$C$1588))-MIN(1,MAX(0,(nr_MStartP1-1-$G1611+0.5)/$C$1588))</f>
        <v/>
      </c>
      <c r="S1611" s="208">
        <f>IF($L$1588,$N1611*IF($O$1588=1,$O1611/$F$1588,1),"")</f>
        <v/>
      </c>
      <c r="T1611" s="208">
        <f>IF(NOT($L$1588),"",IF($G1611&lt;nr_MStartP,$S1611,$T1599*(1+IF($G1611&lt;nr_MStartP1,$M$1588,$N$1588))))</f>
        <v/>
      </c>
      <c r="U1611" s="208">
        <f>IF($L$1588,$T1611,$N1611)</f>
        <v/>
      </c>
    </row>
    <row r="1612">
      <c r="A1612" s="145" t="n">
        <v>22</v>
      </c>
      <c r="B1612" s="204">
        <f>EDATE($B1611,1)</f>
        <v/>
      </c>
      <c r="C1612" s="205">
        <f>EOMONTH($B1612,0)</f>
        <v/>
      </c>
      <c r="D1612" s="201">
        <f>$C1612-$B1612+1</f>
        <v/>
      </c>
      <c r="E1612" s="201">
        <f>MONTH($B1612)</f>
        <v/>
      </c>
      <c r="F1612" s="235">
        <f>($B1612+$C1612+1)/2</f>
        <v/>
      </c>
      <c r="G1612" s="201">
        <f>YEAR($B1612)*12+MONTH($B1612)-1</f>
        <v/>
      </c>
      <c r="H1612" s="207">
        <f>IF(OR(nr_SeasonOn="OFF",$D$1588=0,$E$1588=0),1,12*INDEX(se_block,$D$1588,$E1612)/$E$1588)</f>
        <v/>
      </c>
      <c r="I1612" s="208">
        <f>EXP(SUMPRODUCT((rl_eff&lt;$B1612)*(rl_key=$A$1588)*rl_ln1p))</f>
        <v/>
      </c>
      <c r="J1612" s="208">
        <f>EXP(SUMPRODUCT((rl_eff&lt;=$C1612)*(rl_key=$A$1588)*rl_ln1p))</f>
        <v/>
      </c>
      <c r="K1612" s="201">
        <f>COUNTIFS(rl_key,$A$1588,rl_eff,"&gt;="&amp;$B1612,rl_eff,"&lt;="&amp;$C1612)</f>
        <v/>
      </c>
      <c r="L1612" s="201">
        <f>SUMIFS(rl_daysafter,rl_key,$A$1588,rl_effmonth,$B1612,rl_first,1)</f>
        <v/>
      </c>
      <c r="M1612" s="209">
        <f>IF($K1612=0,0,MIN(1,$L1612/$D1612))</f>
        <v/>
      </c>
      <c r="N1612" s="208">
        <f>IF($K1612=0,$J1612,(1-$M1612)*$I1612+$M1612*$J1612)</f>
        <v/>
      </c>
      <c r="O1612" s="209">
        <f>IF($F1612&lt;$B$1589,$E$1589+$I$1589*($F1612-$A$1589),IF($F1612&lt;$C$1589,$F$1589+$J$1589*($F1612-$B$1589),$G$1589+$K$1589*($F1612-$C$1589)))</f>
        <v/>
      </c>
      <c r="P1612" s="208">
        <f>MIN(1,MAX(0,(nr_MEndPm1-$G1612+0.5)/$C$1588))-MIN(1,MAX(0,(nr_MStartPm1-1-$G1612+0.5)/$C$1588))</f>
        <v/>
      </c>
      <c r="Q1612" s="208">
        <f>MIN(1,MAX(0,(nr_MEndP-$G1612+0.5)/$C$1588))-MIN(1,MAX(0,(nr_MStartP-1-$G1612+0.5)/$C$1588))</f>
        <v/>
      </c>
      <c r="R1612" s="208">
        <f>MIN(1,MAX(0,(nr_MEndP1-$G1612+0.5)/$C$1588))-MIN(1,MAX(0,(nr_MStartP1-1-$G1612+0.5)/$C$1588))</f>
        <v/>
      </c>
      <c r="S1612" s="208">
        <f>IF($L$1588,$N1612*IF($O$1588=1,$O1612/$F$1588,1),"")</f>
        <v/>
      </c>
      <c r="T1612" s="208">
        <f>IF(NOT($L$1588),"",IF($G1612&lt;nr_MStartP,$S1612,$T1600*(1+IF($G1612&lt;nr_MStartP1,$M$1588,$N$1588))))</f>
        <v/>
      </c>
      <c r="U1612" s="208">
        <f>IF($L$1588,$T1612,$N1612)</f>
        <v/>
      </c>
    </row>
    <row r="1613">
      <c r="A1613" s="145" t="n">
        <v>23</v>
      </c>
      <c r="B1613" s="204">
        <f>EDATE($B1612,1)</f>
        <v/>
      </c>
      <c r="C1613" s="205">
        <f>EOMONTH($B1613,0)</f>
        <v/>
      </c>
      <c r="D1613" s="201">
        <f>$C1613-$B1613+1</f>
        <v/>
      </c>
      <c r="E1613" s="201">
        <f>MONTH($B1613)</f>
        <v/>
      </c>
      <c r="F1613" s="235">
        <f>($B1613+$C1613+1)/2</f>
        <v/>
      </c>
      <c r="G1613" s="201">
        <f>YEAR($B1613)*12+MONTH($B1613)-1</f>
        <v/>
      </c>
      <c r="H1613" s="207">
        <f>IF(OR(nr_SeasonOn="OFF",$D$1588=0,$E$1588=0),1,12*INDEX(se_block,$D$1588,$E1613)/$E$1588)</f>
        <v/>
      </c>
      <c r="I1613" s="208">
        <f>EXP(SUMPRODUCT((rl_eff&lt;$B1613)*(rl_key=$A$1588)*rl_ln1p))</f>
        <v/>
      </c>
      <c r="J1613" s="208">
        <f>EXP(SUMPRODUCT((rl_eff&lt;=$C1613)*(rl_key=$A$1588)*rl_ln1p))</f>
        <v/>
      </c>
      <c r="K1613" s="201">
        <f>COUNTIFS(rl_key,$A$1588,rl_eff,"&gt;="&amp;$B1613,rl_eff,"&lt;="&amp;$C1613)</f>
        <v/>
      </c>
      <c r="L1613" s="201">
        <f>SUMIFS(rl_daysafter,rl_key,$A$1588,rl_effmonth,$B1613,rl_first,1)</f>
        <v/>
      </c>
      <c r="M1613" s="209">
        <f>IF($K1613=0,0,MIN(1,$L1613/$D1613))</f>
        <v/>
      </c>
      <c r="N1613" s="208">
        <f>IF($K1613=0,$J1613,(1-$M1613)*$I1613+$M1613*$J1613)</f>
        <v/>
      </c>
      <c r="O1613" s="209">
        <f>IF($F1613&lt;$B$1589,$E$1589+$I$1589*($F1613-$A$1589),IF($F1613&lt;$C$1589,$F$1589+$J$1589*($F1613-$B$1589),$G$1589+$K$1589*($F1613-$C$1589)))</f>
        <v/>
      </c>
      <c r="P1613" s="208">
        <f>MIN(1,MAX(0,(nr_MEndPm1-$G1613+0.5)/$C$1588))-MIN(1,MAX(0,(nr_MStartPm1-1-$G1613+0.5)/$C$1588))</f>
        <v/>
      </c>
      <c r="Q1613" s="208">
        <f>MIN(1,MAX(0,(nr_MEndP-$G1613+0.5)/$C$1588))-MIN(1,MAX(0,(nr_MStartP-1-$G1613+0.5)/$C$1588))</f>
        <v/>
      </c>
      <c r="R1613" s="208">
        <f>MIN(1,MAX(0,(nr_MEndP1-$G1613+0.5)/$C$1588))-MIN(1,MAX(0,(nr_MStartP1-1-$G1613+0.5)/$C$1588))</f>
        <v/>
      </c>
      <c r="S1613" s="208">
        <f>IF($L$1588,$N1613*IF($O$1588=1,$O1613/$F$1588,1),"")</f>
        <v/>
      </c>
      <c r="T1613" s="208">
        <f>IF(NOT($L$1588),"",IF($G1613&lt;nr_MStartP,$S1613,$T1601*(1+IF($G1613&lt;nr_MStartP1,$M$1588,$N$1588))))</f>
        <v/>
      </c>
      <c r="U1613" s="208">
        <f>IF($L$1588,$T1613,$N1613)</f>
        <v/>
      </c>
    </row>
    <row r="1614">
      <c r="A1614" s="145" t="n">
        <v>24</v>
      </c>
      <c r="B1614" s="204">
        <f>EDATE($B1613,1)</f>
        <v/>
      </c>
      <c r="C1614" s="205">
        <f>EOMONTH($B1614,0)</f>
        <v/>
      </c>
      <c r="D1614" s="201">
        <f>$C1614-$B1614+1</f>
        <v/>
      </c>
      <c r="E1614" s="201">
        <f>MONTH($B1614)</f>
        <v/>
      </c>
      <c r="F1614" s="235">
        <f>($B1614+$C1614+1)/2</f>
        <v/>
      </c>
      <c r="G1614" s="201">
        <f>YEAR($B1614)*12+MONTH($B1614)-1</f>
        <v/>
      </c>
      <c r="H1614" s="207">
        <f>IF(OR(nr_SeasonOn="OFF",$D$1588=0,$E$1588=0),1,12*INDEX(se_block,$D$1588,$E1614)/$E$1588)</f>
        <v/>
      </c>
      <c r="I1614" s="208">
        <f>EXP(SUMPRODUCT((rl_eff&lt;$B1614)*(rl_key=$A$1588)*rl_ln1p))</f>
        <v/>
      </c>
      <c r="J1614" s="208">
        <f>EXP(SUMPRODUCT((rl_eff&lt;=$C1614)*(rl_key=$A$1588)*rl_ln1p))</f>
        <v/>
      </c>
      <c r="K1614" s="201">
        <f>COUNTIFS(rl_key,$A$1588,rl_eff,"&gt;="&amp;$B1614,rl_eff,"&lt;="&amp;$C1614)</f>
        <v/>
      </c>
      <c r="L1614" s="201">
        <f>SUMIFS(rl_daysafter,rl_key,$A$1588,rl_effmonth,$B1614,rl_first,1)</f>
        <v/>
      </c>
      <c r="M1614" s="209">
        <f>IF($K1614=0,0,MIN(1,$L1614/$D1614))</f>
        <v/>
      </c>
      <c r="N1614" s="208">
        <f>IF($K1614=0,$J1614,(1-$M1614)*$I1614+$M1614*$J1614)</f>
        <v/>
      </c>
      <c r="O1614" s="209">
        <f>IF($F1614&lt;$B$1589,$E$1589+$I$1589*($F1614-$A$1589),IF($F1614&lt;$C$1589,$F$1589+$J$1589*($F1614-$B$1589),$G$1589+$K$1589*($F1614-$C$1589)))</f>
        <v/>
      </c>
      <c r="P1614" s="208">
        <f>MIN(1,MAX(0,(nr_MEndPm1-$G1614+0.5)/$C$1588))-MIN(1,MAX(0,(nr_MStartPm1-1-$G1614+0.5)/$C$1588))</f>
        <v/>
      </c>
      <c r="Q1614" s="208">
        <f>MIN(1,MAX(0,(nr_MEndP-$G1614+0.5)/$C$1588))-MIN(1,MAX(0,(nr_MStartP-1-$G1614+0.5)/$C$1588))</f>
        <v/>
      </c>
      <c r="R1614" s="208">
        <f>MIN(1,MAX(0,(nr_MEndP1-$G1614+0.5)/$C$1588))-MIN(1,MAX(0,(nr_MStartP1-1-$G1614+0.5)/$C$1588))</f>
        <v/>
      </c>
      <c r="S1614" s="208">
        <f>IF($L$1588,$N1614*IF($O$1588=1,$O1614/$F$1588,1),"")</f>
        <v/>
      </c>
      <c r="T1614" s="208">
        <f>IF(NOT($L$1588),"",IF($G1614&lt;nr_MStartP,$S1614,$T1602*(1+IF($G1614&lt;nr_MStartP1,$M$1588,$N$1588))))</f>
        <v/>
      </c>
      <c r="U1614" s="208">
        <f>IF($L$1588,$T1614,$N1614)</f>
        <v/>
      </c>
    </row>
    <row r="1615">
      <c r="A1615" s="145" t="n">
        <v>25</v>
      </c>
      <c r="B1615" s="204">
        <f>EDATE($B1614,1)</f>
        <v/>
      </c>
      <c r="C1615" s="205">
        <f>EOMONTH($B1615,0)</f>
        <v/>
      </c>
      <c r="D1615" s="201">
        <f>$C1615-$B1615+1</f>
        <v/>
      </c>
      <c r="E1615" s="201">
        <f>MONTH($B1615)</f>
        <v/>
      </c>
      <c r="F1615" s="235">
        <f>($B1615+$C1615+1)/2</f>
        <v/>
      </c>
      <c r="G1615" s="201">
        <f>YEAR($B1615)*12+MONTH($B1615)-1</f>
        <v/>
      </c>
      <c r="H1615" s="207">
        <f>IF(OR(nr_SeasonOn="OFF",$D$1588=0,$E$1588=0),1,12*INDEX(se_block,$D$1588,$E1615)/$E$1588)</f>
        <v/>
      </c>
      <c r="I1615" s="208">
        <f>EXP(SUMPRODUCT((rl_eff&lt;$B1615)*(rl_key=$A$1588)*rl_ln1p))</f>
        <v/>
      </c>
      <c r="J1615" s="208">
        <f>EXP(SUMPRODUCT((rl_eff&lt;=$C1615)*(rl_key=$A$1588)*rl_ln1p))</f>
        <v/>
      </c>
      <c r="K1615" s="201">
        <f>COUNTIFS(rl_key,$A$1588,rl_eff,"&gt;="&amp;$B1615,rl_eff,"&lt;="&amp;$C1615)</f>
        <v/>
      </c>
      <c r="L1615" s="201">
        <f>SUMIFS(rl_daysafter,rl_key,$A$1588,rl_effmonth,$B1615,rl_first,1)</f>
        <v/>
      </c>
      <c r="M1615" s="209">
        <f>IF($K1615=0,0,MIN(1,$L1615/$D1615))</f>
        <v/>
      </c>
      <c r="N1615" s="208">
        <f>IF($K1615=0,$J1615,(1-$M1615)*$I1615+$M1615*$J1615)</f>
        <v/>
      </c>
      <c r="O1615" s="209">
        <f>IF($F1615&lt;$B$1589,$E$1589+$I$1589*($F1615-$A$1589),IF($F1615&lt;$C$1589,$F$1589+$J$1589*($F1615-$B$1589),$G$1589+$K$1589*($F1615-$C$1589)))</f>
        <v/>
      </c>
      <c r="P1615" s="208">
        <f>MIN(1,MAX(0,(nr_MEndPm1-$G1615+0.5)/$C$1588))-MIN(1,MAX(0,(nr_MStartPm1-1-$G1615+0.5)/$C$1588))</f>
        <v/>
      </c>
      <c r="Q1615" s="208">
        <f>MIN(1,MAX(0,(nr_MEndP-$G1615+0.5)/$C$1588))-MIN(1,MAX(0,(nr_MStartP-1-$G1615+0.5)/$C$1588))</f>
        <v/>
      </c>
      <c r="R1615" s="208">
        <f>MIN(1,MAX(0,(nr_MEndP1-$G1615+0.5)/$C$1588))-MIN(1,MAX(0,(nr_MStartP1-1-$G1615+0.5)/$C$1588))</f>
        <v/>
      </c>
      <c r="S1615" s="208">
        <f>IF($L$1588,$N1615*IF($O$1588=1,$O1615/$F$1588,1),"")</f>
        <v/>
      </c>
      <c r="T1615" s="208">
        <f>IF(NOT($L$1588),"",IF($G1615&lt;nr_MStartP,$S1615,$T1603*(1+IF($G1615&lt;nr_MStartP1,$M$1588,$N$1588))))</f>
        <v/>
      </c>
      <c r="U1615" s="208">
        <f>IF($L$1588,$T1615,$N1615)</f>
        <v/>
      </c>
    </row>
    <row r="1616">
      <c r="A1616" s="145" t="n">
        <v>26</v>
      </c>
      <c r="B1616" s="204">
        <f>EDATE($B1615,1)</f>
        <v/>
      </c>
      <c r="C1616" s="205">
        <f>EOMONTH($B1616,0)</f>
        <v/>
      </c>
      <c r="D1616" s="201">
        <f>$C1616-$B1616+1</f>
        <v/>
      </c>
      <c r="E1616" s="201">
        <f>MONTH($B1616)</f>
        <v/>
      </c>
      <c r="F1616" s="235">
        <f>($B1616+$C1616+1)/2</f>
        <v/>
      </c>
      <c r="G1616" s="201">
        <f>YEAR($B1616)*12+MONTH($B1616)-1</f>
        <v/>
      </c>
      <c r="H1616" s="207">
        <f>IF(OR(nr_SeasonOn="OFF",$D$1588=0,$E$1588=0),1,12*INDEX(se_block,$D$1588,$E1616)/$E$1588)</f>
        <v/>
      </c>
      <c r="I1616" s="208">
        <f>EXP(SUMPRODUCT((rl_eff&lt;$B1616)*(rl_key=$A$1588)*rl_ln1p))</f>
        <v/>
      </c>
      <c r="J1616" s="208">
        <f>EXP(SUMPRODUCT((rl_eff&lt;=$C1616)*(rl_key=$A$1588)*rl_ln1p))</f>
        <v/>
      </c>
      <c r="K1616" s="201">
        <f>COUNTIFS(rl_key,$A$1588,rl_eff,"&gt;="&amp;$B1616,rl_eff,"&lt;="&amp;$C1616)</f>
        <v/>
      </c>
      <c r="L1616" s="201">
        <f>SUMIFS(rl_daysafter,rl_key,$A$1588,rl_effmonth,$B1616,rl_first,1)</f>
        <v/>
      </c>
      <c r="M1616" s="209">
        <f>IF($K1616=0,0,MIN(1,$L1616/$D1616))</f>
        <v/>
      </c>
      <c r="N1616" s="208">
        <f>IF($K1616=0,$J1616,(1-$M1616)*$I1616+$M1616*$J1616)</f>
        <v/>
      </c>
      <c r="O1616" s="209">
        <f>IF($F1616&lt;$B$1589,$E$1589+$I$1589*($F1616-$A$1589),IF($F1616&lt;$C$1589,$F$1589+$J$1589*($F1616-$B$1589),$G$1589+$K$1589*($F1616-$C$1589)))</f>
        <v/>
      </c>
      <c r="P1616" s="208">
        <f>MIN(1,MAX(0,(nr_MEndPm1-$G1616+0.5)/$C$1588))-MIN(1,MAX(0,(nr_MStartPm1-1-$G1616+0.5)/$C$1588))</f>
        <v/>
      </c>
      <c r="Q1616" s="208">
        <f>MIN(1,MAX(0,(nr_MEndP-$G1616+0.5)/$C$1588))-MIN(1,MAX(0,(nr_MStartP-1-$G1616+0.5)/$C$1588))</f>
        <v/>
      </c>
      <c r="R1616" s="208">
        <f>MIN(1,MAX(0,(nr_MEndP1-$G1616+0.5)/$C$1588))-MIN(1,MAX(0,(nr_MStartP1-1-$G1616+0.5)/$C$1588))</f>
        <v/>
      </c>
      <c r="S1616" s="208">
        <f>IF($L$1588,$N1616*IF($O$1588=1,$O1616/$F$1588,1),"")</f>
        <v/>
      </c>
      <c r="T1616" s="208">
        <f>IF(NOT($L$1588),"",IF($G1616&lt;nr_MStartP,$S1616,$T1604*(1+IF($G1616&lt;nr_MStartP1,$M$1588,$N$1588))))</f>
        <v/>
      </c>
      <c r="U1616" s="208">
        <f>IF($L$1588,$T1616,$N1616)</f>
        <v/>
      </c>
    </row>
    <row r="1617">
      <c r="A1617" s="145" t="n">
        <v>27</v>
      </c>
      <c r="B1617" s="204">
        <f>EDATE($B1616,1)</f>
        <v/>
      </c>
      <c r="C1617" s="205">
        <f>EOMONTH($B1617,0)</f>
        <v/>
      </c>
      <c r="D1617" s="201">
        <f>$C1617-$B1617+1</f>
        <v/>
      </c>
      <c r="E1617" s="201">
        <f>MONTH($B1617)</f>
        <v/>
      </c>
      <c r="F1617" s="235">
        <f>($B1617+$C1617+1)/2</f>
        <v/>
      </c>
      <c r="G1617" s="201">
        <f>YEAR($B1617)*12+MONTH($B1617)-1</f>
        <v/>
      </c>
      <c r="H1617" s="207">
        <f>IF(OR(nr_SeasonOn="OFF",$D$1588=0,$E$1588=0),1,12*INDEX(se_block,$D$1588,$E1617)/$E$1588)</f>
        <v/>
      </c>
      <c r="I1617" s="208">
        <f>EXP(SUMPRODUCT((rl_eff&lt;$B1617)*(rl_key=$A$1588)*rl_ln1p))</f>
        <v/>
      </c>
      <c r="J1617" s="208">
        <f>EXP(SUMPRODUCT((rl_eff&lt;=$C1617)*(rl_key=$A$1588)*rl_ln1p))</f>
        <v/>
      </c>
      <c r="K1617" s="201">
        <f>COUNTIFS(rl_key,$A$1588,rl_eff,"&gt;="&amp;$B1617,rl_eff,"&lt;="&amp;$C1617)</f>
        <v/>
      </c>
      <c r="L1617" s="201">
        <f>SUMIFS(rl_daysafter,rl_key,$A$1588,rl_effmonth,$B1617,rl_first,1)</f>
        <v/>
      </c>
      <c r="M1617" s="209">
        <f>IF($K1617=0,0,MIN(1,$L1617/$D1617))</f>
        <v/>
      </c>
      <c r="N1617" s="208">
        <f>IF($K1617=0,$J1617,(1-$M1617)*$I1617+$M1617*$J1617)</f>
        <v/>
      </c>
      <c r="O1617" s="209">
        <f>IF($F1617&lt;$B$1589,$E$1589+$I$1589*($F1617-$A$1589),IF($F1617&lt;$C$1589,$F$1589+$J$1589*($F1617-$B$1589),$G$1589+$K$1589*($F1617-$C$1589)))</f>
        <v/>
      </c>
      <c r="P1617" s="208">
        <f>MIN(1,MAX(0,(nr_MEndPm1-$G1617+0.5)/$C$1588))-MIN(1,MAX(0,(nr_MStartPm1-1-$G1617+0.5)/$C$1588))</f>
        <v/>
      </c>
      <c r="Q1617" s="208">
        <f>MIN(1,MAX(0,(nr_MEndP-$G1617+0.5)/$C$1588))-MIN(1,MAX(0,(nr_MStartP-1-$G1617+0.5)/$C$1588))</f>
        <v/>
      </c>
      <c r="R1617" s="208">
        <f>MIN(1,MAX(0,(nr_MEndP1-$G1617+0.5)/$C$1588))-MIN(1,MAX(0,(nr_MStartP1-1-$G1617+0.5)/$C$1588))</f>
        <v/>
      </c>
      <c r="S1617" s="208">
        <f>IF($L$1588,$N1617*IF($O$1588=1,$O1617/$F$1588,1),"")</f>
        <v/>
      </c>
      <c r="T1617" s="208">
        <f>IF(NOT($L$1588),"",IF($G1617&lt;nr_MStartP,$S1617,$T1605*(1+IF($G1617&lt;nr_MStartP1,$M$1588,$N$1588))))</f>
        <v/>
      </c>
      <c r="U1617" s="208">
        <f>IF($L$1588,$T1617,$N1617)</f>
        <v/>
      </c>
    </row>
    <row r="1618">
      <c r="A1618" s="145" t="n">
        <v>28</v>
      </c>
      <c r="B1618" s="204">
        <f>EDATE($B1617,1)</f>
        <v/>
      </c>
      <c r="C1618" s="205">
        <f>EOMONTH($B1618,0)</f>
        <v/>
      </c>
      <c r="D1618" s="201">
        <f>$C1618-$B1618+1</f>
        <v/>
      </c>
      <c r="E1618" s="201">
        <f>MONTH($B1618)</f>
        <v/>
      </c>
      <c r="F1618" s="235">
        <f>($B1618+$C1618+1)/2</f>
        <v/>
      </c>
      <c r="G1618" s="201">
        <f>YEAR($B1618)*12+MONTH($B1618)-1</f>
        <v/>
      </c>
      <c r="H1618" s="207">
        <f>IF(OR(nr_SeasonOn="OFF",$D$1588=0,$E$1588=0),1,12*INDEX(se_block,$D$1588,$E1618)/$E$1588)</f>
        <v/>
      </c>
      <c r="I1618" s="208">
        <f>EXP(SUMPRODUCT((rl_eff&lt;$B1618)*(rl_key=$A$1588)*rl_ln1p))</f>
        <v/>
      </c>
      <c r="J1618" s="208">
        <f>EXP(SUMPRODUCT((rl_eff&lt;=$C1618)*(rl_key=$A$1588)*rl_ln1p))</f>
        <v/>
      </c>
      <c r="K1618" s="201">
        <f>COUNTIFS(rl_key,$A$1588,rl_eff,"&gt;="&amp;$B1618,rl_eff,"&lt;="&amp;$C1618)</f>
        <v/>
      </c>
      <c r="L1618" s="201">
        <f>SUMIFS(rl_daysafter,rl_key,$A$1588,rl_effmonth,$B1618,rl_first,1)</f>
        <v/>
      </c>
      <c r="M1618" s="209">
        <f>IF($K1618=0,0,MIN(1,$L1618/$D1618))</f>
        <v/>
      </c>
      <c r="N1618" s="208">
        <f>IF($K1618=0,$J1618,(1-$M1618)*$I1618+$M1618*$J1618)</f>
        <v/>
      </c>
      <c r="O1618" s="209">
        <f>IF($F1618&lt;$B$1589,$E$1589+$I$1589*($F1618-$A$1589),IF($F1618&lt;$C$1589,$F$1589+$J$1589*($F1618-$B$1589),$G$1589+$K$1589*($F1618-$C$1589)))</f>
        <v/>
      </c>
      <c r="P1618" s="208">
        <f>MIN(1,MAX(0,(nr_MEndPm1-$G1618+0.5)/$C$1588))-MIN(1,MAX(0,(nr_MStartPm1-1-$G1618+0.5)/$C$1588))</f>
        <v/>
      </c>
      <c r="Q1618" s="208">
        <f>MIN(1,MAX(0,(nr_MEndP-$G1618+0.5)/$C$1588))-MIN(1,MAX(0,(nr_MStartP-1-$G1618+0.5)/$C$1588))</f>
        <v/>
      </c>
      <c r="R1618" s="208">
        <f>MIN(1,MAX(0,(nr_MEndP1-$G1618+0.5)/$C$1588))-MIN(1,MAX(0,(nr_MStartP1-1-$G1618+0.5)/$C$1588))</f>
        <v/>
      </c>
      <c r="S1618" s="208">
        <f>IF($L$1588,$N1618*IF($O$1588=1,$O1618/$F$1588,1),"")</f>
        <v/>
      </c>
      <c r="T1618" s="208">
        <f>IF(NOT($L$1588),"",IF($G1618&lt;nr_MStartP,$S1618,$T1606*(1+IF($G1618&lt;nr_MStartP1,$M$1588,$N$1588))))</f>
        <v/>
      </c>
      <c r="U1618" s="208">
        <f>IF($L$1588,$T1618,$N1618)</f>
        <v/>
      </c>
    </row>
    <row r="1619">
      <c r="A1619" s="145" t="n">
        <v>29</v>
      </c>
      <c r="B1619" s="204">
        <f>EDATE($B1618,1)</f>
        <v/>
      </c>
      <c r="C1619" s="205">
        <f>EOMONTH($B1619,0)</f>
        <v/>
      </c>
      <c r="D1619" s="201">
        <f>$C1619-$B1619+1</f>
        <v/>
      </c>
      <c r="E1619" s="201">
        <f>MONTH($B1619)</f>
        <v/>
      </c>
      <c r="F1619" s="235">
        <f>($B1619+$C1619+1)/2</f>
        <v/>
      </c>
      <c r="G1619" s="201">
        <f>YEAR($B1619)*12+MONTH($B1619)-1</f>
        <v/>
      </c>
      <c r="H1619" s="207">
        <f>IF(OR(nr_SeasonOn="OFF",$D$1588=0,$E$1588=0),1,12*INDEX(se_block,$D$1588,$E1619)/$E$1588)</f>
        <v/>
      </c>
      <c r="I1619" s="208">
        <f>EXP(SUMPRODUCT((rl_eff&lt;$B1619)*(rl_key=$A$1588)*rl_ln1p))</f>
        <v/>
      </c>
      <c r="J1619" s="208">
        <f>EXP(SUMPRODUCT((rl_eff&lt;=$C1619)*(rl_key=$A$1588)*rl_ln1p))</f>
        <v/>
      </c>
      <c r="K1619" s="201">
        <f>COUNTIFS(rl_key,$A$1588,rl_eff,"&gt;="&amp;$B1619,rl_eff,"&lt;="&amp;$C1619)</f>
        <v/>
      </c>
      <c r="L1619" s="201">
        <f>SUMIFS(rl_daysafter,rl_key,$A$1588,rl_effmonth,$B1619,rl_first,1)</f>
        <v/>
      </c>
      <c r="M1619" s="209">
        <f>IF($K1619=0,0,MIN(1,$L1619/$D1619))</f>
        <v/>
      </c>
      <c r="N1619" s="208">
        <f>IF($K1619=0,$J1619,(1-$M1619)*$I1619+$M1619*$J1619)</f>
        <v/>
      </c>
      <c r="O1619" s="209">
        <f>IF($F1619&lt;$B$1589,$E$1589+$I$1589*($F1619-$A$1589),IF($F1619&lt;$C$1589,$F$1589+$J$1589*($F1619-$B$1589),$G$1589+$K$1589*($F1619-$C$1589)))</f>
        <v/>
      </c>
      <c r="P1619" s="208">
        <f>MIN(1,MAX(0,(nr_MEndPm1-$G1619+0.5)/$C$1588))-MIN(1,MAX(0,(nr_MStartPm1-1-$G1619+0.5)/$C$1588))</f>
        <v/>
      </c>
      <c r="Q1619" s="208">
        <f>MIN(1,MAX(0,(nr_MEndP-$G1619+0.5)/$C$1588))-MIN(1,MAX(0,(nr_MStartP-1-$G1619+0.5)/$C$1588))</f>
        <v/>
      </c>
      <c r="R1619" s="208">
        <f>MIN(1,MAX(0,(nr_MEndP1-$G1619+0.5)/$C$1588))-MIN(1,MAX(0,(nr_MStartP1-1-$G1619+0.5)/$C$1588))</f>
        <v/>
      </c>
      <c r="S1619" s="208">
        <f>IF($L$1588,$N1619*IF($O$1588=1,$O1619/$F$1588,1),"")</f>
        <v/>
      </c>
      <c r="T1619" s="208">
        <f>IF(NOT($L$1588),"",IF($G1619&lt;nr_MStartP,$S1619,$T1607*(1+IF($G1619&lt;nr_MStartP1,$M$1588,$N$1588))))</f>
        <v/>
      </c>
      <c r="U1619" s="208">
        <f>IF($L$1588,$T1619,$N1619)</f>
        <v/>
      </c>
    </row>
    <row r="1620">
      <c r="A1620" s="145" t="n">
        <v>30</v>
      </c>
      <c r="B1620" s="204">
        <f>EDATE($B1619,1)</f>
        <v/>
      </c>
      <c r="C1620" s="205">
        <f>EOMONTH($B1620,0)</f>
        <v/>
      </c>
      <c r="D1620" s="201">
        <f>$C1620-$B1620+1</f>
        <v/>
      </c>
      <c r="E1620" s="201">
        <f>MONTH($B1620)</f>
        <v/>
      </c>
      <c r="F1620" s="235">
        <f>($B1620+$C1620+1)/2</f>
        <v/>
      </c>
      <c r="G1620" s="201">
        <f>YEAR($B1620)*12+MONTH($B1620)-1</f>
        <v/>
      </c>
      <c r="H1620" s="207">
        <f>IF(OR(nr_SeasonOn="OFF",$D$1588=0,$E$1588=0),1,12*INDEX(se_block,$D$1588,$E1620)/$E$1588)</f>
        <v/>
      </c>
      <c r="I1620" s="208">
        <f>EXP(SUMPRODUCT((rl_eff&lt;$B1620)*(rl_key=$A$1588)*rl_ln1p))</f>
        <v/>
      </c>
      <c r="J1620" s="208">
        <f>EXP(SUMPRODUCT((rl_eff&lt;=$C1620)*(rl_key=$A$1588)*rl_ln1p))</f>
        <v/>
      </c>
      <c r="K1620" s="201">
        <f>COUNTIFS(rl_key,$A$1588,rl_eff,"&gt;="&amp;$B1620,rl_eff,"&lt;="&amp;$C1620)</f>
        <v/>
      </c>
      <c r="L1620" s="201">
        <f>SUMIFS(rl_daysafter,rl_key,$A$1588,rl_effmonth,$B1620,rl_first,1)</f>
        <v/>
      </c>
      <c r="M1620" s="209">
        <f>IF($K1620=0,0,MIN(1,$L1620/$D1620))</f>
        <v/>
      </c>
      <c r="N1620" s="208">
        <f>IF($K1620=0,$J1620,(1-$M1620)*$I1620+$M1620*$J1620)</f>
        <v/>
      </c>
      <c r="O1620" s="209">
        <f>IF($F1620&lt;$B$1589,$E$1589+$I$1589*($F1620-$A$1589),IF($F1620&lt;$C$1589,$F$1589+$J$1589*($F1620-$B$1589),$G$1589+$K$1589*($F1620-$C$1589)))</f>
        <v/>
      </c>
      <c r="P1620" s="208">
        <f>MIN(1,MAX(0,(nr_MEndPm1-$G1620+0.5)/$C$1588))-MIN(1,MAX(0,(nr_MStartPm1-1-$G1620+0.5)/$C$1588))</f>
        <v/>
      </c>
      <c r="Q1620" s="208">
        <f>MIN(1,MAX(0,(nr_MEndP-$G1620+0.5)/$C$1588))-MIN(1,MAX(0,(nr_MStartP-1-$G1620+0.5)/$C$1588))</f>
        <v/>
      </c>
      <c r="R1620" s="208">
        <f>MIN(1,MAX(0,(nr_MEndP1-$G1620+0.5)/$C$1588))-MIN(1,MAX(0,(nr_MStartP1-1-$G1620+0.5)/$C$1588))</f>
        <v/>
      </c>
      <c r="S1620" s="208">
        <f>IF($L$1588,$N1620*IF($O$1588=1,$O1620/$F$1588,1),"")</f>
        <v/>
      </c>
      <c r="T1620" s="208">
        <f>IF(NOT($L$1588),"",IF($G1620&lt;nr_MStartP,$S1620,$T1608*(1+IF($G1620&lt;nr_MStartP1,$M$1588,$N$1588))))</f>
        <v/>
      </c>
      <c r="U1620" s="208">
        <f>IF($L$1588,$T1620,$N1620)</f>
        <v/>
      </c>
    </row>
    <row r="1621">
      <c r="A1621" s="145" t="n">
        <v>31</v>
      </c>
      <c r="B1621" s="204">
        <f>EDATE($B1620,1)</f>
        <v/>
      </c>
      <c r="C1621" s="205">
        <f>EOMONTH($B1621,0)</f>
        <v/>
      </c>
      <c r="D1621" s="201">
        <f>$C1621-$B1621+1</f>
        <v/>
      </c>
      <c r="E1621" s="201">
        <f>MONTH($B1621)</f>
        <v/>
      </c>
      <c r="F1621" s="235">
        <f>($B1621+$C1621+1)/2</f>
        <v/>
      </c>
      <c r="G1621" s="201">
        <f>YEAR($B1621)*12+MONTH($B1621)-1</f>
        <v/>
      </c>
      <c r="H1621" s="207">
        <f>IF(OR(nr_SeasonOn="OFF",$D$1588=0,$E$1588=0),1,12*INDEX(se_block,$D$1588,$E1621)/$E$1588)</f>
        <v/>
      </c>
      <c r="I1621" s="208">
        <f>EXP(SUMPRODUCT((rl_eff&lt;$B1621)*(rl_key=$A$1588)*rl_ln1p))</f>
        <v/>
      </c>
      <c r="J1621" s="208">
        <f>EXP(SUMPRODUCT((rl_eff&lt;=$C1621)*(rl_key=$A$1588)*rl_ln1p))</f>
        <v/>
      </c>
      <c r="K1621" s="201">
        <f>COUNTIFS(rl_key,$A$1588,rl_eff,"&gt;="&amp;$B1621,rl_eff,"&lt;="&amp;$C1621)</f>
        <v/>
      </c>
      <c r="L1621" s="201">
        <f>SUMIFS(rl_daysafter,rl_key,$A$1588,rl_effmonth,$B1621,rl_first,1)</f>
        <v/>
      </c>
      <c r="M1621" s="209">
        <f>IF($K1621=0,0,MIN(1,$L1621/$D1621))</f>
        <v/>
      </c>
      <c r="N1621" s="208">
        <f>IF($K1621=0,$J1621,(1-$M1621)*$I1621+$M1621*$J1621)</f>
        <v/>
      </c>
      <c r="O1621" s="209">
        <f>IF($F1621&lt;$B$1589,$E$1589+$I$1589*($F1621-$A$1589),IF($F1621&lt;$C$1589,$F$1589+$J$1589*($F1621-$B$1589),$G$1589+$K$1589*($F1621-$C$1589)))</f>
        <v/>
      </c>
      <c r="P1621" s="208">
        <f>MIN(1,MAX(0,(nr_MEndPm1-$G1621+0.5)/$C$1588))-MIN(1,MAX(0,(nr_MStartPm1-1-$G1621+0.5)/$C$1588))</f>
        <v/>
      </c>
      <c r="Q1621" s="208">
        <f>MIN(1,MAX(0,(nr_MEndP-$G1621+0.5)/$C$1588))-MIN(1,MAX(0,(nr_MStartP-1-$G1621+0.5)/$C$1588))</f>
        <v/>
      </c>
      <c r="R1621" s="208">
        <f>MIN(1,MAX(0,(nr_MEndP1-$G1621+0.5)/$C$1588))-MIN(1,MAX(0,(nr_MStartP1-1-$G1621+0.5)/$C$1588))</f>
        <v/>
      </c>
      <c r="S1621" s="208">
        <f>IF($L$1588,$N1621*IF($O$1588=1,$O1621/$F$1588,1),"")</f>
        <v/>
      </c>
      <c r="T1621" s="208">
        <f>IF(NOT($L$1588),"",IF($G1621&lt;nr_MStartP,$S1621,$T1609*(1+IF($G1621&lt;nr_MStartP1,$M$1588,$N$1588))))</f>
        <v/>
      </c>
      <c r="U1621" s="208">
        <f>IF($L$1588,$T1621,$N1621)</f>
        <v/>
      </c>
    </row>
    <row r="1622">
      <c r="A1622" s="145" t="n">
        <v>32</v>
      </c>
      <c r="B1622" s="204">
        <f>EDATE($B1621,1)</f>
        <v/>
      </c>
      <c r="C1622" s="205">
        <f>EOMONTH($B1622,0)</f>
        <v/>
      </c>
      <c r="D1622" s="201">
        <f>$C1622-$B1622+1</f>
        <v/>
      </c>
      <c r="E1622" s="201">
        <f>MONTH($B1622)</f>
        <v/>
      </c>
      <c r="F1622" s="235">
        <f>($B1622+$C1622+1)/2</f>
        <v/>
      </c>
      <c r="G1622" s="201">
        <f>YEAR($B1622)*12+MONTH($B1622)-1</f>
        <v/>
      </c>
      <c r="H1622" s="207">
        <f>IF(OR(nr_SeasonOn="OFF",$D$1588=0,$E$1588=0),1,12*INDEX(se_block,$D$1588,$E1622)/$E$1588)</f>
        <v/>
      </c>
      <c r="I1622" s="208">
        <f>EXP(SUMPRODUCT((rl_eff&lt;$B1622)*(rl_key=$A$1588)*rl_ln1p))</f>
        <v/>
      </c>
      <c r="J1622" s="208">
        <f>EXP(SUMPRODUCT((rl_eff&lt;=$C1622)*(rl_key=$A$1588)*rl_ln1p))</f>
        <v/>
      </c>
      <c r="K1622" s="201">
        <f>COUNTIFS(rl_key,$A$1588,rl_eff,"&gt;="&amp;$B1622,rl_eff,"&lt;="&amp;$C1622)</f>
        <v/>
      </c>
      <c r="L1622" s="201">
        <f>SUMIFS(rl_daysafter,rl_key,$A$1588,rl_effmonth,$B1622,rl_first,1)</f>
        <v/>
      </c>
      <c r="M1622" s="209">
        <f>IF($K1622=0,0,MIN(1,$L1622/$D1622))</f>
        <v/>
      </c>
      <c r="N1622" s="208">
        <f>IF($K1622=0,$J1622,(1-$M1622)*$I1622+$M1622*$J1622)</f>
        <v/>
      </c>
      <c r="O1622" s="209">
        <f>IF($F1622&lt;$B$1589,$E$1589+$I$1589*($F1622-$A$1589),IF($F1622&lt;$C$1589,$F$1589+$J$1589*($F1622-$B$1589),$G$1589+$K$1589*($F1622-$C$1589)))</f>
        <v/>
      </c>
      <c r="P1622" s="208">
        <f>MIN(1,MAX(0,(nr_MEndPm1-$G1622+0.5)/$C$1588))-MIN(1,MAX(0,(nr_MStartPm1-1-$G1622+0.5)/$C$1588))</f>
        <v/>
      </c>
      <c r="Q1622" s="208">
        <f>MIN(1,MAX(0,(nr_MEndP-$G1622+0.5)/$C$1588))-MIN(1,MAX(0,(nr_MStartP-1-$G1622+0.5)/$C$1588))</f>
        <v/>
      </c>
      <c r="R1622" s="208">
        <f>MIN(1,MAX(0,(nr_MEndP1-$G1622+0.5)/$C$1588))-MIN(1,MAX(0,(nr_MStartP1-1-$G1622+0.5)/$C$1588))</f>
        <v/>
      </c>
      <c r="S1622" s="208">
        <f>IF($L$1588,$N1622*IF($O$1588=1,$O1622/$F$1588,1),"")</f>
        <v/>
      </c>
      <c r="T1622" s="208">
        <f>IF(NOT($L$1588),"",IF($G1622&lt;nr_MStartP,$S1622,$T1610*(1+IF($G1622&lt;nr_MStartP1,$M$1588,$N$1588))))</f>
        <v/>
      </c>
      <c r="U1622" s="208">
        <f>IF($L$1588,$T1622,$N1622)</f>
        <v/>
      </c>
    </row>
    <row r="1623">
      <c r="A1623" s="145" t="n">
        <v>33</v>
      </c>
      <c r="B1623" s="204">
        <f>EDATE($B1622,1)</f>
        <v/>
      </c>
      <c r="C1623" s="205">
        <f>EOMONTH($B1623,0)</f>
        <v/>
      </c>
      <c r="D1623" s="201">
        <f>$C1623-$B1623+1</f>
        <v/>
      </c>
      <c r="E1623" s="201">
        <f>MONTH($B1623)</f>
        <v/>
      </c>
      <c r="F1623" s="235">
        <f>($B1623+$C1623+1)/2</f>
        <v/>
      </c>
      <c r="G1623" s="201">
        <f>YEAR($B1623)*12+MONTH($B1623)-1</f>
        <v/>
      </c>
      <c r="H1623" s="207">
        <f>IF(OR(nr_SeasonOn="OFF",$D$1588=0,$E$1588=0),1,12*INDEX(se_block,$D$1588,$E1623)/$E$1588)</f>
        <v/>
      </c>
      <c r="I1623" s="208">
        <f>EXP(SUMPRODUCT((rl_eff&lt;$B1623)*(rl_key=$A$1588)*rl_ln1p))</f>
        <v/>
      </c>
      <c r="J1623" s="208">
        <f>EXP(SUMPRODUCT((rl_eff&lt;=$C1623)*(rl_key=$A$1588)*rl_ln1p))</f>
        <v/>
      </c>
      <c r="K1623" s="201">
        <f>COUNTIFS(rl_key,$A$1588,rl_eff,"&gt;="&amp;$B1623,rl_eff,"&lt;="&amp;$C1623)</f>
        <v/>
      </c>
      <c r="L1623" s="201">
        <f>SUMIFS(rl_daysafter,rl_key,$A$1588,rl_effmonth,$B1623,rl_first,1)</f>
        <v/>
      </c>
      <c r="M1623" s="209">
        <f>IF($K1623=0,0,MIN(1,$L1623/$D1623))</f>
        <v/>
      </c>
      <c r="N1623" s="208">
        <f>IF($K1623=0,$J1623,(1-$M1623)*$I1623+$M1623*$J1623)</f>
        <v/>
      </c>
      <c r="O1623" s="209">
        <f>IF($F1623&lt;$B$1589,$E$1589+$I$1589*($F1623-$A$1589),IF($F1623&lt;$C$1589,$F$1589+$J$1589*($F1623-$B$1589),$G$1589+$K$1589*($F1623-$C$1589)))</f>
        <v/>
      </c>
      <c r="P1623" s="208">
        <f>MIN(1,MAX(0,(nr_MEndPm1-$G1623+0.5)/$C$1588))-MIN(1,MAX(0,(nr_MStartPm1-1-$G1623+0.5)/$C$1588))</f>
        <v/>
      </c>
      <c r="Q1623" s="208">
        <f>MIN(1,MAX(0,(nr_MEndP-$G1623+0.5)/$C$1588))-MIN(1,MAX(0,(nr_MStartP-1-$G1623+0.5)/$C$1588))</f>
        <v/>
      </c>
      <c r="R1623" s="208">
        <f>MIN(1,MAX(0,(nr_MEndP1-$G1623+0.5)/$C$1588))-MIN(1,MAX(0,(nr_MStartP1-1-$G1623+0.5)/$C$1588))</f>
        <v/>
      </c>
      <c r="S1623" s="208">
        <f>IF($L$1588,$N1623*IF($O$1588=1,$O1623/$F$1588,1),"")</f>
        <v/>
      </c>
      <c r="T1623" s="208">
        <f>IF(NOT($L$1588),"",IF($G1623&lt;nr_MStartP,$S1623,$T1611*(1+IF($G1623&lt;nr_MStartP1,$M$1588,$N$1588))))</f>
        <v/>
      </c>
      <c r="U1623" s="208">
        <f>IF($L$1588,$T1623,$N1623)</f>
        <v/>
      </c>
    </row>
    <row r="1624">
      <c r="A1624" s="145" t="n">
        <v>34</v>
      </c>
      <c r="B1624" s="204">
        <f>EDATE($B1623,1)</f>
        <v/>
      </c>
      <c r="C1624" s="205">
        <f>EOMONTH($B1624,0)</f>
        <v/>
      </c>
      <c r="D1624" s="201">
        <f>$C1624-$B1624+1</f>
        <v/>
      </c>
      <c r="E1624" s="201">
        <f>MONTH($B1624)</f>
        <v/>
      </c>
      <c r="F1624" s="235">
        <f>($B1624+$C1624+1)/2</f>
        <v/>
      </c>
      <c r="G1624" s="201">
        <f>YEAR($B1624)*12+MONTH($B1624)-1</f>
        <v/>
      </c>
      <c r="H1624" s="207">
        <f>IF(OR(nr_SeasonOn="OFF",$D$1588=0,$E$1588=0),1,12*INDEX(se_block,$D$1588,$E1624)/$E$1588)</f>
        <v/>
      </c>
      <c r="I1624" s="208">
        <f>EXP(SUMPRODUCT((rl_eff&lt;$B1624)*(rl_key=$A$1588)*rl_ln1p))</f>
        <v/>
      </c>
      <c r="J1624" s="208">
        <f>EXP(SUMPRODUCT((rl_eff&lt;=$C1624)*(rl_key=$A$1588)*rl_ln1p))</f>
        <v/>
      </c>
      <c r="K1624" s="201">
        <f>COUNTIFS(rl_key,$A$1588,rl_eff,"&gt;="&amp;$B1624,rl_eff,"&lt;="&amp;$C1624)</f>
        <v/>
      </c>
      <c r="L1624" s="201">
        <f>SUMIFS(rl_daysafter,rl_key,$A$1588,rl_effmonth,$B1624,rl_first,1)</f>
        <v/>
      </c>
      <c r="M1624" s="209">
        <f>IF($K1624=0,0,MIN(1,$L1624/$D1624))</f>
        <v/>
      </c>
      <c r="N1624" s="208">
        <f>IF($K1624=0,$J1624,(1-$M1624)*$I1624+$M1624*$J1624)</f>
        <v/>
      </c>
      <c r="O1624" s="209">
        <f>IF($F1624&lt;$B$1589,$E$1589+$I$1589*($F1624-$A$1589),IF($F1624&lt;$C$1589,$F$1589+$J$1589*($F1624-$B$1589),$G$1589+$K$1589*($F1624-$C$1589)))</f>
        <v/>
      </c>
      <c r="P1624" s="208">
        <f>MIN(1,MAX(0,(nr_MEndPm1-$G1624+0.5)/$C$1588))-MIN(1,MAX(0,(nr_MStartPm1-1-$G1624+0.5)/$C$1588))</f>
        <v/>
      </c>
      <c r="Q1624" s="208">
        <f>MIN(1,MAX(0,(nr_MEndP-$G1624+0.5)/$C$1588))-MIN(1,MAX(0,(nr_MStartP-1-$G1624+0.5)/$C$1588))</f>
        <v/>
      </c>
      <c r="R1624" s="208">
        <f>MIN(1,MAX(0,(nr_MEndP1-$G1624+0.5)/$C$1588))-MIN(1,MAX(0,(nr_MStartP1-1-$G1624+0.5)/$C$1588))</f>
        <v/>
      </c>
      <c r="S1624" s="208">
        <f>IF($L$1588,$N1624*IF($O$1588=1,$O1624/$F$1588,1),"")</f>
        <v/>
      </c>
      <c r="T1624" s="208">
        <f>IF(NOT($L$1588),"",IF($G1624&lt;nr_MStartP,$S1624,$T1612*(1+IF($G1624&lt;nr_MStartP1,$M$1588,$N$1588))))</f>
        <v/>
      </c>
      <c r="U1624" s="208">
        <f>IF($L$1588,$T1624,$N1624)</f>
        <v/>
      </c>
    </row>
    <row r="1625">
      <c r="A1625" s="145" t="n">
        <v>35</v>
      </c>
      <c r="B1625" s="204">
        <f>EDATE($B1624,1)</f>
        <v/>
      </c>
      <c r="C1625" s="205">
        <f>EOMONTH($B1625,0)</f>
        <v/>
      </c>
      <c r="D1625" s="201">
        <f>$C1625-$B1625+1</f>
        <v/>
      </c>
      <c r="E1625" s="201">
        <f>MONTH($B1625)</f>
        <v/>
      </c>
      <c r="F1625" s="235">
        <f>($B1625+$C1625+1)/2</f>
        <v/>
      </c>
      <c r="G1625" s="201">
        <f>YEAR($B1625)*12+MONTH($B1625)-1</f>
        <v/>
      </c>
      <c r="H1625" s="207">
        <f>IF(OR(nr_SeasonOn="OFF",$D$1588=0,$E$1588=0),1,12*INDEX(se_block,$D$1588,$E1625)/$E$1588)</f>
        <v/>
      </c>
      <c r="I1625" s="208">
        <f>EXP(SUMPRODUCT((rl_eff&lt;$B1625)*(rl_key=$A$1588)*rl_ln1p))</f>
        <v/>
      </c>
      <c r="J1625" s="208">
        <f>EXP(SUMPRODUCT((rl_eff&lt;=$C1625)*(rl_key=$A$1588)*rl_ln1p))</f>
        <v/>
      </c>
      <c r="K1625" s="201">
        <f>COUNTIFS(rl_key,$A$1588,rl_eff,"&gt;="&amp;$B1625,rl_eff,"&lt;="&amp;$C1625)</f>
        <v/>
      </c>
      <c r="L1625" s="201">
        <f>SUMIFS(rl_daysafter,rl_key,$A$1588,rl_effmonth,$B1625,rl_first,1)</f>
        <v/>
      </c>
      <c r="M1625" s="209">
        <f>IF($K1625=0,0,MIN(1,$L1625/$D1625))</f>
        <v/>
      </c>
      <c r="N1625" s="208">
        <f>IF($K1625=0,$J1625,(1-$M1625)*$I1625+$M1625*$J1625)</f>
        <v/>
      </c>
      <c r="O1625" s="209">
        <f>IF($F1625&lt;$B$1589,$E$1589+$I$1589*($F1625-$A$1589),IF($F1625&lt;$C$1589,$F$1589+$J$1589*($F1625-$B$1589),$G$1589+$K$1589*($F1625-$C$1589)))</f>
        <v/>
      </c>
      <c r="P1625" s="208">
        <f>MIN(1,MAX(0,(nr_MEndPm1-$G1625+0.5)/$C$1588))-MIN(1,MAX(0,(nr_MStartPm1-1-$G1625+0.5)/$C$1588))</f>
        <v/>
      </c>
      <c r="Q1625" s="208">
        <f>MIN(1,MAX(0,(nr_MEndP-$G1625+0.5)/$C$1588))-MIN(1,MAX(0,(nr_MStartP-1-$G1625+0.5)/$C$1588))</f>
        <v/>
      </c>
      <c r="R1625" s="208">
        <f>MIN(1,MAX(0,(nr_MEndP1-$G1625+0.5)/$C$1588))-MIN(1,MAX(0,(nr_MStartP1-1-$G1625+0.5)/$C$1588))</f>
        <v/>
      </c>
      <c r="S1625" s="208">
        <f>IF($L$1588,$N1625*IF($O$1588=1,$O1625/$F$1588,1),"")</f>
        <v/>
      </c>
      <c r="T1625" s="208">
        <f>IF(NOT($L$1588),"",IF($G1625&lt;nr_MStartP,$S1625,$T1613*(1+IF($G1625&lt;nr_MStartP1,$M$1588,$N$1588))))</f>
        <v/>
      </c>
      <c r="U1625" s="208">
        <f>IF($L$1588,$T1625,$N1625)</f>
        <v/>
      </c>
    </row>
    <row r="1626">
      <c r="A1626" s="145" t="n">
        <v>36</v>
      </c>
      <c r="B1626" s="204">
        <f>EDATE($B1625,1)</f>
        <v/>
      </c>
      <c r="C1626" s="205">
        <f>EOMONTH($B1626,0)</f>
        <v/>
      </c>
      <c r="D1626" s="201">
        <f>$C1626-$B1626+1</f>
        <v/>
      </c>
      <c r="E1626" s="201">
        <f>MONTH($B1626)</f>
        <v/>
      </c>
      <c r="F1626" s="235">
        <f>($B1626+$C1626+1)/2</f>
        <v/>
      </c>
      <c r="G1626" s="201">
        <f>YEAR($B1626)*12+MONTH($B1626)-1</f>
        <v/>
      </c>
      <c r="H1626" s="207">
        <f>IF(OR(nr_SeasonOn="OFF",$D$1588=0,$E$1588=0),1,12*INDEX(se_block,$D$1588,$E1626)/$E$1588)</f>
        <v/>
      </c>
      <c r="I1626" s="208">
        <f>EXP(SUMPRODUCT((rl_eff&lt;$B1626)*(rl_key=$A$1588)*rl_ln1p))</f>
        <v/>
      </c>
      <c r="J1626" s="208">
        <f>EXP(SUMPRODUCT((rl_eff&lt;=$C1626)*(rl_key=$A$1588)*rl_ln1p))</f>
        <v/>
      </c>
      <c r="K1626" s="201">
        <f>COUNTIFS(rl_key,$A$1588,rl_eff,"&gt;="&amp;$B1626,rl_eff,"&lt;="&amp;$C1626)</f>
        <v/>
      </c>
      <c r="L1626" s="201">
        <f>SUMIFS(rl_daysafter,rl_key,$A$1588,rl_effmonth,$B1626,rl_first,1)</f>
        <v/>
      </c>
      <c r="M1626" s="209">
        <f>IF($K1626=0,0,MIN(1,$L1626/$D1626))</f>
        <v/>
      </c>
      <c r="N1626" s="208">
        <f>IF($K1626=0,$J1626,(1-$M1626)*$I1626+$M1626*$J1626)</f>
        <v/>
      </c>
      <c r="O1626" s="209">
        <f>IF($F1626&lt;$B$1589,$E$1589+$I$1589*($F1626-$A$1589),IF($F1626&lt;$C$1589,$F$1589+$J$1589*($F1626-$B$1589),$G$1589+$K$1589*($F1626-$C$1589)))</f>
        <v/>
      </c>
      <c r="P1626" s="208">
        <f>MIN(1,MAX(0,(nr_MEndPm1-$G1626+0.5)/$C$1588))-MIN(1,MAX(0,(nr_MStartPm1-1-$G1626+0.5)/$C$1588))</f>
        <v/>
      </c>
      <c r="Q1626" s="208">
        <f>MIN(1,MAX(0,(nr_MEndP-$G1626+0.5)/$C$1588))-MIN(1,MAX(0,(nr_MStartP-1-$G1626+0.5)/$C$1588))</f>
        <v/>
      </c>
      <c r="R1626" s="208">
        <f>MIN(1,MAX(0,(nr_MEndP1-$G1626+0.5)/$C$1588))-MIN(1,MAX(0,(nr_MStartP1-1-$G1626+0.5)/$C$1588))</f>
        <v/>
      </c>
      <c r="S1626" s="208">
        <f>IF($L$1588,$N1626*IF($O$1588=1,$O1626/$F$1588,1),"")</f>
        <v/>
      </c>
      <c r="T1626" s="208">
        <f>IF(NOT($L$1588),"",IF($G1626&lt;nr_MStartP,$S1626,$T1614*(1+IF($G1626&lt;nr_MStartP1,$M$1588,$N$1588))))</f>
        <v/>
      </c>
      <c r="U1626" s="208">
        <f>IF($L$1588,$T1626,$N1626)</f>
        <v/>
      </c>
    </row>
    <row r="1627">
      <c r="A1627" s="145" t="n">
        <v>37</v>
      </c>
      <c r="B1627" s="204">
        <f>EDATE($B1626,1)</f>
        <v/>
      </c>
      <c r="C1627" s="205">
        <f>EOMONTH($B1627,0)</f>
        <v/>
      </c>
      <c r="D1627" s="201">
        <f>$C1627-$B1627+1</f>
        <v/>
      </c>
      <c r="E1627" s="201">
        <f>MONTH($B1627)</f>
        <v/>
      </c>
      <c r="F1627" s="235">
        <f>($B1627+$C1627+1)/2</f>
        <v/>
      </c>
      <c r="G1627" s="201">
        <f>YEAR($B1627)*12+MONTH($B1627)-1</f>
        <v/>
      </c>
      <c r="H1627" s="207">
        <f>IF(OR(nr_SeasonOn="OFF",$D$1588=0,$E$1588=0),1,12*INDEX(se_block,$D$1588,$E1627)/$E$1588)</f>
        <v/>
      </c>
      <c r="I1627" s="208">
        <f>EXP(SUMPRODUCT((rl_eff&lt;$B1627)*(rl_key=$A$1588)*rl_ln1p))</f>
        <v/>
      </c>
      <c r="J1627" s="208">
        <f>EXP(SUMPRODUCT((rl_eff&lt;=$C1627)*(rl_key=$A$1588)*rl_ln1p))</f>
        <v/>
      </c>
      <c r="K1627" s="201">
        <f>COUNTIFS(rl_key,$A$1588,rl_eff,"&gt;="&amp;$B1627,rl_eff,"&lt;="&amp;$C1627)</f>
        <v/>
      </c>
      <c r="L1627" s="201">
        <f>SUMIFS(rl_daysafter,rl_key,$A$1588,rl_effmonth,$B1627,rl_first,1)</f>
        <v/>
      </c>
      <c r="M1627" s="209">
        <f>IF($K1627=0,0,MIN(1,$L1627/$D1627))</f>
        <v/>
      </c>
      <c r="N1627" s="208">
        <f>IF($K1627=0,$J1627,(1-$M1627)*$I1627+$M1627*$J1627)</f>
        <v/>
      </c>
      <c r="O1627" s="209">
        <f>IF($F1627&lt;$B$1589,$E$1589+$I$1589*($F1627-$A$1589),IF($F1627&lt;$C$1589,$F$1589+$J$1589*($F1627-$B$1589),$G$1589+$K$1589*($F1627-$C$1589)))</f>
        <v/>
      </c>
      <c r="P1627" s="208">
        <f>MIN(1,MAX(0,(nr_MEndPm1-$G1627+0.5)/$C$1588))-MIN(1,MAX(0,(nr_MStartPm1-1-$G1627+0.5)/$C$1588))</f>
        <v/>
      </c>
      <c r="Q1627" s="208">
        <f>MIN(1,MAX(0,(nr_MEndP-$G1627+0.5)/$C$1588))-MIN(1,MAX(0,(nr_MStartP-1-$G1627+0.5)/$C$1588))</f>
        <v/>
      </c>
      <c r="R1627" s="208">
        <f>MIN(1,MAX(0,(nr_MEndP1-$G1627+0.5)/$C$1588))-MIN(1,MAX(0,(nr_MStartP1-1-$G1627+0.5)/$C$1588))</f>
        <v/>
      </c>
      <c r="S1627" s="208">
        <f>IF($L$1588,$N1627*IF($O$1588=1,$O1627/$F$1588,1),"")</f>
        <v/>
      </c>
      <c r="T1627" s="208">
        <f>IF(NOT($L$1588),"",IF($G1627&lt;nr_MStartP,$S1627,$T1615*(1+IF($G1627&lt;nr_MStartP1,$M$1588,$N$1588))))</f>
        <v/>
      </c>
      <c r="U1627" s="208">
        <f>IF($L$1588,$T1627,$N1627)</f>
        <v/>
      </c>
    </row>
    <row r="1628">
      <c r="A1628" s="145" t="n">
        <v>38</v>
      </c>
      <c r="B1628" s="204">
        <f>EDATE($B1627,1)</f>
        <v/>
      </c>
      <c r="C1628" s="205">
        <f>EOMONTH($B1628,0)</f>
        <v/>
      </c>
      <c r="D1628" s="201">
        <f>$C1628-$B1628+1</f>
        <v/>
      </c>
      <c r="E1628" s="201">
        <f>MONTH($B1628)</f>
        <v/>
      </c>
      <c r="F1628" s="235">
        <f>($B1628+$C1628+1)/2</f>
        <v/>
      </c>
      <c r="G1628" s="201">
        <f>YEAR($B1628)*12+MONTH($B1628)-1</f>
        <v/>
      </c>
      <c r="H1628" s="207">
        <f>IF(OR(nr_SeasonOn="OFF",$D$1588=0,$E$1588=0),1,12*INDEX(se_block,$D$1588,$E1628)/$E$1588)</f>
        <v/>
      </c>
      <c r="I1628" s="208">
        <f>EXP(SUMPRODUCT((rl_eff&lt;$B1628)*(rl_key=$A$1588)*rl_ln1p))</f>
        <v/>
      </c>
      <c r="J1628" s="208">
        <f>EXP(SUMPRODUCT((rl_eff&lt;=$C1628)*(rl_key=$A$1588)*rl_ln1p))</f>
        <v/>
      </c>
      <c r="K1628" s="201">
        <f>COUNTIFS(rl_key,$A$1588,rl_eff,"&gt;="&amp;$B1628,rl_eff,"&lt;="&amp;$C1628)</f>
        <v/>
      </c>
      <c r="L1628" s="201">
        <f>SUMIFS(rl_daysafter,rl_key,$A$1588,rl_effmonth,$B1628,rl_first,1)</f>
        <v/>
      </c>
      <c r="M1628" s="209">
        <f>IF($K1628=0,0,MIN(1,$L1628/$D1628))</f>
        <v/>
      </c>
      <c r="N1628" s="208">
        <f>IF($K1628=0,$J1628,(1-$M1628)*$I1628+$M1628*$J1628)</f>
        <v/>
      </c>
      <c r="O1628" s="209">
        <f>IF($F1628&lt;$B$1589,$E$1589+$I$1589*($F1628-$A$1589),IF($F1628&lt;$C$1589,$F$1589+$J$1589*($F1628-$B$1589),$G$1589+$K$1589*($F1628-$C$1589)))</f>
        <v/>
      </c>
      <c r="P1628" s="208">
        <f>MIN(1,MAX(0,(nr_MEndPm1-$G1628+0.5)/$C$1588))-MIN(1,MAX(0,(nr_MStartPm1-1-$G1628+0.5)/$C$1588))</f>
        <v/>
      </c>
      <c r="Q1628" s="208">
        <f>MIN(1,MAX(0,(nr_MEndP-$G1628+0.5)/$C$1588))-MIN(1,MAX(0,(nr_MStartP-1-$G1628+0.5)/$C$1588))</f>
        <v/>
      </c>
      <c r="R1628" s="208">
        <f>MIN(1,MAX(0,(nr_MEndP1-$G1628+0.5)/$C$1588))-MIN(1,MAX(0,(nr_MStartP1-1-$G1628+0.5)/$C$1588))</f>
        <v/>
      </c>
      <c r="S1628" s="208">
        <f>IF($L$1588,$N1628*IF($O$1588=1,$O1628/$F$1588,1),"")</f>
        <v/>
      </c>
      <c r="T1628" s="208">
        <f>IF(NOT($L$1588),"",IF($G1628&lt;nr_MStartP,$S1628,$T1616*(1+IF($G1628&lt;nr_MStartP1,$M$1588,$N$1588))))</f>
        <v/>
      </c>
      <c r="U1628" s="208">
        <f>IF($L$1588,$T1628,$N1628)</f>
        <v/>
      </c>
    </row>
    <row r="1629">
      <c r="A1629" s="145" t="n">
        <v>39</v>
      </c>
      <c r="B1629" s="204">
        <f>EDATE($B1628,1)</f>
        <v/>
      </c>
      <c r="C1629" s="205">
        <f>EOMONTH($B1629,0)</f>
        <v/>
      </c>
      <c r="D1629" s="201">
        <f>$C1629-$B1629+1</f>
        <v/>
      </c>
      <c r="E1629" s="201">
        <f>MONTH($B1629)</f>
        <v/>
      </c>
      <c r="F1629" s="235">
        <f>($B1629+$C1629+1)/2</f>
        <v/>
      </c>
      <c r="G1629" s="201">
        <f>YEAR($B1629)*12+MONTH($B1629)-1</f>
        <v/>
      </c>
      <c r="H1629" s="207">
        <f>IF(OR(nr_SeasonOn="OFF",$D$1588=0,$E$1588=0),1,12*INDEX(se_block,$D$1588,$E1629)/$E$1588)</f>
        <v/>
      </c>
      <c r="I1629" s="208">
        <f>EXP(SUMPRODUCT((rl_eff&lt;$B1629)*(rl_key=$A$1588)*rl_ln1p))</f>
        <v/>
      </c>
      <c r="J1629" s="208">
        <f>EXP(SUMPRODUCT((rl_eff&lt;=$C1629)*(rl_key=$A$1588)*rl_ln1p))</f>
        <v/>
      </c>
      <c r="K1629" s="201">
        <f>COUNTIFS(rl_key,$A$1588,rl_eff,"&gt;="&amp;$B1629,rl_eff,"&lt;="&amp;$C1629)</f>
        <v/>
      </c>
      <c r="L1629" s="201">
        <f>SUMIFS(rl_daysafter,rl_key,$A$1588,rl_effmonth,$B1629,rl_first,1)</f>
        <v/>
      </c>
      <c r="M1629" s="209">
        <f>IF($K1629=0,0,MIN(1,$L1629/$D1629))</f>
        <v/>
      </c>
      <c r="N1629" s="208">
        <f>IF($K1629=0,$J1629,(1-$M1629)*$I1629+$M1629*$J1629)</f>
        <v/>
      </c>
      <c r="O1629" s="209">
        <f>IF($F1629&lt;$B$1589,$E$1589+$I$1589*($F1629-$A$1589),IF($F1629&lt;$C$1589,$F$1589+$J$1589*($F1629-$B$1589),$G$1589+$K$1589*($F1629-$C$1589)))</f>
        <v/>
      </c>
      <c r="P1629" s="208">
        <f>MIN(1,MAX(0,(nr_MEndPm1-$G1629+0.5)/$C$1588))-MIN(1,MAX(0,(nr_MStartPm1-1-$G1629+0.5)/$C$1588))</f>
        <v/>
      </c>
      <c r="Q1629" s="208">
        <f>MIN(1,MAX(0,(nr_MEndP-$G1629+0.5)/$C$1588))-MIN(1,MAX(0,(nr_MStartP-1-$G1629+0.5)/$C$1588))</f>
        <v/>
      </c>
      <c r="R1629" s="208">
        <f>MIN(1,MAX(0,(nr_MEndP1-$G1629+0.5)/$C$1588))-MIN(1,MAX(0,(nr_MStartP1-1-$G1629+0.5)/$C$1588))</f>
        <v/>
      </c>
      <c r="S1629" s="208">
        <f>IF($L$1588,$N1629*IF($O$1588=1,$O1629/$F$1588,1),"")</f>
        <v/>
      </c>
      <c r="T1629" s="208">
        <f>IF(NOT($L$1588),"",IF($G1629&lt;nr_MStartP,$S1629,$T1617*(1+IF($G1629&lt;nr_MStartP1,$M$1588,$N$1588))))</f>
        <v/>
      </c>
      <c r="U1629" s="208">
        <f>IF($L$1588,$T1629,$N1629)</f>
        <v/>
      </c>
    </row>
    <row r="1630">
      <c r="A1630" s="145" t="n">
        <v>40</v>
      </c>
      <c r="B1630" s="204">
        <f>EDATE($B1629,1)</f>
        <v/>
      </c>
      <c r="C1630" s="205">
        <f>EOMONTH($B1630,0)</f>
        <v/>
      </c>
      <c r="D1630" s="201">
        <f>$C1630-$B1630+1</f>
        <v/>
      </c>
      <c r="E1630" s="201">
        <f>MONTH($B1630)</f>
        <v/>
      </c>
      <c r="F1630" s="235">
        <f>($B1630+$C1630+1)/2</f>
        <v/>
      </c>
      <c r="G1630" s="201">
        <f>YEAR($B1630)*12+MONTH($B1630)-1</f>
        <v/>
      </c>
      <c r="H1630" s="207">
        <f>IF(OR(nr_SeasonOn="OFF",$D$1588=0,$E$1588=0),1,12*INDEX(se_block,$D$1588,$E1630)/$E$1588)</f>
        <v/>
      </c>
      <c r="I1630" s="208">
        <f>EXP(SUMPRODUCT((rl_eff&lt;$B1630)*(rl_key=$A$1588)*rl_ln1p))</f>
        <v/>
      </c>
      <c r="J1630" s="208">
        <f>EXP(SUMPRODUCT((rl_eff&lt;=$C1630)*(rl_key=$A$1588)*rl_ln1p))</f>
        <v/>
      </c>
      <c r="K1630" s="201">
        <f>COUNTIFS(rl_key,$A$1588,rl_eff,"&gt;="&amp;$B1630,rl_eff,"&lt;="&amp;$C1630)</f>
        <v/>
      </c>
      <c r="L1630" s="201">
        <f>SUMIFS(rl_daysafter,rl_key,$A$1588,rl_effmonth,$B1630,rl_first,1)</f>
        <v/>
      </c>
      <c r="M1630" s="209">
        <f>IF($K1630=0,0,MIN(1,$L1630/$D1630))</f>
        <v/>
      </c>
      <c r="N1630" s="208">
        <f>IF($K1630=0,$J1630,(1-$M1630)*$I1630+$M1630*$J1630)</f>
        <v/>
      </c>
      <c r="O1630" s="209">
        <f>IF($F1630&lt;$B$1589,$E$1589+$I$1589*($F1630-$A$1589),IF($F1630&lt;$C$1589,$F$1589+$J$1589*($F1630-$B$1589),$G$1589+$K$1589*($F1630-$C$1589)))</f>
        <v/>
      </c>
      <c r="P1630" s="208">
        <f>MIN(1,MAX(0,(nr_MEndPm1-$G1630+0.5)/$C$1588))-MIN(1,MAX(0,(nr_MStartPm1-1-$G1630+0.5)/$C$1588))</f>
        <v/>
      </c>
      <c r="Q1630" s="208">
        <f>MIN(1,MAX(0,(nr_MEndP-$G1630+0.5)/$C$1588))-MIN(1,MAX(0,(nr_MStartP-1-$G1630+0.5)/$C$1588))</f>
        <v/>
      </c>
      <c r="R1630" s="208">
        <f>MIN(1,MAX(0,(nr_MEndP1-$G1630+0.5)/$C$1588))-MIN(1,MAX(0,(nr_MStartP1-1-$G1630+0.5)/$C$1588))</f>
        <v/>
      </c>
      <c r="S1630" s="208">
        <f>IF($L$1588,$N1630*IF($O$1588=1,$O1630/$F$1588,1),"")</f>
        <v/>
      </c>
      <c r="T1630" s="208">
        <f>IF(NOT($L$1588),"",IF($G1630&lt;nr_MStartP,$S1630,$T1618*(1+IF($G1630&lt;nr_MStartP1,$M$1588,$N$1588))))</f>
        <v/>
      </c>
      <c r="U1630" s="208">
        <f>IF($L$1588,$T1630,$N1630)</f>
        <v/>
      </c>
    </row>
    <row r="1631">
      <c r="A1631" s="145" t="n">
        <v>41</v>
      </c>
      <c r="B1631" s="204">
        <f>EDATE($B1630,1)</f>
        <v/>
      </c>
      <c r="C1631" s="205">
        <f>EOMONTH($B1631,0)</f>
        <v/>
      </c>
      <c r="D1631" s="201">
        <f>$C1631-$B1631+1</f>
        <v/>
      </c>
      <c r="E1631" s="201">
        <f>MONTH($B1631)</f>
        <v/>
      </c>
      <c r="F1631" s="235">
        <f>($B1631+$C1631+1)/2</f>
        <v/>
      </c>
      <c r="G1631" s="201">
        <f>YEAR($B1631)*12+MONTH($B1631)-1</f>
        <v/>
      </c>
      <c r="H1631" s="207">
        <f>IF(OR(nr_SeasonOn="OFF",$D$1588=0,$E$1588=0),1,12*INDEX(se_block,$D$1588,$E1631)/$E$1588)</f>
        <v/>
      </c>
      <c r="I1631" s="208">
        <f>EXP(SUMPRODUCT((rl_eff&lt;$B1631)*(rl_key=$A$1588)*rl_ln1p))</f>
        <v/>
      </c>
      <c r="J1631" s="208">
        <f>EXP(SUMPRODUCT((rl_eff&lt;=$C1631)*(rl_key=$A$1588)*rl_ln1p))</f>
        <v/>
      </c>
      <c r="K1631" s="201">
        <f>COUNTIFS(rl_key,$A$1588,rl_eff,"&gt;="&amp;$B1631,rl_eff,"&lt;="&amp;$C1631)</f>
        <v/>
      </c>
      <c r="L1631" s="201">
        <f>SUMIFS(rl_daysafter,rl_key,$A$1588,rl_effmonth,$B1631,rl_first,1)</f>
        <v/>
      </c>
      <c r="M1631" s="209">
        <f>IF($K1631=0,0,MIN(1,$L1631/$D1631))</f>
        <v/>
      </c>
      <c r="N1631" s="208">
        <f>IF($K1631=0,$J1631,(1-$M1631)*$I1631+$M1631*$J1631)</f>
        <v/>
      </c>
      <c r="O1631" s="209">
        <f>IF($F1631&lt;$B$1589,$E$1589+$I$1589*($F1631-$A$1589),IF($F1631&lt;$C$1589,$F$1589+$J$1589*($F1631-$B$1589),$G$1589+$K$1589*($F1631-$C$1589)))</f>
        <v/>
      </c>
      <c r="P1631" s="208">
        <f>MIN(1,MAX(0,(nr_MEndPm1-$G1631+0.5)/$C$1588))-MIN(1,MAX(0,(nr_MStartPm1-1-$G1631+0.5)/$C$1588))</f>
        <v/>
      </c>
      <c r="Q1631" s="208">
        <f>MIN(1,MAX(0,(nr_MEndP-$G1631+0.5)/$C$1588))-MIN(1,MAX(0,(nr_MStartP-1-$G1631+0.5)/$C$1588))</f>
        <v/>
      </c>
      <c r="R1631" s="208">
        <f>MIN(1,MAX(0,(nr_MEndP1-$G1631+0.5)/$C$1588))-MIN(1,MAX(0,(nr_MStartP1-1-$G1631+0.5)/$C$1588))</f>
        <v/>
      </c>
      <c r="S1631" s="208">
        <f>IF($L$1588,$N1631*IF($O$1588=1,$O1631/$F$1588,1),"")</f>
        <v/>
      </c>
      <c r="T1631" s="208">
        <f>IF(NOT($L$1588),"",IF($G1631&lt;nr_MStartP,$S1631,$T1619*(1+IF($G1631&lt;nr_MStartP1,$M$1588,$N$1588))))</f>
        <v/>
      </c>
      <c r="U1631" s="208">
        <f>IF($L$1588,$T1631,$N1631)</f>
        <v/>
      </c>
    </row>
    <row r="1632">
      <c r="A1632" s="145" t="n">
        <v>42</v>
      </c>
      <c r="B1632" s="204">
        <f>EDATE($B1631,1)</f>
        <v/>
      </c>
      <c r="C1632" s="205">
        <f>EOMONTH($B1632,0)</f>
        <v/>
      </c>
      <c r="D1632" s="201">
        <f>$C1632-$B1632+1</f>
        <v/>
      </c>
      <c r="E1632" s="201">
        <f>MONTH($B1632)</f>
        <v/>
      </c>
      <c r="F1632" s="235">
        <f>($B1632+$C1632+1)/2</f>
        <v/>
      </c>
      <c r="G1632" s="201">
        <f>YEAR($B1632)*12+MONTH($B1632)-1</f>
        <v/>
      </c>
      <c r="H1632" s="207">
        <f>IF(OR(nr_SeasonOn="OFF",$D$1588=0,$E$1588=0),1,12*INDEX(se_block,$D$1588,$E1632)/$E$1588)</f>
        <v/>
      </c>
      <c r="I1632" s="208">
        <f>EXP(SUMPRODUCT((rl_eff&lt;$B1632)*(rl_key=$A$1588)*rl_ln1p))</f>
        <v/>
      </c>
      <c r="J1632" s="208">
        <f>EXP(SUMPRODUCT((rl_eff&lt;=$C1632)*(rl_key=$A$1588)*rl_ln1p))</f>
        <v/>
      </c>
      <c r="K1632" s="201">
        <f>COUNTIFS(rl_key,$A$1588,rl_eff,"&gt;="&amp;$B1632,rl_eff,"&lt;="&amp;$C1632)</f>
        <v/>
      </c>
      <c r="L1632" s="201">
        <f>SUMIFS(rl_daysafter,rl_key,$A$1588,rl_effmonth,$B1632,rl_first,1)</f>
        <v/>
      </c>
      <c r="M1632" s="209">
        <f>IF($K1632=0,0,MIN(1,$L1632/$D1632))</f>
        <v/>
      </c>
      <c r="N1632" s="208">
        <f>IF($K1632=0,$J1632,(1-$M1632)*$I1632+$M1632*$J1632)</f>
        <v/>
      </c>
      <c r="O1632" s="209">
        <f>IF($F1632&lt;$B$1589,$E$1589+$I$1589*($F1632-$A$1589),IF($F1632&lt;$C$1589,$F$1589+$J$1589*($F1632-$B$1589),$G$1589+$K$1589*($F1632-$C$1589)))</f>
        <v/>
      </c>
      <c r="P1632" s="208">
        <f>MIN(1,MAX(0,(nr_MEndPm1-$G1632+0.5)/$C$1588))-MIN(1,MAX(0,(nr_MStartPm1-1-$G1632+0.5)/$C$1588))</f>
        <v/>
      </c>
      <c r="Q1632" s="208">
        <f>MIN(1,MAX(0,(nr_MEndP-$G1632+0.5)/$C$1588))-MIN(1,MAX(0,(nr_MStartP-1-$G1632+0.5)/$C$1588))</f>
        <v/>
      </c>
      <c r="R1632" s="208">
        <f>MIN(1,MAX(0,(nr_MEndP1-$G1632+0.5)/$C$1588))-MIN(1,MAX(0,(nr_MStartP1-1-$G1632+0.5)/$C$1588))</f>
        <v/>
      </c>
      <c r="S1632" s="208">
        <f>IF($L$1588,$N1632*IF($O$1588=1,$O1632/$F$1588,1),"")</f>
        <v/>
      </c>
      <c r="T1632" s="208">
        <f>IF(NOT($L$1588),"",IF($G1632&lt;nr_MStartP,$S1632,$T1620*(1+IF($G1632&lt;nr_MStartP1,$M$1588,$N$1588))))</f>
        <v/>
      </c>
      <c r="U1632" s="208">
        <f>IF($L$1588,$T1632,$N1632)</f>
        <v/>
      </c>
    </row>
    <row r="1633">
      <c r="A1633" s="145" t="n">
        <v>43</v>
      </c>
      <c r="B1633" s="204">
        <f>EDATE($B1632,1)</f>
        <v/>
      </c>
      <c r="C1633" s="205">
        <f>EOMONTH($B1633,0)</f>
        <v/>
      </c>
      <c r="D1633" s="201">
        <f>$C1633-$B1633+1</f>
        <v/>
      </c>
      <c r="E1633" s="201">
        <f>MONTH($B1633)</f>
        <v/>
      </c>
      <c r="F1633" s="235">
        <f>($B1633+$C1633+1)/2</f>
        <v/>
      </c>
      <c r="G1633" s="201">
        <f>YEAR($B1633)*12+MONTH($B1633)-1</f>
        <v/>
      </c>
      <c r="H1633" s="207">
        <f>IF(OR(nr_SeasonOn="OFF",$D$1588=0,$E$1588=0),1,12*INDEX(se_block,$D$1588,$E1633)/$E$1588)</f>
        <v/>
      </c>
      <c r="I1633" s="208">
        <f>EXP(SUMPRODUCT((rl_eff&lt;$B1633)*(rl_key=$A$1588)*rl_ln1p))</f>
        <v/>
      </c>
      <c r="J1633" s="208">
        <f>EXP(SUMPRODUCT((rl_eff&lt;=$C1633)*(rl_key=$A$1588)*rl_ln1p))</f>
        <v/>
      </c>
      <c r="K1633" s="201">
        <f>COUNTIFS(rl_key,$A$1588,rl_eff,"&gt;="&amp;$B1633,rl_eff,"&lt;="&amp;$C1633)</f>
        <v/>
      </c>
      <c r="L1633" s="201">
        <f>SUMIFS(rl_daysafter,rl_key,$A$1588,rl_effmonth,$B1633,rl_first,1)</f>
        <v/>
      </c>
      <c r="M1633" s="209">
        <f>IF($K1633=0,0,MIN(1,$L1633/$D1633))</f>
        <v/>
      </c>
      <c r="N1633" s="208">
        <f>IF($K1633=0,$J1633,(1-$M1633)*$I1633+$M1633*$J1633)</f>
        <v/>
      </c>
      <c r="O1633" s="209">
        <f>IF($F1633&lt;$B$1589,$E$1589+$I$1589*($F1633-$A$1589),IF($F1633&lt;$C$1589,$F$1589+$J$1589*($F1633-$B$1589),$G$1589+$K$1589*($F1633-$C$1589)))</f>
        <v/>
      </c>
      <c r="P1633" s="208">
        <f>MIN(1,MAX(0,(nr_MEndPm1-$G1633+0.5)/$C$1588))-MIN(1,MAX(0,(nr_MStartPm1-1-$G1633+0.5)/$C$1588))</f>
        <v/>
      </c>
      <c r="Q1633" s="208">
        <f>MIN(1,MAX(0,(nr_MEndP-$G1633+0.5)/$C$1588))-MIN(1,MAX(0,(nr_MStartP-1-$G1633+0.5)/$C$1588))</f>
        <v/>
      </c>
      <c r="R1633" s="208">
        <f>MIN(1,MAX(0,(nr_MEndP1-$G1633+0.5)/$C$1588))-MIN(1,MAX(0,(nr_MStartP1-1-$G1633+0.5)/$C$1588))</f>
        <v/>
      </c>
      <c r="S1633" s="208">
        <f>IF($L$1588,$N1633*IF($O$1588=1,$O1633/$F$1588,1),"")</f>
        <v/>
      </c>
      <c r="T1633" s="208">
        <f>IF(NOT($L$1588),"",IF($G1633&lt;nr_MStartP,$S1633,$T1621*(1+IF($G1633&lt;nr_MStartP1,$M$1588,$N$1588))))</f>
        <v/>
      </c>
      <c r="U1633" s="208">
        <f>IF($L$1588,$T1633,$N1633)</f>
        <v/>
      </c>
    </row>
    <row r="1634">
      <c r="A1634" s="145" t="n">
        <v>44</v>
      </c>
      <c r="B1634" s="204">
        <f>EDATE($B1633,1)</f>
        <v/>
      </c>
      <c r="C1634" s="205">
        <f>EOMONTH($B1634,0)</f>
        <v/>
      </c>
      <c r="D1634" s="201">
        <f>$C1634-$B1634+1</f>
        <v/>
      </c>
      <c r="E1634" s="201">
        <f>MONTH($B1634)</f>
        <v/>
      </c>
      <c r="F1634" s="235">
        <f>($B1634+$C1634+1)/2</f>
        <v/>
      </c>
      <c r="G1634" s="201">
        <f>YEAR($B1634)*12+MONTH($B1634)-1</f>
        <v/>
      </c>
      <c r="H1634" s="207">
        <f>IF(OR(nr_SeasonOn="OFF",$D$1588=0,$E$1588=0),1,12*INDEX(se_block,$D$1588,$E1634)/$E$1588)</f>
        <v/>
      </c>
      <c r="I1634" s="208">
        <f>EXP(SUMPRODUCT((rl_eff&lt;$B1634)*(rl_key=$A$1588)*rl_ln1p))</f>
        <v/>
      </c>
      <c r="J1634" s="208">
        <f>EXP(SUMPRODUCT((rl_eff&lt;=$C1634)*(rl_key=$A$1588)*rl_ln1p))</f>
        <v/>
      </c>
      <c r="K1634" s="201">
        <f>COUNTIFS(rl_key,$A$1588,rl_eff,"&gt;="&amp;$B1634,rl_eff,"&lt;="&amp;$C1634)</f>
        <v/>
      </c>
      <c r="L1634" s="201">
        <f>SUMIFS(rl_daysafter,rl_key,$A$1588,rl_effmonth,$B1634,rl_first,1)</f>
        <v/>
      </c>
      <c r="M1634" s="209">
        <f>IF($K1634=0,0,MIN(1,$L1634/$D1634))</f>
        <v/>
      </c>
      <c r="N1634" s="208">
        <f>IF($K1634=0,$J1634,(1-$M1634)*$I1634+$M1634*$J1634)</f>
        <v/>
      </c>
      <c r="O1634" s="209">
        <f>IF($F1634&lt;$B$1589,$E$1589+$I$1589*($F1634-$A$1589),IF($F1634&lt;$C$1589,$F$1589+$J$1589*($F1634-$B$1589),$G$1589+$K$1589*($F1634-$C$1589)))</f>
        <v/>
      </c>
      <c r="P1634" s="208">
        <f>MIN(1,MAX(0,(nr_MEndPm1-$G1634+0.5)/$C$1588))-MIN(1,MAX(0,(nr_MStartPm1-1-$G1634+0.5)/$C$1588))</f>
        <v/>
      </c>
      <c r="Q1634" s="208">
        <f>MIN(1,MAX(0,(nr_MEndP-$G1634+0.5)/$C$1588))-MIN(1,MAX(0,(nr_MStartP-1-$G1634+0.5)/$C$1588))</f>
        <v/>
      </c>
      <c r="R1634" s="208">
        <f>MIN(1,MAX(0,(nr_MEndP1-$G1634+0.5)/$C$1588))-MIN(1,MAX(0,(nr_MStartP1-1-$G1634+0.5)/$C$1588))</f>
        <v/>
      </c>
      <c r="S1634" s="208">
        <f>IF($L$1588,$N1634*IF($O$1588=1,$O1634/$F$1588,1),"")</f>
        <v/>
      </c>
      <c r="T1634" s="208">
        <f>IF(NOT($L$1588),"",IF($G1634&lt;nr_MStartP,$S1634,$T1622*(1+IF($G1634&lt;nr_MStartP1,$M$1588,$N$1588))))</f>
        <v/>
      </c>
      <c r="U1634" s="208">
        <f>IF($L$1588,$T1634,$N1634)</f>
        <v/>
      </c>
    </row>
    <row r="1635">
      <c r="A1635" s="145" t="n">
        <v>45</v>
      </c>
      <c r="B1635" s="204">
        <f>EDATE($B1634,1)</f>
        <v/>
      </c>
      <c r="C1635" s="205">
        <f>EOMONTH($B1635,0)</f>
        <v/>
      </c>
      <c r="D1635" s="201">
        <f>$C1635-$B1635+1</f>
        <v/>
      </c>
      <c r="E1635" s="201">
        <f>MONTH($B1635)</f>
        <v/>
      </c>
      <c r="F1635" s="235">
        <f>($B1635+$C1635+1)/2</f>
        <v/>
      </c>
      <c r="G1635" s="201">
        <f>YEAR($B1635)*12+MONTH($B1635)-1</f>
        <v/>
      </c>
      <c r="H1635" s="207">
        <f>IF(OR(nr_SeasonOn="OFF",$D$1588=0,$E$1588=0),1,12*INDEX(se_block,$D$1588,$E1635)/$E$1588)</f>
        <v/>
      </c>
      <c r="I1635" s="208">
        <f>EXP(SUMPRODUCT((rl_eff&lt;$B1635)*(rl_key=$A$1588)*rl_ln1p))</f>
        <v/>
      </c>
      <c r="J1635" s="208">
        <f>EXP(SUMPRODUCT((rl_eff&lt;=$C1635)*(rl_key=$A$1588)*rl_ln1p))</f>
        <v/>
      </c>
      <c r="K1635" s="201">
        <f>COUNTIFS(rl_key,$A$1588,rl_eff,"&gt;="&amp;$B1635,rl_eff,"&lt;="&amp;$C1635)</f>
        <v/>
      </c>
      <c r="L1635" s="201">
        <f>SUMIFS(rl_daysafter,rl_key,$A$1588,rl_effmonth,$B1635,rl_first,1)</f>
        <v/>
      </c>
      <c r="M1635" s="209">
        <f>IF($K1635=0,0,MIN(1,$L1635/$D1635))</f>
        <v/>
      </c>
      <c r="N1635" s="208">
        <f>IF($K1635=0,$J1635,(1-$M1635)*$I1635+$M1635*$J1635)</f>
        <v/>
      </c>
      <c r="O1635" s="209">
        <f>IF($F1635&lt;$B$1589,$E$1589+$I$1589*($F1635-$A$1589),IF($F1635&lt;$C$1589,$F$1589+$J$1589*($F1635-$B$1589),$G$1589+$K$1589*($F1635-$C$1589)))</f>
        <v/>
      </c>
      <c r="P1635" s="208">
        <f>MIN(1,MAX(0,(nr_MEndPm1-$G1635+0.5)/$C$1588))-MIN(1,MAX(0,(nr_MStartPm1-1-$G1635+0.5)/$C$1588))</f>
        <v/>
      </c>
      <c r="Q1635" s="208">
        <f>MIN(1,MAX(0,(nr_MEndP-$G1635+0.5)/$C$1588))-MIN(1,MAX(0,(nr_MStartP-1-$G1635+0.5)/$C$1588))</f>
        <v/>
      </c>
      <c r="R1635" s="208">
        <f>MIN(1,MAX(0,(nr_MEndP1-$G1635+0.5)/$C$1588))-MIN(1,MAX(0,(nr_MStartP1-1-$G1635+0.5)/$C$1588))</f>
        <v/>
      </c>
      <c r="S1635" s="208">
        <f>IF($L$1588,$N1635*IF($O$1588=1,$O1635/$F$1588,1),"")</f>
        <v/>
      </c>
      <c r="T1635" s="208">
        <f>IF(NOT($L$1588),"",IF($G1635&lt;nr_MStartP,$S1635,$T1623*(1+IF($G1635&lt;nr_MStartP1,$M$1588,$N$1588))))</f>
        <v/>
      </c>
      <c r="U1635" s="208">
        <f>IF($L$1588,$T1635,$N1635)</f>
        <v/>
      </c>
    </row>
    <row r="1636">
      <c r="A1636" s="145" t="n">
        <v>46</v>
      </c>
      <c r="B1636" s="204">
        <f>EDATE($B1635,1)</f>
        <v/>
      </c>
      <c r="C1636" s="205">
        <f>EOMONTH($B1636,0)</f>
        <v/>
      </c>
      <c r="D1636" s="201">
        <f>$C1636-$B1636+1</f>
        <v/>
      </c>
      <c r="E1636" s="201">
        <f>MONTH($B1636)</f>
        <v/>
      </c>
      <c r="F1636" s="235">
        <f>($B1636+$C1636+1)/2</f>
        <v/>
      </c>
      <c r="G1636" s="201">
        <f>YEAR($B1636)*12+MONTH($B1636)-1</f>
        <v/>
      </c>
      <c r="H1636" s="207">
        <f>IF(OR(nr_SeasonOn="OFF",$D$1588=0,$E$1588=0),1,12*INDEX(se_block,$D$1588,$E1636)/$E$1588)</f>
        <v/>
      </c>
      <c r="I1636" s="208">
        <f>EXP(SUMPRODUCT((rl_eff&lt;$B1636)*(rl_key=$A$1588)*rl_ln1p))</f>
        <v/>
      </c>
      <c r="J1636" s="208">
        <f>EXP(SUMPRODUCT((rl_eff&lt;=$C1636)*(rl_key=$A$1588)*rl_ln1p))</f>
        <v/>
      </c>
      <c r="K1636" s="201">
        <f>COUNTIFS(rl_key,$A$1588,rl_eff,"&gt;="&amp;$B1636,rl_eff,"&lt;="&amp;$C1636)</f>
        <v/>
      </c>
      <c r="L1636" s="201">
        <f>SUMIFS(rl_daysafter,rl_key,$A$1588,rl_effmonth,$B1636,rl_first,1)</f>
        <v/>
      </c>
      <c r="M1636" s="209">
        <f>IF($K1636=0,0,MIN(1,$L1636/$D1636))</f>
        <v/>
      </c>
      <c r="N1636" s="208">
        <f>IF($K1636=0,$J1636,(1-$M1636)*$I1636+$M1636*$J1636)</f>
        <v/>
      </c>
      <c r="O1636" s="209">
        <f>IF($F1636&lt;$B$1589,$E$1589+$I$1589*($F1636-$A$1589),IF($F1636&lt;$C$1589,$F$1589+$J$1589*($F1636-$B$1589),$G$1589+$K$1589*($F1636-$C$1589)))</f>
        <v/>
      </c>
      <c r="P1636" s="208">
        <f>MIN(1,MAX(0,(nr_MEndPm1-$G1636+0.5)/$C$1588))-MIN(1,MAX(0,(nr_MStartPm1-1-$G1636+0.5)/$C$1588))</f>
        <v/>
      </c>
      <c r="Q1636" s="208">
        <f>MIN(1,MAX(0,(nr_MEndP-$G1636+0.5)/$C$1588))-MIN(1,MAX(0,(nr_MStartP-1-$G1636+0.5)/$C$1588))</f>
        <v/>
      </c>
      <c r="R1636" s="208">
        <f>MIN(1,MAX(0,(nr_MEndP1-$G1636+0.5)/$C$1588))-MIN(1,MAX(0,(nr_MStartP1-1-$G1636+0.5)/$C$1588))</f>
        <v/>
      </c>
      <c r="S1636" s="208">
        <f>IF($L$1588,$N1636*IF($O$1588=1,$O1636/$F$1588,1),"")</f>
        <v/>
      </c>
      <c r="T1636" s="208">
        <f>IF(NOT($L$1588),"",IF($G1636&lt;nr_MStartP,$S1636,$T1624*(1+IF($G1636&lt;nr_MStartP1,$M$1588,$N$1588))))</f>
        <v/>
      </c>
      <c r="U1636" s="208">
        <f>IF($L$1588,$T1636,$N1636)</f>
        <v/>
      </c>
    </row>
    <row r="1637">
      <c r="A1637" s="145" t="n">
        <v>47</v>
      </c>
      <c r="B1637" s="204">
        <f>EDATE($B1636,1)</f>
        <v/>
      </c>
      <c r="C1637" s="205">
        <f>EOMONTH($B1637,0)</f>
        <v/>
      </c>
      <c r="D1637" s="201">
        <f>$C1637-$B1637+1</f>
        <v/>
      </c>
      <c r="E1637" s="201">
        <f>MONTH($B1637)</f>
        <v/>
      </c>
      <c r="F1637" s="235">
        <f>($B1637+$C1637+1)/2</f>
        <v/>
      </c>
      <c r="G1637" s="201">
        <f>YEAR($B1637)*12+MONTH($B1637)-1</f>
        <v/>
      </c>
      <c r="H1637" s="207">
        <f>IF(OR(nr_SeasonOn="OFF",$D$1588=0,$E$1588=0),1,12*INDEX(se_block,$D$1588,$E1637)/$E$1588)</f>
        <v/>
      </c>
      <c r="I1637" s="208">
        <f>EXP(SUMPRODUCT((rl_eff&lt;$B1637)*(rl_key=$A$1588)*rl_ln1p))</f>
        <v/>
      </c>
      <c r="J1637" s="208">
        <f>EXP(SUMPRODUCT((rl_eff&lt;=$C1637)*(rl_key=$A$1588)*rl_ln1p))</f>
        <v/>
      </c>
      <c r="K1637" s="201">
        <f>COUNTIFS(rl_key,$A$1588,rl_eff,"&gt;="&amp;$B1637,rl_eff,"&lt;="&amp;$C1637)</f>
        <v/>
      </c>
      <c r="L1637" s="201">
        <f>SUMIFS(rl_daysafter,rl_key,$A$1588,rl_effmonth,$B1637,rl_first,1)</f>
        <v/>
      </c>
      <c r="M1637" s="209">
        <f>IF($K1637=0,0,MIN(1,$L1637/$D1637))</f>
        <v/>
      </c>
      <c r="N1637" s="208">
        <f>IF($K1637=0,$J1637,(1-$M1637)*$I1637+$M1637*$J1637)</f>
        <v/>
      </c>
      <c r="O1637" s="209">
        <f>IF($F1637&lt;$B$1589,$E$1589+$I$1589*($F1637-$A$1589),IF($F1637&lt;$C$1589,$F$1589+$J$1589*($F1637-$B$1589),$G$1589+$K$1589*($F1637-$C$1589)))</f>
        <v/>
      </c>
      <c r="P1637" s="208">
        <f>MIN(1,MAX(0,(nr_MEndPm1-$G1637+0.5)/$C$1588))-MIN(1,MAX(0,(nr_MStartPm1-1-$G1637+0.5)/$C$1588))</f>
        <v/>
      </c>
      <c r="Q1637" s="208">
        <f>MIN(1,MAX(0,(nr_MEndP-$G1637+0.5)/$C$1588))-MIN(1,MAX(0,(nr_MStartP-1-$G1637+0.5)/$C$1588))</f>
        <v/>
      </c>
      <c r="R1637" s="208">
        <f>MIN(1,MAX(0,(nr_MEndP1-$G1637+0.5)/$C$1588))-MIN(1,MAX(0,(nr_MStartP1-1-$G1637+0.5)/$C$1588))</f>
        <v/>
      </c>
      <c r="S1637" s="208">
        <f>IF($L$1588,$N1637*IF($O$1588=1,$O1637/$F$1588,1),"")</f>
        <v/>
      </c>
      <c r="T1637" s="208">
        <f>IF(NOT($L$1588),"",IF($G1637&lt;nr_MStartP,$S1637,$T1625*(1+IF($G1637&lt;nr_MStartP1,$M$1588,$N$1588))))</f>
        <v/>
      </c>
      <c r="U1637" s="208">
        <f>IF($L$1588,$T1637,$N1637)</f>
        <v/>
      </c>
    </row>
    <row r="1638">
      <c r="A1638" s="145" t="n">
        <v>48</v>
      </c>
      <c r="B1638" s="204">
        <f>EDATE($B1637,1)</f>
        <v/>
      </c>
      <c r="C1638" s="205">
        <f>EOMONTH($B1638,0)</f>
        <v/>
      </c>
      <c r="D1638" s="201">
        <f>$C1638-$B1638+1</f>
        <v/>
      </c>
      <c r="E1638" s="201">
        <f>MONTH($B1638)</f>
        <v/>
      </c>
      <c r="F1638" s="235">
        <f>($B1638+$C1638+1)/2</f>
        <v/>
      </c>
      <c r="G1638" s="201">
        <f>YEAR($B1638)*12+MONTH($B1638)-1</f>
        <v/>
      </c>
      <c r="H1638" s="207">
        <f>IF(OR(nr_SeasonOn="OFF",$D$1588=0,$E$1588=0),1,12*INDEX(se_block,$D$1588,$E1638)/$E$1588)</f>
        <v/>
      </c>
      <c r="I1638" s="208">
        <f>EXP(SUMPRODUCT((rl_eff&lt;$B1638)*(rl_key=$A$1588)*rl_ln1p))</f>
        <v/>
      </c>
      <c r="J1638" s="208">
        <f>EXP(SUMPRODUCT((rl_eff&lt;=$C1638)*(rl_key=$A$1588)*rl_ln1p))</f>
        <v/>
      </c>
      <c r="K1638" s="201">
        <f>COUNTIFS(rl_key,$A$1588,rl_eff,"&gt;="&amp;$B1638,rl_eff,"&lt;="&amp;$C1638)</f>
        <v/>
      </c>
      <c r="L1638" s="201">
        <f>SUMIFS(rl_daysafter,rl_key,$A$1588,rl_effmonth,$B1638,rl_first,1)</f>
        <v/>
      </c>
      <c r="M1638" s="209">
        <f>IF($K1638=0,0,MIN(1,$L1638/$D1638))</f>
        <v/>
      </c>
      <c r="N1638" s="208">
        <f>IF($K1638=0,$J1638,(1-$M1638)*$I1638+$M1638*$J1638)</f>
        <v/>
      </c>
      <c r="O1638" s="209">
        <f>IF($F1638&lt;$B$1589,$E$1589+$I$1589*($F1638-$A$1589),IF($F1638&lt;$C$1589,$F$1589+$J$1589*($F1638-$B$1589),$G$1589+$K$1589*($F1638-$C$1589)))</f>
        <v/>
      </c>
      <c r="P1638" s="208">
        <f>MIN(1,MAX(0,(nr_MEndPm1-$G1638+0.5)/$C$1588))-MIN(1,MAX(0,(nr_MStartPm1-1-$G1638+0.5)/$C$1588))</f>
        <v/>
      </c>
      <c r="Q1638" s="208">
        <f>MIN(1,MAX(0,(nr_MEndP-$G1638+0.5)/$C$1588))-MIN(1,MAX(0,(nr_MStartP-1-$G1638+0.5)/$C$1588))</f>
        <v/>
      </c>
      <c r="R1638" s="208">
        <f>MIN(1,MAX(0,(nr_MEndP1-$G1638+0.5)/$C$1588))-MIN(1,MAX(0,(nr_MStartP1-1-$G1638+0.5)/$C$1588))</f>
        <v/>
      </c>
      <c r="S1638" s="208">
        <f>IF($L$1588,$N1638*IF($O$1588=1,$O1638/$F$1588,1),"")</f>
        <v/>
      </c>
      <c r="T1638" s="208">
        <f>IF(NOT($L$1588),"",IF($G1638&lt;nr_MStartP,$S1638,$T1626*(1+IF($G1638&lt;nr_MStartP1,$M$1588,$N$1588))))</f>
        <v/>
      </c>
      <c r="U1638" s="208">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184">
        <f>SUMPRODUCT($H$1591:$H$1638,$Q$1591:$Q$1638,$O$1591:$O$1638)/SUMPRODUCT($H$1591:$H$1638,$Q$1591:$Q$1638)</f>
        <v/>
      </c>
      <c r="G1639" s="184">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184">
        <f>IF(N(INDEX(lr_mind,30))=0,1,INDEX(lr_mind,30))</f>
        <v/>
      </c>
      <c r="G1642" s="184">
        <f>IF(N(INDEX(lr_m0,30))=0,1,INDEX(lr_m0,30))</f>
        <v/>
      </c>
      <c r="H1642" s="73">
        <f>IF(N(INDEX(lr_m0asof,30))=0,DATE(nr_PlanYear-1,10,1),INDEX(lr_m0asof,30))</f>
        <v/>
      </c>
      <c r="I1642" s="184">
        <f>IF(N(INDEX(lr_m1,30))=0,1,INDEX(lr_m1,30))</f>
        <v/>
      </c>
      <c r="J1642" s="184">
        <f>INDEX(lr_mprior,30)</f>
        <v/>
      </c>
      <c r="K1642" s="184">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145" t="n">
        <v>1</v>
      </c>
      <c r="B1645" s="204">
        <f>DATE(nr_PlanYear-2,1,1)</f>
        <v/>
      </c>
      <c r="C1645" s="205">
        <f>EOMONTH($B1645,0)</f>
        <v/>
      </c>
      <c r="D1645" s="201">
        <f>$C1645-$B1645+1</f>
        <v/>
      </c>
      <c r="E1645" s="201">
        <f>MONTH($B1645)</f>
        <v/>
      </c>
      <c r="F1645" s="235">
        <f>($B1645+$C1645+1)/2</f>
        <v/>
      </c>
      <c r="G1645" s="201">
        <f>YEAR($B1645)*12+MONTH($B1645)-1</f>
        <v/>
      </c>
      <c r="H1645" s="207">
        <f>IF(OR(nr_SeasonOn="OFF",$D$1642=0,$E$1642=0),1,12*INDEX(se_block,$D$1642,$E1645)/$E$1642)</f>
        <v/>
      </c>
      <c r="I1645" s="208">
        <f>EXP(SUMPRODUCT((rl_eff&lt;$B1645)*(rl_key=$A$1642)*rl_ln1p))</f>
        <v/>
      </c>
      <c r="J1645" s="208">
        <f>EXP(SUMPRODUCT((rl_eff&lt;=$C1645)*(rl_key=$A$1642)*rl_ln1p))</f>
        <v/>
      </c>
      <c r="K1645" s="201">
        <f>COUNTIFS(rl_key,$A$1642,rl_eff,"&gt;="&amp;$B1645,rl_eff,"&lt;="&amp;$C1645)</f>
        <v/>
      </c>
      <c r="L1645" s="201">
        <f>SUMIFS(rl_daysafter,rl_key,$A$1642,rl_effmonth,$B1645,rl_first,1)</f>
        <v/>
      </c>
      <c r="M1645" s="209">
        <f>IF($K1645=0,0,MIN(1,$L1645/$D1645))</f>
        <v/>
      </c>
      <c r="N1645" s="208">
        <f>IF($K1645=0,$J1645,(1-$M1645)*$I1645+$M1645*$J1645)</f>
        <v/>
      </c>
      <c r="O1645" s="209">
        <f>IF($F1645&lt;$B$1643,$E$1643+$I$1643*($F1645-$A$1643),IF($F1645&lt;$C$1643,$F$1643+$J$1643*($F1645-$B$1643),$G$1643+$K$1643*($F1645-$C$1643)))</f>
        <v/>
      </c>
      <c r="P1645" s="208">
        <f>MIN(1,MAX(0,(nr_MEndPm1-$G1645+0.5)/$C$1642))-MIN(1,MAX(0,(nr_MStartPm1-1-$G1645+0.5)/$C$1642))</f>
        <v/>
      </c>
      <c r="Q1645" s="208">
        <f>MIN(1,MAX(0,(nr_MEndP-$G1645+0.5)/$C$1642))-MIN(1,MAX(0,(nr_MStartP-1-$G1645+0.5)/$C$1642))</f>
        <v/>
      </c>
      <c r="R1645" s="208">
        <f>MIN(1,MAX(0,(nr_MEndP1-$G1645+0.5)/$C$1642))-MIN(1,MAX(0,(nr_MStartP1-1-$G1645+0.5)/$C$1642))</f>
        <v/>
      </c>
      <c r="S1645" s="208">
        <f>IF($L$1642,$N1645*IF($O$1642=1,$O1645/$F$1642,1),"")</f>
        <v/>
      </c>
      <c r="T1645" s="208">
        <f>IF(NOT($L$1642),"",IF($G1645&lt;nr_MStartP,$S1645,$T1633*(1+IF($G1645&lt;nr_MStartP1,$M$1642,$N$1642))))</f>
        <v/>
      </c>
      <c r="U1645" s="208">
        <f>IF($L$1642,$T1645,$N1645)</f>
        <v/>
      </c>
    </row>
    <row r="1646">
      <c r="A1646" s="145" t="n">
        <v>2</v>
      </c>
      <c r="B1646" s="204">
        <f>EDATE($B1645,1)</f>
        <v/>
      </c>
      <c r="C1646" s="205">
        <f>EOMONTH($B1646,0)</f>
        <v/>
      </c>
      <c r="D1646" s="201">
        <f>$C1646-$B1646+1</f>
        <v/>
      </c>
      <c r="E1646" s="201">
        <f>MONTH($B1646)</f>
        <v/>
      </c>
      <c r="F1646" s="235">
        <f>($B1646+$C1646+1)/2</f>
        <v/>
      </c>
      <c r="G1646" s="201">
        <f>YEAR($B1646)*12+MONTH($B1646)-1</f>
        <v/>
      </c>
      <c r="H1646" s="207">
        <f>IF(OR(nr_SeasonOn="OFF",$D$1642=0,$E$1642=0),1,12*INDEX(se_block,$D$1642,$E1646)/$E$1642)</f>
        <v/>
      </c>
      <c r="I1646" s="208">
        <f>EXP(SUMPRODUCT((rl_eff&lt;$B1646)*(rl_key=$A$1642)*rl_ln1p))</f>
        <v/>
      </c>
      <c r="J1646" s="208">
        <f>EXP(SUMPRODUCT((rl_eff&lt;=$C1646)*(rl_key=$A$1642)*rl_ln1p))</f>
        <v/>
      </c>
      <c r="K1646" s="201">
        <f>COUNTIFS(rl_key,$A$1642,rl_eff,"&gt;="&amp;$B1646,rl_eff,"&lt;="&amp;$C1646)</f>
        <v/>
      </c>
      <c r="L1646" s="201">
        <f>SUMIFS(rl_daysafter,rl_key,$A$1642,rl_effmonth,$B1646,rl_first,1)</f>
        <v/>
      </c>
      <c r="M1646" s="209">
        <f>IF($K1646=0,0,MIN(1,$L1646/$D1646))</f>
        <v/>
      </c>
      <c r="N1646" s="208">
        <f>IF($K1646=0,$J1646,(1-$M1646)*$I1646+$M1646*$J1646)</f>
        <v/>
      </c>
      <c r="O1646" s="209">
        <f>IF($F1646&lt;$B$1643,$E$1643+$I$1643*($F1646-$A$1643),IF($F1646&lt;$C$1643,$F$1643+$J$1643*($F1646-$B$1643),$G$1643+$K$1643*($F1646-$C$1643)))</f>
        <v/>
      </c>
      <c r="P1646" s="208">
        <f>MIN(1,MAX(0,(nr_MEndPm1-$G1646+0.5)/$C$1642))-MIN(1,MAX(0,(nr_MStartPm1-1-$G1646+0.5)/$C$1642))</f>
        <v/>
      </c>
      <c r="Q1646" s="208">
        <f>MIN(1,MAX(0,(nr_MEndP-$G1646+0.5)/$C$1642))-MIN(1,MAX(0,(nr_MStartP-1-$G1646+0.5)/$C$1642))</f>
        <v/>
      </c>
      <c r="R1646" s="208">
        <f>MIN(1,MAX(0,(nr_MEndP1-$G1646+0.5)/$C$1642))-MIN(1,MAX(0,(nr_MStartP1-1-$G1646+0.5)/$C$1642))</f>
        <v/>
      </c>
      <c r="S1646" s="208">
        <f>IF($L$1642,$N1646*IF($O$1642=1,$O1646/$F$1642,1),"")</f>
        <v/>
      </c>
      <c r="T1646" s="208">
        <f>IF(NOT($L$1642),"",IF($G1646&lt;nr_MStartP,$S1646,$T1634*(1+IF($G1646&lt;nr_MStartP1,$M$1642,$N$1642))))</f>
        <v/>
      </c>
      <c r="U1646" s="208">
        <f>IF($L$1642,$T1646,$N1646)</f>
        <v/>
      </c>
    </row>
    <row r="1647">
      <c r="A1647" s="145" t="n">
        <v>3</v>
      </c>
      <c r="B1647" s="204">
        <f>EDATE($B1646,1)</f>
        <v/>
      </c>
      <c r="C1647" s="205">
        <f>EOMONTH($B1647,0)</f>
        <v/>
      </c>
      <c r="D1647" s="201">
        <f>$C1647-$B1647+1</f>
        <v/>
      </c>
      <c r="E1647" s="201">
        <f>MONTH($B1647)</f>
        <v/>
      </c>
      <c r="F1647" s="235">
        <f>($B1647+$C1647+1)/2</f>
        <v/>
      </c>
      <c r="G1647" s="201">
        <f>YEAR($B1647)*12+MONTH($B1647)-1</f>
        <v/>
      </c>
      <c r="H1647" s="207">
        <f>IF(OR(nr_SeasonOn="OFF",$D$1642=0,$E$1642=0),1,12*INDEX(se_block,$D$1642,$E1647)/$E$1642)</f>
        <v/>
      </c>
      <c r="I1647" s="208">
        <f>EXP(SUMPRODUCT((rl_eff&lt;$B1647)*(rl_key=$A$1642)*rl_ln1p))</f>
        <v/>
      </c>
      <c r="J1647" s="208">
        <f>EXP(SUMPRODUCT((rl_eff&lt;=$C1647)*(rl_key=$A$1642)*rl_ln1p))</f>
        <v/>
      </c>
      <c r="K1647" s="201">
        <f>COUNTIFS(rl_key,$A$1642,rl_eff,"&gt;="&amp;$B1647,rl_eff,"&lt;="&amp;$C1647)</f>
        <v/>
      </c>
      <c r="L1647" s="201">
        <f>SUMIFS(rl_daysafter,rl_key,$A$1642,rl_effmonth,$B1647,rl_first,1)</f>
        <v/>
      </c>
      <c r="M1647" s="209">
        <f>IF($K1647=0,0,MIN(1,$L1647/$D1647))</f>
        <v/>
      </c>
      <c r="N1647" s="208">
        <f>IF($K1647=0,$J1647,(1-$M1647)*$I1647+$M1647*$J1647)</f>
        <v/>
      </c>
      <c r="O1647" s="209">
        <f>IF($F1647&lt;$B$1643,$E$1643+$I$1643*($F1647-$A$1643),IF($F1647&lt;$C$1643,$F$1643+$J$1643*($F1647-$B$1643),$G$1643+$K$1643*($F1647-$C$1643)))</f>
        <v/>
      </c>
      <c r="P1647" s="208">
        <f>MIN(1,MAX(0,(nr_MEndPm1-$G1647+0.5)/$C$1642))-MIN(1,MAX(0,(nr_MStartPm1-1-$G1647+0.5)/$C$1642))</f>
        <v/>
      </c>
      <c r="Q1647" s="208">
        <f>MIN(1,MAX(0,(nr_MEndP-$G1647+0.5)/$C$1642))-MIN(1,MAX(0,(nr_MStartP-1-$G1647+0.5)/$C$1642))</f>
        <v/>
      </c>
      <c r="R1647" s="208">
        <f>MIN(1,MAX(0,(nr_MEndP1-$G1647+0.5)/$C$1642))-MIN(1,MAX(0,(nr_MStartP1-1-$G1647+0.5)/$C$1642))</f>
        <v/>
      </c>
      <c r="S1647" s="208">
        <f>IF($L$1642,$N1647*IF($O$1642=1,$O1647/$F$1642,1),"")</f>
        <v/>
      </c>
      <c r="T1647" s="208">
        <f>IF(NOT($L$1642),"",IF($G1647&lt;nr_MStartP,$S1647,$T1635*(1+IF($G1647&lt;nr_MStartP1,$M$1642,$N$1642))))</f>
        <v/>
      </c>
      <c r="U1647" s="208">
        <f>IF($L$1642,$T1647,$N1647)</f>
        <v/>
      </c>
    </row>
    <row r="1648">
      <c r="A1648" s="145" t="n">
        <v>4</v>
      </c>
      <c r="B1648" s="204">
        <f>EDATE($B1647,1)</f>
        <v/>
      </c>
      <c r="C1648" s="205">
        <f>EOMONTH($B1648,0)</f>
        <v/>
      </c>
      <c r="D1648" s="201">
        <f>$C1648-$B1648+1</f>
        <v/>
      </c>
      <c r="E1648" s="201">
        <f>MONTH($B1648)</f>
        <v/>
      </c>
      <c r="F1648" s="235">
        <f>($B1648+$C1648+1)/2</f>
        <v/>
      </c>
      <c r="G1648" s="201">
        <f>YEAR($B1648)*12+MONTH($B1648)-1</f>
        <v/>
      </c>
      <c r="H1648" s="207">
        <f>IF(OR(nr_SeasonOn="OFF",$D$1642=0,$E$1642=0),1,12*INDEX(se_block,$D$1642,$E1648)/$E$1642)</f>
        <v/>
      </c>
      <c r="I1648" s="208">
        <f>EXP(SUMPRODUCT((rl_eff&lt;$B1648)*(rl_key=$A$1642)*rl_ln1p))</f>
        <v/>
      </c>
      <c r="J1648" s="208">
        <f>EXP(SUMPRODUCT((rl_eff&lt;=$C1648)*(rl_key=$A$1642)*rl_ln1p))</f>
        <v/>
      </c>
      <c r="K1648" s="201">
        <f>COUNTIFS(rl_key,$A$1642,rl_eff,"&gt;="&amp;$B1648,rl_eff,"&lt;="&amp;$C1648)</f>
        <v/>
      </c>
      <c r="L1648" s="201">
        <f>SUMIFS(rl_daysafter,rl_key,$A$1642,rl_effmonth,$B1648,rl_first,1)</f>
        <v/>
      </c>
      <c r="M1648" s="209">
        <f>IF($K1648=0,0,MIN(1,$L1648/$D1648))</f>
        <v/>
      </c>
      <c r="N1648" s="208">
        <f>IF($K1648=0,$J1648,(1-$M1648)*$I1648+$M1648*$J1648)</f>
        <v/>
      </c>
      <c r="O1648" s="209">
        <f>IF($F1648&lt;$B$1643,$E$1643+$I$1643*($F1648-$A$1643),IF($F1648&lt;$C$1643,$F$1643+$J$1643*($F1648-$B$1643),$G$1643+$K$1643*($F1648-$C$1643)))</f>
        <v/>
      </c>
      <c r="P1648" s="208">
        <f>MIN(1,MAX(0,(nr_MEndPm1-$G1648+0.5)/$C$1642))-MIN(1,MAX(0,(nr_MStartPm1-1-$G1648+0.5)/$C$1642))</f>
        <v/>
      </c>
      <c r="Q1648" s="208">
        <f>MIN(1,MAX(0,(nr_MEndP-$G1648+0.5)/$C$1642))-MIN(1,MAX(0,(nr_MStartP-1-$G1648+0.5)/$C$1642))</f>
        <v/>
      </c>
      <c r="R1648" s="208">
        <f>MIN(1,MAX(0,(nr_MEndP1-$G1648+0.5)/$C$1642))-MIN(1,MAX(0,(nr_MStartP1-1-$G1648+0.5)/$C$1642))</f>
        <v/>
      </c>
      <c r="S1648" s="208">
        <f>IF($L$1642,$N1648*IF($O$1642=1,$O1648/$F$1642,1),"")</f>
        <v/>
      </c>
      <c r="T1648" s="208">
        <f>IF(NOT($L$1642),"",IF($G1648&lt;nr_MStartP,$S1648,$T1636*(1+IF($G1648&lt;nr_MStartP1,$M$1642,$N$1642))))</f>
        <v/>
      </c>
      <c r="U1648" s="208">
        <f>IF($L$1642,$T1648,$N1648)</f>
        <v/>
      </c>
    </row>
    <row r="1649">
      <c r="A1649" s="145" t="n">
        <v>5</v>
      </c>
      <c r="B1649" s="204">
        <f>EDATE($B1648,1)</f>
        <v/>
      </c>
      <c r="C1649" s="205">
        <f>EOMONTH($B1649,0)</f>
        <v/>
      </c>
      <c r="D1649" s="201">
        <f>$C1649-$B1649+1</f>
        <v/>
      </c>
      <c r="E1649" s="201">
        <f>MONTH($B1649)</f>
        <v/>
      </c>
      <c r="F1649" s="235">
        <f>($B1649+$C1649+1)/2</f>
        <v/>
      </c>
      <c r="G1649" s="201">
        <f>YEAR($B1649)*12+MONTH($B1649)-1</f>
        <v/>
      </c>
      <c r="H1649" s="207">
        <f>IF(OR(nr_SeasonOn="OFF",$D$1642=0,$E$1642=0),1,12*INDEX(se_block,$D$1642,$E1649)/$E$1642)</f>
        <v/>
      </c>
      <c r="I1649" s="208">
        <f>EXP(SUMPRODUCT((rl_eff&lt;$B1649)*(rl_key=$A$1642)*rl_ln1p))</f>
        <v/>
      </c>
      <c r="J1649" s="208">
        <f>EXP(SUMPRODUCT((rl_eff&lt;=$C1649)*(rl_key=$A$1642)*rl_ln1p))</f>
        <v/>
      </c>
      <c r="K1649" s="201">
        <f>COUNTIFS(rl_key,$A$1642,rl_eff,"&gt;="&amp;$B1649,rl_eff,"&lt;="&amp;$C1649)</f>
        <v/>
      </c>
      <c r="L1649" s="201">
        <f>SUMIFS(rl_daysafter,rl_key,$A$1642,rl_effmonth,$B1649,rl_first,1)</f>
        <v/>
      </c>
      <c r="M1649" s="209">
        <f>IF($K1649=0,0,MIN(1,$L1649/$D1649))</f>
        <v/>
      </c>
      <c r="N1649" s="208">
        <f>IF($K1649=0,$J1649,(1-$M1649)*$I1649+$M1649*$J1649)</f>
        <v/>
      </c>
      <c r="O1649" s="209">
        <f>IF($F1649&lt;$B$1643,$E$1643+$I$1643*($F1649-$A$1643),IF($F1649&lt;$C$1643,$F$1643+$J$1643*($F1649-$B$1643),$G$1643+$K$1643*($F1649-$C$1643)))</f>
        <v/>
      </c>
      <c r="P1649" s="208">
        <f>MIN(1,MAX(0,(nr_MEndPm1-$G1649+0.5)/$C$1642))-MIN(1,MAX(0,(nr_MStartPm1-1-$G1649+0.5)/$C$1642))</f>
        <v/>
      </c>
      <c r="Q1649" s="208">
        <f>MIN(1,MAX(0,(nr_MEndP-$G1649+0.5)/$C$1642))-MIN(1,MAX(0,(nr_MStartP-1-$G1649+0.5)/$C$1642))</f>
        <v/>
      </c>
      <c r="R1649" s="208">
        <f>MIN(1,MAX(0,(nr_MEndP1-$G1649+0.5)/$C$1642))-MIN(1,MAX(0,(nr_MStartP1-1-$G1649+0.5)/$C$1642))</f>
        <v/>
      </c>
      <c r="S1649" s="208">
        <f>IF($L$1642,$N1649*IF($O$1642=1,$O1649/$F$1642,1),"")</f>
        <v/>
      </c>
      <c r="T1649" s="208">
        <f>IF(NOT($L$1642),"",IF($G1649&lt;nr_MStartP,$S1649,$T1637*(1+IF($G1649&lt;nr_MStartP1,$M$1642,$N$1642))))</f>
        <v/>
      </c>
      <c r="U1649" s="208">
        <f>IF($L$1642,$T1649,$N1649)</f>
        <v/>
      </c>
    </row>
    <row r="1650">
      <c r="A1650" s="145" t="n">
        <v>6</v>
      </c>
      <c r="B1650" s="204">
        <f>EDATE($B1649,1)</f>
        <v/>
      </c>
      <c r="C1650" s="205">
        <f>EOMONTH($B1650,0)</f>
        <v/>
      </c>
      <c r="D1650" s="201">
        <f>$C1650-$B1650+1</f>
        <v/>
      </c>
      <c r="E1650" s="201">
        <f>MONTH($B1650)</f>
        <v/>
      </c>
      <c r="F1650" s="235">
        <f>($B1650+$C1650+1)/2</f>
        <v/>
      </c>
      <c r="G1650" s="201">
        <f>YEAR($B1650)*12+MONTH($B1650)-1</f>
        <v/>
      </c>
      <c r="H1650" s="207">
        <f>IF(OR(nr_SeasonOn="OFF",$D$1642=0,$E$1642=0),1,12*INDEX(se_block,$D$1642,$E1650)/$E$1642)</f>
        <v/>
      </c>
      <c r="I1650" s="208">
        <f>EXP(SUMPRODUCT((rl_eff&lt;$B1650)*(rl_key=$A$1642)*rl_ln1p))</f>
        <v/>
      </c>
      <c r="J1650" s="208">
        <f>EXP(SUMPRODUCT((rl_eff&lt;=$C1650)*(rl_key=$A$1642)*rl_ln1p))</f>
        <v/>
      </c>
      <c r="K1650" s="201">
        <f>COUNTIFS(rl_key,$A$1642,rl_eff,"&gt;="&amp;$B1650,rl_eff,"&lt;="&amp;$C1650)</f>
        <v/>
      </c>
      <c r="L1650" s="201">
        <f>SUMIFS(rl_daysafter,rl_key,$A$1642,rl_effmonth,$B1650,rl_first,1)</f>
        <v/>
      </c>
      <c r="M1650" s="209">
        <f>IF($K1650=0,0,MIN(1,$L1650/$D1650))</f>
        <v/>
      </c>
      <c r="N1650" s="208">
        <f>IF($K1650=0,$J1650,(1-$M1650)*$I1650+$M1650*$J1650)</f>
        <v/>
      </c>
      <c r="O1650" s="209">
        <f>IF($F1650&lt;$B$1643,$E$1643+$I$1643*($F1650-$A$1643),IF($F1650&lt;$C$1643,$F$1643+$J$1643*($F1650-$B$1643),$G$1643+$K$1643*($F1650-$C$1643)))</f>
        <v/>
      </c>
      <c r="P1650" s="208">
        <f>MIN(1,MAX(0,(nr_MEndPm1-$G1650+0.5)/$C$1642))-MIN(1,MAX(0,(nr_MStartPm1-1-$G1650+0.5)/$C$1642))</f>
        <v/>
      </c>
      <c r="Q1650" s="208">
        <f>MIN(1,MAX(0,(nr_MEndP-$G1650+0.5)/$C$1642))-MIN(1,MAX(0,(nr_MStartP-1-$G1650+0.5)/$C$1642))</f>
        <v/>
      </c>
      <c r="R1650" s="208">
        <f>MIN(1,MAX(0,(nr_MEndP1-$G1650+0.5)/$C$1642))-MIN(1,MAX(0,(nr_MStartP1-1-$G1650+0.5)/$C$1642))</f>
        <v/>
      </c>
      <c r="S1650" s="208">
        <f>IF($L$1642,$N1650*IF($O$1642=1,$O1650/$F$1642,1),"")</f>
        <v/>
      </c>
      <c r="T1650" s="208">
        <f>IF(NOT($L$1642),"",IF($G1650&lt;nr_MStartP,$S1650,$T1638*(1+IF($G1650&lt;nr_MStartP1,$M$1642,$N$1642))))</f>
        <v/>
      </c>
      <c r="U1650" s="208">
        <f>IF($L$1642,$T1650,$N1650)</f>
        <v/>
      </c>
    </row>
    <row r="1651">
      <c r="A1651" s="145" t="n">
        <v>7</v>
      </c>
      <c r="B1651" s="204">
        <f>EDATE($B1650,1)</f>
        <v/>
      </c>
      <c r="C1651" s="205">
        <f>EOMONTH($B1651,0)</f>
        <v/>
      </c>
      <c r="D1651" s="201">
        <f>$C1651-$B1651+1</f>
        <v/>
      </c>
      <c r="E1651" s="201">
        <f>MONTH($B1651)</f>
        <v/>
      </c>
      <c r="F1651" s="235">
        <f>($B1651+$C1651+1)/2</f>
        <v/>
      </c>
      <c r="G1651" s="201">
        <f>YEAR($B1651)*12+MONTH($B1651)-1</f>
        <v/>
      </c>
      <c r="H1651" s="207">
        <f>IF(OR(nr_SeasonOn="OFF",$D$1642=0,$E$1642=0),1,12*INDEX(se_block,$D$1642,$E1651)/$E$1642)</f>
        <v/>
      </c>
      <c r="I1651" s="208">
        <f>EXP(SUMPRODUCT((rl_eff&lt;$B1651)*(rl_key=$A$1642)*rl_ln1p))</f>
        <v/>
      </c>
      <c r="J1651" s="208">
        <f>EXP(SUMPRODUCT((rl_eff&lt;=$C1651)*(rl_key=$A$1642)*rl_ln1p))</f>
        <v/>
      </c>
      <c r="K1651" s="201">
        <f>COUNTIFS(rl_key,$A$1642,rl_eff,"&gt;="&amp;$B1651,rl_eff,"&lt;="&amp;$C1651)</f>
        <v/>
      </c>
      <c r="L1651" s="201">
        <f>SUMIFS(rl_daysafter,rl_key,$A$1642,rl_effmonth,$B1651,rl_first,1)</f>
        <v/>
      </c>
      <c r="M1651" s="209">
        <f>IF($K1651=0,0,MIN(1,$L1651/$D1651))</f>
        <v/>
      </c>
      <c r="N1651" s="208">
        <f>IF($K1651=0,$J1651,(1-$M1651)*$I1651+$M1651*$J1651)</f>
        <v/>
      </c>
      <c r="O1651" s="209">
        <f>IF($F1651&lt;$B$1643,$E$1643+$I$1643*($F1651-$A$1643),IF($F1651&lt;$C$1643,$F$1643+$J$1643*($F1651-$B$1643),$G$1643+$K$1643*($F1651-$C$1643)))</f>
        <v/>
      </c>
      <c r="P1651" s="208">
        <f>MIN(1,MAX(0,(nr_MEndPm1-$G1651+0.5)/$C$1642))-MIN(1,MAX(0,(nr_MStartPm1-1-$G1651+0.5)/$C$1642))</f>
        <v/>
      </c>
      <c r="Q1651" s="208">
        <f>MIN(1,MAX(0,(nr_MEndP-$G1651+0.5)/$C$1642))-MIN(1,MAX(0,(nr_MStartP-1-$G1651+0.5)/$C$1642))</f>
        <v/>
      </c>
      <c r="R1651" s="208">
        <f>MIN(1,MAX(0,(nr_MEndP1-$G1651+0.5)/$C$1642))-MIN(1,MAX(0,(nr_MStartP1-1-$G1651+0.5)/$C$1642))</f>
        <v/>
      </c>
      <c r="S1651" s="208">
        <f>IF($L$1642,$N1651*IF($O$1642=1,$O1651/$F$1642,1),"")</f>
        <v/>
      </c>
      <c r="T1651" s="208">
        <f>IF(NOT($L$1642),"",IF($G1651&lt;nr_MStartP,$S1651,$T1639*(1+IF($G1651&lt;nr_MStartP1,$M$1642,$N$1642))))</f>
        <v/>
      </c>
      <c r="U1651" s="208">
        <f>IF($L$1642,$T1651,$N1651)</f>
        <v/>
      </c>
    </row>
    <row r="1652">
      <c r="A1652" s="145" t="n">
        <v>8</v>
      </c>
      <c r="B1652" s="204">
        <f>EDATE($B1651,1)</f>
        <v/>
      </c>
      <c r="C1652" s="205">
        <f>EOMONTH($B1652,0)</f>
        <v/>
      </c>
      <c r="D1652" s="201">
        <f>$C1652-$B1652+1</f>
        <v/>
      </c>
      <c r="E1652" s="201">
        <f>MONTH($B1652)</f>
        <v/>
      </c>
      <c r="F1652" s="235">
        <f>($B1652+$C1652+1)/2</f>
        <v/>
      </c>
      <c r="G1652" s="201">
        <f>YEAR($B1652)*12+MONTH($B1652)-1</f>
        <v/>
      </c>
      <c r="H1652" s="207">
        <f>IF(OR(nr_SeasonOn="OFF",$D$1642=0,$E$1642=0),1,12*INDEX(se_block,$D$1642,$E1652)/$E$1642)</f>
        <v/>
      </c>
      <c r="I1652" s="208">
        <f>EXP(SUMPRODUCT((rl_eff&lt;$B1652)*(rl_key=$A$1642)*rl_ln1p))</f>
        <v/>
      </c>
      <c r="J1652" s="208">
        <f>EXP(SUMPRODUCT((rl_eff&lt;=$C1652)*(rl_key=$A$1642)*rl_ln1p))</f>
        <v/>
      </c>
      <c r="K1652" s="201">
        <f>COUNTIFS(rl_key,$A$1642,rl_eff,"&gt;="&amp;$B1652,rl_eff,"&lt;="&amp;$C1652)</f>
        <v/>
      </c>
      <c r="L1652" s="201">
        <f>SUMIFS(rl_daysafter,rl_key,$A$1642,rl_effmonth,$B1652,rl_first,1)</f>
        <v/>
      </c>
      <c r="M1652" s="209">
        <f>IF($K1652=0,0,MIN(1,$L1652/$D1652))</f>
        <v/>
      </c>
      <c r="N1652" s="208">
        <f>IF($K1652=0,$J1652,(1-$M1652)*$I1652+$M1652*$J1652)</f>
        <v/>
      </c>
      <c r="O1652" s="209">
        <f>IF($F1652&lt;$B$1643,$E$1643+$I$1643*($F1652-$A$1643),IF($F1652&lt;$C$1643,$F$1643+$J$1643*($F1652-$B$1643),$G$1643+$K$1643*($F1652-$C$1643)))</f>
        <v/>
      </c>
      <c r="P1652" s="208">
        <f>MIN(1,MAX(0,(nr_MEndPm1-$G1652+0.5)/$C$1642))-MIN(1,MAX(0,(nr_MStartPm1-1-$G1652+0.5)/$C$1642))</f>
        <v/>
      </c>
      <c r="Q1652" s="208">
        <f>MIN(1,MAX(0,(nr_MEndP-$G1652+0.5)/$C$1642))-MIN(1,MAX(0,(nr_MStartP-1-$G1652+0.5)/$C$1642))</f>
        <v/>
      </c>
      <c r="R1652" s="208">
        <f>MIN(1,MAX(0,(nr_MEndP1-$G1652+0.5)/$C$1642))-MIN(1,MAX(0,(nr_MStartP1-1-$G1652+0.5)/$C$1642))</f>
        <v/>
      </c>
      <c r="S1652" s="208">
        <f>IF($L$1642,$N1652*IF($O$1642=1,$O1652/$F$1642,1),"")</f>
        <v/>
      </c>
      <c r="T1652" s="208">
        <f>IF(NOT($L$1642),"",IF($G1652&lt;nr_MStartP,$S1652,$T1640*(1+IF($G1652&lt;nr_MStartP1,$M$1642,$N$1642))))</f>
        <v/>
      </c>
      <c r="U1652" s="208">
        <f>IF($L$1642,$T1652,$N1652)</f>
        <v/>
      </c>
    </row>
    <row r="1653">
      <c r="A1653" s="145" t="n">
        <v>9</v>
      </c>
      <c r="B1653" s="204">
        <f>EDATE($B1652,1)</f>
        <v/>
      </c>
      <c r="C1653" s="205">
        <f>EOMONTH($B1653,0)</f>
        <v/>
      </c>
      <c r="D1653" s="201">
        <f>$C1653-$B1653+1</f>
        <v/>
      </c>
      <c r="E1653" s="201">
        <f>MONTH($B1653)</f>
        <v/>
      </c>
      <c r="F1653" s="235">
        <f>($B1653+$C1653+1)/2</f>
        <v/>
      </c>
      <c r="G1653" s="201">
        <f>YEAR($B1653)*12+MONTH($B1653)-1</f>
        <v/>
      </c>
      <c r="H1653" s="207">
        <f>IF(OR(nr_SeasonOn="OFF",$D$1642=0,$E$1642=0),1,12*INDEX(se_block,$D$1642,$E1653)/$E$1642)</f>
        <v/>
      </c>
      <c r="I1653" s="208">
        <f>EXP(SUMPRODUCT((rl_eff&lt;$B1653)*(rl_key=$A$1642)*rl_ln1p))</f>
        <v/>
      </c>
      <c r="J1653" s="208">
        <f>EXP(SUMPRODUCT((rl_eff&lt;=$C1653)*(rl_key=$A$1642)*rl_ln1p))</f>
        <v/>
      </c>
      <c r="K1653" s="201">
        <f>COUNTIFS(rl_key,$A$1642,rl_eff,"&gt;="&amp;$B1653,rl_eff,"&lt;="&amp;$C1653)</f>
        <v/>
      </c>
      <c r="L1653" s="201">
        <f>SUMIFS(rl_daysafter,rl_key,$A$1642,rl_effmonth,$B1653,rl_first,1)</f>
        <v/>
      </c>
      <c r="M1653" s="209">
        <f>IF($K1653=0,0,MIN(1,$L1653/$D1653))</f>
        <v/>
      </c>
      <c r="N1653" s="208">
        <f>IF($K1653=0,$J1653,(1-$M1653)*$I1653+$M1653*$J1653)</f>
        <v/>
      </c>
      <c r="O1653" s="209">
        <f>IF($F1653&lt;$B$1643,$E$1643+$I$1643*($F1653-$A$1643),IF($F1653&lt;$C$1643,$F$1643+$J$1643*($F1653-$B$1643),$G$1643+$K$1643*($F1653-$C$1643)))</f>
        <v/>
      </c>
      <c r="P1653" s="208">
        <f>MIN(1,MAX(0,(nr_MEndPm1-$G1653+0.5)/$C$1642))-MIN(1,MAX(0,(nr_MStartPm1-1-$G1653+0.5)/$C$1642))</f>
        <v/>
      </c>
      <c r="Q1653" s="208">
        <f>MIN(1,MAX(0,(nr_MEndP-$G1653+0.5)/$C$1642))-MIN(1,MAX(0,(nr_MStartP-1-$G1653+0.5)/$C$1642))</f>
        <v/>
      </c>
      <c r="R1653" s="208">
        <f>MIN(1,MAX(0,(nr_MEndP1-$G1653+0.5)/$C$1642))-MIN(1,MAX(0,(nr_MStartP1-1-$G1653+0.5)/$C$1642))</f>
        <v/>
      </c>
      <c r="S1653" s="208">
        <f>IF($L$1642,$N1653*IF($O$1642=1,$O1653/$F$1642,1),"")</f>
        <v/>
      </c>
      <c r="T1653" s="208">
        <f>IF(NOT($L$1642),"",IF($G1653&lt;nr_MStartP,$S1653,$T1641*(1+IF($G1653&lt;nr_MStartP1,$M$1642,$N$1642))))</f>
        <v/>
      </c>
      <c r="U1653" s="208">
        <f>IF($L$1642,$T1653,$N1653)</f>
        <v/>
      </c>
    </row>
    <row r="1654">
      <c r="A1654" s="145" t="n">
        <v>10</v>
      </c>
      <c r="B1654" s="204">
        <f>EDATE($B1653,1)</f>
        <v/>
      </c>
      <c r="C1654" s="205">
        <f>EOMONTH($B1654,0)</f>
        <v/>
      </c>
      <c r="D1654" s="201">
        <f>$C1654-$B1654+1</f>
        <v/>
      </c>
      <c r="E1654" s="201">
        <f>MONTH($B1654)</f>
        <v/>
      </c>
      <c r="F1654" s="235">
        <f>($B1654+$C1654+1)/2</f>
        <v/>
      </c>
      <c r="G1654" s="201">
        <f>YEAR($B1654)*12+MONTH($B1654)-1</f>
        <v/>
      </c>
      <c r="H1654" s="207">
        <f>IF(OR(nr_SeasonOn="OFF",$D$1642=0,$E$1642=0),1,12*INDEX(se_block,$D$1642,$E1654)/$E$1642)</f>
        <v/>
      </c>
      <c r="I1654" s="208">
        <f>EXP(SUMPRODUCT((rl_eff&lt;$B1654)*(rl_key=$A$1642)*rl_ln1p))</f>
        <v/>
      </c>
      <c r="J1654" s="208">
        <f>EXP(SUMPRODUCT((rl_eff&lt;=$C1654)*(rl_key=$A$1642)*rl_ln1p))</f>
        <v/>
      </c>
      <c r="K1654" s="201">
        <f>COUNTIFS(rl_key,$A$1642,rl_eff,"&gt;="&amp;$B1654,rl_eff,"&lt;="&amp;$C1654)</f>
        <v/>
      </c>
      <c r="L1654" s="201">
        <f>SUMIFS(rl_daysafter,rl_key,$A$1642,rl_effmonth,$B1654,rl_first,1)</f>
        <v/>
      </c>
      <c r="M1654" s="209">
        <f>IF($K1654=0,0,MIN(1,$L1654/$D1654))</f>
        <v/>
      </c>
      <c r="N1654" s="208">
        <f>IF($K1654=0,$J1654,(1-$M1654)*$I1654+$M1654*$J1654)</f>
        <v/>
      </c>
      <c r="O1654" s="209">
        <f>IF($F1654&lt;$B$1643,$E$1643+$I$1643*($F1654-$A$1643),IF($F1654&lt;$C$1643,$F$1643+$J$1643*($F1654-$B$1643),$G$1643+$K$1643*($F1654-$C$1643)))</f>
        <v/>
      </c>
      <c r="P1654" s="208">
        <f>MIN(1,MAX(0,(nr_MEndPm1-$G1654+0.5)/$C$1642))-MIN(1,MAX(0,(nr_MStartPm1-1-$G1654+0.5)/$C$1642))</f>
        <v/>
      </c>
      <c r="Q1654" s="208">
        <f>MIN(1,MAX(0,(nr_MEndP-$G1654+0.5)/$C$1642))-MIN(1,MAX(0,(nr_MStartP-1-$G1654+0.5)/$C$1642))</f>
        <v/>
      </c>
      <c r="R1654" s="208">
        <f>MIN(1,MAX(0,(nr_MEndP1-$G1654+0.5)/$C$1642))-MIN(1,MAX(0,(nr_MStartP1-1-$G1654+0.5)/$C$1642))</f>
        <v/>
      </c>
      <c r="S1654" s="208">
        <f>IF($L$1642,$N1654*IF($O$1642=1,$O1654/$F$1642,1),"")</f>
        <v/>
      </c>
      <c r="T1654" s="208">
        <f>IF(NOT($L$1642),"",IF($G1654&lt;nr_MStartP,$S1654,$T1642*(1+IF($G1654&lt;nr_MStartP1,$M$1642,$N$1642))))</f>
        <v/>
      </c>
      <c r="U1654" s="208">
        <f>IF($L$1642,$T1654,$N1654)</f>
        <v/>
      </c>
    </row>
    <row r="1655">
      <c r="A1655" s="145" t="n">
        <v>11</v>
      </c>
      <c r="B1655" s="204">
        <f>EDATE($B1654,1)</f>
        <v/>
      </c>
      <c r="C1655" s="205">
        <f>EOMONTH($B1655,0)</f>
        <v/>
      </c>
      <c r="D1655" s="201">
        <f>$C1655-$B1655+1</f>
        <v/>
      </c>
      <c r="E1655" s="201">
        <f>MONTH($B1655)</f>
        <v/>
      </c>
      <c r="F1655" s="235">
        <f>($B1655+$C1655+1)/2</f>
        <v/>
      </c>
      <c r="G1655" s="201">
        <f>YEAR($B1655)*12+MONTH($B1655)-1</f>
        <v/>
      </c>
      <c r="H1655" s="207">
        <f>IF(OR(nr_SeasonOn="OFF",$D$1642=0,$E$1642=0),1,12*INDEX(se_block,$D$1642,$E1655)/$E$1642)</f>
        <v/>
      </c>
      <c r="I1655" s="208">
        <f>EXP(SUMPRODUCT((rl_eff&lt;$B1655)*(rl_key=$A$1642)*rl_ln1p))</f>
        <v/>
      </c>
      <c r="J1655" s="208">
        <f>EXP(SUMPRODUCT((rl_eff&lt;=$C1655)*(rl_key=$A$1642)*rl_ln1p))</f>
        <v/>
      </c>
      <c r="K1655" s="201">
        <f>COUNTIFS(rl_key,$A$1642,rl_eff,"&gt;="&amp;$B1655,rl_eff,"&lt;="&amp;$C1655)</f>
        <v/>
      </c>
      <c r="L1655" s="201">
        <f>SUMIFS(rl_daysafter,rl_key,$A$1642,rl_effmonth,$B1655,rl_first,1)</f>
        <v/>
      </c>
      <c r="M1655" s="209">
        <f>IF($K1655=0,0,MIN(1,$L1655/$D1655))</f>
        <v/>
      </c>
      <c r="N1655" s="208">
        <f>IF($K1655=0,$J1655,(1-$M1655)*$I1655+$M1655*$J1655)</f>
        <v/>
      </c>
      <c r="O1655" s="209">
        <f>IF($F1655&lt;$B$1643,$E$1643+$I$1643*($F1655-$A$1643),IF($F1655&lt;$C$1643,$F$1643+$J$1643*($F1655-$B$1643),$G$1643+$K$1643*($F1655-$C$1643)))</f>
        <v/>
      </c>
      <c r="P1655" s="208">
        <f>MIN(1,MAX(0,(nr_MEndPm1-$G1655+0.5)/$C$1642))-MIN(1,MAX(0,(nr_MStartPm1-1-$G1655+0.5)/$C$1642))</f>
        <v/>
      </c>
      <c r="Q1655" s="208">
        <f>MIN(1,MAX(0,(nr_MEndP-$G1655+0.5)/$C$1642))-MIN(1,MAX(0,(nr_MStartP-1-$G1655+0.5)/$C$1642))</f>
        <v/>
      </c>
      <c r="R1655" s="208">
        <f>MIN(1,MAX(0,(nr_MEndP1-$G1655+0.5)/$C$1642))-MIN(1,MAX(0,(nr_MStartP1-1-$G1655+0.5)/$C$1642))</f>
        <v/>
      </c>
      <c r="S1655" s="208">
        <f>IF($L$1642,$N1655*IF($O$1642=1,$O1655/$F$1642,1),"")</f>
        <v/>
      </c>
      <c r="T1655" s="208">
        <f>IF(NOT($L$1642),"",IF($G1655&lt;nr_MStartP,$S1655,$T1643*(1+IF($G1655&lt;nr_MStartP1,$M$1642,$N$1642))))</f>
        <v/>
      </c>
      <c r="U1655" s="208">
        <f>IF($L$1642,$T1655,$N1655)</f>
        <v/>
      </c>
    </row>
    <row r="1656">
      <c r="A1656" s="145" t="n">
        <v>12</v>
      </c>
      <c r="B1656" s="204">
        <f>EDATE($B1655,1)</f>
        <v/>
      </c>
      <c r="C1656" s="205">
        <f>EOMONTH($B1656,0)</f>
        <v/>
      </c>
      <c r="D1656" s="201">
        <f>$C1656-$B1656+1</f>
        <v/>
      </c>
      <c r="E1656" s="201">
        <f>MONTH($B1656)</f>
        <v/>
      </c>
      <c r="F1656" s="235">
        <f>($B1656+$C1656+1)/2</f>
        <v/>
      </c>
      <c r="G1656" s="201">
        <f>YEAR($B1656)*12+MONTH($B1656)-1</f>
        <v/>
      </c>
      <c r="H1656" s="207">
        <f>IF(OR(nr_SeasonOn="OFF",$D$1642=0,$E$1642=0),1,12*INDEX(se_block,$D$1642,$E1656)/$E$1642)</f>
        <v/>
      </c>
      <c r="I1656" s="208">
        <f>EXP(SUMPRODUCT((rl_eff&lt;$B1656)*(rl_key=$A$1642)*rl_ln1p))</f>
        <v/>
      </c>
      <c r="J1656" s="208">
        <f>EXP(SUMPRODUCT((rl_eff&lt;=$C1656)*(rl_key=$A$1642)*rl_ln1p))</f>
        <v/>
      </c>
      <c r="K1656" s="201">
        <f>COUNTIFS(rl_key,$A$1642,rl_eff,"&gt;="&amp;$B1656,rl_eff,"&lt;="&amp;$C1656)</f>
        <v/>
      </c>
      <c r="L1656" s="201">
        <f>SUMIFS(rl_daysafter,rl_key,$A$1642,rl_effmonth,$B1656,rl_first,1)</f>
        <v/>
      </c>
      <c r="M1656" s="209">
        <f>IF($K1656=0,0,MIN(1,$L1656/$D1656))</f>
        <v/>
      </c>
      <c r="N1656" s="208">
        <f>IF($K1656=0,$J1656,(1-$M1656)*$I1656+$M1656*$J1656)</f>
        <v/>
      </c>
      <c r="O1656" s="209">
        <f>IF($F1656&lt;$B$1643,$E$1643+$I$1643*($F1656-$A$1643),IF($F1656&lt;$C$1643,$F$1643+$J$1643*($F1656-$B$1643),$G$1643+$K$1643*($F1656-$C$1643)))</f>
        <v/>
      </c>
      <c r="P1656" s="208">
        <f>MIN(1,MAX(0,(nr_MEndPm1-$G1656+0.5)/$C$1642))-MIN(1,MAX(0,(nr_MStartPm1-1-$G1656+0.5)/$C$1642))</f>
        <v/>
      </c>
      <c r="Q1656" s="208">
        <f>MIN(1,MAX(0,(nr_MEndP-$G1656+0.5)/$C$1642))-MIN(1,MAX(0,(nr_MStartP-1-$G1656+0.5)/$C$1642))</f>
        <v/>
      </c>
      <c r="R1656" s="208">
        <f>MIN(1,MAX(0,(nr_MEndP1-$G1656+0.5)/$C$1642))-MIN(1,MAX(0,(nr_MStartP1-1-$G1656+0.5)/$C$1642))</f>
        <v/>
      </c>
      <c r="S1656" s="208">
        <f>IF($L$1642,$N1656*IF($O$1642=1,$O1656/$F$1642,1),"")</f>
        <v/>
      </c>
      <c r="T1656" s="208">
        <f>IF(NOT($L$1642),"",IF($G1656&lt;nr_MStartP,$S1656,$T1644*(1+IF($G1656&lt;nr_MStartP1,$M$1642,$N$1642))))</f>
        <v/>
      </c>
      <c r="U1656" s="208">
        <f>IF($L$1642,$T1656,$N1656)</f>
        <v/>
      </c>
    </row>
    <row r="1657">
      <c r="A1657" s="145" t="n">
        <v>13</v>
      </c>
      <c r="B1657" s="204">
        <f>EDATE($B1656,1)</f>
        <v/>
      </c>
      <c r="C1657" s="205">
        <f>EOMONTH($B1657,0)</f>
        <v/>
      </c>
      <c r="D1657" s="201">
        <f>$C1657-$B1657+1</f>
        <v/>
      </c>
      <c r="E1657" s="201">
        <f>MONTH($B1657)</f>
        <v/>
      </c>
      <c r="F1657" s="235">
        <f>($B1657+$C1657+1)/2</f>
        <v/>
      </c>
      <c r="G1657" s="201">
        <f>YEAR($B1657)*12+MONTH($B1657)-1</f>
        <v/>
      </c>
      <c r="H1657" s="207">
        <f>IF(OR(nr_SeasonOn="OFF",$D$1642=0,$E$1642=0),1,12*INDEX(se_block,$D$1642,$E1657)/$E$1642)</f>
        <v/>
      </c>
      <c r="I1657" s="208">
        <f>EXP(SUMPRODUCT((rl_eff&lt;$B1657)*(rl_key=$A$1642)*rl_ln1p))</f>
        <v/>
      </c>
      <c r="J1657" s="208">
        <f>EXP(SUMPRODUCT((rl_eff&lt;=$C1657)*(rl_key=$A$1642)*rl_ln1p))</f>
        <v/>
      </c>
      <c r="K1657" s="201">
        <f>COUNTIFS(rl_key,$A$1642,rl_eff,"&gt;="&amp;$B1657,rl_eff,"&lt;="&amp;$C1657)</f>
        <v/>
      </c>
      <c r="L1657" s="201">
        <f>SUMIFS(rl_daysafter,rl_key,$A$1642,rl_effmonth,$B1657,rl_first,1)</f>
        <v/>
      </c>
      <c r="M1657" s="209">
        <f>IF($K1657=0,0,MIN(1,$L1657/$D1657))</f>
        <v/>
      </c>
      <c r="N1657" s="208">
        <f>IF($K1657=0,$J1657,(1-$M1657)*$I1657+$M1657*$J1657)</f>
        <v/>
      </c>
      <c r="O1657" s="209">
        <f>IF($F1657&lt;$B$1643,$E$1643+$I$1643*($F1657-$A$1643),IF($F1657&lt;$C$1643,$F$1643+$J$1643*($F1657-$B$1643),$G$1643+$K$1643*($F1657-$C$1643)))</f>
        <v/>
      </c>
      <c r="P1657" s="208">
        <f>MIN(1,MAX(0,(nr_MEndPm1-$G1657+0.5)/$C$1642))-MIN(1,MAX(0,(nr_MStartPm1-1-$G1657+0.5)/$C$1642))</f>
        <v/>
      </c>
      <c r="Q1657" s="208">
        <f>MIN(1,MAX(0,(nr_MEndP-$G1657+0.5)/$C$1642))-MIN(1,MAX(0,(nr_MStartP-1-$G1657+0.5)/$C$1642))</f>
        <v/>
      </c>
      <c r="R1657" s="208">
        <f>MIN(1,MAX(0,(nr_MEndP1-$G1657+0.5)/$C$1642))-MIN(1,MAX(0,(nr_MStartP1-1-$G1657+0.5)/$C$1642))</f>
        <v/>
      </c>
      <c r="S1657" s="208">
        <f>IF($L$1642,$N1657*IF($O$1642=1,$O1657/$F$1642,1),"")</f>
        <v/>
      </c>
      <c r="T1657" s="208">
        <f>IF(NOT($L$1642),"",IF($G1657&lt;nr_MStartP,$S1657,$T1645*(1+IF($G1657&lt;nr_MStartP1,$M$1642,$N$1642))))</f>
        <v/>
      </c>
      <c r="U1657" s="208">
        <f>IF($L$1642,$T1657,$N1657)</f>
        <v/>
      </c>
    </row>
    <row r="1658">
      <c r="A1658" s="145" t="n">
        <v>14</v>
      </c>
      <c r="B1658" s="204">
        <f>EDATE($B1657,1)</f>
        <v/>
      </c>
      <c r="C1658" s="205">
        <f>EOMONTH($B1658,0)</f>
        <v/>
      </c>
      <c r="D1658" s="201">
        <f>$C1658-$B1658+1</f>
        <v/>
      </c>
      <c r="E1658" s="201">
        <f>MONTH($B1658)</f>
        <v/>
      </c>
      <c r="F1658" s="235">
        <f>($B1658+$C1658+1)/2</f>
        <v/>
      </c>
      <c r="G1658" s="201">
        <f>YEAR($B1658)*12+MONTH($B1658)-1</f>
        <v/>
      </c>
      <c r="H1658" s="207">
        <f>IF(OR(nr_SeasonOn="OFF",$D$1642=0,$E$1642=0),1,12*INDEX(se_block,$D$1642,$E1658)/$E$1642)</f>
        <v/>
      </c>
      <c r="I1658" s="208">
        <f>EXP(SUMPRODUCT((rl_eff&lt;$B1658)*(rl_key=$A$1642)*rl_ln1p))</f>
        <v/>
      </c>
      <c r="J1658" s="208">
        <f>EXP(SUMPRODUCT((rl_eff&lt;=$C1658)*(rl_key=$A$1642)*rl_ln1p))</f>
        <v/>
      </c>
      <c r="K1658" s="201">
        <f>COUNTIFS(rl_key,$A$1642,rl_eff,"&gt;="&amp;$B1658,rl_eff,"&lt;="&amp;$C1658)</f>
        <v/>
      </c>
      <c r="L1658" s="201">
        <f>SUMIFS(rl_daysafter,rl_key,$A$1642,rl_effmonth,$B1658,rl_first,1)</f>
        <v/>
      </c>
      <c r="M1658" s="209">
        <f>IF($K1658=0,0,MIN(1,$L1658/$D1658))</f>
        <v/>
      </c>
      <c r="N1658" s="208">
        <f>IF($K1658=0,$J1658,(1-$M1658)*$I1658+$M1658*$J1658)</f>
        <v/>
      </c>
      <c r="O1658" s="209">
        <f>IF($F1658&lt;$B$1643,$E$1643+$I$1643*($F1658-$A$1643),IF($F1658&lt;$C$1643,$F$1643+$J$1643*($F1658-$B$1643),$G$1643+$K$1643*($F1658-$C$1643)))</f>
        <v/>
      </c>
      <c r="P1658" s="208">
        <f>MIN(1,MAX(0,(nr_MEndPm1-$G1658+0.5)/$C$1642))-MIN(1,MAX(0,(nr_MStartPm1-1-$G1658+0.5)/$C$1642))</f>
        <v/>
      </c>
      <c r="Q1658" s="208">
        <f>MIN(1,MAX(0,(nr_MEndP-$G1658+0.5)/$C$1642))-MIN(1,MAX(0,(nr_MStartP-1-$G1658+0.5)/$C$1642))</f>
        <v/>
      </c>
      <c r="R1658" s="208">
        <f>MIN(1,MAX(0,(nr_MEndP1-$G1658+0.5)/$C$1642))-MIN(1,MAX(0,(nr_MStartP1-1-$G1658+0.5)/$C$1642))</f>
        <v/>
      </c>
      <c r="S1658" s="208">
        <f>IF($L$1642,$N1658*IF($O$1642=1,$O1658/$F$1642,1),"")</f>
        <v/>
      </c>
      <c r="T1658" s="208">
        <f>IF(NOT($L$1642),"",IF($G1658&lt;nr_MStartP,$S1658,$T1646*(1+IF($G1658&lt;nr_MStartP1,$M$1642,$N$1642))))</f>
        <v/>
      </c>
      <c r="U1658" s="208">
        <f>IF($L$1642,$T1658,$N1658)</f>
        <v/>
      </c>
    </row>
    <row r="1659">
      <c r="A1659" s="145" t="n">
        <v>15</v>
      </c>
      <c r="B1659" s="204">
        <f>EDATE($B1658,1)</f>
        <v/>
      </c>
      <c r="C1659" s="205">
        <f>EOMONTH($B1659,0)</f>
        <v/>
      </c>
      <c r="D1659" s="201">
        <f>$C1659-$B1659+1</f>
        <v/>
      </c>
      <c r="E1659" s="201">
        <f>MONTH($B1659)</f>
        <v/>
      </c>
      <c r="F1659" s="235">
        <f>($B1659+$C1659+1)/2</f>
        <v/>
      </c>
      <c r="G1659" s="201">
        <f>YEAR($B1659)*12+MONTH($B1659)-1</f>
        <v/>
      </c>
      <c r="H1659" s="207">
        <f>IF(OR(nr_SeasonOn="OFF",$D$1642=0,$E$1642=0),1,12*INDEX(se_block,$D$1642,$E1659)/$E$1642)</f>
        <v/>
      </c>
      <c r="I1659" s="208">
        <f>EXP(SUMPRODUCT((rl_eff&lt;$B1659)*(rl_key=$A$1642)*rl_ln1p))</f>
        <v/>
      </c>
      <c r="J1659" s="208">
        <f>EXP(SUMPRODUCT((rl_eff&lt;=$C1659)*(rl_key=$A$1642)*rl_ln1p))</f>
        <v/>
      </c>
      <c r="K1659" s="201">
        <f>COUNTIFS(rl_key,$A$1642,rl_eff,"&gt;="&amp;$B1659,rl_eff,"&lt;="&amp;$C1659)</f>
        <v/>
      </c>
      <c r="L1659" s="201">
        <f>SUMIFS(rl_daysafter,rl_key,$A$1642,rl_effmonth,$B1659,rl_first,1)</f>
        <v/>
      </c>
      <c r="M1659" s="209">
        <f>IF($K1659=0,0,MIN(1,$L1659/$D1659))</f>
        <v/>
      </c>
      <c r="N1659" s="208">
        <f>IF($K1659=0,$J1659,(1-$M1659)*$I1659+$M1659*$J1659)</f>
        <v/>
      </c>
      <c r="O1659" s="209">
        <f>IF($F1659&lt;$B$1643,$E$1643+$I$1643*($F1659-$A$1643),IF($F1659&lt;$C$1643,$F$1643+$J$1643*($F1659-$B$1643),$G$1643+$K$1643*($F1659-$C$1643)))</f>
        <v/>
      </c>
      <c r="P1659" s="208">
        <f>MIN(1,MAX(0,(nr_MEndPm1-$G1659+0.5)/$C$1642))-MIN(1,MAX(0,(nr_MStartPm1-1-$G1659+0.5)/$C$1642))</f>
        <v/>
      </c>
      <c r="Q1659" s="208">
        <f>MIN(1,MAX(0,(nr_MEndP-$G1659+0.5)/$C$1642))-MIN(1,MAX(0,(nr_MStartP-1-$G1659+0.5)/$C$1642))</f>
        <v/>
      </c>
      <c r="R1659" s="208">
        <f>MIN(1,MAX(0,(nr_MEndP1-$G1659+0.5)/$C$1642))-MIN(1,MAX(0,(nr_MStartP1-1-$G1659+0.5)/$C$1642))</f>
        <v/>
      </c>
      <c r="S1659" s="208">
        <f>IF($L$1642,$N1659*IF($O$1642=1,$O1659/$F$1642,1),"")</f>
        <v/>
      </c>
      <c r="T1659" s="208">
        <f>IF(NOT($L$1642),"",IF($G1659&lt;nr_MStartP,$S1659,$T1647*(1+IF($G1659&lt;nr_MStartP1,$M$1642,$N$1642))))</f>
        <v/>
      </c>
      <c r="U1659" s="208">
        <f>IF($L$1642,$T1659,$N1659)</f>
        <v/>
      </c>
    </row>
    <row r="1660">
      <c r="A1660" s="145" t="n">
        <v>16</v>
      </c>
      <c r="B1660" s="204">
        <f>EDATE($B1659,1)</f>
        <v/>
      </c>
      <c r="C1660" s="205">
        <f>EOMONTH($B1660,0)</f>
        <v/>
      </c>
      <c r="D1660" s="201">
        <f>$C1660-$B1660+1</f>
        <v/>
      </c>
      <c r="E1660" s="201">
        <f>MONTH($B1660)</f>
        <v/>
      </c>
      <c r="F1660" s="235">
        <f>($B1660+$C1660+1)/2</f>
        <v/>
      </c>
      <c r="G1660" s="201">
        <f>YEAR($B1660)*12+MONTH($B1660)-1</f>
        <v/>
      </c>
      <c r="H1660" s="207">
        <f>IF(OR(nr_SeasonOn="OFF",$D$1642=0,$E$1642=0),1,12*INDEX(se_block,$D$1642,$E1660)/$E$1642)</f>
        <v/>
      </c>
      <c r="I1660" s="208">
        <f>EXP(SUMPRODUCT((rl_eff&lt;$B1660)*(rl_key=$A$1642)*rl_ln1p))</f>
        <v/>
      </c>
      <c r="J1660" s="208">
        <f>EXP(SUMPRODUCT((rl_eff&lt;=$C1660)*(rl_key=$A$1642)*rl_ln1p))</f>
        <v/>
      </c>
      <c r="K1660" s="201">
        <f>COUNTIFS(rl_key,$A$1642,rl_eff,"&gt;="&amp;$B1660,rl_eff,"&lt;="&amp;$C1660)</f>
        <v/>
      </c>
      <c r="L1660" s="201">
        <f>SUMIFS(rl_daysafter,rl_key,$A$1642,rl_effmonth,$B1660,rl_first,1)</f>
        <v/>
      </c>
      <c r="M1660" s="209">
        <f>IF($K1660=0,0,MIN(1,$L1660/$D1660))</f>
        <v/>
      </c>
      <c r="N1660" s="208">
        <f>IF($K1660=0,$J1660,(1-$M1660)*$I1660+$M1660*$J1660)</f>
        <v/>
      </c>
      <c r="O1660" s="209">
        <f>IF($F1660&lt;$B$1643,$E$1643+$I$1643*($F1660-$A$1643),IF($F1660&lt;$C$1643,$F$1643+$J$1643*($F1660-$B$1643),$G$1643+$K$1643*($F1660-$C$1643)))</f>
        <v/>
      </c>
      <c r="P1660" s="208">
        <f>MIN(1,MAX(0,(nr_MEndPm1-$G1660+0.5)/$C$1642))-MIN(1,MAX(0,(nr_MStartPm1-1-$G1660+0.5)/$C$1642))</f>
        <v/>
      </c>
      <c r="Q1660" s="208">
        <f>MIN(1,MAX(0,(nr_MEndP-$G1660+0.5)/$C$1642))-MIN(1,MAX(0,(nr_MStartP-1-$G1660+0.5)/$C$1642))</f>
        <v/>
      </c>
      <c r="R1660" s="208">
        <f>MIN(1,MAX(0,(nr_MEndP1-$G1660+0.5)/$C$1642))-MIN(1,MAX(0,(nr_MStartP1-1-$G1660+0.5)/$C$1642))</f>
        <v/>
      </c>
      <c r="S1660" s="208">
        <f>IF($L$1642,$N1660*IF($O$1642=1,$O1660/$F$1642,1),"")</f>
        <v/>
      </c>
      <c r="T1660" s="208">
        <f>IF(NOT($L$1642),"",IF($G1660&lt;nr_MStartP,$S1660,$T1648*(1+IF($G1660&lt;nr_MStartP1,$M$1642,$N$1642))))</f>
        <v/>
      </c>
      <c r="U1660" s="208">
        <f>IF($L$1642,$T1660,$N1660)</f>
        <v/>
      </c>
    </row>
    <row r="1661">
      <c r="A1661" s="145" t="n">
        <v>17</v>
      </c>
      <c r="B1661" s="204">
        <f>EDATE($B1660,1)</f>
        <v/>
      </c>
      <c r="C1661" s="205">
        <f>EOMONTH($B1661,0)</f>
        <v/>
      </c>
      <c r="D1661" s="201">
        <f>$C1661-$B1661+1</f>
        <v/>
      </c>
      <c r="E1661" s="201">
        <f>MONTH($B1661)</f>
        <v/>
      </c>
      <c r="F1661" s="235">
        <f>($B1661+$C1661+1)/2</f>
        <v/>
      </c>
      <c r="G1661" s="201">
        <f>YEAR($B1661)*12+MONTH($B1661)-1</f>
        <v/>
      </c>
      <c r="H1661" s="207">
        <f>IF(OR(nr_SeasonOn="OFF",$D$1642=0,$E$1642=0),1,12*INDEX(se_block,$D$1642,$E1661)/$E$1642)</f>
        <v/>
      </c>
      <c r="I1661" s="208">
        <f>EXP(SUMPRODUCT((rl_eff&lt;$B1661)*(rl_key=$A$1642)*rl_ln1p))</f>
        <v/>
      </c>
      <c r="J1661" s="208">
        <f>EXP(SUMPRODUCT((rl_eff&lt;=$C1661)*(rl_key=$A$1642)*rl_ln1p))</f>
        <v/>
      </c>
      <c r="K1661" s="201">
        <f>COUNTIFS(rl_key,$A$1642,rl_eff,"&gt;="&amp;$B1661,rl_eff,"&lt;="&amp;$C1661)</f>
        <v/>
      </c>
      <c r="L1661" s="201">
        <f>SUMIFS(rl_daysafter,rl_key,$A$1642,rl_effmonth,$B1661,rl_first,1)</f>
        <v/>
      </c>
      <c r="M1661" s="209">
        <f>IF($K1661=0,0,MIN(1,$L1661/$D1661))</f>
        <v/>
      </c>
      <c r="N1661" s="208">
        <f>IF($K1661=0,$J1661,(1-$M1661)*$I1661+$M1661*$J1661)</f>
        <v/>
      </c>
      <c r="O1661" s="209">
        <f>IF($F1661&lt;$B$1643,$E$1643+$I$1643*($F1661-$A$1643),IF($F1661&lt;$C$1643,$F$1643+$J$1643*($F1661-$B$1643),$G$1643+$K$1643*($F1661-$C$1643)))</f>
        <v/>
      </c>
      <c r="P1661" s="208">
        <f>MIN(1,MAX(0,(nr_MEndPm1-$G1661+0.5)/$C$1642))-MIN(1,MAX(0,(nr_MStartPm1-1-$G1661+0.5)/$C$1642))</f>
        <v/>
      </c>
      <c r="Q1661" s="208">
        <f>MIN(1,MAX(0,(nr_MEndP-$G1661+0.5)/$C$1642))-MIN(1,MAX(0,(nr_MStartP-1-$G1661+0.5)/$C$1642))</f>
        <v/>
      </c>
      <c r="R1661" s="208">
        <f>MIN(1,MAX(0,(nr_MEndP1-$G1661+0.5)/$C$1642))-MIN(1,MAX(0,(nr_MStartP1-1-$G1661+0.5)/$C$1642))</f>
        <v/>
      </c>
      <c r="S1661" s="208">
        <f>IF($L$1642,$N1661*IF($O$1642=1,$O1661/$F$1642,1),"")</f>
        <v/>
      </c>
      <c r="T1661" s="208">
        <f>IF(NOT($L$1642),"",IF($G1661&lt;nr_MStartP,$S1661,$T1649*(1+IF($G1661&lt;nr_MStartP1,$M$1642,$N$1642))))</f>
        <v/>
      </c>
      <c r="U1661" s="208">
        <f>IF($L$1642,$T1661,$N1661)</f>
        <v/>
      </c>
    </row>
    <row r="1662">
      <c r="A1662" s="145" t="n">
        <v>18</v>
      </c>
      <c r="B1662" s="204">
        <f>EDATE($B1661,1)</f>
        <v/>
      </c>
      <c r="C1662" s="205">
        <f>EOMONTH($B1662,0)</f>
        <v/>
      </c>
      <c r="D1662" s="201">
        <f>$C1662-$B1662+1</f>
        <v/>
      </c>
      <c r="E1662" s="201">
        <f>MONTH($B1662)</f>
        <v/>
      </c>
      <c r="F1662" s="235">
        <f>($B1662+$C1662+1)/2</f>
        <v/>
      </c>
      <c r="G1662" s="201">
        <f>YEAR($B1662)*12+MONTH($B1662)-1</f>
        <v/>
      </c>
      <c r="H1662" s="207">
        <f>IF(OR(nr_SeasonOn="OFF",$D$1642=0,$E$1642=0),1,12*INDEX(se_block,$D$1642,$E1662)/$E$1642)</f>
        <v/>
      </c>
      <c r="I1662" s="208">
        <f>EXP(SUMPRODUCT((rl_eff&lt;$B1662)*(rl_key=$A$1642)*rl_ln1p))</f>
        <v/>
      </c>
      <c r="J1662" s="208">
        <f>EXP(SUMPRODUCT((rl_eff&lt;=$C1662)*(rl_key=$A$1642)*rl_ln1p))</f>
        <v/>
      </c>
      <c r="K1662" s="201">
        <f>COUNTIFS(rl_key,$A$1642,rl_eff,"&gt;="&amp;$B1662,rl_eff,"&lt;="&amp;$C1662)</f>
        <v/>
      </c>
      <c r="L1662" s="201">
        <f>SUMIFS(rl_daysafter,rl_key,$A$1642,rl_effmonth,$B1662,rl_first,1)</f>
        <v/>
      </c>
      <c r="M1662" s="209">
        <f>IF($K1662=0,0,MIN(1,$L1662/$D1662))</f>
        <v/>
      </c>
      <c r="N1662" s="208">
        <f>IF($K1662=0,$J1662,(1-$M1662)*$I1662+$M1662*$J1662)</f>
        <v/>
      </c>
      <c r="O1662" s="209">
        <f>IF($F1662&lt;$B$1643,$E$1643+$I$1643*($F1662-$A$1643),IF($F1662&lt;$C$1643,$F$1643+$J$1643*($F1662-$B$1643),$G$1643+$K$1643*($F1662-$C$1643)))</f>
        <v/>
      </c>
      <c r="P1662" s="208">
        <f>MIN(1,MAX(0,(nr_MEndPm1-$G1662+0.5)/$C$1642))-MIN(1,MAX(0,(nr_MStartPm1-1-$G1662+0.5)/$C$1642))</f>
        <v/>
      </c>
      <c r="Q1662" s="208">
        <f>MIN(1,MAX(0,(nr_MEndP-$G1662+0.5)/$C$1642))-MIN(1,MAX(0,(nr_MStartP-1-$G1662+0.5)/$C$1642))</f>
        <v/>
      </c>
      <c r="R1662" s="208">
        <f>MIN(1,MAX(0,(nr_MEndP1-$G1662+0.5)/$C$1642))-MIN(1,MAX(0,(nr_MStartP1-1-$G1662+0.5)/$C$1642))</f>
        <v/>
      </c>
      <c r="S1662" s="208">
        <f>IF($L$1642,$N1662*IF($O$1642=1,$O1662/$F$1642,1),"")</f>
        <v/>
      </c>
      <c r="T1662" s="208">
        <f>IF(NOT($L$1642),"",IF($G1662&lt;nr_MStartP,$S1662,$T1650*(1+IF($G1662&lt;nr_MStartP1,$M$1642,$N$1642))))</f>
        <v/>
      </c>
      <c r="U1662" s="208">
        <f>IF($L$1642,$T1662,$N1662)</f>
        <v/>
      </c>
    </row>
    <row r="1663">
      <c r="A1663" s="145" t="n">
        <v>19</v>
      </c>
      <c r="B1663" s="204">
        <f>EDATE($B1662,1)</f>
        <v/>
      </c>
      <c r="C1663" s="205">
        <f>EOMONTH($B1663,0)</f>
        <v/>
      </c>
      <c r="D1663" s="201">
        <f>$C1663-$B1663+1</f>
        <v/>
      </c>
      <c r="E1663" s="201">
        <f>MONTH($B1663)</f>
        <v/>
      </c>
      <c r="F1663" s="235">
        <f>($B1663+$C1663+1)/2</f>
        <v/>
      </c>
      <c r="G1663" s="201">
        <f>YEAR($B1663)*12+MONTH($B1663)-1</f>
        <v/>
      </c>
      <c r="H1663" s="207">
        <f>IF(OR(nr_SeasonOn="OFF",$D$1642=0,$E$1642=0),1,12*INDEX(se_block,$D$1642,$E1663)/$E$1642)</f>
        <v/>
      </c>
      <c r="I1663" s="208">
        <f>EXP(SUMPRODUCT((rl_eff&lt;$B1663)*(rl_key=$A$1642)*rl_ln1p))</f>
        <v/>
      </c>
      <c r="J1663" s="208">
        <f>EXP(SUMPRODUCT((rl_eff&lt;=$C1663)*(rl_key=$A$1642)*rl_ln1p))</f>
        <v/>
      </c>
      <c r="K1663" s="201">
        <f>COUNTIFS(rl_key,$A$1642,rl_eff,"&gt;="&amp;$B1663,rl_eff,"&lt;="&amp;$C1663)</f>
        <v/>
      </c>
      <c r="L1663" s="201">
        <f>SUMIFS(rl_daysafter,rl_key,$A$1642,rl_effmonth,$B1663,rl_first,1)</f>
        <v/>
      </c>
      <c r="M1663" s="209">
        <f>IF($K1663=0,0,MIN(1,$L1663/$D1663))</f>
        <v/>
      </c>
      <c r="N1663" s="208">
        <f>IF($K1663=0,$J1663,(1-$M1663)*$I1663+$M1663*$J1663)</f>
        <v/>
      </c>
      <c r="O1663" s="209">
        <f>IF($F1663&lt;$B$1643,$E$1643+$I$1643*($F1663-$A$1643),IF($F1663&lt;$C$1643,$F$1643+$J$1643*($F1663-$B$1643),$G$1643+$K$1643*($F1663-$C$1643)))</f>
        <v/>
      </c>
      <c r="P1663" s="208">
        <f>MIN(1,MAX(0,(nr_MEndPm1-$G1663+0.5)/$C$1642))-MIN(1,MAX(0,(nr_MStartPm1-1-$G1663+0.5)/$C$1642))</f>
        <v/>
      </c>
      <c r="Q1663" s="208">
        <f>MIN(1,MAX(0,(nr_MEndP-$G1663+0.5)/$C$1642))-MIN(1,MAX(0,(nr_MStartP-1-$G1663+0.5)/$C$1642))</f>
        <v/>
      </c>
      <c r="R1663" s="208">
        <f>MIN(1,MAX(0,(nr_MEndP1-$G1663+0.5)/$C$1642))-MIN(1,MAX(0,(nr_MStartP1-1-$G1663+0.5)/$C$1642))</f>
        <v/>
      </c>
      <c r="S1663" s="208">
        <f>IF($L$1642,$N1663*IF($O$1642=1,$O1663/$F$1642,1),"")</f>
        <v/>
      </c>
      <c r="T1663" s="208">
        <f>IF(NOT($L$1642),"",IF($G1663&lt;nr_MStartP,$S1663,$T1651*(1+IF($G1663&lt;nr_MStartP1,$M$1642,$N$1642))))</f>
        <v/>
      </c>
      <c r="U1663" s="208">
        <f>IF($L$1642,$T1663,$N1663)</f>
        <v/>
      </c>
    </row>
    <row r="1664">
      <c r="A1664" s="145" t="n">
        <v>20</v>
      </c>
      <c r="B1664" s="204">
        <f>EDATE($B1663,1)</f>
        <v/>
      </c>
      <c r="C1664" s="205">
        <f>EOMONTH($B1664,0)</f>
        <v/>
      </c>
      <c r="D1664" s="201">
        <f>$C1664-$B1664+1</f>
        <v/>
      </c>
      <c r="E1664" s="201">
        <f>MONTH($B1664)</f>
        <v/>
      </c>
      <c r="F1664" s="235">
        <f>($B1664+$C1664+1)/2</f>
        <v/>
      </c>
      <c r="G1664" s="201">
        <f>YEAR($B1664)*12+MONTH($B1664)-1</f>
        <v/>
      </c>
      <c r="H1664" s="207">
        <f>IF(OR(nr_SeasonOn="OFF",$D$1642=0,$E$1642=0),1,12*INDEX(se_block,$D$1642,$E1664)/$E$1642)</f>
        <v/>
      </c>
      <c r="I1664" s="208">
        <f>EXP(SUMPRODUCT((rl_eff&lt;$B1664)*(rl_key=$A$1642)*rl_ln1p))</f>
        <v/>
      </c>
      <c r="J1664" s="208">
        <f>EXP(SUMPRODUCT((rl_eff&lt;=$C1664)*(rl_key=$A$1642)*rl_ln1p))</f>
        <v/>
      </c>
      <c r="K1664" s="201">
        <f>COUNTIFS(rl_key,$A$1642,rl_eff,"&gt;="&amp;$B1664,rl_eff,"&lt;="&amp;$C1664)</f>
        <v/>
      </c>
      <c r="L1664" s="201">
        <f>SUMIFS(rl_daysafter,rl_key,$A$1642,rl_effmonth,$B1664,rl_first,1)</f>
        <v/>
      </c>
      <c r="M1664" s="209">
        <f>IF($K1664=0,0,MIN(1,$L1664/$D1664))</f>
        <v/>
      </c>
      <c r="N1664" s="208">
        <f>IF($K1664=0,$J1664,(1-$M1664)*$I1664+$M1664*$J1664)</f>
        <v/>
      </c>
      <c r="O1664" s="209">
        <f>IF($F1664&lt;$B$1643,$E$1643+$I$1643*($F1664-$A$1643),IF($F1664&lt;$C$1643,$F$1643+$J$1643*($F1664-$B$1643),$G$1643+$K$1643*($F1664-$C$1643)))</f>
        <v/>
      </c>
      <c r="P1664" s="208">
        <f>MIN(1,MAX(0,(nr_MEndPm1-$G1664+0.5)/$C$1642))-MIN(1,MAX(0,(nr_MStartPm1-1-$G1664+0.5)/$C$1642))</f>
        <v/>
      </c>
      <c r="Q1664" s="208">
        <f>MIN(1,MAX(0,(nr_MEndP-$G1664+0.5)/$C$1642))-MIN(1,MAX(0,(nr_MStartP-1-$G1664+0.5)/$C$1642))</f>
        <v/>
      </c>
      <c r="R1664" s="208">
        <f>MIN(1,MAX(0,(nr_MEndP1-$G1664+0.5)/$C$1642))-MIN(1,MAX(0,(nr_MStartP1-1-$G1664+0.5)/$C$1642))</f>
        <v/>
      </c>
      <c r="S1664" s="208">
        <f>IF($L$1642,$N1664*IF($O$1642=1,$O1664/$F$1642,1),"")</f>
        <v/>
      </c>
      <c r="T1664" s="208">
        <f>IF(NOT($L$1642),"",IF($G1664&lt;nr_MStartP,$S1664,$T1652*(1+IF($G1664&lt;nr_MStartP1,$M$1642,$N$1642))))</f>
        <v/>
      </c>
      <c r="U1664" s="208">
        <f>IF($L$1642,$T1664,$N1664)</f>
        <v/>
      </c>
    </row>
    <row r="1665">
      <c r="A1665" s="145" t="n">
        <v>21</v>
      </c>
      <c r="B1665" s="204">
        <f>EDATE($B1664,1)</f>
        <v/>
      </c>
      <c r="C1665" s="205">
        <f>EOMONTH($B1665,0)</f>
        <v/>
      </c>
      <c r="D1665" s="201">
        <f>$C1665-$B1665+1</f>
        <v/>
      </c>
      <c r="E1665" s="201">
        <f>MONTH($B1665)</f>
        <v/>
      </c>
      <c r="F1665" s="235">
        <f>($B1665+$C1665+1)/2</f>
        <v/>
      </c>
      <c r="G1665" s="201">
        <f>YEAR($B1665)*12+MONTH($B1665)-1</f>
        <v/>
      </c>
      <c r="H1665" s="207">
        <f>IF(OR(nr_SeasonOn="OFF",$D$1642=0,$E$1642=0),1,12*INDEX(se_block,$D$1642,$E1665)/$E$1642)</f>
        <v/>
      </c>
      <c r="I1665" s="208">
        <f>EXP(SUMPRODUCT((rl_eff&lt;$B1665)*(rl_key=$A$1642)*rl_ln1p))</f>
        <v/>
      </c>
      <c r="J1665" s="208">
        <f>EXP(SUMPRODUCT((rl_eff&lt;=$C1665)*(rl_key=$A$1642)*rl_ln1p))</f>
        <v/>
      </c>
      <c r="K1665" s="201">
        <f>COUNTIFS(rl_key,$A$1642,rl_eff,"&gt;="&amp;$B1665,rl_eff,"&lt;="&amp;$C1665)</f>
        <v/>
      </c>
      <c r="L1665" s="201">
        <f>SUMIFS(rl_daysafter,rl_key,$A$1642,rl_effmonth,$B1665,rl_first,1)</f>
        <v/>
      </c>
      <c r="M1665" s="209">
        <f>IF($K1665=0,0,MIN(1,$L1665/$D1665))</f>
        <v/>
      </c>
      <c r="N1665" s="208">
        <f>IF($K1665=0,$J1665,(1-$M1665)*$I1665+$M1665*$J1665)</f>
        <v/>
      </c>
      <c r="O1665" s="209">
        <f>IF($F1665&lt;$B$1643,$E$1643+$I$1643*($F1665-$A$1643),IF($F1665&lt;$C$1643,$F$1643+$J$1643*($F1665-$B$1643),$G$1643+$K$1643*($F1665-$C$1643)))</f>
        <v/>
      </c>
      <c r="P1665" s="208">
        <f>MIN(1,MAX(0,(nr_MEndPm1-$G1665+0.5)/$C$1642))-MIN(1,MAX(0,(nr_MStartPm1-1-$G1665+0.5)/$C$1642))</f>
        <v/>
      </c>
      <c r="Q1665" s="208">
        <f>MIN(1,MAX(0,(nr_MEndP-$G1665+0.5)/$C$1642))-MIN(1,MAX(0,(nr_MStartP-1-$G1665+0.5)/$C$1642))</f>
        <v/>
      </c>
      <c r="R1665" s="208">
        <f>MIN(1,MAX(0,(nr_MEndP1-$G1665+0.5)/$C$1642))-MIN(1,MAX(0,(nr_MStartP1-1-$G1665+0.5)/$C$1642))</f>
        <v/>
      </c>
      <c r="S1665" s="208">
        <f>IF($L$1642,$N1665*IF($O$1642=1,$O1665/$F$1642,1),"")</f>
        <v/>
      </c>
      <c r="T1665" s="208">
        <f>IF(NOT($L$1642),"",IF($G1665&lt;nr_MStartP,$S1665,$T1653*(1+IF($G1665&lt;nr_MStartP1,$M$1642,$N$1642))))</f>
        <v/>
      </c>
      <c r="U1665" s="208">
        <f>IF($L$1642,$T1665,$N1665)</f>
        <v/>
      </c>
    </row>
    <row r="1666">
      <c r="A1666" s="145" t="n">
        <v>22</v>
      </c>
      <c r="B1666" s="204">
        <f>EDATE($B1665,1)</f>
        <v/>
      </c>
      <c r="C1666" s="205">
        <f>EOMONTH($B1666,0)</f>
        <v/>
      </c>
      <c r="D1666" s="201">
        <f>$C1666-$B1666+1</f>
        <v/>
      </c>
      <c r="E1666" s="201">
        <f>MONTH($B1666)</f>
        <v/>
      </c>
      <c r="F1666" s="235">
        <f>($B1666+$C1666+1)/2</f>
        <v/>
      </c>
      <c r="G1666" s="201">
        <f>YEAR($B1666)*12+MONTH($B1666)-1</f>
        <v/>
      </c>
      <c r="H1666" s="207">
        <f>IF(OR(nr_SeasonOn="OFF",$D$1642=0,$E$1642=0),1,12*INDEX(se_block,$D$1642,$E1666)/$E$1642)</f>
        <v/>
      </c>
      <c r="I1666" s="208">
        <f>EXP(SUMPRODUCT((rl_eff&lt;$B1666)*(rl_key=$A$1642)*rl_ln1p))</f>
        <v/>
      </c>
      <c r="J1666" s="208">
        <f>EXP(SUMPRODUCT((rl_eff&lt;=$C1666)*(rl_key=$A$1642)*rl_ln1p))</f>
        <v/>
      </c>
      <c r="K1666" s="201">
        <f>COUNTIFS(rl_key,$A$1642,rl_eff,"&gt;="&amp;$B1666,rl_eff,"&lt;="&amp;$C1666)</f>
        <v/>
      </c>
      <c r="L1666" s="201">
        <f>SUMIFS(rl_daysafter,rl_key,$A$1642,rl_effmonth,$B1666,rl_first,1)</f>
        <v/>
      </c>
      <c r="M1666" s="209">
        <f>IF($K1666=0,0,MIN(1,$L1666/$D1666))</f>
        <v/>
      </c>
      <c r="N1666" s="208">
        <f>IF($K1666=0,$J1666,(1-$M1666)*$I1666+$M1666*$J1666)</f>
        <v/>
      </c>
      <c r="O1666" s="209">
        <f>IF($F1666&lt;$B$1643,$E$1643+$I$1643*($F1666-$A$1643),IF($F1666&lt;$C$1643,$F$1643+$J$1643*($F1666-$B$1643),$G$1643+$K$1643*($F1666-$C$1643)))</f>
        <v/>
      </c>
      <c r="P1666" s="208">
        <f>MIN(1,MAX(0,(nr_MEndPm1-$G1666+0.5)/$C$1642))-MIN(1,MAX(0,(nr_MStartPm1-1-$G1666+0.5)/$C$1642))</f>
        <v/>
      </c>
      <c r="Q1666" s="208">
        <f>MIN(1,MAX(0,(nr_MEndP-$G1666+0.5)/$C$1642))-MIN(1,MAX(0,(nr_MStartP-1-$G1666+0.5)/$C$1642))</f>
        <v/>
      </c>
      <c r="R1666" s="208">
        <f>MIN(1,MAX(0,(nr_MEndP1-$G1666+0.5)/$C$1642))-MIN(1,MAX(0,(nr_MStartP1-1-$G1666+0.5)/$C$1642))</f>
        <v/>
      </c>
      <c r="S1666" s="208">
        <f>IF($L$1642,$N1666*IF($O$1642=1,$O1666/$F$1642,1),"")</f>
        <v/>
      </c>
      <c r="T1666" s="208">
        <f>IF(NOT($L$1642),"",IF($G1666&lt;nr_MStartP,$S1666,$T1654*(1+IF($G1666&lt;nr_MStartP1,$M$1642,$N$1642))))</f>
        <v/>
      </c>
      <c r="U1666" s="208">
        <f>IF($L$1642,$T1666,$N1666)</f>
        <v/>
      </c>
    </row>
    <row r="1667">
      <c r="A1667" s="145" t="n">
        <v>23</v>
      </c>
      <c r="B1667" s="204">
        <f>EDATE($B1666,1)</f>
        <v/>
      </c>
      <c r="C1667" s="205">
        <f>EOMONTH($B1667,0)</f>
        <v/>
      </c>
      <c r="D1667" s="201">
        <f>$C1667-$B1667+1</f>
        <v/>
      </c>
      <c r="E1667" s="201">
        <f>MONTH($B1667)</f>
        <v/>
      </c>
      <c r="F1667" s="235">
        <f>($B1667+$C1667+1)/2</f>
        <v/>
      </c>
      <c r="G1667" s="201">
        <f>YEAR($B1667)*12+MONTH($B1667)-1</f>
        <v/>
      </c>
      <c r="H1667" s="207">
        <f>IF(OR(nr_SeasonOn="OFF",$D$1642=0,$E$1642=0),1,12*INDEX(se_block,$D$1642,$E1667)/$E$1642)</f>
        <v/>
      </c>
      <c r="I1667" s="208">
        <f>EXP(SUMPRODUCT((rl_eff&lt;$B1667)*(rl_key=$A$1642)*rl_ln1p))</f>
        <v/>
      </c>
      <c r="J1667" s="208">
        <f>EXP(SUMPRODUCT((rl_eff&lt;=$C1667)*(rl_key=$A$1642)*rl_ln1p))</f>
        <v/>
      </c>
      <c r="K1667" s="201">
        <f>COUNTIFS(rl_key,$A$1642,rl_eff,"&gt;="&amp;$B1667,rl_eff,"&lt;="&amp;$C1667)</f>
        <v/>
      </c>
      <c r="L1667" s="201">
        <f>SUMIFS(rl_daysafter,rl_key,$A$1642,rl_effmonth,$B1667,rl_first,1)</f>
        <v/>
      </c>
      <c r="M1667" s="209">
        <f>IF($K1667=0,0,MIN(1,$L1667/$D1667))</f>
        <v/>
      </c>
      <c r="N1667" s="208">
        <f>IF($K1667=0,$J1667,(1-$M1667)*$I1667+$M1667*$J1667)</f>
        <v/>
      </c>
      <c r="O1667" s="209">
        <f>IF($F1667&lt;$B$1643,$E$1643+$I$1643*($F1667-$A$1643),IF($F1667&lt;$C$1643,$F$1643+$J$1643*($F1667-$B$1643),$G$1643+$K$1643*($F1667-$C$1643)))</f>
        <v/>
      </c>
      <c r="P1667" s="208">
        <f>MIN(1,MAX(0,(nr_MEndPm1-$G1667+0.5)/$C$1642))-MIN(1,MAX(0,(nr_MStartPm1-1-$G1667+0.5)/$C$1642))</f>
        <v/>
      </c>
      <c r="Q1667" s="208">
        <f>MIN(1,MAX(0,(nr_MEndP-$G1667+0.5)/$C$1642))-MIN(1,MAX(0,(nr_MStartP-1-$G1667+0.5)/$C$1642))</f>
        <v/>
      </c>
      <c r="R1667" s="208">
        <f>MIN(1,MAX(0,(nr_MEndP1-$G1667+0.5)/$C$1642))-MIN(1,MAX(0,(nr_MStartP1-1-$G1667+0.5)/$C$1642))</f>
        <v/>
      </c>
      <c r="S1667" s="208">
        <f>IF($L$1642,$N1667*IF($O$1642=1,$O1667/$F$1642,1),"")</f>
        <v/>
      </c>
      <c r="T1667" s="208">
        <f>IF(NOT($L$1642),"",IF($G1667&lt;nr_MStartP,$S1667,$T1655*(1+IF($G1667&lt;nr_MStartP1,$M$1642,$N$1642))))</f>
        <v/>
      </c>
      <c r="U1667" s="208">
        <f>IF($L$1642,$T1667,$N1667)</f>
        <v/>
      </c>
    </row>
    <row r="1668">
      <c r="A1668" s="145" t="n">
        <v>24</v>
      </c>
      <c r="B1668" s="204">
        <f>EDATE($B1667,1)</f>
        <v/>
      </c>
      <c r="C1668" s="205">
        <f>EOMONTH($B1668,0)</f>
        <v/>
      </c>
      <c r="D1668" s="201">
        <f>$C1668-$B1668+1</f>
        <v/>
      </c>
      <c r="E1668" s="201">
        <f>MONTH($B1668)</f>
        <v/>
      </c>
      <c r="F1668" s="235">
        <f>($B1668+$C1668+1)/2</f>
        <v/>
      </c>
      <c r="G1668" s="201">
        <f>YEAR($B1668)*12+MONTH($B1668)-1</f>
        <v/>
      </c>
      <c r="H1668" s="207">
        <f>IF(OR(nr_SeasonOn="OFF",$D$1642=0,$E$1642=0),1,12*INDEX(se_block,$D$1642,$E1668)/$E$1642)</f>
        <v/>
      </c>
      <c r="I1668" s="208">
        <f>EXP(SUMPRODUCT((rl_eff&lt;$B1668)*(rl_key=$A$1642)*rl_ln1p))</f>
        <v/>
      </c>
      <c r="J1668" s="208">
        <f>EXP(SUMPRODUCT((rl_eff&lt;=$C1668)*(rl_key=$A$1642)*rl_ln1p))</f>
        <v/>
      </c>
      <c r="K1668" s="201">
        <f>COUNTIFS(rl_key,$A$1642,rl_eff,"&gt;="&amp;$B1668,rl_eff,"&lt;="&amp;$C1668)</f>
        <v/>
      </c>
      <c r="L1668" s="201">
        <f>SUMIFS(rl_daysafter,rl_key,$A$1642,rl_effmonth,$B1668,rl_first,1)</f>
        <v/>
      </c>
      <c r="M1668" s="209">
        <f>IF($K1668=0,0,MIN(1,$L1668/$D1668))</f>
        <v/>
      </c>
      <c r="N1668" s="208">
        <f>IF($K1668=0,$J1668,(1-$M1668)*$I1668+$M1668*$J1668)</f>
        <v/>
      </c>
      <c r="O1668" s="209">
        <f>IF($F1668&lt;$B$1643,$E$1643+$I$1643*($F1668-$A$1643),IF($F1668&lt;$C$1643,$F$1643+$J$1643*($F1668-$B$1643),$G$1643+$K$1643*($F1668-$C$1643)))</f>
        <v/>
      </c>
      <c r="P1668" s="208">
        <f>MIN(1,MAX(0,(nr_MEndPm1-$G1668+0.5)/$C$1642))-MIN(1,MAX(0,(nr_MStartPm1-1-$G1668+0.5)/$C$1642))</f>
        <v/>
      </c>
      <c r="Q1668" s="208">
        <f>MIN(1,MAX(0,(nr_MEndP-$G1668+0.5)/$C$1642))-MIN(1,MAX(0,(nr_MStartP-1-$G1668+0.5)/$C$1642))</f>
        <v/>
      </c>
      <c r="R1668" s="208">
        <f>MIN(1,MAX(0,(nr_MEndP1-$G1668+0.5)/$C$1642))-MIN(1,MAX(0,(nr_MStartP1-1-$G1668+0.5)/$C$1642))</f>
        <v/>
      </c>
      <c r="S1668" s="208">
        <f>IF($L$1642,$N1668*IF($O$1642=1,$O1668/$F$1642,1),"")</f>
        <v/>
      </c>
      <c r="T1668" s="208">
        <f>IF(NOT($L$1642),"",IF($G1668&lt;nr_MStartP,$S1668,$T1656*(1+IF($G1668&lt;nr_MStartP1,$M$1642,$N$1642))))</f>
        <v/>
      </c>
      <c r="U1668" s="208">
        <f>IF($L$1642,$T1668,$N1668)</f>
        <v/>
      </c>
    </row>
    <row r="1669">
      <c r="A1669" s="145" t="n">
        <v>25</v>
      </c>
      <c r="B1669" s="204">
        <f>EDATE($B1668,1)</f>
        <v/>
      </c>
      <c r="C1669" s="205">
        <f>EOMONTH($B1669,0)</f>
        <v/>
      </c>
      <c r="D1669" s="201">
        <f>$C1669-$B1669+1</f>
        <v/>
      </c>
      <c r="E1669" s="201">
        <f>MONTH($B1669)</f>
        <v/>
      </c>
      <c r="F1669" s="235">
        <f>($B1669+$C1669+1)/2</f>
        <v/>
      </c>
      <c r="G1669" s="201">
        <f>YEAR($B1669)*12+MONTH($B1669)-1</f>
        <v/>
      </c>
      <c r="H1669" s="207">
        <f>IF(OR(nr_SeasonOn="OFF",$D$1642=0,$E$1642=0),1,12*INDEX(se_block,$D$1642,$E1669)/$E$1642)</f>
        <v/>
      </c>
      <c r="I1669" s="208">
        <f>EXP(SUMPRODUCT((rl_eff&lt;$B1669)*(rl_key=$A$1642)*rl_ln1p))</f>
        <v/>
      </c>
      <c r="J1669" s="208">
        <f>EXP(SUMPRODUCT((rl_eff&lt;=$C1669)*(rl_key=$A$1642)*rl_ln1p))</f>
        <v/>
      </c>
      <c r="K1669" s="201">
        <f>COUNTIFS(rl_key,$A$1642,rl_eff,"&gt;="&amp;$B1669,rl_eff,"&lt;="&amp;$C1669)</f>
        <v/>
      </c>
      <c r="L1669" s="201">
        <f>SUMIFS(rl_daysafter,rl_key,$A$1642,rl_effmonth,$B1669,rl_first,1)</f>
        <v/>
      </c>
      <c r="M1669" s="209">
        <f>IF($K1669=0,0,MIN(1,$L1669/$D1669))</f>
        <v/>
      </c>
      <c r="N1669" s="208">
        <f>IF($K1669=0,$J1669,(1-$M1669)*$I1669+$M1669*$J1669)</f>
        <v/>
      </c>
      <c r="O1669" s="209">
        <f>IF($F1669&lt;$B$1643,$E$1643+$I$1643*($F1669-$A$1643),IF($F1669&lt;$C$1643,$F$1643+$J$1643*($F1669-$B$1643),$G$1643+$K$1643*($F1669-$C$1643)))</f>
        <v/>
      </c>
      <c r="P1669" s="208">
        <f>MIN(1,MAX(0,(nr_MEndPm1-$G1669+0.5)/$C$1642))-MIN(1,MAX(0,(nr_MStartPm1-1-$G1669+0.5)/$C$1642))</f>
        <v/>
      </c>
      <c r="Q1669" s="208">
        <f>MIN(1,MAX(0,(nr_MEndP-$G1669+0.5)/$C$1642))-MIN(1,MAX(0,(nr_MStartP-1-$G1669+0.5)/$C$1642))</f>
        <v/>
      </c>
      <c r="R1669" s="208">
        <f>MIN(1,MAX(0,(nr_MEndP1-$G1669+0.5)/$C$1642))-MIN(1,MAX(0,(nr_MStartP1-1-$G1669+0.5)/$C$1642))</f>
        <v/>
      </c>
      <c r="S1669" s="208">
        <f>IF($L$1642,$N1669*IF($O$1642=1,$O1669/$F$1642,1),"")</f>
        <v/>
      </c>
      <c r="T1669" s="208">
        <f>IF(NOT($L$1642),"",IF($G1669&lt;nr_MStartP,$S1669,$T1657*(1+IF($G1669&lt;nr_MStartP1,$M$1642,$N$1642))))</f>
        <v/>
      </c>
      <c r="U1669" s="208">
        <f>IF($L$1642,$T1669,$N1669)</f>
        <v/>
      </c>
    </row>
    <row r="1670">
      <c r="A1670" s="145" t="n">
        <v>26</v>
      </c>
      <c r="B1670" s="204">
        <f>EDATE($B1669,1)</f>
        <v/>
      </c>
      <c r="C1670" s="205">
        <f>EOMONTH($B1670,0)</f>
        <v/>
      </c>
      <c r="D1670" s="201">
        <f>$C1670-$B1670+1</f>
        <v/>
      </c>
      <c r="E1670" s="201">
        <f>MONTH($B1670)</f>
        <v/>
      </c>
      <c r="F1670" s="235">
        <f>($B1670+$C1670+1)/2</f>
        <v/>
      </c>
      <c r="G1670" s="201">
        <f>YEAR($B1670)*12+MONTH($B1670)-1</f>
        <v/>
      </c>
      <c r="H1670" s="207">
        <f>IF(OR(nr_SeasonOn="OFF",$D$1642=0,$E$1642=0),1,12*INDEX(se_block,$D$1642,$E1670)/$E$1642)</f>
        <v/>
      </c>
      <c r="I1670" s="208">
        <f>EXP(SUMPRODUCT((rl_eff&lt;$B1670)*(rl_key=$A$1642)*rl_ln1p))</f>
        <v/>
      </c>
      <c r="J1670" s="208">
        <f>EXP(SUMPRODUCT((rl_eff&lt;=$C1670)*(rl_key=$A$1642)*rl_ln1p))</f>
        <v/>
      </c>
      <c r="K1670" s="201">
        <f>COUNTIFS(rl_key,$A$1642,rl_eff,"&gt;="&amp;$B1670,rl_eff,"&lt;="&amp;$C1670)</f>
        <v/>
      </c>
      <c r="L1670" s="201">
        <f>SUMIFS(rl_daysafter,rl_key,$A$1642,rl_effmonth,$B1670,rl_first,1)</f>
        <v/>
      </c>
      <c r="M1670" s="209">
        <f>IF($K1670=0,0,MIN(1,$L1670/$D1670))</f>
        <v/>
      </c>
      <c r="N1670" s="208">
        <f>IF($K1670=0,$J1670,(1-$M1670)*$I1670+$M1670*$J1670)</f>
        <v/>
      </c>
      <c r="O1670" s="209">
        <f>IF($F1670&lt;$B$1643,$E$1643+$I$1643*($F1670-$A$1643),IF($F1670&lt;$C$1643,$F$1643+$J$1643*($F1670-$B$1643),$G$1643+$K$1643*($F1670-$C$1643)))</f>
        <v/>
      </c>
      <c r="P1670" s="208">
        <f>MIN(1,MAX(0,(nr_MEndPm1-$G1670+0.5)/$C$1642))-MIN(1,MAX(0,(nr_MStartPm1-1-$G1670+0.5)/$C$1642))</f>
        <v/>
      </c>
      <c r="Q1670" s="208">
        <f>MIN(1,MAX(0,(nr_MEndP-$G1670+0.5)/$C$1642))-MIN(1,MAX(0,(nr_MStartP-1-$G1670+0.5)/$C$1642))</f>
        <v/>
      </c>
      <c r="R1670" s="208">
        <f>MIN(1,MAX(0,(nr_MEndP1-$G1670+0.5)/$C$1642))-MIN(1,MAX(0,(nr_MStartP1-1-$G1670+0.5)/$C$1642))</f>
        <v/>
      </c>
      <c r="S1670" s="208">
        <f>IF($L$1642,$N1670*IF($O$1642=1,$O1670/$F$1642,1),"")</f>
        <v/>
      </c>
      <c r="T1670" s="208">
        <f>IF(NOT($L$1642),"",IF($G1670&lt;nr_MStartP,$S1670,$T1658*(1+IF($G1670&lt;nr_MStartP1,$M$1642,$N$1642))))</f>
        <v/>
      </c>
      <c r="U1670" s="208">
        <f>IF($L$1642,$T1670,$N1670)</f>
        <v/>
      </c>
    </row>
    <row r="1671">
      <c r="A1671" s="145" t="n">
        <v>27</v>
      </c>
      <c r="B1671" s="204">
        <f>EDATE($B1670,1)</f>
        <v/>
      </c>
      <c r="C1671" s="205">
        <f>EOMONTH($B1671,0)</f>
        <v/>
      </c>
      <c r="D1671" s="201">
        <f>$C1671-$B1671+1</f>
        <v/>
      </c>
      <c r="E1671" s="201">
        <f>MONTH($B1671)</f>
        <v/>
      </c>
      <c r="F1671" s="235">
        <f>($B1671+$C1671+1)/2</f>
        <v/>
      </c>
      <c r="G1671" s="201">
        <f>YEAR($B1671)*12+MONTH($B1671)-1</f>
        <v/>
      </c>
      <c r="H1671" s="207">
        <f>IF(OR(nr_SeasonOn="OFF",$D$1642=0,$E$1642=0),1,12*INDEX(se_block,$D$1642,$E1671)/$E$1642)</f>
        <v/>
      </c>
      <c r="I1671" s="208">
        <f>EXP(SUMPRODUCT((rl_eff&lt;$B1671)*(rl_key=$A$1642)*rl_ln1p))</f>
        <v/>
      </c>
      <c r="J1671" s="208">
        <f>EXP(SUMPRODUCT((rl_eff&lt;=$C1671)*(rl_key=$A$1642)*rl_ln1p))</f>
        <v/>
      </c>
      <c r="K1671" s="201">
        <f>COUNTIFS(rl_key,$A$1642,rl_eff,"&gt;="&amp;$B1671,rl_eff,"&lt;="&amp;$C1671)</f>
        <v/>
      </c>
      <c r="L1671" s="201">
        <f>SUMIFS(rl_daysafter,rl_key,$A$1642,rl_effmonth,$B1671,rl_first,1)</f>
        <v/>
      </c>
      <c r="M1671" s="209">
        <f>IF($K1671=0,0,MIN(1,$L1671/$D1671))</f>
        <v/>
      </c>
      <c r="N1671" s="208">
        <f>IF($K1671=0,$J1671,(1-$M1671)*$I1671+$M1671*$J1671)</f>
        <v/>
      </c>
      <c r="O1671" s="209">
        <f>IF($F1671&lt;$B$1643,$E$1643+$I$1643*($F1671-$A$1643),IF($F1671&lt;$C$1643,$F$1643+$J$1643*($F1671-$B$1643),$G$1643+$K$1643*($F1671-$C$1643)))</f>
        <v/>
      </c>
      <c r="P1671" s="208">
        <f>MIN(1,MAX(0,(nr_MEndPm1-$G1671+0.5)/$C$1642))-MIN(1,MAX(0,(nr_MStartPm1-1-$G1671+0.5)/$C$1642))</f>
        <v/>
      </c>
      <c r="Q1671" s="208">
        <f>MIN(1,MAX(0,(nr_MEndP-$G1671+0.5)/$C$1642))-MIN(1,MAX(0,(nr_MStartP-1-$G1671+0.5)/$C$1642))</f>
        <v/>
      </c>
      <c r="R1671" s="208">
        <f>MIN(1,MAX(0,(nr_MEndP1-$G1671+0.5)/$C$1642))-MIN(1,MAX(0,(nr_MStartP1-1-$G1671+0.5)/$C$1642))</f>
        <v/>
      </c>
      <c r="S1671" s="208">
        <f>IF($L$1642,$N1671*IF($O$1642=1,$O1671/$F$1642,1),"")</f>
        <v/>
      </c>
      <c r="T1671" s="208">
        <f>IF(NOT($L$1642),"",IF($G1671&lt;nr_MStartP,$S1671,$T1659*(1+IF($G1671&lt;nr_MStartP1,$M$1642,$N$1642))))</f>
        <v/>
      </c>
      <c r="U1671" s="208">
        <f>IF($L$1642,$T1671,$N1671)</f>
        <v/>
      </c>
    </row>
    <row r="1672">
      <c r="A1672" s="145" t="n">
        <v>28</v>
      </c>
      <c r="B1672" s="204">
        <f>EDATE($B1671,1)</f>
        <v/>
      </c>
      <c r="C1672" s="205">
        <f>EOMONTH($B1672,0)</f>
        <v/>
      </c>
      <c r="D1672" s="201">
        <f>$C1672-$B1672+1</f>
        <v/>
      </c>
      <c r="E1672" s="201">
        <f>MONTH($B1672)</f>
        <v/>
      </c>
      <c r="F1672" s="235">
        <f>($B1672+$C1672+1)/2</f>
        <v/>
      </c>
      <c r="G1672" s="201">
        <f>YEAR($B1672)*12+MONTH($B1672)-1</f>
        <v/>
      </c>
      <c r="H1672" s="207">
        <f>IF(OR(nr_SeasonOn="OFF",$D$1642=0,$E$1642=0),1,12*INDEX(se_block,$D$1642,$E1672)/$E$1642)</f>
        <v/>
      </c>
      <c r="I1672" s="208">
        <f>EXP(SUMPRODUCT((rl_eff&lt;$B1672)*(rl_key=$A$1642)*rl_ln1p))</f>
        <v/>
      </c>
      <c r="J1672" s="208">
        <f>EXP(SUMPRODUCT((rl_eff&lt;=$C1672)*(rl_key=$A$1642)*rl_ln1p))</f>
        <v/>
      </c>
      <c r="K1672" s="201">
        <f>COUNTIFS(rl_key,$A$1642,rl_eff,"&gt;="&amp;$B1672,rl_eff,"&lt;="&amp;$C1672)</f>
        <v/>
      </c>
      <c r="L1672" s="201">
        <f>SUMIFS(rl_daysafter,rl_key,$A$1642,rl_effmonth,$B1672,rl_first,1)</f>
        <v/>
      </c>
      <c r="M1672" s="209">
        <f>IF($K1672=0,0,MIN(1,$L1672/$D1672))</f>
        <v/>
      </c>
      <c r="N1672" s="208">
        <f>IF($K1672=0,$J1672,(1-$M1672)*$I1672+$M1672*$J1672)</f>
        <v/>
      </c>
      <c r="O1672" s="209">
        <f>IF($F1672&lt;$B$1643,$E$1643+$I$1643*($F1672-$A$1643),IF($F1672&lt;$C$1643,$F$1643+$J$1643*($F1672-$B$1643),$G$1643+$K$1643*($F1672-$C$1643)))</f>
        <v/>
      </c>
      <c r="P1672" s="208">
        <f>MIN(1,MAX(0,(nr_MEndPm1-$G1672+0.5)/$C$1642))-MIN(1,MAX(0,(nr_MStartPm1-1-$G1672+0.5)/$C$1642))</f>
        <v/>
      </c>
      <c r="Q1672" s="208">
        <f>MIN(1,MAX(0,(nr_MEndP-$G1672+0.5)/$C$1642))-MIN(1,MAX(0,(nr_MStartP-1-$G1672+0.5)/$C$1642))</f>
        <v/>
      </c>
      <c r="R1672" s="208">
        <f>MIN(1,MAX(0,(nr_MEndP1-$G1672+0.5)/$C$1642))-MIN(1,MAX(0,(nr_MStartP1-1-$G1672+0.5)/$C$1642))</f>
        <v/>
      </c>
      <c r="S1672" s="208">
        <f>IF($L$1642,$N1672*IF($O$1642=1,$O1672/$F$1642,1),"")</f>
        <v/>
      </c>
      <c r="T1672" s="208">
        <f>IF(NOT($L$1642),"",IF($G1672&lt;nr_MStartP,$S1672,$T1660*(1+IF($G1672&lt;nr_MStartP1,$M$1642,$N$1642))))</f>
        <v/>
      </c>
      <c r="U1672" s="208">
        <f>IF($L$1642,$T1672,$N1672)</f>
        <v/>
      </c>
    </row>
    <row r="1673">
      <c r="A1673" s="145" t="n">
        <v>29</v>
      </c>
      <c r="B1673" s="204">
        <f>EDATE($B1672,1)</f>
        <v/>
      </c>
      <c r="C1673" s="205">
        <f>EOMONTH($B1673,0)</f>
        <v/>
      </c>
      <c r="D1673" s="201">
        <f>$C1673-$B1673+1</f>
        <v/>
      </c>
      <c r="E1673" s="201">
        <f>MONTH($B1673)</f>
        <v/>
      </c>
      <c r="F1673" s="235">
        <f>($B1673+$C1673+1)/2</f>
        <v/>
      </c>
      <c r="G1673" s="201">
        <f>YEAR($B1673)*12+MONTH($B1673)-1</f>
        <v/>
      </c>
      <c r="H1673" s="207">
        <f>IF(OR(nr_SeasonOn="OFF",$D$1642=0,$E$1642=0),1,12*INDEX(se_block,$D$1642,$E1673)/$E$1642)</f>
        <v/>
      </c>
      <c r="I1673" s="208">
        <f>EXP(SUMPRODUCT((rl_eff&lt;$B1673)*(rl_key=$A$1642)*rl_ln1p))</f>
        <v/>
      </c>
      <c r="J1673" s="208">
        <f>EXP(SUMPRODUCT((rl_eff&lt;=$C1673)*(rl_key=$A$1642)*rl_ln1p))</f>
        <v/>
      </c>
      <c r="K1673" s="201">
        <f>COUNTIFS(rl_key,$A$1642,rl_eff,"&gt;="&amp;$B1673,rl_eff,"&lt;="&amp;$C1673)</f>
        <v/>
      </c>
      <c r="L1673" s="201">
        <f>SUMIFS(rl_daysafter,rl_key,$A$1642,rl_effmonth,$B1673,rl_first,1)</f>
        <v/>
      </c>
      <c r="M1673" s="209">
        <f>IF($K1673=0,0,MIN(1,$L1673/$D1673))</f>
        <v/>
      </c>
      <c r="N1673" s="208">
        <f>IF($K1673=0,$J1673,(1-$M1673)*$I1673+$M1673*$J1673)</f>
        <v/>
      </c>
      <c r="O1673" s="209">
        <f>IF($F1673&lt;$B$1643,$E$1643+$I$1643*($F1673-$A$1643),IF($F1673&lt;$C$1643,$F$1643+$J$1643*($F1673-$B$1643),$G$1643+$K$1643*($F1673-$C$1643)))</f>
        <v/>
      </c>
      <c r="P1673" s="208">
        <f>MIN(1,MAX(0,(nr_MEndPm1-$G1673+0.5)/$C$1642))-MIN(1,MAX(0,(nr_MStartPm1-1-$G1673+0.5)/$C$1642))</f>
        <v/>
      </c>
      <c r="Q1673" s="208">
        <f>MIN(1,MAX(0,(nr_MEndP-$G1673+0.5)/$C$1642))-MIN(1,MAX(0,(nr_MStartP-1-$G1673+0.5)/$C$1642))</f>
        <v/>
      </c>
      <c r="R1673" s="208">
        <f>MIN(1,MAX(0,(nr_MEndP1-$G1673+0.5)/$C$1642))-MIN(1,MAX(0,(nr_MStartP1-1-$G1673+0.5)/$C$1642))</f>
        <v/>
      </c>
      <c r="S1673" s="208">
        <f>IF($L$1642,$N1673*IF($O$1642=1,$O1673/$F$1642,1),"")</f>
        <v/>
      </c>
      <c r="T1673" s="208">
        <f>IF(NOT($L$1642),"",IF($G1673&lt;nr_MStartP,$S1673,$T1661*(1+IF($G1673&lt;nr_MStartP1,$M$1642,$N$1642))))</f>
        <v/>
      </c>
      <c r="U1673" s="208">
        <f>IF($L$1642,$T1673,$N1673)</f>
        <v/>
      </c>
    </row>
    <row r="1674">
      <c r="A1674" s="145" t="n">
        <v>30</v>
      </c>
      <c r="B1674" s="204">
        <f>EDATE($B1673,1)</f>
        <v/>
      </c>
      <c r="C1674" s="205">
        <f>EOMONTH($B1674,0)</f>
        <v/>
      </c>
      <c r="D1674" s="201">
        <f>$C1674-$B1674+1</f>
        <v/>
      </c>
      <c r="E1674" s="201">
        <f>MONTH($B1674)</f>
        <v/>
      </c>
      <c r="F1674" s="235">
        <f>($B1674+$C1674+1)/2</f>
        <v/>
      </c>
      <c r="G1674" s="201">
        <f>YEAR($B1674)*12+MONTH($B1674)-1</f>
        <v/>
      </c>
      <c r="H1674" s="207">
        <f>IF(OR(nr_SeasonOn="OFF",$D$1642=0,$E$1642=0),1,12*INDEX(se_block,$D$1642,$E1674)/$E$1642)</f>
        <v/>
      </c>
      <c r="I1674" s="208">
        <f>EXP(SUMPRODUCT((rl_eff&lt;$B1674)*(rl_key=$A$1642)*rl_ln1p))</f>
        <v/>
      </c>
      <c r="J1674" s="208">
        <f>EXP(SUMPRODUCT((rl_eff&lt;=$C1674)*(rl_key=$A$1642)*rl_ln1p))</f>
        <v/>
      </c>
      <c r="K1674" s="201">
        <f>COUNTIFS(rl_key,$A$1642,rl_eff,"&gt;="&amp;$B1674,rl_eff,"&lt;="&amp;$C1674)</f>
        <v/>
      </c>
      <c r="L1674" s="201">
        <f>SUMIFS(rl_daysafter,rl_key,$A$1642,rl_effmonth,$B1674,rl_first,1)</f>
        <v/>
      </c>
      <c r="M1674" s="209">
        <f>IF($K1674=0,0,MIN(1,$L1674/$D1674))</f>
        <v/>
      </c>
      <c r="N1674" s="208">
        <f>IF($K1674=0,$J1674,(1-$M1674)*$I1674+$M1674*$J1674)</f>
        <v/>
      </c>
      <c r="O1674" s="209">
        <f>IF($F1674&lt;$B$1643,$E$1643+$I$1643*($F1674-$A$1643),IF($F1674&lt;$C$1643,$F$1643+$J$1643*($F1674-$B$1643),$G$1643+$K$1643*($F1674-$C$1643)))</f>
        <v/>
      </c>
      <c r="P1674" s="208">
        <f>MIN(1,MAX(0,(nr_MEndPm1-$G1674+0.5)/$C$1642))-MIN(1,MAX(0,(nr_MStartPm1-1-$G1674+0.5)/$C$1642))</f>
        <v/>
      </c>
      <c r="Q1674" s="208">
        <f>MIN(1,MAX(0,(nr_MEndP-$G1674+0.5)/$C$1642))-MIN(1,MAX(0,(nr_MStartP-1-$G1674+0.5)/$C$1642))</f>
        <v/>
      </c>
      <c r="R1674" s="208">
        <f>MIN(1,MAX(0,(nr_MEndP1-$G1674+0.5)/$C$1642))-MIN(1,MAX(0,(nr_MStartP1-1-$G1674+0.5)/$C$1642))</f>
        <v/>
      </c>
      <c r="S1674" s="208">
        <f>IF($L$1642,$N1674*IF($O$1642=1,$O1674/$F$1642,1),"")</f>
        <v/>
      </c>
      <c r="T1674" s="208">
        <f>IF(NOT($L$1642),"",IF($G1674&lt;nr_MStartP,$S1674,$T1662*(1+IF($G1674&lt;nr_MStartP1,$M$1642,$N$1642))))</f>
        <v/>
      </c>
      <c r="U1674" s="208">
        <f>IF($L$1642,$T1674,$N1674)</f>
        <v/>
      </c>
    </row>
    <row r="1675">
      <c r="A1675" s="145" t="n">
        <v>31</v>
      </c>
      <c r="B1675" s="204">
        <f>EDATE($B1674,1)</f>
        <v/>
      </c>
      <c r="C1675" s="205">
        <f>EOMONTH($B1675,0)</f>
        <v/>
      </c>
      <c r="D1675" s="201">
        <f>$C1675-$B1675+1</f>
        <v/>
      </c>
      <c r="E1675" s="201">
        <f>MONTH($B1675)</f>
        <v/>
      </c>
      <c r="F1675" s="235">
        <f>($B1675+$C1675+1)/2</f>
        <v/>
      </c>
      <c r="G1675" s="201">
        <f>YEAR($B1675)*12+MONTH($B1675)-1</f>
        <v/>
      </c>
      <c r="H1675" s="207">
        <f>IF(OR(nr_SeasonOn="OFF",$D$1642=0,$E$1642=0),1,12*INDEX(se_block,$D$1642,$E1675)/$E$1642)</f>
        <v/>
      </c>
      <c r="I1675" s="208">
        <f>EXP(SUMPRODUCT((rl_eff&lt;$B1675)*(rl_key=$A$1642)*rl_ln1p))</f>
        <v/>
      </c>
      <c r="J1675" s="208">
        <f>EXP(SUMPRODUCT((rl_eff&lt;=$C1675)*(rl_key=$A$1642)*rl_ln1p))</f>
        <v/>
      </c>
      <c r="K1675" s="201">
        <f>COUNTIFS(rl_key,$A$1642,rl_eff,"&gt;="&amp;$B1675,rl_eff,"&lt;="&amp;$C1675)</f>
        <v/>
      </c>
      <c r="L1675" s="201">
        <f>SUMIFS(rl_daysafter,rl_key,$A$1642,rl_effmonth,$B1675,rl_first,1)</f>
        <v/>
      </c>
      <c r="M1675" s="209">
        <f>IF($K1675=0,0,MIN(1,$L1675/$D1675))</f>
        <v/>
      </c>
      <c r="N1675" s="208">
        <f>IF($K1675=0,$J1675,(1-$M1675)*$I1675+$M1675*$J1675)</f>
        <v/>
      </c>
      <c r="O1675" s="209">
        <f>IF($F1675&lt;$B$1643,$E$1643+$I$1643*($F1675-$A$1643),IF($F1675&lt;$C$1643,$F$1643+$J$1643*($F1675-$B$1643),$G$1643+$K$1643*($F1675-$C$1643)))</f>
        <v/>
      </c>
      <c r="P1675" s="208">
        <f>MIN(1,MAX(0,(nr_MEndPm1-$G1675+0.5)/$C$1642))-MIN(1,MAX(0,(nr_MStartPm1-1-$G1675+0.5)/$C$1642))</f>
        <v/>
      </c>
      <c r="Q1675" s="208">
        <f>MIN(1,MAX(0,(nr_MEndP-$G1675+0.5)/$C$1642))-MIN(1,MAX(0,(nr_MStartP-1-$G1675+0.5)/$C$1642))</f>
        <v/>
      </c>
      <c r="R1675" s="208">
        <f>MIN(1,MAX(0,(nr_MEndP1-$G1675+0.5)/$C$1642))-MIN(1,MAX(0,(nr_MStartP1-1-$G1675+0.5)/$C$1642))</f>
        <v/>
      </c>
      <c r="S1675" s="208">
        <f>IF($L$1642,$N1675*IF($O$1642=1,$O1675/$F$1642,1),"")</f>
        <v/>
      </c>
      <c r="T1675" s="208">
        <f>IF(NOT($L$1642),"",IF($G1675&lt;nr_MStartP,$S1675,$T1663*(1+IF($G1675&lt;nr_MStartP1,$M$1642,$N$1642))))</f>
        <v/>
      </c>
      <c r="U1675" s="208">
        <f>IF($L$1642,$T1675,$N1675)</f>
        <v/>
      </c>
    </row>
    <row r="1676">
      <c r="A1676" s="145" t="n">
        <v>32</v>
      </c>
      <c r="B1676" s="204">
        <f>EDATE($B1675,1)</f>
        <v/>
      </c>
      <c r="C1676" s="205">
        <f>EOMONTH($B1676,0)</f>
        <v/>
      </c>
      <c r="D1676" s="201">
        <f>$C1676-$B1676+1</f>
        <v/>
      </c>
      <c r="E1676" s="201">
        <f>MONTH($B1676)</f>
        <v/>
      </c>
      <c r="F1676" s="235">
        <f>($B1676+$C1676+1)/2</f>
        <v/>
      </c>
      <c r="G1676" s="201">
        <f>YEAR($B1676)*12+MONTH($B1676)-1</f>
        <v/>
      </c>
      <c r="H1676" s="207">
        <f>IF(OR(nr_SeasonOn="OFF",$D$1642=0,$E$1642=0),1,12*INDEX(se_block,$D$1642,$E1676)/$E$1642)</f>
        <v/>
      </c>
      <c r="I1676" s="208">
        <f>EXP(SUMPRODUCT((rl_eff&lt;$B1676)*(rl_key=$A$1642)*rl_ln1p))</f>
        <v/>
      </c>
      <c r="J1676" s="208">
        <f>EXP(SUMPRODUCT((rl_eff&lt;=$C1676)*(rl_key=$A$1642)*rl_ln1p))</f>
        <v/>
      </c>
      <c r="K1676" s="201">
        <f>COUNTIFS(rl_key,$A$1642,rl_eff,"&gt;="&amp;$B1676,rl_eff,"&lt;="&amp;$C1676)</f>
        <v/>
      </c>
      <c r="L1676" s="201">
        <f>SUMIFS(rl_daysafter,rl_key,$A$1642,rl_effmonth,$B1676,rl_first,1)</f>
        <v/>
      </c>
      <c r="M1676" s="209">
        <f>IF($K1676=0,0,MIN(1,$L1676/$D1676))</f>
        <v/>
      </c>
      <c r="N1676" s="208">
        <f>IF($K1676=0,$J1676,(1-$M1676)*$I1676+$M1676*$J1676)</f>
        <v/>
      </c>
      <c r="O1676" s="209">
        <f>IF($F1676&lt;$B$1643,$E$1643+$I$1643*($F1676-$A$1643),IF($F1676&lt;$C$1643,$F$1643+$J$1643*($F1676-$B$1643),$G$1643+$K$1643*($F1676-$C$1643)))</f>
        <v/>
      </c>
      <c r="P1676" s="208">
        <f>MIN(1,MAX(0,(nr_MEndPm1-$G1676+0.5)/$C$1642))-MIN(1,MAX(0,(nr_MStartPm1-1-$G1676+0.5)/$C$1642))</f>
        <v/>
      </c>
      <c r="Q1676" s="208">
        <f>MIN(1,MAX(0,(nr_MEndP-$G1676+0.5)/$C$1642))-MIN(1,MAX(0,(nr_MStartP-1-$G1676+0.5)/$C$1642))</f>
        <v/>
      </c>
      <c r="R1676" s="208">
        <f>MIN(1,MAX(0,(nr_MEndP1-$G1676+0.5)/$C$1642))-MIN(1,MAX(0,(nr_MStartP1-1-$G1676+0.5)/$C$1642))</f>
        <v/>
      </c>
      <c r="S1676" s="208">
        <f>IF($L$1642,$N1676*IF($O$1642=1,$O1676/$F$1642,1),"")</f>
        <v/>
      </c>
      <c r="T1676" s="208">
        <f>IF(NOT($L$1642),"",IF($G1676&lt;nr_MStartP,$S1676,$T1664*(1+IF($G1676&lt;nr_MStartP1,$M$1642,$N$1642))))</f>
        <v/>
      </c>
      <c r="U1676" s="208">
        <f>IF($L$1642,$T1676,$N1676)</f>
        <v/>
      </c>
    </row>
    <row r="1677">
      <c r="A1677" s="145" t="n">
        <v>33</v>
      </c>
      <c r="B1677" s="204">
        <f>EDATE($B1676,1)</f>
        <v/>
      </c>
      <c r="C1677" s="205">
        <f>EOMONTH($B1677,0)</f>
        <v/>
      </c>
      <c r="D1677" s="201">
        <f>$C1677-$B1677+1</f>
        <v/>
      </c>
      <c r="E1677" s="201">
        <f>MONTH($B1677)</f>
        <v/>
      </c>
      <c r="F1677" s="235">
        <f>($B1677+$C1677+1)/2</f>
        <v/>
      </c>
      <c r="G1677" s="201">
        <f>YEAR($B1677)*12+MONTH($B1677)-1</f>
        <v/>
      </c>
      <c r="H1677" s="207">
        <f>IF(OR(nr_SeasonOn="OFF",$D$1642=0,$E$1642=0),1,12*INDEX(se_block,$D$1642,$E1677)/$E$1642)</f>
        <v/>
      </c>
      <c r="I1677" s="208">
        <f>EXP(SUMPRODUCT((rl_eff&lt;$B1677)*(rl_key=$A$1642)*rl_ln1p))</f>
        <v/>
      </c>
      <c r="J1677" s="208">
        <f>EXP(SUMPRODUCT((rl_eff&lt;=$C1677)*(rl_key=$A$1642)*rl_ln1p))</f>
        <v/>
      </c>
      <c r="K1677" s="201">
        <f>COUNTIFS(rl_key,$A$1642,rl_eff,"&gt;="&amp;$B1677,rl_eff,"&lt;="&amp;$C1677)</f>
        <v/>
      </c>
      <c r="L1677" s="201">
        <f>SUMIFS(rl_daysafter,rl_key,$A$1642,rl_effmonth,$B1677,rl_first,1)</f>
        <v/>
      </c>
      <c r="M1677" s="209">
        <f>IF($K1677=0,0,MIN(1,$L1677/$D1677))</f>
        <v/>
      </c>
      <c r="N1677" s="208">
        <f>IF($K1677=0,$J1677,(1-$M1677)*$I1677+$M1677*$J1677)</f>
        <v/>
      </c>
      <c r="O1677" s="209">
        <f>IF($F1677&lt;$B$1643,$E$1643+$I$1643*($F1677-$A$1643),IF($F1677&lt;$C$1643,$F$1643+$J$1643*($F1677-$B$1643),$G$1643+$K$1643*($F1677-$C$1643)))</f>
        <v/>
      </c>
      <c r="P1677" s="208">
        <f>MIN(1,MAX(0,(nr_MEndPm1-$G1677+0.5)/$C$1642))-MIN(1,MAX(0,(nr_MStartPm1-1-$G1677+0.5)/$C$1642))</f>
        <v/>
      </c>
      <c r="Q1677" s="208">
        <f>MIN(1,MAX(0,(nr_MEndP-$G1677+0.5)/$C$1642))-MIN(1,MAX(0,(nr_MStartP-1-$G1677+0.5)/$C$1642))</f>
        <v/>
      </c>
      <c r="R1677" s="208">
        <f>MIN(1,MAX(0,(nr_MEndP1-$G1677+0.5)/$C$1642))-MIN(1,MAX(0,(nr_MStartP1-1-$G1677+0.5)/$C$1642))</f>
        <v/>
      </c>
      <c r="S1677" s="208">
        <f>IF($L$1642,$N1677*IF($O$1642=1,$O1677/$F$1642,1),"")</f>
        <v/>
      </c>
      <c r="T1677" s="208">
        <f>IF(NOT($L$1642),"",IF($G1677&lt;nr_MStartP,$S1677,$T1665*(1+IF($G1677&lt;nr_MStartP1,$M$1642,$N$1642))))</f>
        <v/>
      </c>
      <c r="U1677" s="208">
        <f>IF($L$1642,$T1677,$N1677)</f>
        <v/>
      </c>
    </row>
    <row r="1678">
      <c r="A1678" s="145" t="n">
        <v>34</v>
      </c>
      <c r="B1678" s="204">
        <f>EDATE($B1677,1)</f>
        <v/>
      </c>
      <c r="C1678" s="205">
        <f>EOMONTH($B1678,0)</f>
        <v/>
      </c>
      <c r="D1678" s="201">
        <f>$C1678-$B1678+1</f>
        <v/>
      </c>
      <c r="E1678" s="201">
        <f>MONTH($B1678)</f>
        <v/>
      </c>
      <c r="F1678" s="235">
        <f>($B1678+$C1678+1)/2</f>
        <v/>
      </c>
      <c r="G1678" s="201">
        <f>YEAR($B1678)*12+MONTH($B1678)-1</f>
        <v/>
      </c>
      <c r="H1678" s="207">
        <f>IF(OR(nr_SeasonOn="OFF",$D$1642=0,$E$1642=0),1,12*INDEX(se_block,$D$1642,$E1678)/$E$1642)</f>
        <v/>
      </c>
      <c r="I1678" s="208">
        <f>EXP(SUMPRODUCT((rl_eff&lt;$B1678)*(rl_key=$A$1642)*rl_ln1p))</f>
        <v/>
      </c>
      <c r="J1678" s="208">
        <f>EXP(SUMPRODUCT((rl_eff&lt;=$C1678)*(rl_key=$A$1642)*rl_ln1p))</f>
        <v/>
      </c>
      <c r="K1678" s="201">
        <f>COUNTIFS(rl_key,$A$1642,rl_eff,"&gt;="&amp;$B1678,rl_eff,"&lt;="&amp;$C1678)</f>
        <v/>
      </c>
      <c r="L1678" s="201">
        <f>SUMIFS(rl_daysafter,rl_key,$A$1642,rl_effmonth,$B1678,rl_first,1)</f>
        <v/>
      </c>
      <c r="M1678" s="209">
        <f>IF($K1678=0,0,MIN(1,$L1678/$D1678))</f>
        <v/>
      </c>
      <c r="N1678" s="208">
        <f>IF($K1678=0,$J1678,(1-$M1678)*$I1678+$M1678*$J1678)</f>
        <v/>
      </c>
      <c r="O1678" s="209">
        <f>IF($F1678&lt;$B$1643,$E$1643+$I$1643*($F1678-$A$1643),IF($F1678&lt;$C$1643,$F$1643+$J$1643*($F1678-$B$1643),$G$1643+$K$1643*($F1678-$C$1643)))</f>
        <v/>
      </c>
      <c r="P1678" s="208">
        <f>MIN(1,MAX(0,(nr_MEndPm1-$G1678+0.5)/$C$1642))-MIN(1,MAX(0,(nr_MStartPm1-1-$G1678+0.5)/$C$1642))</f>
        <v/>
      </c>
      <c r="Q1678" s="208">
        <f>MIN(1,MAX(0,(nr_MEndP-$G1678+0.5)/$C$1642))-MIN(1,MAX(0,(nr_MStartP-1-$G1678+0.5)/$C$1642))</f>
        <v/>
      </c>
      <c r="R1678" s="208">
        <f>MIN(1,MAX(0,(nr_MEndP1-$G1678+0.5)/$C$1642))-MIN(1,MAX(0,(nr_MStartP1-1-$G1678+0.5)/$C$1642))</f>
        <v/>
      </c>
      <c r="S1678" s="208">
        <f>IF($L$1642,$N1678*IF($O$1642=1,$O1678/$F$1642,1),"")</f>
        <v/>
      </c>
      <c r="T1678" s="208">
        <f>IF(NOT($L$1642),"",IF($G1678&lt;nr_MStartP,$S1678,$T1666*(1+IF($G1678&lt;nr_MStartP1,$M$1642,$N$1642))))</f>
        <v/>
      </c>
      <c r="U1678" s="208">
        <f>IF($L$1642,$T1678,$N1678)</f>
        <v/>
      </c>
    </row>
    <row r="1679">
      <c r="A1679" s="145" t="n">
        <v>35</v>
      </c>
      <c r="B1679" s="204">
        <f>EDATE($B1678,1)</f>
        <v/>
      </c>
      <c r="C1679" s="205">
        <f>EOMONTH($B1679,0)</f>
        <v/>
      </c>
      <c r="D1679" s="201">
        <f>$C1679-$B1679+1</f>
        <v/>
      </c>
      <c r="E1679" s="201">
        <f>MONTH($B1679)</f>
        <v/>
      </c>
      <c r="F1679" s="235">
        <f>($B1679+$C1679+1)/2</f>
        <v/>
      </c>
      <c r="G1679" s="201">
        <f>YEAR($B1679)*12+MONTH($B1679)-1</f>
        <v/>
      </c>
      <c r="H1679" s="207">
        <f>IF(OR(nr_SeasonOn="OFF",$D$1642=0,$E$1642=0),1,12*INDEX(se_block,$D$1642,$E1679)/$E$1642)</f>
        <v/>
      </c>
      <c r="I1679" s="208">
        <f>EXP(SUMPRODUCT((rl_eff&lt;$B1679)*(rl_key=$A$1642)*rl_ln1p))</f>
        <v/>
      </c>
      <c r="J1679" s="208">
        <f>EXP(SUMPRODUCT((rl_eff&lt;=$C1679)*(rl_key=$A$1642)*rl_ln1p))</f>
        <v/>
      </c>
      <c r="K1679" s="201">
        <f>COUNTIFS(rl_key,$A$1642,rl_eff,"&gt;="&amp;$B1679,rl_eff,"&lt;="&amp;$C1679)</f>
        <v/>
      </c>
      <c r="L1679" s="201">
        <f>SUMIFS(rl_daysafter,rl_key,$A$1642,rl_effmonth,$B1679,rl_first,1)</f>
        <v/>
      </c>
      <c r="M1679" s="209">
        <f>IF($K1679=0,0,MIN(1,$L1679/$D1679))</f>
        <v/>
      </c>
      <c r="N1679" s="208">
        <f>IF($K1679=0,$J1679,(1-$M1679)*$I1679+$M1679*$J1679)</f>
        <v/>
      </c>
      <c r="O1679" s="209">
        <f>IF($F1679&lt;$B$1643,$E$1643+$I$1643*($F1679-$A$1643),IF($F1679&lt;$C$1643,$F$1643+$J$1643*($F1679-$B$1643),$G$1643+$K$1643*($F1679-$C$1643)))</f>
        <v/>
      </c>
      <c r="P1679" s="208">
        <f>MIN(1,MAX(0,(nr_MEndPm1-$G1679+0.5)/$C$1642))-MIN(1,MAX(0,(nr_MStartPm1-1-$G1679+0.5)/$C$1642))</f>
        <v/>
      </c>
      <c r="Q1679" s="208">
        <f>MIN(1,MAX(0,(nr_MEndP-$G1679+0.5)/$C$1642))-MIN(1,MAX(0,(nr_MStartP-1-$G1679+0.5)/$C$1642))</f>
        <v/>
      </c>
      <c r="R1679" s="208">
        <f>MIN(1,MAX(0,(nr_MEndP1-$G1679+0.5)/$C$1642))-MIN(1,MAX(0,(nr_MStartP1-1-$G1679+0.5)/$C$1642))</f>
        <v/>
      </c>
      <c r="S1679" s="208">
        <f>IF($L$1642,$N1679*IF($O$1642=1,$O1679/$F$1642,1),"")</f>
        <v/>
      </c>
      <c r="T1679" s="208">
        <f>IF(NOT($L$1642),"",IF($G1679&lt;nr_MStartP,$S1679,$T1667*(1+IF($G1679&lt;nr_MStartP1,$M$1642,$N$1642))))</f>
        <v/>
      </c>
      <c r="U1679" s="208">
        <f>IF($L$1642,$T1679,$N1679)</f>
        <v/>
      </c>
    </row>
    <row r="1680">
      <c r="A1680" s="145" t="n">
        <v>36</v>
      </c>
      <c r="B1680" s="204">
        <f>EDATE($B1679,1)</f>
        <v/>
      </c>
      <c r="C1680" s="205">
        <f>EOMONTH($B1680,0)</f>
        <v/>
      </c>
      <c r="D1680" s="201">
        <f>$C1680-$B1680+1</f>
        <v/>
      </c>
      <c r="E1680" s="201">
        <f>MONTH($B1680)</f>
        <v/>
      </c>
      <c r="F1680" s="235">
        <f>($B1680+$C1680+1)/2</f>
        <v/>
      </c>
      <c r="G1680" s="201">
        <f>YEAR($B1680)*12+MONTH($B1680)-1</f>
        <v/>
      </c>
      <c r="H1680" s="207">
        <f>IF(OR(nr_SeasonOn="OFF",$D$1642=0,$E$1642=0),1,12*INDEX(se_block,$D$1642,$E1680)/$E$1642)</f>
        <v/>
      </c>
      <c r="I1680" s="208">
        <f>EXP(SUMPRODUCT((rl_eff&lt;$B1680)*(rl_key=$A$1642)*rl_ln1p))</f>
        <v/>
      </c>
      <c r="J1680" s="208">
        <f>EXP(SUMPRODUCT((rl_eff&lt;=$C1680)*(rl_key=$A$1642)*rl_ln1p))</f>
        <v/>
      </c>
      <c r="K1680" s="201">
        <f>COUNTIFS(rl_key,$A$1642,rl_eff,"&gt;="&amp;$B1680,rl_eff,"&lt;="&amp;$C1680)</f>
        <v/>
      </c>
      <c r="L1680" s="201">
        <f>SUMIFS(rl_daysafter,rl_key,$A$1642,rl_effmonth,$B1680,rl_first,1)</f>
        <v/>
      </c>
      <c r="M1680" s="209">
        <f>IF($K1680=0,0,MIN(1,$L1680/$D1680))</f>
        <v/>
      </c>
      <c r="N1680" s="208">
        <f>IF($K1680=0,$J1680,(1-$M1680)*$I1680+$M1680*$J1680)</f>
        <v/>
      </c>
      <c r="O1680" s="209">
        <f>IF($F1680&lt;$B$1643,$E$1643+$I$1643*($F1680-$A$1643),IF($F1680&lt;$C$1643,$F$1643+$J$1643*($F1680-$B$1643),$G$1643+$K$1643*($F1680-$C$1643)))</f>
        <v/>
      </c>
      <c r="P1680" s="208">
        <f>MIN(1,MAX(0,(nr_MEndPm1-$G1680+0.5)/$C$1642))-MIN(1,MAX(0,(nr_MStartPm1-1-$G1680+0.5)/$C$1642))</f>
        <v/>
      </c>
      <c r="Q1680" s="208">
        <f>MIN(1,MAX(0,(nr_MEndP-$G1680+0.5)/$C$1642))-MIN(1,MAX(0,(nr_MStartP-1-$G1680+0.5)/$C$1642))</f>
        <v/>
      </c>
      <c r="R1680" s="208">
        <f>MIN(1,MAX(0,(nr_MEndP1-$G1680+0.5)/$C$1642))-MIN(1,MAX(0,(nr_MStartP1-1-$G1680+0.5)/$C$1642))</f>
        <v/>
      </c>
      <c r="S1680" s="208">
        <f>IF($L$1642,$N1680*IF($O$1642=1,$O1680/$F$1642,1),"")</f>
        <v/>
      </c>
      <c r="T1680" s="208">
        <f>IF(NOT($L$1642),"",IF($G1680&lt;nr_MStartP,$S1680,$T1668*(1+IF($G1680&lt;nr_MStartP1,$M$1642,$N$1642))))</f>
        <v/>
      </c>
      <c r="U1680" s="208">
        <f>IF($L$1642,$T1680,$N1680)</f>
        <v/>
      </c>
    </row>
    <row r="1681">
      <c r="A1681" s="145" t="n">
        <v>37</v>
      </c>
      <c r="B1681" s="204">
        <f>EDATE($B1680,1)</f>
        <v/>
      </c>
      <c r="C1681" s="205">
        <f>EOMONTH($B1681,0)</f>
        <v/>
      </c>
      <c r="D1681" s="201">
        <f>$C1681-$B1681+1</f>
        <v/>
      </c>
      <c r="E1681" s="201">
        <f>MONTH($B1681)</f>
        <v/>
      </c>
      <c r="F1681" s="235">
        <f>($B1681+$C1681+1)/2</f>
        <v/>
      </c>
      <c r="G1681" s="201">
        <f>YEAR($B1681)*12+MONTH($B1681)-1</f>
        <v/>
      </c>
      <c r="H1681" s="207">
        <f>IF(OR(nr_SeasonOn="OFF",$D$1642=0,$E$1642=0),1,12*INDEX(se_block,$D$1642,$E1681)/$E$1642)</f>
        <v/>
      </c>
      <c r="I1681" s="208">
        <f>EXP(SUMPRODUCT((rl_eff&lt;$B1681)*(rl_key=$A$1642)*rl_ln1p))</f>
        <v/>
      </c>
      <c r="J1681" s="208">
        <f>EXP(SUMPRODUCT((rl_eff&lt;=$C1681)*(rl_key=$A$1642)*rl_ln1p))</f>
        <v/>
      </c>
      <c r="K1681" s="201">
        <f>COUNTIFS(rl_key,$A$1642,rl_eff,"&gt;="&amp;$B1681,rl_eff,"&lt;="&amp;$C1681)</f>
        <v/>
      </c>
      <c r="L1681" s="201">
        <f>SUMIFS(rl_daysafter,rl_key,$A$1642,rl_effmonth,$B1681,rl_first,1)</f>
        <v/>
      </c>
      <c r="M1681" s="209">
        <f>IF($K1681=0,0,MIN(1,$L1681/$D1681))</f>
        <v/>
      </c>
      <c r="N1681" s="208">
        <f>IF($K1681=0,$J1681,(1-$M1681)*$I1681+$M1681*$J1681)</f>
        <v/>
      </c>
      <c r="O1681" s="209">
        <f>IF($F1681&lt;$B$1643,$E$1643+$I$1643*($F1681-$A$1643),IF($F1681&lt;$C$1643,$F$1643+$J$1643*($F1681-$B$1643),$G$1643+$K$1643*($F1681-$C$1643)))</f>
        <v/>
      </c>
      <c r="P1681" s="208">
        <f>MIN(1,MAX(0,(nr_MEndPm1-$G1681+0.5)/$C$1642))-MIN(1,MAX(0,(nr_MStartPm1-1-$G1681+0.5)/$C$1642))</f>
        <v/>
      </c>
      <c r="Q1681" s="208">
        <f>MIN(1,MAX(0,(nr_MEndP-$G1681+0.5)/$C$1642))-MIN(1,MAX(0,(nr_MStartP-1-$G1681+0.5)/$C$1642))</f>
        <v/>
      </c>
      <c r="R1681" s="208">
        <f>MIN(1,MAX(0,(nr_MEndP1-$G1681+0.5)/$C$1642))-MIN(1,MAX(0,(nr_MStartP1-1-$G1681+0.5)/$C$1642))</f>
        <v/>
      </c>
      <c r="S1681" s="208">
        <f>IF($L$1642,$N1681*IF($O$1642=1,$O1681/$F$1642,1),"")</f>
        <v/>
      </c>
      <c r="T1681" s="208">
        <f>IF(NOT($L$1642),"",IF($G1681&lt;nr_MStartP,$S1681,$T1669*(1+IF($G1681&lt;nr_MStartP1,$M$1642,$N$1642))))</f>
        <v/>
      </c>
      <c r="U1681" s="208">
        <f>IF($L$1642,$T1681,$N1681)</f>
        <v/>
      </c>
    </row>
    <row r="1682">
      <c r="A1682" s="145" t="n">
        <v>38</v>
      </c>
      <c r="B1682" s="204">
        <f>EDATE($B1681,1)</f>
        <v/>
      </c>
      <c r="C1682" s="205">
        <f>EOMONTH($B1682,0)</f>
        <v/>
      </c>
      <c r="D1682" s="201">
        <f>$C1682-$B1682+1</f>
        <v/>
      </c>
      <c r="E1682" s="201">
        <f>MONTH($B1682)</f>
        <v/>
      </c>
      <c r="F1682" s="235">
        <f>($B1682+$C1682+1)/2</f>
        <v/>
      </c>
      <c r="G1682" s="201">
        <f>YEAR($B1682)*12+MONTH($B1682)-1</f>
        <v/>
      </c>
      <c r="H1682" s="207">
        <f>IF(OR(nr_SeasonOn="OFF",$D$1642=0,$E$1642=0),1,12*INDEX(se_block,$D$1642,$E1682)/$E$1642)</f>
        <v/>
      </c>
      <c r="I1682" s="208">
        <f>EXP(SUMPRODUCT((rl_eff&lt;$B1682)*(rl_key=$A$1642)*rl_ln1p))</f>
        <v/>
      </c>
      <c r="J1682" s="208">
        <f>EXP(SUMPRODUCT((rl_eff&lt;=$C1682)*(rl_key=$A$1642)*rl_ln1p))</f>
        <v/>
      </c>
      <c r="K1682" s="201">
        <f>COUNTIFS(rl_key,$A$1642,rl_eff,"&gt;="&amp;$B1682,rl_eff,"&lt;="&amp;$C1682)</f>
        <v/>
      </c>
      <c r="L1682" s="201">
        <f>SUMIFS(rl_daysafter,rl_key,$A$1642,rl_effmonth,$B1682,rl_first,1)</f>
        <v/>
      </c>
      <c r="M1682" s="209">
        <f>IF($K1682=0,0,MIN(1,$L1682/$D1682))</f>
        <v/>
      </c>
      <c r="N1682" s="208">
        <f>IF($K1682=0,$J1682,(1-$M1682)*$I1682+$M1682*$J1682)</f>
        <v/>
      </c>
      <c r="O1682" s="209">
        <f>IF($F1682&lt;$B$1643,$E$1643+$I$1643*($F1682-$A$1643),IF($F1682&lt;$C$1643,$F$1643+$J$1643*($F1682-$B$1643),$G$1643+$K$1643*($F1682-$C$1643)))</f>
        <v/>
      </c>
      <c r="P1682" s="208">
        <f>MIN(1,MAX(0,(nr_MEndPm1-$G1682+0.5)/$C$1642))-MIN(1,MAX(0,(nr_MStartPm1-1-$G1682+0.5)/$C$1642))</f>
        <v/>
      </c>
      <c r="Q1682" s="208">
        <f>MIN(1,MAX(0,(nr_MEndP-$G1682+0.5)/$C$1642))-MIN(1,MAX(0,(nr_MStartP-1-$G1682+0.5)/$C$1642))</f>
        <v/>
      </c>
      <c r="R1682" s="208">
        <f>MIN(1,MAX(0,(nr_MEndP1-$G1682+0.5)/$C$1642))-MIN(1,MAX(0,(nr_MStartP1-1-$G1682+0.5)/$C$1642))</f>
        <v/>
      </c>
      <c r="S1682" s="208">
        <f>IF($L$1642,$N1682*IF($O$1642=1,$O1682/$F$1642,1),"")</f>
        <v/>
      </c>
      <c r="T1682" s="208">
        <f>IF(NOT($L$1642),"",IF($G1682&lt;nr_MStartP,$S1682,$T1670*(1+IF($G1682&lt;nr_MStartP1,$M$1642,$N$1642))))</f>
        <v/>
      </c>
      <c r="U1682" s="208">
        <f>IF($L$1642,$T1682,$N1682)</f>
        <v/>
      </c>
    </row>
    <row r="1683">
      <c r="A1683" s="145" t="n">
        <v>39</v>
      </c>
      <c r="B1683" s="204">
        <f>EDATE($B1682,1)</f>
        <v/>
      </c>
      <c r="C1683" s="205">
        <f>EOMONTH($B1683,0)</f>
        <v/>
      </c>
      <c r="D1683" s="201">
        <f>$C1683-$B1683+1</f>
        <v/>
      </c>
      <c r="E1683" s="201">
        <f>MONTH($B1683)</f>
        <v/>
      </c>
      <c r="F1683" s="235">
        <f>($B1683+$C1683+1)/2</f>
        <v/>
      </c>
      <c r="G1683" s="201">
        <f>YEAR($B1683)*12+MONTH($B1683)-1</f>
        <v/>
      </c>
      <c r="H1683" s="207">
        <f>IF(OR(nr_SeasonOn="OFF",$D$1642=0,$E$1642=0),1,12*INDEX(se_block,$D$1642,$E1683)/$E$1642)</f>
        <v/>
      </c>
      <c r="I1683" s="208">
        <f>EXP(SUMPRODUCT((rl_eff&lt;$B1683)*(rl_key=$A$1642)*rl_ln1p))</f>
        <v/>
      </c>
      <c r="J1683" s="208">
        <f>EXP(SUMPRODUCT((rl_eff&lt;=$C1683)*(rl_key=$A$1642)*rl_ln1p))</f>
        <v/>
      </c>
      <c r="K1683" s="201">
        <f>COUNTIFS(rl_key,$A$1642,rl_eff,"&gt;="&amp;$B1683,rl_eff,"&lt;="&amp;$C1683)</f>
        <v/>
      </c>
      <c r="L1683" s="201">
        <f>SUMIFS(rl_daysafter,rl_key,$A$1642,rl_effmonth,$B1683,rl_first,1)</f>
        <v/>
      </c>
      <c r="M1683" s="209">
        <f>IF($K1683=0,0,MIN(1,$L1683/$D1683))</f>
        <v/>
      </c>
      <c r="N1683" s="208">
        <f>IF($K1683=0,$J1683,(1-$M1683)*$I1683+$M1683*$J1683)</f>
        <v/>
      </c>
      <c r="O1683" s="209">
        <f>IF($F1683&lt;$B$1643,$E$1643+$I$1643*($F1683-$A$1643),IF($F1683&lt;$C$1643,$F$1643+$J$1643*($F1683-$B$1643),$G$1643+$K$1643*($F1683-$C$1643)))</f>
        <v/>
      </c>
      <c r="P1683" s="208">
        <f>MIN(1,MAX(0,(nr_MEndPm1-$G1683+0.5)/$C$1642))-MIN(1,MAX(0,(nr_MStartPm1-1-$G1683+0.5)/$C$1642))</f>
        <v/>
      </c>
      <c r="Q1683" s="208">
        <f>MIN(1,MAX(0,(nr_MEndP-$G1683+0.5)/$C$1642))-MIN(1,MAX(0,(nr_MStartP-1-$G1683+0.5)/$C$1642))</f>
        <v/>
      </c>
      <c r="R1683" s="208">
        <f>MIN(1,MAX(0,(nr_MEndP1-$G1683+0.5)/$C$1642))-MIN(1,MAX(0,(nr_MStartP1-1-$G1683+0.5)/$C$1642))</f>
        <v/>
      </c>
      <c r="S1683" s="208">
        <f>IF($L$1642,$N1683*IF($O$1642=1,$O1683/$F$1642,1),"")</f>
        <v/>
      </c>
      <c r="T1683" s="208">
        <f>IF(NOT($L$1642),"",IF($G1683&lt;nr_MStartP,$S1683,$T1671*(1+IF($G1683&lt;nr_MStartP1,$M$1642,$N$1642))))</f>
        <v/>
      </c>
      <c r="U1683" s="208">
        <f>IF($L$1642,$T1683,$N1683)</f>
        <v/>
      </c>
    </row>
    <row r="1684">
      <c r="A1684" s="145" t="n">
        <v>40</v>
      </c>
      <c r="B1684" s="204">
        <f>EDATE($B1683,1)</f>
        <v/>
      </c>
      <c r="C1684" s="205">
        <f>EOMONTH($B1684,0)</f>
        <v/>
      </c>
      <c r="D1684" s="201">
        <f>$C1684-$B1684+1</f>
        <v/>
      </c>
      <c r="E1684" s="201">
        <f>MONTH($B1684)</f>
        <v/>
      </c>
      <c r="F1684" s="235">
        <f>($B1684+$C1684+1)/2</f>
        <v/>
      </c>
      <c r="G1684" s="201">
        <f>YEAR($B1684)*12+MONTH($B1684)-1</f>
        <v/>
      </c>
      <c r="H1684" s="207">
        <f>IF(OR(nr_SeasonOn="OFF",$D$1642=0,$E$1642=0),1,12*INDEX(se_block,$D$1642,$E1684)/$E$1642)</f>
        <v/>
      </c>
      <c r="I1684" s="208">
        <f>EXP(SUMPRODUCT((rl_eff&lt;$B1684)*(rl_key=$A$1642)*rl_ln1p))</f>
        <v/>
      </c>
      <c r="J1684" s="208">
        <f>EXP(SUMPRODUCT((rl_eff&lt;=$C1684)*(rl_key=$A$1642)*rl_ln1p))</f>
        <v/>
      </c>
      <c r="K1684" s="201">
        <f>COUNTIFS(rl_key,$A$1642,rl_eff,"&gt;="&amp;$B1684,rl_eff,"&lt;="&amp;$C1684)</f>
        <v/>
      </c>
      <c r="L1684" s="201">
        <f>SUMIFS(rl_daysafter,rl_key,$A$1642,rl_effmonth,$B1684,rl_first,1)</f>
        <v/>
      </c>
      <c r="M1684" s="209">
        <f>IF($K1684=0,0,MIN(1,$L1684/$D1684))</f>
        <v/>
      </c>
      <c r="N1684" s="208">
        <f>IF($K1684=0,$J1684,(1-$M1684)*$I1684+$M1684*$J1684)</f>
        <v/>
      </c>
      <c r="O1684" s="209">
        <f>IF($F1684&lt;$B$1643,$E$1643+$I$1643*($F1684-$A$1643),IF($F1684&lt;$C$1643,$F$1643+$J$1643*($F1684-$B$1643),$G$1643+$K$1643*($F1684-$C$1643)))</f>
        <v/>
      </c>
      <c r="P1684" s="208">
        <f>MIN(1,MAX(0,(nr_MEndPm1-$G1684+0.5)/$C$1642))-MIN(1,MAX(0,(nr_MStartPm1-1-$G1684+0.5)/$C$1642))</f>
        <v/>
      </c>
      <c r="Q1684" s="208">
        <f>MIN(1,MAX(0,(nr_MEndP-$G1684+0.5)/$C$1642))-MIN(1,MAX(0,(nr_MStartP-1-$G1684+0.5)/$C$1642))</f>
        <v/>
      </c>
      <c r="R1684" s="208">
        <f>MIN(1,MAX(0,(nr_MEndP1-$G1684+0.5)/$C$1642))-MIN(1,MAX(0,(nr_MStartP1-1-$G1684+0.5)/$C$1642))</f>
        <v/>
      </c>
      <c r="S1684" s="208">
        <f>IF($L$1642,$N1684*IF($O$1642=1,$O1684/$F$1642,1),"")</f>
        <v/>
      </c>
      <c r="T1684" s="208">
        <f>IF(NOT($L$1642),"",IF($G1684&lt;nr_MStartP,$S1684,$T1672*(1+IF($G1684&lt;nr_MStartP1,$M$1642,$N$1642))))</f>
        <v/>
      </c>
      <c r="U1684" s="208">
        <f>IF($L$1642,$T1684,$N1684)</f>
        <v/>
      </c>
    </row>
    <row r="1685">
      <c r="A1685" s="145" t="n">
        <v>41</v>
      </c>
      <c r="B1685" s="204">
        <f>EDATE($B1684,1)</f>
        <v/>
      </c>
      <c r="C1685" s="205">
        <f>EOMONTH($B1685,0)</f>
        <v/>
      </c>
      <c r="D1685" s="201">
        <f>$C1685-$B1685+1</f>
        <v/>
      </c>
      <c r="E1685" s="201">
        <f>MONTH($B1685)</f>
        <v/>
      </c>
      <c r="F1685" s="235">
        <f>($B1685+$C1685+1)/2</f>
        <v/>
      </c>
      <c r="G1685" s="201">
        <f>YEAR($B1685)*12+MONTH($B1685)-1</f>
        <v/>
      </c>
      <c r="H1685" s="207">
        <f>IF(OR(nr_SeasonOn="OFF",$D$1642=0,$E$1642=0),1,12*INDEX(se_block,$D$1642,$E1685)/$E$1642)</f>
        <v/>
      </c>
      <c r="I1685" s="208">
        <f>EXP(SUMPRODUCT((rl_eff&lt;$B1685)*(rl_key=$A$1642)*rl_ln1p))</f>
        <v/>
      </c>
      <c r="J1685" s="208">
        <f>EXP(SUMPRODUCT((rl_eff&lt;=$C1685)*(rl_key=$A$1642)*rl_ln1p))</f>
        <v/>
      </c>
      <c r="K1685" s="201">
        <f>COUNTIFS(rl_key,$A$1642,rl_eff,"&gt;="&amp;$B1685,rl_eff,"&lt;="&amp;$C1685)</f>
        <v/>
      </c>
      <c r="L1685" s="201">
        <f>SUMIFS(rl_daysafter,rl_key,$A$1642,rl_effmonth,$B1685,rl_first,1)</f>
        <v/>
      </c>
      <c r="M1685" s="209">
        <f>IF($K1685=0,0,MIN(1,$L1685/$D1685))</f>
        <v/>
      </c>
      <c r="N1685" s="208">
        <f>IF($K1685=0,$J1685,(1-$M1685)*$I1685+$M1685*$J1685)</f>
        <v/>
      </c>
      <c r="O1685" s="209">
        <f>IF($F1685&lt;$B$1643,$E$1643+$I$1643*($F1685-$A$1643),IF($F1685&lt;$C$1643,$F$1643+$J$1643*($F1685-$B$1643),$G$1643+$K$1643*($F1685-$C$1643)))</f>
        <v/>
      </c>
      <c r="P1685" s="208">
        <f>MIN(1,MAX(0,(nr_MEndPm1-$G1685+0.5)/$C$1642))-MIN(1,MAX(0,(nr_MStartPm1-1-$G1685+0.5)/$C$1642))</f>
        <v/>
      </c>
      <c r="Q1685" s="208">
        <f>MIN(1,MAX(0,(nr_MEndP-$G1685+0.5)/$C$1642))-MIN(1,MAX(0,(nr_MStartP-1-$G1685+0.5)/$C$1642))</f>
        <v/>
      </c>
      <c r="R1685" s="208">
        <f>MIN(1,MAX(0,(nr_MEndP1-$G1685+0.5)/$C$1642))-MIN(1,MAX(0,(nr_MStartP1-1-$G1685+0.5)/$C$1642))</f>
        <v/>
      </c>
      <c r="S1685" s="208">
        <f>IF($L$1642,$N1685*IF($O$1642=1,$O1685/$F$1642,1),"")</f>
        <v/>
      </c>
      <c r="T1685" s="208">
        <f>IF(NOT($L$1642),"",IF($G1685&lt;nr_MStartP,$S1685,$T1673*(1+IF($G1685&lt;nr_MStartP1,$M$1642,$N$1642))))</f>
        <v/>
      </c>
      <c r="U1685" s="208">
        <f>IF($L$1642,$T1685,$N1685)</f>
        <v/>
      </c>
    </row>
    <row r="1686">
      <c r="A1686" s="145" t="n">
        <v>42</v>
      </c>
      <c r="B1686" s="204">
        <f>EDATE($B1685,1)</f>
        <v/>
      </c>
      <c r="C1686" s="205">
        <f>EOMONTH($B1686,0)</f>
        <v/>
      </c>
      <c r="D1686" s="201">
        <f>$C1686-$B1686+1</f>
        <v/>
      </c>
      <c r="E1686" s="201">
        <f>MONTH($B1686)</f>
        <v/>
      </c>
      <c r="F1686" s="235">
        <f>($B1686+$C1686+1)/2</f>
        <v/>
      </c>
      <c r="G1686" s="201">
        <f>YEAR($B1686)*12+MONTH($B1686)-1</f>
        <v/>
      </c>
      <c r="H1686" s="207">
        <f>IF(OR(nr_SeasonOn="OFF",$D$1642=0,$E$1642=0),1,12*INDEX(se_block,$D$1642,$E1686)/$E$1642)</f>
        <v/>
      </c>
      <c r="I1686" s="208">
        <f>EXP(SUMPRODUCT((rl_eff&lt;$B1686)*(rl_key=$A$1642)*rl_ln1p))</f>
        <v/>
      </c>
      <c r="J1686" s="208">
        <f>EXP(SUMPRODUCT((rl_eff&lt;=$C1686)*(rl_key=$A$1642)*rl_ln1p))</f>
        <v/>
      </c>
      <c r="K1686" s="201">
        <f>COUNTIFS(rl_key,$A$1642,rl_eff,"&gt;="&amp;$B1686,rl_eff,"&lt;="&amp;$C1686)</f>
        <v/>
      </c>
      <c r="L1686" s="201">
        <f>SUMIFS(rl_daysafter,rl_key,$A$1642,rl_effmonth,$B1686,rl_first,1)</f>
        <v/>
      </c>
      <c r="M1686" s="209">
        <f>IF($K1686=0,0,MIN(1,$L1686/$D1686))</f>
        <v/>
      </c>
      <c r="N1686" s="208">
        <f>IF($K1686=0,$J1686,(1-$M1686)*$I1686+$M1686*$J1686)</f>
        <v/>
      </c>
      <c r="O1686" s="209">
        <f>IF($F1686&lt;$B$1643,$E$1643+$I$1643*($F1686-$A$1643),IF($F1686&lt;$C$1643,$F$1643+$J$1643*($F1686-$B$1643),$G$1643+$K$1643*($F1686-$C$1643)))</f>
        <v/>
      </c>
      <c r="P1686" s="208">
        <f>MIN(1,MAX(0,(nr_MEndPm1-$G1686+0.5)/$C$1642))-MIN(1,MAX(0,(nr_MStartPm1-1-$G1686+0.5)/$C$1642))</f>
        <v/>
      </c>
      <c r="Q1686" s="208">
        <f>MIN(1,MAX(0,(nr_MEndP-$G1686+0.5)/$C$1642))-MIN(1,MAX(0,(nr_MStartP-1-$G1686+0.5)/$C$1642))</f>
        <v/>
      </c>
      <c r="R1686" s="208">
        <f>MIN(1,MAX(0,(nr_MEndP1-$G1686+0.5)/$C$1642))-MIN(1,MAX(0,(nr_MStartP1-1-$G1686+0.5)/$C$1642))</f>
        <v/>
      </c>
      <c r="S1686" s="208">
        <f>IF($L$1642,$N1686*IF($O$1642=1,$O1686/$F$1642,1),"")</f>
        <v/>
      </c>
      <c r="T1686" s="208">
        <f>IF(NOT($L$1642),"",IF($G1686&lt;nr_MStartP,$S1686,$T1674*(1+IF($G1686&lt;nr_MStartP1,$M$1642,$N$1642))))</f>
        <v/>
      </c>
      <c r="U1686" s="208">
        <f>IF($L$1642,$T1686,$N1686)</f>
        <v/>
      </c>
    </row>
    <row r="1687">
      <c r="A1687" s="145" t="n">
        <v>43</v>
      </c>
      <c r="B1687" s="204">
        <f>EDATE($B1686,1)</f>
        <v/>
      </c>
      <c r="C1687" s="205">
        <f>EOMONTH($B1687,0)</f>
        <v/>
      </c>
      <c r="D1687" s="201">
        <f>$C1687-$B1687+1</f>
        <v/>
      </c>
      <c r="E1687" s="201">
        <f>MONTH($B1687)</f>
        <v/>
      </c>
      <c r="F1687" s="235">
        <f>($B1687+$C1687+1)/2</f>
        <v/>
      </c>
      <c r="G1687" s="201">
        <f>YEAR($B1687)*12+MONTH($B1687)-1</f>
        <v/>
      </c>
      <c r="H1687" s="207">
        <f>IF(OR(nr_SeasonOn="OFF",$D$1642=0,$E$1642=0),1,12*INDEX(se_block,$D$1642,$E1687)/$E$1642)</f>
        <v/>
      </c>
      <c r="I1687" s="208">
        <f>EXP(SUMPRODUCT((rl_eff&lt;$B1687)*(rl_key=$A$1642)*rl_ln1p))</f>
        <v/>
      </c>
      <c r="J1687" s="208">
        <f>EXP(SUMPRODUCT((rl_eff&lt;=$C1687)*(rl_key=$A$1642)*rl_ln1p))</f>
        <v/>
      </c>
      <c r="K1687" s="201">
        <f>COUNTIFS(rl_key,$A$1642,rl_eff,"&gt;="&amp;$B1687,rl_eff,"&lt;="&amp;$C1687)</f>
        <v/>
      </c>
      <c r="L1687" s="201">
        <f>SUMIFS(rl_daysafter,rl_key,$A$1642,rl_effmonth,$B1687,rl_first,1)</f>
        <v/>
      </c>
      <c r="M1687" s="209">
        <f>IF($K1687=0,0,MIN(1,$L1687/$D1687))</f>
        <v/>
      </c>
      <c r="N1687" s="208">
        <f>IF($K1687=0,$J1687,(1-$M1687)*$I1687+$M1687*$J1687)</f>
        <v/>
      </c>
      <c r="O1687" s="209">
        <f>IF($F1687&lt;$B$1643,$E$1643+$I$1643*($F1687-$A$1643),IF($F1687&lt;$C$1643,$F$1643+$J$1643*($F1687-$B$1643),$G$1643+$K$1643*($F1687-$C$1643)))</f>
        <v/>
      </c>
      <c r="P1687" s="208">
        <f>MIN(1,MAX(0,(nr_MEndPm1-$G1687+0.5)/$C$1642))-MIN(1,MAX(0,(nr_MStartPm1-1-$G1687+0.5)/$C$1642))</f>
        <v/>
      </c>
      <c r="Q1687" s="208">
        <f>MIN(1,MAX(0,(nr_MEndP-$G1687+0.5)/$C$1642))-MIN(1,MAX(0,(nr_MStartP-1-$G1687+0.5)/$C$1642))</f>
        <v/>
      </c>
      <c r="R1687" s="208">
        <f>MIN(1,MAX(0,(nr_MEndP1-$G1687+0.5)/$C$1642))-MIN(1,MAX(0,(nr_MStartP1-1-$G1687+0.5)/$C$1642))</f>
        <v/>
      </c>
      <c r="S1687" s="208">
        <f>IF($L$1642,$N1687*IF($O$1642=1,$O1687/$F$1642,1),"")</f>
        <v/>
      </c>
      <c r="T1687" s="208">
        <f>IF(NOT($L$1642),"",IF($G1687&lt;nr_MStartP,$S1687,$T1675*(1+IF($G1687&lt;nr_MStartP1,$M$1642,$N$1642))))</f>
        <v/>
      </c>
      <c r="U1687" s="208">
        <f>IF($L$1642,$T1687,$N1687)</f>
        <v/>
      </c>
    </row>
    <row r="1688">
      <c r="A1688" s="145" t="n">
        <v>44</v>
      </c>
      <c r="B1688" s="204">
        <f>EDATE($B1687,1)</f>
        <v/>
      </c>
      <c r="C1688" s="205">
        <f>EOMONTH($B1688,0)</f>
        <v/>
      </c>
      <c r="D1688" s="201">
        <f>$C1688-$B1688+1</f>
        <v/>
      </c>
      <c r="E1688" s="201">
        <f>MONTH($B1688)</f>
        <v/>
      </c>
      <c r="F1688" s="235">
        <f>($B1688+$C1688+1)/2</f>
        <v/>
      </c>
      <c r="G1688" s="201">
        <f>YEAR($B1688)*12+MONTH($B1688)-1</f>
        <v/>
      </c>
      <c r="H1688" s="207">
        <f>IF(OR(nr_SeasonOn="OFF",$D$1642=0,$E$1642=0),1,12*INDEX(se_block,$D$1642,$E1688)/$E$1642)</f>
        <v/>
      </c>
      <c r="I1688" s="208">
        <f>EXP(SUMPRODUCT((rl_eff&lt;$B1688)*(rl_key=$A$1642)*rl_ln1p))</f>
        <v/>
      </c>
      <c r="J1688" s="208">
        <f>EXP(SUMPRODUCT((rl_eff&lt;=$C1688)*(rl_key=$A$1642)*rl_ln1p))</f>
        <v/>
      </c>
      <c r="K1688" s="201">
        <f>COUNTIFS(rl_key,$A$1642,rl_eff,"&gt;="&amp;$B1688,rl_eff,"&lt;="&amp;$C1688)</f>
        <v/>
      </c>
      <c r="L1688" s="201">
        <f>SUMIFS(rl_daysafter,rl_key,$A$1642,rl_effmonth,$B1688,rl_first,1)</f>
        <v/>
      </c>
      <c r="M1688" s="209">
        <f>IF($K1688=0,0,MIN(1,$L1688/$D1688))</f>
        <v/>
      </c>
      <c r="N1688" s="208">
        <f>IF($K1688=0,$J1688,(1-$M1688)*$I1688+$M1688*$J1688)</f>
        <v/>
      </c>
      <c r="O1688" s="209">
        <f>IF($F1688&lt;$B$1643,$E$1643+$I$1643*($F1688-$A$1643),IF($F1688&lt;$C$1643,$F$1643+$J$1643*($F1688-$B$1643),$G$1643+$K$1643*($F1688-$C$1643)))</f>
        <v/>
      </c>
      <c r="P1688" s="208">
        <f>MIN(1,MAX(0,(nr_MEndPm1-$G1688+0.5)/$C$1642))-MIN(1,MAX(0,(nr_MStartPm1-1-$G1688+0.5)/$C$1642))</f>
        <v/>
      </c>
      <c r="Q1688" s="208">
        <f>MIN(1,MAX(0,(nr_MEndP-$G1688+0.5)/$C$1642))-MIN(1,MAX(0,(nr_MStartP-1-$G1688+0.5)/$C$1642))</f>
        <v/>
      </c>
      <c r="R1688" s="208">
        <f>MIN(1,MAX(0,(nr_MEndP1-$G1688+0.5)/$C$1642))-MIN(1,MAX(0,(nr_MStartP1-1-$G1688+0.5)/$C$1642))</f>
        <v/>
      </c>
      <c r="S1688" s="208">
        <f>IF($L$1642,$N1688*IF($O$1642=1,$O1688/$F$1642,1),"")</f>
        <v/>
      </c>
      <c r="T1688" s="208">
        <f>IF(NOT($L$1642),"",IF($G1688&lt;nr_MStartP,$S1688,$T1676*(1+IF($G1688&lt;nr_MStartP1,$M$1642,$N$1642))))</f>
        <v/>
      </c>
      <c r="U1688" s="208">
        <f>IF($L$1642,$T1688,$N1688)</f>
        <v/>
      </c>
    </row>
    <row r="1689">
      <c r="A1689" s="145" t="n">
        <v>45</v>
      </c>
      <c r="B1689" s="204">
        <f>EDATE($B1688,1)</f>
        <v/>
      </c>
      <c r="C1689" s="205">
        <f>EOMONTH($B1689,0)</f>
        <v/>
      </c>
      <c r="D1689" s="201">
        <f>$C1689-$B1689+1</f>
        <v/>
      </c>
      <c r="E1689" s="201">
        <f>MONTH($B1689)</f>
        <v/>
      </c>
      <c r="F1689" s="235">
        <f>($B1689+$C1689+1)/2</f>
        <v/>
      </c>
      <c r="G1689" s="201">
        <f>YEAR($B1689)*12+MONTH($B1689)-1</f>
        <v/>
      </c>
      <c r="H1689" s="207">
        <f>IF(OR(nr_SeasonOn="OFF",$D$1642=0,$E$1642=0),1,12*INDEX(se_block,$D$1642,$E1689)/$E$1642)</f>
        <v/>
      </c>
      <c r="I1689" s="208">
        <f>EXP(SUMPRODUCT((rl_eff&lt;$B1689)*(rl_key=$A$1642)*rl_ln1p))</f>
        <v/>
      </c>
      <c r="J1689" s="208">
        <f>EXP(SUMPRODUCT((rl_eff&lt;=$C1689)*(rl_key=$A$1642)*rl_ln1p))</f>
        <v/>
      </c>
      <c r="K1689" s="201">
        <f>COUNTIFS(rl_key,$A$1642,rl_eff,"&gt;="&amp;$B1689,rl_eff,"&lt;="&amp;$C1689)</f>
        <v/>
      </c>
      <c r="L1689" s="201">
        <f>SUMIFS(rl_daysafter,rl_key,$A$1642,rl_effmonth,$B1689,rl_first,1)</f>
        <v/>
      </c>
      <c r="M1689" s="209">
        <f>IF($K1689=0,0,MIN(1,$L1689/$D1689))</f>
        <v/>
      </c>
      <c r="N1689" s="208">
        <f>IF($K1689=0,$J1689,(1-$M1689)*$I1689+$M1689*$J1689)</f>
        <v/>
      </c>
      <c r="O1689" s="209">
        <f>IF($F1689&lt;$B$1643,$E$1643+$I$1643*($F1689-$A$1643),IF($F1689&lt;$C$1643,$F$1643+$J$1643*($F1689-$B$1643),$G$1643+$K$1643*($F1689-$C$1643)))</f>
        <v/>
      </c>
      <c r="P1689" s="208">
        <f>MIN(1,MAX(0,(nr_MEndPm1-$G1689+0.5)/$C$1642))-MIN(1,MAX(0,(nr_MStartPm1-1-$G1689+0.5)/$C$1642))</f>
        <v/>
      </c>
      <c r="Q1689" s="208">
        <f>MIN(1,MAX(0,(nr_MEndP-$G1689+0.5)/$C$1642))-MIN(1,MAX(0,(nr_MStartP-1-$G1689+0.5)/$C$1642))</f>
        <v/>
      </c>
      <c r="R1689" s="208">
        <f>MIN(1,MAX(0,(nr_MEndP1-$G1689+0.5)/$C$1642))-MIN(1,MAX(0,(nr_MStartP1-1-$G1689+0.5)/$C$1642))</f>
        <v/>
      </c>
      <c r="S1689" s="208">
        <f>IF($L$1642,$N1689*IF($O$1642=1,$O1689/$F$1642,1),"")</f>
        <v/>
      </c>
      <c r="T1689" s="208">
        <f>IF(NOT($L$1642),"",IF($G1689&lt;nr_MStartP,$S1689,$T1677*(1+IF($G1689&lt;nr_MStartP1,$M$1642,$N$1642))))</f>
        <v/>
      </c>
      <c r="U1689" s="208">
        <f>IF($L$1642,$T1689,$N1689)</f>
        <v/>
      </c>
    </row>
    <row r="1690">
      <c r="A1690" s="145" t="n">
        <v>46</v>
      </c>
      <c r="B1690" s="204">
        <f>EDATE($B1689,1)</f>
        <v/>
      </c>
      <c r="C1690" s="205">
        <f>EOMONTH($B1690,0)</f>
        <v/>
      </c>
      <c r="D1690" s="201">
        <f>$C1690-$B1690+1</f>
        <v/>
      </c>
      <c r="E1690" s="201">
        <f>MONTH($B1690)</f>
        <v/>
      </c>
      <c r="F1690" s="235">
        <f>($B1690+$C1690+1)/2</f>
        <v/>
      </c>
      <c r="G1690" s="201">
        <f>YEAR($B1690)*12+MONTH($B1690)-1</f>
        <v/>
      </c>
      <c r="H1690" s="207">
        <f>IF(OR(nr_SeasonOn="OFF",$D$1642=0,$E$1642=0),1,12*INDEX(se_block,$D$1642,$E1690)/$E$1642)</f>
        <v/>
      </c>
      <c r="I1690" s="208">
        <f>EXP(SUMPRODUCT((rl_eff&lt;$B1690)*(rl_key=$A$1642)*rl_ln1p))</f>
        <v/>
      </c>
      <c r="J1690" s="208">
        <f>EXP(SUMPRODUCT((rl_eff&lt;=$C1690)*(rl_key=$A$1642)*rl_ln1p))</f>
        <v/>
      </c>
      <c r="K1690" s="201">
        <f>COUNTIFS(rl_key,$A$1642,rl_eff,"&gt;="&amp;$B1690,rl_eff,"&lt;="&amp;$C1690)</f>
        <v/>
      </c>
      <c r="L1690" s="201">
        <f>SUMIFS(rl_daysafter,rl_key,$A$1642,rl_effmonth,$B1690,rl_first,1)</f>
        <v/>
      </c>
      <c r="M1690" s="209">
        <f>IF($K1690=0,0,MIN(1,$L1690/$D1690))</f>
        <v/>
      </c>
      <c r="N1690" s="208">
        <f>IF($K1690=0,$J1690,(1-$M1690)*$I1690+$M1690*$J1690)</f>
        <v/>
      </c>
      <c r="O1690" s="209">
        <f>IF($F1690&lt;$B$1643,$E$1643+$I$1643*($F1690-$A$1643),IF($F1690&lt;$C$1643,$F$1643+$J$1643*($F1690-$B$1643),$G$1643+$K$1643*($F1690-$C$1643)))</f>
        <v/>
      </c>
      <c r="P1690" s="208">
        <f>MIN(1,MAX(0,(nr_MEndPm1-$G1690+0.5)/$C$1642))-MIN(1,MAX(0,(nr_MStartPm1-1-$G1690+0.5)/$C$1642))</f>
        <v/>
      </c>
      <c r="Q1690" s="208">
        <f>MIN(1,MAX(0,(nr_MEndP-$G1690+0.5)/$C$1642))-MIN(1,MAX(0,(nr_MStartP-1-$G1690+0.5)/$C$1642))</f>
        <v/>
      </c>
      <c r="R1690" s="208">
        <f>MIN(1,MAX(0,(nr_MEndP1-$G1690+0.5)/$C$1642))-MIN(1,MAX(0,(nr_MStartP1-1-$G1690+0.5)/$C$1642))</f>
        <v/>
      </c>
      <c r="S1690" s="208">
        <f>IF($L$1642,$N1690*IF($O$1642=1,$O1690/$F$1642,1),"")</f>
        <v/>
      </c>
      <c r="T1690" s="208">
        <f>IF(NOT($L$1642),"",IF($G1690&lt;nr_MStartP,$S1690,$T1678*(1+IF($G1690&lt;nr_MStartP1,$M$1642,$N$1642))))</f>
        <v/>
      </c>
      <c r="U1690" s="208">
        <f>IF($L$1642,$T1690,$N1690)</f>
        <v/>
      </c>
    </row>
    <row r="1691">
      <c r="A1691" s="145" t="n">
        <v>47</v>
      </c>
      <c r="B1691" s="204">
        <f>EDATE($B1690,1)</f>
        <v/>
      </c>
      <c r="C1691" s="205">
        <f>EOMONTH($B1691,0)</f>
        <v/>
      </c>
      <c r="D1691" s="201">
        <f>$C1691-$B1691+1</f>
        <v/>
      </c>
      <c r="E1691" s="201">
        <f>MONTH($B1691)</f>
        <v/>
      </c>
      <c r="F1691" s="235">
        <f>($B1691+$C1691+1)/2</f>
        <v/>
      </c>
      <c r="G1691" s="201">
        <f>YEAR($B1691)*12+MONTH($B1691)-1</f>
        <v/>
      </c>
      <c r="H1691" s="207">
        <f>IF(OR(nr_SeasonOn="OFF",$D$1642=0,$E$1642=0),1,12*INDEX(se_block,$D$1642,$E1691)/$E$1642)</f>
        <v/>
      </c>
      <c r="I1691" s="208">
        <f>EXP(SUMPRODUCT((rl_eff&lt;$B1691)*(rl_key=$A$1642)*rl_ln1p))</f>
        <v/>
      </c>
      <c r="J1691" s="208">
        <f>EXP(SUMPRODUCT((rl_eff&lt;=$C1691)*(rl_key=$A$1642)*rl_ln1p))</f>
        <v/>
      </c>
      <c r="K1691" s="201">
        <f>COUNTIFS(rl_key,$A$1642,rl_eff,"&gt;="&amp;$B1691,rl_eff,"&lt;="&amp;$C1691)</f>
        <v/>
      </c>
      <c r="L1691" s="201">
        <f>SUMIFS(rl_daysafter,rl_key,$A$1642,rl_effmonth,$B1691,rl_first,1)</f>
        <v/>
      </c>
      <c r="M1691" s="209">
        <f>IF($K1691=0,0,MIN(1,$L1691/$D1691))</f>
        <v/>
      </c>
      <c r="N1691" s="208">
        <f>IF($K1691=0,$J1691,(1-$M1691)*$I1691+$M1691*$J1691)</f>
        <v/>
      </c>
      <c r="O1691" s="209">
        <f>IF($F1691&lt;$B$1643,$E$1643+$I$1643*($F1691-$A$1643),IF($F1691&lt;$C$1643,$F$1643+$J$1643*($F1691-$B$1643),$G$1643+$K$1643*($F1691-$C$1643)))</f>
        <v/>
      </c>
      <c r="P1691" s="208">
        <f>MIN(1,MAX(0,(nr_MEndPm1-$G1691+0.5)/$C$1642))-MIN(1,MAX(0,(nr_MStartPm1-1-$G1691+0.5)/$C$1642))</f>
        <v/>
      </c>
      <c r="Q1691" s="208">
        <f>MIN(1,MAX(0,(nr_MEndP-$G1691+0.5)/$C$1642))-MIN(1,MAX(0,(nr_MStartP-1-$G1691+0.5)/$C$1642))</f>
        <v/>
      </c>
      <c r="R1691" s="208">
        <f>MIN(1,MAX(0,(nr_MEndP1-$G1691+0.5)/$C$1642))-MIN(1,MAX(0,(nr_MStartP1-1-$G1691+0.5)/$C$1642))</f>
        <v/>
      </c>
      <c r="S1691" s="208">
        <f>IF($L$1642,$N1691*IF($O$1642=1,$O1691/$F$1642,1),"")</f>
        <v/>
      </c>
      <c r="T1691" s="208">
        <f>IF(NOT($L$1642),"",IF($G1691&lt;nr_MStartP,$S1691,$T1679*(1+IF($G1691&lt;nr_MStartP1,$M$1642,$N$1642))))</f>
        <v/>
      </c>
      <c r="U1691" s="208">
        <f>IF($L$1642,$T1691,$N1691)</f>
        <v/>
      </c>
    </row>
    <row r="1692">
      <c r="A1692" s="145" t="n">
        <v>48</v>
      </c>
      <c r="B1692" s="204">
        <f>EDATE($B1691,1)</f>
        <v/>
      </c>
      <c r="C1692" s="205">
        <f>EOMONTH($B1692,0)</f>
        <v/>
      </c>
      <c r="D1692" s="201">
        <f>$C1692-$B1692+1</f>
        <v/>
      </c>
      <c r="E1692" s="201">
        <f>MONTH($B1692)</f>
        <v/>
      </c>
      <c r="F1692" s="235">
        <f>($B1692+$C1692+1)/2</f>
        <v/>
      </c>
      <c r="G1692" s="201">
        <f>YEAR($B1692)*12+MONTH($B1692)-1</f>
        <v/>
      </c>
      <c r="H1692" s="207">
        <f>IF(OR(nr_SeasonOn="OFF",$D$1642=0,$E$1642=0),1,12*INDEX(se_block,$D$1642,$E1692)/$E$1642)</f>
        <v/>
      </c>
      <c r="I1692" s="208">
        <f>EXP(SUMPRODUCT((rl_eff&lt;$B1692)*(rl_key=$A$1642)*rl_ln1p))</f>
        <v/>
      </c>
      <c r="J1692" s="208">
        <f>EXP(SUMPRODUCT((rl_eff&lt;=$C1692)*(rl_key=$A$1642)*rl_ln1p))</f>
        <v/>
      </c>
      <c r="K1692" s="201">
        <f>COUNTIFS(rl_key,$A$1642,rl_eff,"&gt;="&amp;$B1692,rl_eff,"&lt;="&amp;$C1692)</f>
        <v/>
      </c>
      <c r="L1692" s="201">
        <f>SUMIFS(rl_daysafter,rl_key,$A$1642,rl_effmonth,$B1692,rl_first,1)</f>
        <v/>
      </c>
      <c r="M1692" s="209">
        <f>IF($K1692=0,0,MIN(1,$L1692/$D1692))</f>
        <v/>
      </c>
      <c r="N1692" s="208">
        <f>IF($K1692=0,$J1692,(1-$M1692)*$I1692+$M1692*$J1692)</f>
        <v/>
      </c>
      <c r="O1692" s="209">
        <f>IF($F1692&lt;$B$1643,$E$1643+$I$1643*($F1692-$A$1643),IF($F1692&lt;$C$1643,$F$1643+$J$1643*($F1692-$B$1643),$G$1643+$K$1643*($F1692-$C$1643)))</f>
        <v/>
      </c>
      <c r="P1692" s="208">
        <f>MIN(1,MAX(0,(nr_MEndPm1-$G1692+0.5)/$C$1642))-MIN(1,MAX(0,(nr_MStartPm1-1-$G1692+0.5)/$C$1642))</f>
        <v/>
      </c>
      <c r="Q1692" s="208">
        <f>MIN(1,MAX(0,(nr_MEndP-$G1692+0.5)/$C$1642))-MIN(1,MAX(0,(nr_MStartP-1-$G1692+0.5)/$C$1642))</f>
        <v/>
      </c>
      <c r="R1692" s="208">
        <f>MIN(1,MAX(0,(nr_MEndP1-$G1692+0.5)/$C$1642))-MIN(1,MAX(0,(nr_MStartP1-1-$G1692+0.5)/$C$1642))</f>
        <v/>
      </c>
      <c r="S1692" s="208">
        <f>IF($L$1642,$N1692*IF($O$1642=1,$O1692/$F$1642,1),"")</f>
        <v/>
      </c>
      <c r="T1692" s="208">
        <f>IF(NOT($L$1642),"",IF($G1692&lt;nr_MStartP,$S1692,$T1680*(1+IF($G1692&lt;nr_MStartP1,$M$1642,$N$1642))))</f>
        <v/>
      </c>
      <c r="U1692" s="208">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184">
        <f>SUMPRODUCT($H$1645:$H$1692,$Q$1645:$Q$1692,$O$1645:$O$1692)/SUMPRODUCT($H$1645:$H$1692,$Q$1645:$Q$1692)</f>
        <v/>
      </c>
      <c r="G1693" s="184">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184">
        <f>IF(N(INDEX(lr_mind,31))=0,1,INDEX(lr_mind,31))</f>
        <v/>
      </c>
      <c r="G1696" s="184">
        <f>IF(N(INDEX(lr_m0,31))=0,1,INDEX(lr_m0,31))</f>
        <v/>
      </c>
      <c r="H1696" s="73">
        <f>IF(N(INDEX(lr_m0asof,31))=0,DATE(nr_PlanYear-1,10,1),INDEX(lr_m0asof,31))</f>
        <v/>
      </c>
      <c r="I1696" s="184">
        <f>IF(N(INDEX(lr_m1,31))=0,1,INDEX(lr_m1,31))</f>
        <v/>
      </c>
      <c r="J1696" s="184">
        <f>INDEX(lr_mprior,31)</f>
        <v/>
      </c>
      <c r="K1696" s="184">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145" t="n">
        <v>1</v>
      </c>
      <c r="B1699" s="204">
        <f>DATE(nr_PlanYear-2,1,1)</f>
        <v/>
      </c>
      <c r="C1699" s="205">
        <f>EOMONTH($B1699,0)</f>
        <v/>
      </c>
      <c r="D1699" s="201">
        <f>$C1699-$B1699+1</f>
        <v/>
      </c>
      <c r="E1699" s="201">
        <f>MONTH($B1699)</f>
        <v/>
      </c>
      <c r="F1699" s="235">
        <f>($B1699+$C1699+1)/2</f>
        <v/>
      </c>
      <c r="G1699" s="201">
        <f>YEAR($B1699)*12+MONTH($B1699)-1</f>
        <v/>
      </c>
      <c r="H1699" s="207">
        <f>IF(OR(nr_SeasonOn="OFF",$D$1696=0,$E$1696=0),1,12*INDEX(se_block,$D$1696,$E1699)/$E$1696)</f>
        <v/>
      </c>
      <c r="I1699" s="208">
        <f>EXP(SUMPRODUCT((rl_eff&lt;$B1699)*(rl_key=$A$1696)*rl_ln1p))</f>
        <v/>
      </c>
      <c r="J1699" s="208">
        <f>EXP(SUMPRODUCT((rl_eff&lt;=$C1699)*(rl_key=$A$1696)*rl_ln1p))</f>
        <v/>
      </c>
      <c r="K1699" s="201">
        <f>COUNTIFS(rl_key,$A$1696,rl_eff,"&gt;="&amp;$B1699,rl_eff,"&lt;="&amp;$C1699)</f>
        <v/>
      </c>
      <c r="L1699" s="201">
        <f>SUMIFS(rl_daysafter,rl_key,$A$1696,rl_effmonth,$B1699,rl_first,1)</f>
        <v/>
      </c>
      <c r="M1699" s="209">
        <f>IF($K1699=0,0,MIN(1,$L1699/$D1699))</f>
        <v/>
      </c>
      <c r="N1699" s="208">
        <f>IF($K1699=0,$J1699,(1-$M1699)*$I1699+$M1699*$J1699)</f>
        <v/>
      </c>
      <c r="O1699" s="209">
        <f>IF($F1699&lt;$B$1697,$E$1697+$I$1697*($F1699-$A$1697),IF($F1699&lt;$C$1697,$F$1697+$J$1697*($F1699-$B$1697),$G$1697+$K$1697*($F1699-$C$1697)))</f>
        <v/>
      </c>
      <c r="P1699" s="208">
        <f>MIN(1,MAX(0,(nr_MEndPm1-$G1699+0.5)/$C$1696))-MIN(1,MAX(0,(nr_MStartPm1-1-$G1699+0.5)/$C$1696))</f>
        <v/>
      </c>
      <c r="Q1699" s="208">
        <f>MIN(1,MAX(0,(nr_MEndP-$G1699+0.5)/$C$1696))-MIN(1,MAX(0,(nr_MStartP-1-$G1699+0.5)/$C$1696))</f>
        <v/>
      </c>
      <c r="R1699" s="208">
        <f>MIN(1,MAX(0,(nr_MEndP1-$G1699+0.5)/$C$1696))-MIN(1,MAX(0,(nr_MStartP1-1-$G1699+0.5)/$C$1696))</f>
        <v/>
      </c>
      <c r="S1699" s="208">
        <f>IF($L$1696,$N1699*IF($O$1696=1,$O1699/$F$1696,1),"")</f>
        <v/>
      </c>
      <c r="T1699" s="208">
        <f>IF(NOT($L$1696),"",IF($G1699&lt;nr_MStartP,$S1699,$T1687*(1+IF($G1699&lt;nr_MStartP1,$M$1696,$N$1696))))</f>
        <v/>
      </c>
      <c r="U1699" s="208">
        <f>IF($L$1696,$T1699,$N1699)</f>
        <v/>
      </c>
    </row>
    <row r="1700">
      <c r="A1700" s="145" t="n">
        <v>2</v>
      </c>
      <c r="B1700" s="204">
        <f>EDATE($B1699,1)</f>
        <v/>
      </c>
      <c r="C1700" s="205">
        <f>EOMONTH($B1700,0)</f>
        <v/>
      </c>
      <c r="D1700" s="201">
        <f>$C1700-$B1700+1</f>
        <v/>
      </c>
      <c r="E1700" s="201">
        <f>MONTH($B1700)</f>
        <v/>
      </c>
      <c r="F1700" s="235">
        <f>($B1700+$C1700+1)/2</f>
        <v/>
      </c>
      <c r="G1700" s="201">
        <f>YEAR($B1700)*12+MONTH($B1700)-1</f>
        <v/>
      </c>
      <c r="H1700" s="207">
        <f>IF(OR(nr_SeasonOn="OFF",$D$1696=0,$E$1696=0),1,12*INDEX(se_block,$D$1696,$E1700)/$E$1696)</f>
        <v/>
      </c>
      <c r="I1700" s="208">
        <f>EXP(SUMPRODUCT((rl_eff&lt;$B1700)*(rl_key=$A$1696)*rl_ln1p))</f>
        <v/>
      </c>
      <c r="J1700" s="208">
        <f>EXP(SUMPRODUCT((rl_eff&lt;=$C1700)*(rl_key=$A$1696)*rl_ln1p))</f>
        <v/>
      </c>
      <c r="K1700" s="201">
        <f>COUNTIFS(rl_key,$A$1696,rl_eff,"&gt;="&amp;$B1700,rl_eff,"&lt;="&amp;$C1700)</f>
        <v/>
      </c>
      <c r="L1700" s="201">
        <f>SUMIFS(rl_daysafter,rl_key,$A$1696,rl_effmonth,$B1700,rl_first,1)</f>
        <v/>
      </c>
      <c r="M1700" s="209">
        <f>IF($K1700=0,0,MIN(1,$L1700/$D1700))</f>
        <v/>
      </c>
      <c r="N1700" s="208">
        <f>IF($K1700=0,$J1700,(1-$M1700)*$I1700+$M1700*$J1700)</f>
        <v/>
      </c>
      <c r="O1700" s="209">
        <f>IF($F1700&lt;$B$1697,$E$1697+$I$1697*($F1700-$A$1697),IF($F1700&lt;$C$1697,$F$1697+$J$1697*($F1700-$B$1697),$G$1697+$K$1697*($F1700-$C$1697)))</f>
        <v/>
      </c>
      <c r="P1700" s="208">
        <f>MIN(1,MAX(0,(nr_MEndPm1-$G1700+0.5)/$C$1696))-MIN(1,MAX(0,(nr_MStartPm1-1-$G1700+0.5)/$C$1696))</f>
        <v/>
      </c>
      <c r="Q1700" s="208">
        <f>MIN(1,MAX(0,(nr_MEndP-$G1700+0.5)/$C$1696))-MIN(1,MAX(0,(nr_MStartP-1-$G1700+0.5)/$C$1696))</f>
        <v/>
      </c>
      <c r="R1700" s="208">
        <f>MIN(1,MAX(0,(nr_MEndP1-$G1700+0.5)/$C$1696))-MIN(1,MAX(0,(nr_MStartP1-1-$G1700+0.5)/$C$1696))</f>
        <v/>
      </c>
      <c r="S1700" s="208">
        <f>IF($L$1696,$N1700*IF($O$1696=1,$O1700/$F$1696,1),"")</f>
        <v/>
      </c>
      <c r="T1700" s="208">
        <f>IF(NOT($L$1696),"",IF($G1700&lt;nr_MStartP,$S1700,$T1688*(1+IF($G1700&lt;nr_MStartP1,$M$1696,$N$1696))))</f>
        <v/>
      </c>
      <c r="U1700" s="208">
        <f>IF($L$1696,$T1700,$N1700)</f>
        <v/>
      </c>
    </row>
    <row r="1701">
      <c r="A1701" s="145" t="n">
        <v>3</v>
      </c>
      <c r="B1701" s="204">
        <f>EDATE($B1700,1)</f>
        <v/>
      </c>
      <c r="C1701" s="205">
        <f>EOMONTH($B1701,0)</f>
        <v/>
      </c>
      <c r="D1701" s="201">
        <f>$C1701-$B1701+1</f>
        <v/>
      </c>
      <c r="E1701" s="201">
        <f>MONTH($B1701)</f>
        <v/>
      </c>
      <c r="F1701" s="235">
        <f>($B1701+$C1701+1)/2</f>
        <v/>
      </c>
      <c r="G1701" s="201">
        <f>YEAR($B1701)*12+MONTH($B1701)-1</f>
        <v/>
      </c>
      <c r="H1701" s="207">
        <f>IF(OR(nr_SeasonOn="OFF",$D$1696=0,$E$1696=0),1,12*INDEX(se_block,$D$1696,$E1701)/$E$1696)</f>
        <v/>
      </c>
      <c r="I1701" s="208">
        <f>EXP(SUMPRODUCT((rl_eff&lt;$B1701)*(rl_key=$A$1696)*rl_ln1p))</f>
        <v/>
      </c>
      <c r="J1701" s="208">
        <f>EXP(SUMPRODUCT((rl_eff&lt;=$C1701)*(rl_key=$A$1696)*rl_ln1p))</f>
        <v/>
      </c>
      <c r="K1701" s="201">
        <f>COUNTIFS(rl_key,$A$1696,rl_eff,"&gt;="&amp;$B1701,rl_eff,"&lt;="&amp;$C1701)</f>
        <v/>
      </c>
      <c r="L1701" s="201">
        <f>SUMIFS(rl_daysafter,rl_key,$A$1696,rl_effmonth,$B1701,rl_first,1)</f>
        <v/>
      </c>
      <c r="M1701" s="209">
        <f>IF($K1701=0,0,MIN(1,$L1701/$D1701))</f>
        <v/>
      </c>
      <c r="N1701" s="208">
        <f>IF($K1701=0,$J1701,(1-$M1701)*$I1701+$M1701*$J1701)</f>
        <v/>
      </c>
      <c r="O1701" s="209">
        <f>IF($F1701&lt;$B$1697,$E$1697+$I$1697*($F1701-$A$1697),IF($F1701&lt;$C$1697,$F$1697+$J$1697*($F1701-$B$1697),$G$1697+$K$1697*($F1701-$C$1697)))</f>
        <v/>
      </c>
      <c r="P1701" s="208">
        <f>MIN(1,MAX(0,(nr_MEndPm1-$G1701+0.5)/$C$1696))-MIN(1,MAX(0,(nr_MStartPm1-1-$G1701+0.5)/$C$1696))</f>
        <v/>
      </c>
      <c r="Q1701" s="208">
        <f>MIN(1,MAX(0,(nr_MEndP-$G1701+0.5)/$C$1696))-MIN(1,MAX(0,(nr_MStartP-1-$G1701+0.5)/$C$1696))</f>
        <v/>
      </c>
      <c r="R1701" s="208">
        <f>MIN(1,MAX(0,(nr_MEndP1-$G1701+0.5)/$C$1696))-MIN(1,MAX(0,(nr_MStartP1-1-$G1701+0.5)/$C$1696))</f>
        <v/>
      </c>
      <c r="S1701" s="208">
        <f>IF($L$1696,$N1701*IF($O$1696=1,$O1701/$F$1696,1),"")</f>
        <v/>
      </c>
      <c r="T1701" s="208">
        <f>IF(NOT($L$1696),"",IF($G1701&lt;nr_MStartP,$S1701,$T1689*(1+IF($G1701&lt;nr_MStartP1,$M$1696,$N$1696))))</f>
        <v/>
      </c>
      <c r="U1701" s="208">
        <f>IF($L$1696,$T1701,$N1701)</f>
        <v/>
      </c>
    </row>
    <row r="1702">
      <c r="A1702" s="145" t="n">
        <v>4</v>
      </c>
      <c r="B1702" s="204">
        <f>EDATE($B1701,1)</f>
        <v/>
      </c>
      <c r="C1702" s="205">
        <f>EOMONTH($B1702,0)</f>
        <v/>
      </c>
      <c r="D1702" s="201">
        <f>$C1702-$B1702+1</f>
        <v/>
      </c>
      <c r="E1702" s="201">
        <f>MONTH($B1702)</f>
        <v/>
      </c>
      <c r="F1702" s="235">
        <f>($B1702+$C1702+1)/2</f>
        <v/>
      </c>
      <c r="G1702" s="201">
        <f>YEAR($B1702)*12+MONTH($B1702)-1</f>
        <v/>
      </c>
      <c r="H1702" s="207">
        <f>IF(OR(nr_SeasonOn="OFF",$D$1696=0,$E$1696=0),1,12*INDEX(se_block,$D$1696,$E1702)/$E$1696)</f>
        <v/>
      </c>
      <c r="I1702" s="208">
        <f>EXP(SUMPRODUCT((rl_eff&lt;$B1702)*(rl_key=$A$1696)*rl_ln1p))</f>
        <v/>
      </c>
      <c r="J1702" s="208">
        <f>EXP(SUMPRODUCT((rl_eff&lt;=$C1702)*(rl_key=$A$1696)*rl_ln1p))</f>
        <v/>
      </c>
      <c r="K1702" s="201">
        <f>COUNTIFS(rl_key,$A$1696,rl_eff,"&gt;="&amp;$B1702,rl_eff,"&lt;="&amp;$C1702)</f>
        <v/>
      </c>
      <c r="L1702" s="201">
        <f>SUMIFS(rl_daysafter,rl_key,$A$1696,rl_effmonth,$B1702,rl_first,1)</f>
        <v/>
      </c>
      <c r="M1702" s="209">
        <f>IF($K1702=0,0,MIN(1,$L1702/$D1702))</f>
        <v/>
      </c>
      <c r="N1702" s="208">
        <f>IF($K1702=0,$J1702,(1-$M1702)*$I1702+$M1702*$J1702)</f>
        <v/>
      </c>
      <c r="O1702" s="209">
        <f>IF($F1702&lt;$B$1697,$E$1697+$I$1697*($F1702-$A$1697),IF($F1702&lt;$C$1697,$F$1697+$J$1697*($F1702-$B$1697),$G$1697+$K$1697*($F1702-$C$1697)))</f>
        <v/>
      </c>
      <c r="P1702" s="208">
        <f>MIN(1,MAX(0,(nr_MEndPm1-$G1702+0.5)/$C$1696))-MIN(1,MAX(0,(nr_MStartPm1-1-$G1702+0.5)/$C$1696))</f>
        <v/>
      </c>
      <c r="Q1702" s="208">
        <f>MIN(1,MAX(0,(nr_MEndP-$G1702+0.5)/$C$1696))-MIN(1,MAX(0,(nr_MStartP-1-$G1702+0.5)/$C$1696))</f>
        <v/>
      </c>
      <c r="R1702" s="208">
        <f>MIN(1,MAX(0,(nr_MEndP1-$G1702+0.5)/$C$1696))-MIN(1,MAX(0,(nr_MStartP1-1-$G1702+0.5)/$C$1696))</f>
        <v/>
      </c>
      <c r="S1702" s="208">
        <f>IF($L$1696,$N1702*IF($O$1696=1,$O1702/$F$1696,1),"")</f>
        <v/>
      </c>
      <c r="T1702" s="208">
        <f>IF(NOT($L$1696),"",IF($G1702&lt;nr_MStartP,$S1702,$T1690*(1+IF($G1702&lt;nr_MStartP1,$M$1696,$N$1696))))</f>
        <v/>
      </c>
      <c r="U1702" s="208">
        <f>IF($L$1696,$T1702,$N1702)</f>
        <v/>
      </c>
    </row>
    <row r="1703">
      <c r="A1703" s="145" t="n">
        <v>5</v>
      </c>
      <c r="B1703" s="204">
        <f>EDATE($B1702,1)</f>
        <v/>
      </c>
      <c r="C1703" s="205">
        <f>EOMONTH($B1703,0)</f>
        <v/>
      </c>
      <c r="D1703" s="201">
        <f>$C1703-$B1703+1</f>
        <v/>
      </c>
      <c r="E1703" s="201">
        <f>MONTH($B1703)</f>
        <v/>
      </c>
      <c r="F1703" s="235">
        <f>($B1703+$C1703+1)/2</f>
        <v/>
      </c>
      <c r="G1703" s="201">
        <f>YEAR($B1703)*12+MONTH($B1703)-1</f>
        <v/>
      </c>
      <c r="H1703" s="207">
        <f>IF(OR(nr_SeasonOn="OFF",$D$1696=0,$E$1696=0),1,12*INDEX(se_block,$D$1696,$E1703)/$E$1696)</f>
        <v/>
      </c>
      <c r="I1703" s="208">
        <f>EXP(SUMPRODUCT((rl_eff&lt;$B1703)*(rl_key=$A$1696)*rl_ln1p))</f>
        <v/>
      </c>
      <c r="J1703" s="208">
        <f>EXP(SUMPRODUCT((rl_eff&lt;=$C1703)*(rl_key=$A$1696)*rl_ln1p))</f>
        <v/>
      </c>
      <c r="K1703" s="201">
        <f>COUNTIFS(rl_key,$A$1696,rl_eff,"&gt;="&amp;$B1703,rl_eff,"&lt;="&amp;$C1703)</f>
        <v/>
      </c>
      <c r="L1703" s="201">
        <f>SUMIFS(rl_daysafter,rl_key,$A$1696,rl_effmonth,$B1703,rl_first,1)</f>
        <v/>
      </c>
      <c r="M1703" s="209">
        <f>IF($K1703=0,0,MIN(1,$L1703/$D1703))</f>
        <v/>
      </c>
      <c r="N1703" s="208">
        <f>IF($K1703=0,$J1703,(1-$M1703)*$I1703+$M1703*$J1703)</f>
        <v/>
      </c>
      <c r="O1703" s="209">
        <f>IF($F1703&lt;$B$1697,$E$1697+$I$1697*($F1703-$A$1697),IF($F1703&lt;$C$1697,$F$1697+$J$1697*($F1703-$B$1697),$G$1697+$K$1697*($F1703-$C$1697)))</f>
        <v/>
      </c>
      <c r="P1703" s="208">
        <f>MIN(1,MAX(0,(nr_MEndPm1-$G1703+0.5)/$C$1696))-MIN(1,MAX(0,(nr_MStartPm1-1-$G1703+0.5)/$C$1696))</f>
        <v/>
      </c>
      <c r="Q1703" s="208">
        <f>MIN(1,MAX(0,(nr_MEndP-$G1703+0.5)/$C$1696))-MIN(1,MAX(0,(nr_MStartP-1-$G1703+0.5)/$C$1696))</f>
        <v/>
      </c>
      <c r="R1703" s="208">
        <f>MIN(1,MAX(0,(nr_MEndP1-$G1703+0.5)/$C$1696))-MIN(1,MAX(0,(nr_MStartP1-1-$G1703+0.5)/$C$1696))</f>
        <v/>
      </c>
      <c r="S1703" s="208">
        <f>IF($L$1696,$N1703*IF($O$1696=1,$O1703/$F$1696,1),"")</f>
        <v/>
      </c>
      <c r="T1703" s="208">
        <f>IF(NOT($L$1696),"",IF($G1703&lt;nr_MStartP,$S1703,$T1691*(1+IF($G1703&lt;nr_MStartP1,$M$1696,$N$1696))))</f>
        <v/>
      </c>
      <c r="U1703" s="208">
        <f>IF($L$1696,$T1703,$N1703)</f>
        <v/>
      </c>
    </row>
    <row r="1704">
      <c r="A1704" s="145" t="n">
        <v>6</v>
      </c>
      <c r="B1704" s="204">
        <f>EDATE($B1703,1)</f>
        <v/>
      </c>
      <c r="C1704" s="205">
        <f>EOMONTH($B1704,0)</f>
        <v/>
      </c>
      <c r="D1704" s="201">
        <f>$C1704-$B1704+1</f>
        <v/>
      </c>
      <c r="E1704" s="201">
        <f>MONTH($B1704)</f>
        <v/>
      </c>
      <c r="F1704" s="235">
        <f>($B1704+$C1704+1)/2</f>
        <v/>
      </c>
      <c r="G1704" s="201">
        <f>YEAR($B1704)*12+MONTH($B1704)-1</f>
        <v/>
      </c>
      <c r="H1704" s="207">
        <f>IF(OR(nr_SeasonOn="OFF",$D$1696=0,$E$1696=0),1,12*INDEX(se_block,$D$1696,$E1704)/$E$1696)</f>
        <v/>
      </c>
      <c r="I1704" s="208">
        <f>EXP(SUMPRODUCT((rl_eff&lt;$B1704)*(rl_key=$A$1696)*rl_ln1p))</f>
        <v/>
      </c>
      <c r="J1704" s="208">
        <f>EXP(SUMPRODUCT((rl_eff&lt;=$C1704)*(rl_key=$A$1696)*rl_ln1p))</f>
        <v/>
      </c>
      <c r="K1704" s="201">
        <f>COUNTIFS(rl_key,$A$1696,rl_eff,"&gt;="&amp;$B1704,rl_eff,"&lt;="&amp;$C1704)</f>
        <v/>
      </c>
      <c r="L1704" s="201">
        <f>SUMIFS(rl_daysafter,rl_key,$A$1696,rl_effmonth,$B1704,rl_first,1)</f>
        <v/>
      </c>
      <c r="M1704" s="209">
        <f>IF($K1704=0,0,MIN(1,$L1704/$D1704))</f>
        <v/>
      </c>
      <c r="N1704" s="208">
        <f>IF($K1704=0,$J1704,(1-$M1704)*$I1704+$M1704*$J1704)</f>
        <v/>
      </c>
      <c r="O1704" s="209">
        <f>IF($F1704&lt;$B$1697,$E$1697+$I$1697*($F1704-$A$1697),IF($F1704&lt;$C$1697,$F$1697+$J$1697*($F1704-$B$1697),$G$1697+$K$1697*($F1704-$C$1697)))</f>
        <v/>
      </c>
      <c r="P1704" s="208">
        <f>MIN(1,MAX(0,(nr_MEndPm1-$G1704+0.5)/$C$1696))-MIN(1,MAX(0,(nr_MStartPm1-1-$G1704+0.5)/$C$1696))</f>
        <v/>
      </c>
      <c r="Q1704" s="208">
        <f>MIN(1,MAX(0,(nr_MEndP-$G1704+0.5)/$C$1696))-MIN(1,MAX(0,(nr_MStartP-1-$G1704+0.5)/$C$1696))</f>
        <v/>
      </c>
      <c r="R1704" s="208">
        <f>MIN(1,MAX(0,(nr_MEndP1-$G1704+0.5)/$C$1696))-MIN(1,MAX(0,(nr_MStartP1-1-$G1704+0.5)/$C$1696))</f>
        <v/>
      </c>
      <c r="S1704" s="208">
        <f>IF($L$1696,$N1704*IF($O$1696=1,$O1704/$F$1696,1),"")</f>
        <v/>
      </c>
      <c r="T1704" s="208">
        <f>IF(NOT($L$1696),"",IF($G1704&lt;nr_MStartP,$S1704,$T1692*(1+IF($G1704&lt;nr_MStartP1,$M$1696,$N$1696))))</f>
        <v/>
      </c>
      <c r="U1704" s="208">
        <f>IF($L$1696,$T1704,$N1704)</f>
        <v/>
      </c>
    </row>
    <row r="1705">
      <c r="A1705" s="145" t="n">
        <v>7</v>
      </c>
      <c r="B1705" s="204">
        <f>EDATE($B1704,1)</f>
        <v/>
      </c>
      <c r="C1705" s="205">
        <f>EOMONTH($B1705,0)</f>
        <v/>
      </c>
      <c r="D1705" s="201">
        <f>$C1705-$B1705+1</f>
        <v/>
      </c>
      <c r="E1705" s="201">
        <f>MONTH($B1705)</f>
        <v/>
      </c>
      <c r="F1705" s="235">
        <f>($B1705+$C1705+1)/2</f>
        <v/>
      </c>
      <c r="G1705" s="201">
        <f>YEAR($B1705)*12+MONTH($B1705)-1</f>
        <v/>
      </c>
      <c r="H1705" s="207">
        <f>IF(OR(nr_SeasonOn="OFF",$D$1696=0,$E$1696=0),1,12*INDEX(se_block,$D$1696,$E1705)/$E$1696)</f>
        <v/>
      </c>
      <c r="I1705" s="208">
        <f>EXP(SUMPRODUCT((rl_eff&lt;$B1705)*(rl_key=$A$1696)*rl_ln1p))</f>
        <v/>
      </c>
      <c r="J1705" s="208">
        <f>EXP(SUMPRODUCT((rl_eff&lt;=$C1705)*(rl_key=$A$1696)*rl_ln1p))</f>
        <v/>
      </c>
      <c r="K1705" s="201">
        <f>COUNTIFS(rl_key,$A$1696,rl_eff,"&gt;="&amp;$B1705,rl_eff,"&lt;="&amp;$C1705)</f>
        <v/>
      </c>
      <c r="L1705" s="201">
        <f>SUMIFS(rl_daysafter,rl_key,$A$1696,rl_effmonth,$B1705,rl_first,1)</f>
        <v/>
      </c>
      <c r="M1705" s="209">
        <f>IF($K1705=0,0,MIN(1,$L1705/$D1705))</f>
        <v/>
      </c>
      <c r="N1705" s="208">
        <f>IF($K1705=0,$J1705,(1-$M1705)*$I1705+$M1705*$J1705)</f>
        <v/>
      </c>
      <c r="O1705" s="209">
        <f>IF($F1705&lt;$B$1697,$E$1697+$I$1697*($F1705-$A$1697),IF($F1705&lt;$C$1697,$F$1697+$J$1697*($F1705-$B$1697),$G$1697+$K$1697*($F1705-$C$1697)))</f>
        <v/>
      </c>
      <c r="P1705" s="208">
        <f>MIN(1,MAX(0,(nr_MEndPm1-$G1705+0.5)/$C$1696))-MIN(1,MAX(0,(nr_MStartPm1-1-$G1705+0.5)/$C$1696))</f>
        <v/>
      </c>
      <c r="Q1705" s="208">
        <f>MIN(1,MAX(0,(nr_MEndP-$G1705+0.5)/$C$1696))-MIN(1,MAX(0,(nr_MStartP-1-$G1705+0.5)/$C$1696))</f>
        <v/>
      </c>
      <c r="R1705" s="208">
        <f>MIN(1,MAX(0,(nr_MEndP1-$G1705+0.5)/$C$1696))-MIN(1,MAX(0,(nr_MStartP1-1-$G1705+0.5)/$C$1696))</f>
        <v/>
      </c>
      <c r="S1705" s="208">
        <f>IF($L$1696,$N1705*IF($O$1696=1,$O1705/$F$1696,1),"")</f>
        <v/>
      </c>
      <c r="T1705" s="208">
        <f>IF(NOT($L$1696),"",IF($G1705&lt;nr_MStartP,$S1705,$T1693*(1+IF($G1705&lt;nr_MStartP1,$M$1696,$N$1696))))</f>
        <v/>
      </c>
      <c r="U1705" s="208">
        <f>IF($L$1696,$T1705,$N1705)</f>
        <v/>
      </c>
    </row>
    <row r="1706">
      <c r="A1706" s="145" t="n">
        <v>8</v>
      </c>
      <c r="B1706" s="204">
        <f>EDATE($B1705,1)</f>
        <v/>
      </c>
      <c r="C1706" s="205">
        <f>EOMONTH($B1706,0)</f>
        <v/>
      </c>
      <c r="D1706" s="201">
        <f>$C1706-$B1706+1</f>
        <v/>
      </c>
      <c r="E1706" s="201">
        <f>MONTH($B1706)</f>
        <v/>
      </c>
      <c r="F1706" s="235">
        <f>($B1706+$C1706+1)/2</f>
        <v/>
      </c>
      <c r="G1706" s="201">
        <f>YEAR($B1706)*12+MONTH($B1706)-1</f>
        <v/>
      </c>
      <c r="H1706" s="207">
        <f>IF(OR(nr_SeasonOn="OFF",$D$1696=0,$E$1696=0),1,12*INDEX(se_block,$D$1696,$E1706)/$E$1696)</f>
        <v/>
      </c>
      <c r="I1706" s="208">
        <f>EXP(SUMPRODUCT((rl_eff&lt;$B1706)*(rl_key=$A$1696)*rl_ln1p))</f>
        <v/>
      </c>
      <c r="J1706" s="208">
        <f>EXP(SUMPRODUCT((rl_eff&lt;=$C1706)*(rl_key=$A$1696)*rl_ln1p))</f>
        <v/>
      </c>
      <c r="K1706" s="201">
        <f>COUNTIFS(rl_key,$A$1696,rl_eff,"&gt;="&amp;$B1706,rl_eff,"&lt;="&amp;$C1706)</f>
        <v/>
      </c>
      <c r="L1706" s="201">
        <f>SUMIFS(rl_daysafter,rl_key,$A$1696,rl_effmonth,$B1706,rl_first,1)</f>
        <v/>
      </c>
      <c r="M1706" s="209">
        <f>IF($K1706=0,0,MIN(1,$L1706/$D1706))</f>
        <v/>
      </c>
      <c r="N1706" s="208">
        <f>IF($K1706=0,$J1706,(1-$M1706)*$I1706+$M1706*$J1706)</f>
        <v/>
      </c>
      <c r="O1706" s="209">
        <f>IF($F1706&lt;$B$1697,$E$1697+$I$1697*($F1706-$A$1697),IF($F1706&lt;$C$1697,$F$1697+$J$1697*($F1706-$B$1697),$G$1697+$K$1697*($F1706-$C$1697)))</f>
        <v/>
      </c>
      <c r="P1706" s="208">
        <f>MIN(1,MAX(0,(nr_MEndPm1-$G1706+0.5)/$C$1696))-MIN(1,MAX(0,(nr_MStartPm1-1-$G1706+0.5)/$C$1696))</f>
        <v/>
      </c>
      <c r="Q1706" s="208">
        <f>MIN(1,MAX(0,(nr_MEndP-$G1706+0.5)/$C$1696))-MIN(1,MAX(0,(nr_MStartP-1-$G1706+0.5)/$C$1696))</f>
        <v/>
      </c>
      <c r="R1706" s="208">
        <f>MIN(1,MAX(0,(nr_MEndP1-$G1706+0.5)/$C$1696))-MIN(1,MAX(0,(nr_MStartP1-1-$G1706+0.5)/$C$1696))</f>
        <v/>
      </c>
      <c r="S1706" s="208">
        <f>IF($L$1696,$N1706*IF($O$1696=1,$O1706/$F$1696,1),"")</f>
        <v/>
      </c>
      <c r="T1706" s="208">
        <f>IF(NOT($L$1696),"",IF($G1706&lt;nr_MStartP,$S1706,$T1694*(1+IF($G1706&lt;nr_MStartP1,$M$1696,$N$1696))))</f>
        <v/>
      </c>
      <c r="U1706" s="208">
        <f>IF($L$1696,$T1706,$N1706)</f>
        <v/>
      </c>
    </row>
    <row r="1707">
      <c r="A1707" s="145" t="n">
        <v>9</v>
      </c>
      <c r="B1707" s="204">
        <f>EDATE($B1706,1)</f>
        <v/>
      </c>
      <c r="C1707" s="205">
        <f>EOMONTH($B1707,0)</f>
        <v/>
      </c>
      <c r="D1707" s="201">
        <f>$C1707-$B1707+1</f>
        <v/>
      </c>
      <c r="E1707" s="201">
        <f>MONTH($B1707)</f>
        <v/>
      </c>
      <c r="F1707" s="235">
        <f>($B1707+$C1707+1)/2</f>
        <v/>
      </c>
      <c r="G1707" s="201">
        <f>YEAR($B1707)*12+MONTH($B1707)-1</f>
        <v/>
      </c>
      <c r="H1707" s="207">
        <f>IF(OR(nr_SeasonOn="OFF",$D$1696=0,$E$1696=0),1,12*INDEX(se_block,$D$1696,$E1707)/$E$1696)</f>
        <v/>
      </c>
      <c r="I1707" s="208">
        <f>EXP(SUMPRODUCT((rl_eff&lt;$B1707)*(rl_key=$A$1696)*rl_ln1p))</f>
        <v/>
      </c>
      <c r="J1707" s="208">
        <f>EXP(SUMPRODUCT((rl_eff&lt;=$C1707)*(rl_key=$A$1696)*rl_ln1p))</f>
        <v/>
      </c>
      <c r="K1707" s="201">
        <f>COUNTIFS(rl_key,$A$1696,rl_eff,"&gt;="&amp;$B1707,rl_eff,"&lt;="&amp;$C1707)</f>
        <v/>
      </c>
      <c r="L1707" s="201">
        <f>SUMIFS(rl_daysafter,rl_key,$A$1696,rl_effmonth,$B1707,rl_first,1)</f>
        <v/>
      </c>
      <c r="M1707" s="209">
        <f>IF($K1707=0,0,MIN(1,$L1707/$D1707))</f>
        <v/>
      </c>
      <c r="N1707" s="208">
        <f>IF($K1707=0,$J1707,(1-$M1707)*$I1707+$M1707*$J1707)</f>
        <v/>
      </c>
      <c r="O1707" s="209">
        <f>IF($F1707&lt;$B$1697,$E$1697+$I$1697*($F1707-$A$1697),IF($F1707&lt;$C$1697,$F$1697+$J$1697*($F1707-$B$1697),$G$1697+$K$1697*($F1707-$C$1697)))</f>
        <v/>
      </c>
      <c r="P1707" s="208">
        <f>MIN(1,MAX(0,(nr_MEndPm1-$G1707+0.5)/$C$1696))-MIN(1,MAX(0,(nr_MStartPm1-1-$G1707+0.5)/$C$1696))</f>
        <v/>
      </c>
      <c r="Q1707" s="208">
        <f>MIN(1,MAX(0,(nr_MEndP-$G1707+0.5)/$C$1696))-MIN(1,MAX(0,(nr_MStartP-1-$G1707+0.5)/$C$1696))</f>
        <v/>
      </c>
      <c r="R1707" s="208">
        <f>MIN(1,MAX(0,(nr_MEndP1-$G1707+0.5)/$C$1696))-MIN(1,MAX(0,(nr_MStartP1-1-$G1707+0.5)/$C$1696))</f>
        <v/>
      </c>
      <c r="S1707" s="208">
        <f>IF($L$1696,$N1707*IF($O$1696=1,$O1707/$F$1696,1),"")</f>
        <v/>
      </c>
      <c r="T1707" s="208">
        <f>IF(NOT($L$1696),"",IF($G1707&lt;nr_MStartP,$S1707,$T1695*(1+IF($G1707&lt;nr_MStartP1,$M$1696,$N$1696))))</f>
        <v/>
      </c>
      <c r="U1707" s="208">
        <f>IF($L$1696,$T1707,$N1707)</f>
        <v/>
      </c>
    </row>
    <row r="1708">
      <c r="A1708" s="145" t="n">
        <v>10</v>
      </c>
      <c r="B1708" s="204">
        <f>EDATE($B1707,1)</f>
        <v/>
      </c>
      <c r="C1708" s="205">
        <f>EOMONTH($B1708,0)</f>
        <v/>
      </c>
      <c r="D1708" s="201">
        <f>$C1708-$B1708+1</f>
        <v/>
      </c>
      <c r="E1708" s="201">
        <f>MONTH($B1708)</f>
        <v/>
      </c>
      <c r="F1708" s="235">
        <f>($B1708+$C1708+1)/2</f>
        <v/>
      </c>
      <c r="G1708" s="201">
        <f>YEAR($B1708)*12+MONTH($B1708)-1</f>
        <v/>
      </c>
      <c r="H1708" s="207">
        <f>IF(OR(nr_SeasonOn="OFF",$D$1696=0,$E$1696=0),1,12*INDEX(se_block,$D$1696,$E1708)/$E$1696)</f>
        <v/>
      </c>
      <c r="I1708" s="208">
        <f>EXP(SUMPRODUCT((rl_eff&lt;$B1708)*(rl_key=$A$1696)*rl_ln1p))</f>
        <v/>
      </c>
      <c r="J1708" s="208">
        <f>EXP(SUMPRODUCT((rl_eff&lt;=$C1708)*(rl_key=$A$1696)*rl_ln1p))</f>
        <v/>
      </c>
      <c r="K1708" s="201">
        <f>COUNTIFS(rl_key,$A$1696,rl_eff,"&gt;="&amp;$B1708,rl_eff,"&lt;="&amp;$C1708)</f>
        <v/>
      </c>
      <c r="L1708" s="201">
        <f>SUMIFS(rl_daysafter,rl_key,$A$1696,rl_effmonth,$B1708,rl_first,1)</f>
        <v/>
      </c>
      <c r="M1708" s="209">
        <f>IF($K1708=0,0,MIN(1,$L1708/$D1708))</f>
        <v/>
      </c>
      <c r="N1708" s="208">
        <f>IF($K1708=0,$J1708,(1-$M1708)*$I1708+$M1708*$J1708)</f>
        <v/>
      </c>
      <c r="O1708" s="209">
        <f>IF($F1708&lt;$B$1697,$E$1697+$I$1697*($F1708-$A$1697),IF($F1708&lt;$C$1697,$F$1697+$J$1697*($F1708-$B$1697),$G$1697+$K$1697*($F1708-$C$1697)))</f>
        <v/>
      </c>
      <c r="P1708" s="208">
        <f>MIN(1,MAX(0,(nr_MEndPm1-$G1708+0.5)/$C$1696))-MIN(1,MAX(0,(nr_MStartPm1-1-$G1708+0.5)/$C$1696))</f>
        <v/>
      </c>
      <c r="Q1708" s="208">
        <f>MIN(1,MAX(0,(nr_MEndP-$G1708+0.5)/$C$1696))-MIN(1,MAX(0,(nr_MStartP-1-$G1708+0.5)/$C$1696))</f>
        <v/>
      </c>
      <c r="R1708" s="208">
        <f>MIN(1,MAX(0,(nr_MEndP1-$G1708+0.5)/$C$1696))-MIN(1,MAX(0,(nr_MStartP1-1-$G1708+0.5)/$C$1696))</f>
        <v/>
      </c>
      <c r="S1708" s="208">
        <f>IF($L$1696,$N1708*IF($O$1696=1,$O1708/$F$1696,1),"")</f>
        <v/>
      </c>
      <c r="T1708" s="208">
        <f>IF(NOT($L$1696),"",IF($G1708&lt;nr_MStartP,$S1708,$T1696*(1+IF($G1708&lt;nr_MStartP1,$M$1696,$N$1696))))</f>
        <v/>
      </c>
      <c r="U1708" s="208">
        <f>IF($L$1696,$T1708,$N1708)</f>
        <v/>
      </c>
    </row>
    <row r="1709">
      <c r="A1709" s="145" t="n">
        <v>11</v>
      </c>
      <c r="B1709" s="204">
        <f>EDATE($B1708,1)</f>
        <v/>
      </c>
      <c r="C1709" s="205">
        <f>EOMONTH($B1709,0)</f>
        <v/>
      </c>
      <c r="D1709" s="201">
        <f>$C1709-$B1709+1</f>
        <v/>
      </c>
      <c r="E1709" s="201">
        <f>MONTH($B1709)</f>
        <v/>
      </c>
      <c r="F1709" s="235">
        <f>($B1709+$C1709+1)/2</f>
        <v/>
      </c>
      <c r="G1709" s="201">
        <f>YEAR($B1709)*12+MONTH($B1709)-1</f>
        <v/>
      </c>
      <c r="H1709" s="207">
        <f>IF(OR(nr_SeasonOn="OFF",$D$1696=0,$E$1696=0),1,12*INDEX(se_block,$D$1696,$E1709)/$E$1696)</f>
        <v/>
      </c>
      <c r="I1709" s="208">
        <f>EXP(SUMPRODUCT((rl_eff&lt;$B1709)*(rl_key=$A$1696)*rl_ln1p))</f>
        <v/>
      </c>
      <c r="J1709" s="208">
        <f>EXP(SUMPRODUCT((rl_eff&lt;=$C1709)*(rl_key=$A$1696)*rl_ln1p))</f>
        <v/>
      </c>
      <c r="K1709" s="201">
        <f>COUNTIFS(rl_key,$A$1696,rl_eff,"&gt;="&amp;$B1709,rl_eff,"&lt;="&amp;$C1709)</f>
        <v/>
      </c>
      <c r="L1709" s="201">
        <f>SUMIFS(rl_daysafter,rl_key,$A$1696,rl_effmonth,$B1709,rl_first,1)</f>
        <v/>
      </c>
      <c r="M1709" s="209">
        <f>IF($K1709=0,0,MIN(1,$L1709/$D1709))</f>
        <v/>
      </c>
      <c r="N1709" s="208">
        <f>IF($K1709=0,$J1709,(1-$M1709)*$I1709+$M1709*$J1709)</f>
        <v/>
      </c>
      <c r="O1709" s="209">
        <f>IF($F1709&lt;$B$1697,$E$1697+$I$1697*($F1709-$A$1697),IF($F1709&lt;$C$1697,$F$1697+$J$1697*($F1709-$B$1697),$G$1697+$K$1697*($F1709-$C$1697)))</f>
        <v/>
      </c>
      <c r="P1709" s="208">
        <f>MIN(1,MAX(0,(nr_MEndPm1-$G1709+0.5)/$C$1696))-MIN(1,MAX(0,(nr_MStartPm1-1-$G1709+0.5)/$C$1696))</f>
        <v/>
      </c>
      <c r="Q1709" s="208">
        <f>MIN(1,MAX(0,(nr_MEndP-$G1709+0.5)/$C$1696))-MIN(1,MAX(0,(nr_MStartP-1-$G1709+0.5)/$C$1696))</f>
        <v/>
      </c>
      <c r="R1709" s="208">
        <f>MIN(1,MAX(0,(nr_MEndP1-$G1709+0.5)/$C$1696))-MIN(1,MAX(0,(nr_MStartP1-1-$G1709+0.5)/$C$1696))</f>
        <v/>
      </c>
      <c r="S1709" s="208">
        <f>IF($L$1696,$N1709*IF($O$1696=1,$O1709/$F$1696,1),"")</f>
        <v/>
      </c>
      <c r="T1709" s="208">
        <f>IF(NOT($L$1696),"",IF($G1709&lt;nr_MStartP,$S1709,$T1697*(1+IF($G1709&lt;nr_MStartP1,$M$1696,$N$1696))))</f>
        <v/>
      </c>
      <c r="U1709" s="208">
        <f>IF($L$1696,$T1709,$N1709)</f>
        <v/>
      </c>
    </row>
    <row r="1710">
      <c r="A1710" s="145" t="n">
        <v>12</v>
      </c>
      <c r="B1710" s="204">
        <f>EDATE($B1709,1)</f>
        <v/>
      </c>
      <c r="C1710" s="205">
        <f>EOMONTH($B1710,0)</f>
        <v/>
      </c>
      <c r="D1710" s="201">
        <f>$C1710-$B1710+1</f>
        <v/>
      </c>
      <c r="E1710" s="201">
        <f>MONTH($B1710)</f>
        <v/>
      </c>
      <c r="F1710" s="235">
        <f>($B1710+$C1710+1)/2</f>
        <v/>
      </c>
      <c r="G1710" s="201">
        <f>YEAR($B1710)*12+MONTH($B1710)-1</f>
        <v/>
      </c>
      <c r="H1710" s="207">
        <f>IF(OR(nr_SeasonOn="OFF",$D$1696=0,$E$1696=0),1,12*INDEX(se_block,$D$1696,$E1710)/$E$1696)</f>
        <v/>
      </c>
      <c r="I1710" s="208">
        <f>EXP(SUMPRODUCT((rl_eff&lt;$B1710)*(rl_key=$A$1696)*rl_ln1p))</f>
        <v/>
      </c>
      <c r="J1710" s="208">
        <f>EXP(SUMPRODUCT((rl_eff&lt;=$C1710)*(rl_key=$A$1696)*rl_ln1p))</f>
        <v/>
      </c>
      <c r="K1710" s="201">
        <f>COUNTIFS(rl_key,$A$1696,rl_eff,"&gt;="&amp;$B1710,rl_eff,"&lt;="&amp;$C1710)</f>
        <v/>
      </c>
      <c r="L1710" s="201">
        <f>SUMIFS(rl_daysafter,rl_key,$A$1696,rl_effmonth,$B1710,rl_first,1)</f>
        <v/>
      </c>
      <c r="M1710" s="209">
        <f>IF($K1710=0,0,MIN(1,$L1710/$D1710))</f>
        <v/>
      </c>
      <c r="N1710" s="208">
        <f>IF($K1710=0,$J1710,(1-$M1710)*$I1710+$M1710*$J1710)</f>
        <v/>
      </c>
      <c r="O1710" s="209">
        <f>IF($F1710&lt;$B$1697,$E$1697+$I$1697*($F1710-$A$1697),IF($F1710&lt;$C$1697,$F$1697+$J$1697*($F1710-$B$1697),$G$1697+$K$1697*($F1710-$C$1697)))</f>
        <v/>
      </c>
      <c r="P1710" s="208">
        <f>MIN(1,MAX(0,(nr_MEndPm1-$G1710+0.5)/$C$1696))-MIN(1,MAX(0,(nr_MStartPm1-1-$G1710+0.5)/$C$1696))</f>
        <v/>
      </c>
      <c r="Q1710" s="208">
        <f>MIN(1,MAX(0,(nr_MEndP-$G1710+0.5)/$C$1696))-MIN(1,MAX(0,(nr_MStartP-1-$G1710+0.5)/$C$1696))</f>
        <v/>
      </c>
      <c r="R1710" s="208">
        <f>MIN(1,MAX(0,(nr_MEndP1-$G1710+0.5)/$C$1696))-MIN(1,MAX(0,(nr_MStartP1-1-$G1710+0.5)/$C$1696))</f>
        <v/>
      </c>
      <c r="S1710" s="208">
        <f>IF($L$1696,$N1710*IF($O$1696=1,$O1710/$F$1696,1),"")</f>
        <v/>
      </c>
      <c r="T1710" s="208">
        <f>IF(NOT($L$1696),"",IF($G1710&lt;nr_MStartP,$S1710,$T1698*(1+IF($G1710&lt;nr_MStartP1,$M$1696,$N$1696))))</f>
        <v/>
      </c>
      <c r="U1710" s="208">
        <f>IF($L$1696,$T1710,$N1710)</f>
        <v/>
      </c>
    </row>
    <row r="1711">
      <c r="A1711" s="145" t="n">
        <v>13</v>
      </c>
      <c r="B1711" s="204">
        <f>EDATE($B1710,1)</f>
        <v/>
      </c>
      <c r="C1711" s="205">
        <f>EOMONTH($B1711,0)</f>
        <v/>
      </c>
      <c r="D1711" s="201">
        <f>$C1711-$B1711+1</f>
        <v/>
      </c>
      <c r="E1711" s="201">
        <f>MONTH($B1711)</f>
        <v/>
      </c>
      <c r="F1711" s="235">
        <f>($B1711+$C1711+1)/2</f>
        <v/>
      </c>
      <c r="G1711" s="201">
        <f>YEAR($B1711)*12+MONTH($B1711)-1</f>
        <v/>
      </c>
      <c r="H1711" s="207">
        <f>IF(OR(nr_SeasonOn="OFF",$D$1696=0,$E$1696=0),1,12*INDEX(se_block,$D$1696,$E1711)/$E$1696)</f>
        <v/>
      </c>
      <c r="I1711" s="208">
        <f>EXP(SUMPRODUCT((rl_eff&lt;$B1711)*(rl_key=$A$1696)*rl_ln1p))</f>
        <v/>
      </c>
      <c r="J1711" s="208">
        <f>EXP(SUMPRODUCT((rl_eff&lt;=$C1711)*(rl_key=$A$1696)*rl_ln1p))</f>
        <v/>
      </c>
      <c r="K1711" s="201">
        <f>COUNTIFS(rl_key,$A$1696,rl_eff,"&gt;="&amp;$B1711,rl_eff,"&lt;="&amp;$C1711)</f>
        <v/>
      </c>
      <c r="L1711" s="201">
        <f>SUMIFS(rl_daysafter,rl_key,$A$1696,rl_effmonth,$B1711,rl_first,1)</f>
        <v/>
      </c>
      <c r="M1711" s="209">
        <f>IF($K1711=0,0,MIN(1,$L1711/$D1711))</f>
        <v/>
      </c>
      <c r="N1711" s="208">
        <f>IF($K1711=0,$J1711,(1-$M1711)*$I1711+$M1711*$J1711)</f>
        <v/>
      </c>
      <c r="O1711" s="209">
        <f>IF($F1711&lt;$B$1697,$E$1697+$I$1697*($F1711-$A$1697),IF($F1711&lt;$C$1697,$F$1697+$J$1697*($F1711-$B$1697),$G$1697+$K$1697*($F1711-$C$1697)))</f>
        <v/>
      </c>
      <c r="P1711" s="208">
        <f>MIN(1,MAX(0,(nr_MEndPm1-$G1711+0.5)/$C$1696))-MIN(1,MAX(0,(nr_MStartPm1-1-$G1711+0.5)/$C$1696))</f>
        <v/>
      </c>
      <c r="Q1711" s="208">
        <f>MIN(1,MAX(0,(nr_MEndP-$G1711+0.5)/$C$1696))-MIN(1,MAX(0,(nr_MStartP-1-$G1711+0.5)/$C$1696))</f>
        <v/>
      </c>
      <c r="R1711" s="208">
        <f>MIN(1,MAX(0,(nr_MEndP1-$G1711+0.5)/$C$1696))-MIN(1,MAX(0,(nr_MStartP1-1-$G1711+0.5)/$C$1696))</f>
        <v/>
      </c>
      <c r="S1711" s="208">
        <f>IF($L$1696,$N1711*IF($O$1696=1,$O1711/$F$1696,1),"")</f>
        <v/>
      </c>
      <c r="T1711" s="208">
        <f>IF(NOT($L$1696),"",IF($G1711&lt;nr_MStartP,$S1711,$T1699*(1+IF($G1711&lt;nr_MStartP1,$M$1696,$N$1696))))</f>
        <v/>
      </c>
      <c r="U1711" s="208">
        <f>IF($L$1696,$T1711,$N1711)</f>
        <v/>
      </c>
    </row>
    <row r="1712">
      <c r="A1712" s="145" t="n">
        <v>14</v>
      </c>
      <c r="B1712" s="204">
        <f>EDATE($B1711,1)</f>
        <v/>
      </c>
      <c r="C1712" s="205">
        <f>EOMONTH($B1712,0)</f>
        <v/>
      </c>
      <c r="D1712" s="201">
        <f>$C1712-$B1712+1</f>
        <v/>
      </c>
      <c r="E1712" s="201">
        <f>MONTH($B1712)</f>
        <v/>
      </c>
      <c r="F1712" s="235">
        <f>($B1712+$C1712+1)/2</f>
        <v/>
      </c>
      <c r="G1712" s="201">
        <f>YEAR($B1712)*12+MONTH($B1712)-1</f>
        <v/>
      </c>
      <c r="H1712" s="207">
        <f>IF(OR(nr_SeasonOn="OFF",$D$1696=0,$E$1696=0),1,12*INDEX(se_block,$D$1696,$E1712)/$E$1696)</f>
        <v/>
      </c>
      <c r="I1712" s="208">
        <f>EXP(SUMPRODUCT((rl_eff&lt;$B1712)*(rl_key=$A$1696)*rl_ln1p))</f>
        <v/>
      </c>
      <c r="J1712" s="208">
        <f>EXP(SUMPRODUCT((rl_eff&lt;=$C1712)*(rl_key=$A$1696)*rl_ln1p))</f>
        <v/>
      </c>
      <c r="K1712" s="201">
        <f>COUNTIFS(rl_key,$A$1696,rl_eff,"&gt;="&amp;$B1712,rl_eff,"&lt;="&amp;$C1712)</f>
        <v/>
      </c>
      <c r="L1712" s="201">
        <f>SUMIFS(rl_daysafter,rl_key,$A$1696,rl_effmonth,$B1712,rl_first,1)</f>
        <v/>
      </c>
      <c r="M1712" s="209">
        <f>IF($K1712=0,0,MIN(1,$L1712/$D1712))</f>
        <v/>
      </c>
      <c r="N1712" s="208">
        <f>IF($K1712=0,$J1712,(1-$M1712)*$I1712+$M1712*$J1712)</f>
        <v/>
      </c>
      <c r="O1712" s="209">
        <f>IF($F1712&lt;$B$1697,$E$1697+$I$1697*($F1712-$A$1697),IF($F1712&lt;$C$1697,$F$1697+$J$1697*($F1712-$B$1697),$G$1697+$K$1697*($F1712-$C$1697)))</f>
        <v/>
      </c>
      <c r="P1712" s="208">
        <f>MIN(1,MAX(0,(nr_MEndPm1-$G1712+0.5)/$C$1696))-MIN(1,MAX(0,(nr_MStartPm1-1-$G1712+0.5)/$C$1696))</f>
        <v/>
      </c>
      <c r="Q1712" s="208">
        <f>MIN(1,MAX(0,(nr_MEndP-$G1712+0.5)/$C$1696))-MIN(1,MAX(0,(nr_MStartP-1-$G1712+0.5)/$C$1696))</f>
        <v/>
      </c>
      <c r="R1712" s="208">
        <f>MIN(1,MAX(0,(nr_MEndP1-$G1712+0.5)/$C$1696))-MIN(1,MAX(0,(nr_MStartP1-1-$G1712+0.5)/$C$1696))</f>
        <v/>
      </c>
      <c r="S1712" s="208">
        <f>IF($L$1696,$N1712*IF($O$1696=1,$O1712/$F$1696,1),"")</f>
        <v/>
      </c>
      <c r="T1712" s="208">
        <f>IF(NOT($L$1696),"",IF($G1712&lt;nr_MStartP,$S1712,$T1700*(1+IF($G1712&lt;nr_MStartP1,$M$1696,$N$1696))))</f>
        <v/>
      </c>
      <c r="U1712" s="208">
        <f>IF($L$1696,$T1712,$N1712)</f>
        <v/>
      </c>
    </row>
    <row r="1713">
      <c r="A1713" s="145" t="n">
        <v>15</v>
      </c>
      <c r="B1713" s="204">
        <f>EDATE($B1712,1)</f>
        <v/>
      </c>
      <c r="C1713" s="205">
        <f>EOMONTH($B1713,0)</f>
        <v/>
      </c>
      <c r="D1713" s="201">
        <f>$C1713-$B1713+1</f>
        <v/>
      </c>
      <c r="E1713" s="201">
        <f>MONTH($B1713)</f>
        <v/>
      </c>
      <c r="F1713" s="235">
        <f>($B1713+$C1713+1)/2</f>
        <v/>
      </c>
      <c r="G1713" s="201">
        <f>YEAR($B1713)*12+MONTH($B1713)-1</f>
        <v/>
      </c>
      <c r="H1713" s="207">
        <f>IF(OR(nr_SeasonOn="OFF",$D$1696=0,$E$1696=0),1,12*INDEX(se_block,$D$1696,$E1713)/$E$1696)</f>
        <v/>
      </c>
      <c r="I1713" s="208">
        <f>EXP(SUMPRODUCT((rl_eff&lt;$B1713)*(rl_key=$A$1696)*rl_ln1p))</f>
        <v/>
      </c>
      <c r="J1713" s="208">
        <f>EXP(SUMPRODUCT((rl_eff&lt;=$C1713)*(rl_key=$A$1696)*rl_ln1p))</f>
        <v/>
      </c>
      <c r="K1713" s="201">
        <f>COUNTIFS(rl_key,$A$1696,rl_eff,"&gt;="&amp;$B1713,rl_eff,"&lt;="&amp;$C1713)</f>
        <v/>
      </c>
      <c r="L1713" s="201">
        <f>SUMIFS(rl_daysafter,rl_key,$A$1696,rl_effmonth,$B1713,rl_first,1)</f>
        <v/>
      </c>
      <c r="M1713" s="209">
        <f>IF($K1713=0,0,MIN(1,$L1713/$D1713))</f>
        <v/>
      </c>
      <c r="N1713" s="208">
        <f>IF($K1713=0,$J1713,(1-$M1713)*$I1713+$M1713*$J1713)</f>
        <v/>
      </c>
      <c r="O1713" s="209">
        <f>IF($F1713&lt;$B$1697,$E$1697+$I$1697*($F1713-$A$1697),IF($F1713&lt;$C$1697,$F$1697+$J$1697*($F1713-$B$1697),$G$1697+$K$1697*($F1713-$C$1697)))</f>
        <v/>
      </c>
      <c r="P1713" s="208">
        <f>MIN(1,MAX(0,(nr_MEndPm1-$G1713+0.5)/$C$1696))-MIN(1,MAX(0,(nr_MStartPm1-1-$G1713+0.5)/$C$1696))</f>
        <v/>
      </c>
      <c r="Q1713" s="208">
        <f>MIN(1,MAX(0,(nr_MEndP-$G1713+0.5)/$C$1696))-MIN(1,MAX(0,(nr_MStartP-1-$G1713+0.5)/$C$1696))</f>
        <v/>
      </c>
      <c r="R1713" s="208">
        <f>MIN(1,MAX(0,(nr_MEndP1-$G1713+0.5)/$C$1696))-MIN(1,MAX(0,(nr_MStartP1-1-$G1713+0.5)/$C$1696))</f>
        <v/>
      </c>
      <c r="S1713" s="208">
        <f>IF($L$1696,$N1713*IF($O$1696=1,$O1713/$F$1696,1),"")</f>
        <v/>
      </c>
      <c r="T1713" s="208">
        <f>IF(NOT($L$1696),"",IF($G1713&lt;nr_MStartP,$S1713,$T1701*(1+IF($G1713&lt;nr_MStartP1,$M$1696,$N$1696))))</f>
        <v/>
      </c>
      <c r="U1713" s="208">
        <f>IF($L$1696,$T1713,$N1713)</f>
        <v/>
      </c>
    </row>
    <row r="1714">
      <c r="A1714" s="145" t="n">
        <v>16</v>
      </c>
      <c r="B1714" s="204">
        <f>EDATE($B1713,1)</f>
        <v/>
      </c>
      <c r="C1714" s="205">
        <f>EOMONTH($B1714,0)</f>
        <v/>
      </c>
      <c r="D1714" s="201">
        <f>$C1714-$B1714+1</f>
        <v/>
      </c>
      <c r="E1714" s="201">
        <f>MONTH($B1714)</f>
        <v/>
      </c>
      <c r="F1714" s="235">
        <f>($B1714+$C1714+1)/2</f>
        <v/>
      </c>
      <c r="G1714" s="201">
        <f>YEAR($B1714)*12+MONTH($B1714)-1</f>
        <v/>
      </c>
      <c r="H1714" s="207">
        <f>IF(OR(nr_SeasonOn="OFF",$D$1696=0,$E$1696=0),1,12*INDEX(se_block,$D$1696,$E1714)/$E$1696)</f>
        <v/>
      </c>
      <c r="I1714" s="208">
        <f>EXP(SUMPRODUCT((rl_eff&lt;$B1714)*(rl_key=$A$1696)*rl_ln1p))</f>
        <v/>
      </c>
      <c r="J1714" s="208">
        <f>EXP(SUMPRODUCT((rl_eff&lt;=$C1714)*(rl_key=$A$1696)*rl_ln1p))</f>
        <v/>
      </c>
      <c r="K1714" s="201">
        <f>COUNTIFS(rl_key,$A$1696,rl_eff,"&gt;="&amp;$B1714,rl_eff,"&lt;="&amp;$C1714)</f>
        <v/>
      </c>
      <c r="L1714" s="201">
        <f>SUMIFS(rl_daysafter,rl_key,$A$1696,rl_effmonth,$B1714,rl_first,1)</f>
        <v/>
      </c>
      <c r="M1714" s="209">
        <f>IF($K1714=0,0,MIN(1,$L1714/$D1714))</f>
        <v/>
      </c>
      <c r="N1714" s="208">
        <f>IF($K1714=0,$J1714,(1-$M1714)*$I1714+$M1714*$J1714)</f>
        <v/>
      </c>
      <c r="O1714" s="209">
        <f>IF($F1714&lt;$B$1697,$E$1697+$I$1697*($F1714-$A$1697),IF($F1714&lt;$C$1697,$F$1697+$J$1697*($F1714-$B$1697),$G$1697+$K$1697*($F1714-$C$1697)))</f>
        <v/>
      </c>
      <c r="P1714" s="208">
        <f>MIN(1,MAX(0,(nr_MEndPm1-$G1714+0.5)/$C$1696))-MIN(1,MAX(0,(nr_MStartPm1-1-$G1714+0.5)/$C$1696))</f>
        <v/>
      </c>
      <c r="Q1714" s="208">
        <f>MIN(1,MAX(0,(nr_MEndP-$G1714+0.5)/$C$1696))-MIN(1,MAX(0,(nr_MStartP-1-$G1714+0.5)/$C$1696))</f>
        <v/>
      </c>
      <c r="R1714" s="208">
        <f>MIN(1,MAX(0,(nr_MEndP1-$G1714+0.5)/$C$1696))-MIN(1,MAX(0,(nr_MStartP1-1-$G1714+0.5)/$C$1696))</f>
        <v/>
      </c>
      <c r="S1714" s="208">
        <f>IF($L$1696,$N1714*IF($O$1696=1,$O1714/$F$1696,1),"")</f>
        <v/>
      </c>
      <c r="T1714" s="208">
        <f>IF(NOT($L$1696),"",IF($G1714&lt;nr_MStartP,$S1714,$T1702*(1+IF($G1714&lt;nr_MStartP1,$M$1696,$N$1696))))</f>
        <v/>
      </c>
      <c r="U1714" s="208">
        <f>IF($L$1696,$T1714,$N1714)</f>
        <v/>
      </c>
    </row>
    <row r="1715">
      <c r="A1715" s="145" t="n">
        <v>17</v>
      </c>
      <c r="B1715" s="204">
        <f>EDATE($B1714,1)</f>
        <v/>
      </c>
      <c r="C1715" s="205">
        <f>EOMONTH($B1715,0)</f>
        <v/>
      </c>
      <c r="D1715" s="201">
        <f>$C1715-$B1715+1</f>
        <v/>
      </c>
      <c r="E1715" s="201">
        <f>MONTH($B1715)</f>
        <v/>
      </c>
      <c r="F1715" s="235">
        <f>($B1715+$C1715+1)/2</f>
        <v/>
      </c>
      <c r="G1715" s="201">
        <f>YEAR($B1715)*12+MONTH($B1715)-1</f>
        <v/>
      </c>
      <c r="H1715" s="207">
        <f>IF(OR(nr_SeasonOn="OFF",$D$1696=0,$E$1696=0),1,12*INDEX(se_block,$D$1696,$E1715)/$E$1696)</f>
        <v/>
      </c>
      <c r="I1715" s="208">
        <f>EXP(SUMPRODUCT((rl_eff&lt;$B1715)*(rl_key=$A$1696)*rl_ln1p))</f>
        <v/>
      </c>
      <c r="J1715" s="208">
        <f>EXP(SUMPRODUCT((rl_eff&lt;=$C1715)*(rl_key=$A$1696)*rl_ln1p))</f>
        <v/>
      </c>
      <c r="K1715" s="201">
        <f>COUNTIFS(rl_key,$A$1696,rl_eff,"&gt;="&amp;$B1715,rl_eff,"&lt;="&amp;$C1715)</f>
        <v/>
      </c>
      <c r="L1715" s="201">
        <f>SUMIFS(rl_daysafter,rl_key,$A$1696,rl_effmonth,$B1715,rl_first,1)</f>
        <v/>
      </c>
      <c r="M1715" s="209">
        <f>IF($K1715=0,0,MIN(1,$L1715/$D1715))</f>
        <v/>
      </c>
      <c r="N1715" s="208">
        <f>IF($K1715=0,$J1715,(1-$M1715)*$I1715+$M1715*$J1715)</f>
        <v/>
      </c>
      <c r="O1715" s="209">
        <f>IF($F1715&lt;$B$1697,$E$1697+$I$1697*($F1715-$A$1697),IF($F1715&lt;$C$1697,$F$1697+$J$1697*($F1715-$B$1697),$G$1697+$K$1697*($F1715-$C$1697)))</f>
        <v/>
      </c>
      <c r="P1715" s="208">
        <f>MIN(1,MAX(0,(nr_MEndPm1-$G1715+0.5)/$C$1696))-MIN(1,MAX(0,(nr_MStartPm1-1-$G1715+0.5)/$C$1696))</f>
        <v/>
      </c>
      <c r="Q1715" s="208">
        <f>MIN(1,MAX(0,(nr_MEndP-$G1715+0.5)/$C$1696))-MIN(1,MAX(0,(nr_MStartP-1-$G1715+0.5)/$C$1696))</f>
        <v/>
      </c>
      <c r="R1715" s="208">
        <f>MIN(1,MAX(0,(nr_MEndP1-$G1715+0.5)/$C$1696))-MIN(1,MAX(0,(nr_MStartP1-1-$G1715+0.5)/$C$1696))</f>
        <v/>
      </c>
      <c r="S1715" s="208">
        <f>IF($L$1696,$N1715*IF($O$1696=1,$O1715/$F$1696,1),"")</f>
        <v/>
      </c>
      <c r="T1715" s="208">
        <f>IF(NOT($L$1696),"",IF($G1715&lt;nr_MStartP,$S1715,$T1703*(1+IF($G1715&lt;nr_MStartP1,$M$1696,$N$1696))))</f>
        <v/>
      </c>
      <c r="U1715" s="208">
        <f>IF($L$1696,$T1715,$N1715)</f>
        <v/>
      </c>
    </row>
    <row r="1716">
      <c r="A1716" s="145" t="n">
        <v>18</v>
      </c>
      <c r="B1716" s="204">
        <f>EDATE($B1715,1)</f>
        <v/>
      </c>
      <c r="C1716" s="205">
        <f>EOMONTH($B1716,0)</f>
        <v/>
      </c>
      <c r="D1716" s="201">
        <f>$C1716-$B1716+1</f>
        <v/>
      </c>
      <c r="E1716" s="201">
        <f>MONTH($B1716)</f>
        <v/>
      </c>
      <c r="F1716" s="235">
        <f>($B1716+$C1716+1)/2</f>
        <v/>
      </c>
      <c r="G1716" s="201">
        <f>YEAR($B1716)*12+MONTH($B1716)-1</f>
        <v/>
      </c>
      <c r="H1716" s="207">
        <f>IF(OR(nr_SeasonOn="OFF",$D$1696=0,$E$1696=0),1,12*INDEX(se_block,$D$1696,$E1716)/$E$1696)</f>
        <v/>
      </c>
      <c r="I1716" s="208">
        <f>EXP(SUMPRODUCT((rl_eff&lt;$B1716)*(rl_key=$A$1696)*rl_ln1p))</f>
        <v/>
      </c>
      <c r="J1716" s="208">
        <f>EXP(SUMPRODUCT((rl_eff&lt;=$C1716)*(rl_key=$A$1696)*rl_ln1p))</f>
        <v/>
      </c>
      <c r="K1716" s="201">
        <f>COUNTIFS(rl_key,$A$1696,rl_eff,"&gt;="&amp;$B1716,rl_eff,"&lt;="&amp;$C1716)</f>
        <v/>
      </c>
      <c r="L1716" s="201">
        <f>SUMIFS(rl_daysafter,rl_key,$A$1696,rl_effmonth,$B1716,rl_first,1)</f>
        <v/>
      </c>
      <c r="M1716" s="209">
        <f>IF($K1716=0,0,MIN(1,$L1716/$D1716))</f>
        <v/>
      </c>
      <c r="N1716" s="208">
        <f>IF($K1716=0,$J1716,(1-$M1716)*$I1716+$M1716*$J1716)</f>
        <v/>
      </c>
      <c r="O1716" s="209">
        <f>IF($F1716&lt;$B$1697,$E$1697+$I$1697*($F1716-$A$1697),IF($F1716&lt;$C$1697,$F$1697+$J$1697*($F1716-$B$1697),$G$1697+$K$1697*($F1716-$C$1697)))</f>
        <v/>
      </c>
      <c r="P1716" s="208">
        <f>MIN(1,MAX(0,(nr_MEndPm1-$G1716+0.5)/$C$1696))-MIN(1,MAX(0,(nr_MStartPm1-1-$G1716+0.5)/$C$1696))</f>
        <v/>
      </c>
      <c r="Q1716" s="208">
        <f>MIN(1,MAX(0,(nr_MEndP-$G1716+0.5)/$C$1696))-MIN(1,MAX(0,(nr_MStartP-1-$G1716+0.5)/$C$1696))</f>
        <v/>
      </c>
      <c r="R1716" s="208">
        <f>MIN(1,MAX(0,(nr_MEndP1-$G1716+0.5)/$C$1696))-MIN(1,MAX(0,(nr_MStartP1-1-$G1716+0.5)/$C$1696))</f>
        <v/>
      </c>
      <c r="S1716" s="208">
        <f>IF($L$1696,$N1716*IF($O$1696=1,$O1716/$F$1696,1),"")</f>
        <v/>
      </c>
      <c r="T1716" s="208">
        <f>IF(NOT($L$1696),"",IF($G1716&lt;nr_MStartP,$S1716,$T1704*(1+IF($G1716&lt;nr_MStartP1,$M$1696,$N$1696))))</f>
        <v/>
      </c>
      <c r="U1716" s="208">
        <f>IF($L$1696,$T1716,$N1716)</f>
        <v/>
      </c>
    </row>
    <row r="1717">
      <c r="A1717" s="145" t="n">
        <v>19</v>
      </c>
      <c r="B1717" s="204">
        <f>EDATE($B1716,1)</f>
        <v/>
      </c>
      <c r="C1717" s="205">
        <f>EOMONTH($B1717,0)</f>
        <v/>
      </c>
      <c r="D1717" s="201">
        <f>$C1717-$B1717+1</f>
        <v/>
      </c>
      <c r="E1717" s="201">
        <f>MONTH($B1717)</f>
        <v/>
      </c>
      <c r="F1717" s="235">
        <f>($B1717+$C1717+1)/2</f>
        <v/>
      </c>
      <c r="G1717" s="201">
        <f>YEAR($B1717)*12+MONTH($B1717)-1</f>
        <v/>
      </c>
      <c r="H1717" s="207">
        <f>IF(OR(nr_SeasonOn="OFF",$D$1696=0,$E$1696=0),1,12*INDEX(se_block,$D$1696,$E1717)/$E$1696)</f>
        <v/>
      </c>
      <c r="I1717" s="208">
        <f>EXP(SUMPRODUCT((rl_eff&lt;$B1717)*(rl_key=$A$1696)*rl_ln1p))</f>
        <v/>
      </c>
      <c r="J1717" s="208">
        <f>EXP(SUMPRODUCT((rl_eff&lt;=$C1717)*(rl_key=$A$1696)*rl_ln1p))</f>
        <v/>
      </c>
      <c r="K1717" s="201">
        <f>COUNTIFS(rl_key,$A$1696,rl_eff,"&gt;="&amp;$B1717,rl_eff,"&lt;="&amp;$C1717)</f>
        <v/>
      </c>
      <c r="L1717" s="201">
        <f>SUMIFS(rl_daysafter,rl_key,$A$1696,rl_effmonth,$B1717,rl_first,1)</f>
        <v/>
      </c>
      <c r="M1717" s="209">
        <f>IF($K1717=0,0,MIN(1,$L1717/$D1717))</f>
        <v/>
      </c>
      <c r="N1717" s="208">
        <f>IF($K1717=0,$J1717,(1-$M1717)*$I1717+$M1717*$J1717)</f>
        <v/>
      </c>
      <c r="O1717" s="209">
        <f>IF($F1717&lt;$B$1697,$E$1697+$I$1697*($F1717-$A$1697),IF($F1717&lt;$C$1697,$F$1697+$J$1697*($F1717-$B$1697),$G$1697+$K$1697*($F1717-$C$1697)))</f>
        <v/>
      </c>
      <c r="P1717" s="208">
        <f>MIN(1,MAX(0,(nr_MEndPm1-$G1717+0.5)/$C$1696))-MIN(1,MAX(0,(nr_MStartPm1-1-$G1717+0.5)/$C$1696))</f>
        <v/>
      </c>
      <c r="Q1717" s="208">
        <f>MIN(1,MAX(0,(nr_MEndP-$G1717+0.5)/$C$1696))-MIN(1,MAX(0,(nr_MStartP-1-$G1717+0.5)/$C$1696))</f>
        <v/>
      </c>
      <c r="R1717" s="208">
        <f>MIN(1,MAX(0,(nr_MEndP1-$G1717+0.5)/$C$1696))-MIN(1,MAX(0,(nr_MStartP1-1-$G1717+0.5)/$C$1696))</f>
        <v/>
      </c>
      <c r="S1717" s="208">
        <f>IF($L$1696,$N1717*IF($O$1696=1,$O1717/$F$1696,1),"")</f>
        <v/>
      </c>
      <c r="T1717" s="208">
        <f>IF(NOT($L$1696),"",IF($G1717&lt;nr_MStartP,$S1717,$T1705*(1+IF($G1717&lt;nr_MStartP1,$M$1696,$N$1696))))</f>
        <v/>
      </c>
      <c r="U1717" s="208">
        <f>IF($L$1696,$T1717,$N1717)</f>
        <v/>
      </c>
    </row>
    <row r="1718">
      <c r="A1718" s="145" t="n">
        <v>20</v>
      </c>
      <c r="B1718" s="204">
        <f>EDATE($B1717,1)</f>
        <v/>
      </c>
      <c r="C1718" s="205">
        <f>EOMONTH($B1718,0)</f>
        <v/>
      </c>
      <c r="D1718" s="201">
        <f>$C1718-$B1718+1</f>
        <v/>
      </c>
      <c r="E1718" s="201">
        <f>MONTH($B1718)</f>
        <v/>
      </c>
      <c r="F1718" s="235">
        <f>($B1718+$C1718+1)/2</f>
        <v/>
      </c>
      <c r="G1718" s="201">
        <f>YEAR($B1718)*12+MONTH($B1718)-1</f>
        <v/>
      </c>
      <c r="H1718" s="207">
        <f>IF(OR(nr_SeasonOn="OFF",$D$1696=0,$E$1696=0),1,12*INDEX(se_block,$D$1696,$E1718)/$E$1696)</f>
        <v/>
      </c>
      <c r="I1718" s="208">
        <f>EXP(SUMPRODUCT((rl_eff&lt;$B1718)*(rl_key=$A$1696)*rl_ln1p))</f>
        <v/>
      </c>
      <c r="J1718" s="208">
        <f>EXP(SUMPRODUCT((rl_eff&lt;=$C1718)*(rl_key=$A$1696)*rl_ln1p))</f>
        <v/>
      </c>
      <c r="K1718" s="201">
        <f>COUNTIFS(rl_key,$A$1696,rl_eff,"&gt;="&amp;$B1718,rl_eff,"&lt;="&amp;$C1718)</f>
        <v/>
      </c>
      <c r="L1718" s="201">
        <f>SUMIFS(rl_daysafter,rl_key,$A$1696,rl_effmonth,$B1718,rl_first,1)</f>
        <v/>
      </c>
      <c r="M1718" s="209">
        <f>IF($K1718=0,0,MIN(1,$L1718/$D1718))</f>
        <v/>
      </c>
      <c r="N1718" s="208">
        <f>IF($K1718=0,$J1718,(1-$M1718)*$I1718+$M1718*$J1718)</f>
        <v/>
      </c>
      <c r="O1718" s="209">
        <f>IF($F1718&lt;$B$1697,$E$1697+$I$1697*($F1718-$A$1697),IF($F1718&lt;$C$1697,$F$1697+$J$1697*($F1718-$B$1697),$G$1697+$K$1697*($F1718-$C$1697)))</f>
        <v/>
      </c>
      <c r="P1718" s="208">
        <f>MIN(1,MAX(0,(nr_MEndPm1-$G1718+0.5)/$C$1696))-MIN(1,MAX(0,(nr_MStartPm1-1-$G1718+0.5)/$C$1696))</f>
        <v/>
      </c>
      <c r="Q1718" s="208">
        <f>MIN(1,MAX(0,(nr_MEndP-$G1718+0.5)/$C$1696))-MIN(1,MAX(0,(nr_MStartP-1-$G1718+0.5)/$C$1696))</f>
        <v/>
      </c>
      <c r="R1718" s="208">
        <f>MIN(1,MAX(0,(nr_MEndP1-$G1718+0.5)/$C$1696))-MIN(1,MAX(0,(nr_MStartP1-1-$G1718+0.5)/$C$1696))</f>
        <v/>
      </c>
      <c r="S1718" s="208">
        <f>IF($L$1696,$N1718*IF($O$1696=1,$O1718/$F$1696,1),"")</f>
        <v/>
      </c>
      <c r="T1718" s="208">
        <f>IF(NOT($L$1696),"",IF($G1718&lt;nr_MStartP,$S1718,$T1706*(1+IF($G1718&lt;nr_MStartP1,$M$1696,$N$1696))))</f>
        <v/>
      </c>
      <c r="U1718" s="208">
        <f>IF($L$1696,$T1718,$N1718)</f>
        <v/>
      </c>
    </row>
    <row r="1719">
      <c r="A1719" s="145" t="n">
        <v>21</v>
      </c>
      <c r="B1719" s="204">
        <f>EDATE($B1718,1)</f>
        <v/>
      </c>
      <c r="C1719" s="205">
        <f>EOMONTH($B1719,0)</f>
        <v/>
      </c>
      <c r="D1719" s="201">
        <f>$C1719-$B1719+1</f>
        <v/>
      </c>
      <c r="E1719" s="201">
        <f>MONTH($B1719)</f>
        <v/>
      </c>
      <c r="F1719" s="235">
        <f>($B1719+$C1719+1)/2</f>
        <v/>
      </c>
      <c r="G1719" s="201">
        <f>YEAR($B1719)*12+MONTH($B1719)-1</f>
        <v/>
      </c>
      <c r="H1719" s="207">
        <f>IF(OR(nr_SeasonOn="OFF",$D$1696=0,$E$1696=0),1,12*INDEX(se_block,$D$1696,$E1719)/$E$1696)</f>
        <v/>
      </c>
      <c r="I1719" s="208">
        <f>EXP(SUMPRODUCT((rl_eff&lt;$B1719)*(rl_key=$A$1696)*rl_ln1p))</f>
        <v/>
      </c>
      <c r="J1719" s="208">
        <f>EXP(SUMPRODUCT((rl_eff&lt;=$C1719)*(rl_key=$A$1696)*rl_ln1p))</f>
        <v/>
      </c>
      <c r="K1719" s="201">
        <f>COUNTIFS(rl_key,$A$1696,rl_eff,"&gt;="&amp;$B1719,rl_eff,"&lt;="&amp;$C1719)</f>
        <v/>
      </c>
      <c r="L1719" s="201">
        <f>SUMIFS(rl_daysafter,rl_key,$A$1696,rl_effmonth,$B1719,rl_first,1)</f>
        <v/>
      </c>
      <c r="M1719" s="209">
        <f>IF($K1719=0,0,MIN(1,$L1719/$D1719))</f>
        <v/>
      </c>
      <c r="N1719" s="208">
        <f>IF($K1719=0,$J1719,(1-$M1719)*$I1719+$M1719*$J1719)</f>
        <v/>
      </c>
      <c r="O1719" s="209">
        <f>IF($F1719&lt;$B$1697,$E$1697+$I$1697*($F1719-$A$1697),IF($F1719&lt;$C$1697,$F$1697+$J$1697*($F1719-$B$1697),$G$1697+$K$1697*($F1719-$C$1697)))</f>
        <v/>
      </c>
      <c r="P1719" s="208">
        <f>MIN(1,MAX(0,(nr_MEndPm1-$G1719+0.5)/$C$1696))-MIN(1,MAX(0,(nr_MStartPm1-1-$G1719+0.5)/$C$1696))</f>
        <v/>
      </c>
      <c r="Q1719" s="208">
        <f>MIN(1,MAX(0,(nr_MEndP-$G1719+0.5)/$C$1696))-MIN(1,MAX(0,(nr_MStartP-1-$G1719+0.5)/$C$1696))</f>
        <v/>
      </c>
      <c r="R1719" s="208">
        <f>MIN(1,MAX(0,(nr_MEndP1-$G1719+0.5)/$C$1696))-MIN(1,MAX(0,(nr_MStartP1-1-$G1719+0.5)/$C$1696))</f>
        <v/>
      </c>
      <c r="S1719" s="208">
        <f>IF($L$1696,$N1719*IF($O$1696=1,$O1719/$F$1696,1),"")</f>
        <v/>
      </c>
      <c r="T1719" s="208">
        <f>IF(NOT($L$1696),"",IF($G1719&lt;nr_MStartP,$S1719,$T1707*(1+IF($G1719&lt;nr_MStartP1,$M$1696,$N$1696))))</f>
        <v/>
      </c>
      <c r="U1719" s="208">
        <f>IF($L$1696,$T1719,$N1719)</f>
        <v/>
      </c>
    </row>
    <row r="1720">
      <c r="A1720" s="145" t="n">
        <v>22</v>
      </c>
      <c r="B1720" s="204">
        <f>EDATE($B1719,1)</f>
        <v/>
      </c>
      <c r="C1720" s="205">
        <f>EOMONTH($B1720,0)</f>
        <v/>
      </c>
      <c r="D1720" s="201">
        <f>$C1720-$B1720+1</f>
        <v/>
      </c>
      <c r="E1720" s="201">
        <f>MONTH($B1720)</f>
        <v/>
      </c>
      <c r="F1720" s="235">
        <f>($B1720+$C1720+1)/2</f>
        <v/>
      </c>
      <c r="G1720" s="201">
        <f>YEAR($B1720)*12+MONTH($B1720)-1</f>
        <v/>
      </c>
      <c r="H1720" s="207">
        <f>IF(OR(nr_SeasonOn="OFF",$D$1696=0,$E$1696=0),1,12*INDEX(se_block,$D$1696,$E1720)/$E$1696)</f>
        <v/>
      </c>
      <c r="I1720" s="208">
        <f>EXP(SUMPRODUCT((rl_eff&lt;$B1720)*(rl_key=$A$1696)*rl_ln1p))</f>
        <v/>
      </c>
      <c r="J1720" s="208">
        <f>EXP(SUMPRODUCT((rl_eff&lt;=$C1720)*(rl_key=$A$1696)*rl_ln1p))</f>
        <v/>
      </c>
      <c r="K1720" s="201">
        <f>COUNTIFS(rl_key,$A$1696,rl_eff,"&gt;="&amp;$B1720,rl_eff,"&lt;="&amp;$C1720)</f>
        <v/>
      </c>
      <c r="L1720" s="201">
        <f>SUMIFS(rl_daysafter,rl_key,$A$1696,rl_effmonth,$B1720,rl_first,1)</f>
        <v/>
      </c>
      <c r="M1720" s="209">
        <f>IF($K1720=0,0,MIN(1,$L1720/$D1720))</f>
        <v/>
      </c>
      <c r="N1720" s="208">
        <f>IF($K1720=0,$J1720,(1-$M1720)*$I1720+$M1720*$J1720)</f>
        <v/>
      </c>
      <c r="O1720" s="209">
        <f>IF($F1720&lt;$B$1697,$E$1697+$I$1697*($F1720-$A$1697),IF($F1720&lt;$C$1697,$F$1697+$J$1697*($F1720-$B$1697),$G$1697+$K$1697*($F1720-$C$1697)))</f>
        <v/>
      </c>
      <c r="P1720" s="208">
        <f>MIN(1,MAX(0,(nr_MEndPm1-$G1720+0.5)/$C$1696))-MIN(1,MAX(0,(nr_MStartPm1-1-$G1720+0.5)/$C$1696))</f>
        <v/>
      </c>
      <c r="Q1720" s="208">
        <f>MIN(1,MAX(0,(nr_MEndP-$G1720+0.5)/$C$1696))-MIN(1,MAX(0,(nr_MStartP-1-$G1720+0.5)/$C$1696))</f>
        <v/>
      </c>
      <c r="R1720" s="208">
        <f>MIN(1,MAX(0,(nr_MEndP1-$G1720+0.5)/$C$1696))-MIN(1,MAX(0,(nr_MStartP1-1-$G1720+0.5)/$C$1696))</f>
        <v/>
      </c>
      <c r="S1720" s="208">
        <f>IF($L$1696,$N1720*IF($O$1696=1,$O1720/$F$1696,1),"")</f>
        <v/>
      </c>
      <c r="T1720" s="208">
        <f>IF(NOT($L$1696),"",IF($G1720&lt;nr_MStartP,$S1720,$T1708*(1+IF($G1720&lt;nr_MStartP1,$M$1696,$N$1696))))</f>
        <v/>
      </c>
      <c r="U1720" s="208">
        <f>IF($L$1696,$T1720,$N1720)</f>
        <v/>
      </c>
    </row>
    <row r="1721">
      <c r="A1721" s="145" t="n">
        <v>23</v>
      </c>
      <c r="B1721" s="204">
        <f>EDATE($B1720,1)</f>
        <v/>
      </c>
      <c r="C1721" s="205">
        <f>EOMONTH($B1721,0)</f>
        <v/>
      </c>
      <c r="D1721" s="201">
        <f>$C1721-$B1721+1</f>
        <v/>
      </c>
      <c r="E1721" s="201">
        <f>MONTH($B1721)</f>
        <v/>
      </c>
      <c r="F1721" s="235">
        <f>($B1721+$C1721+1)/2</f>
        <v/>
      </c>
      <c r="G1721" s="201">
        <f>YEAR($B1721)*12+MONTH($B1721)-1</f>
        <v/>
      </c>
      <c r="H1721" s="207">
        <f>IF(OR(nr_SeasonOn="OFF",$D$1696=0,$E$1696=0),1,12*INDEX(se_block,$D$1696,$E1721)/$E$1696)</f>
        <v/>
      </c>
      <c r="I1721" s="208">
        <f>EXP(SUMPRODUCT((rl_eff&lt;$B1721)*(rl_key=$A$1696)*rl_ln1p))</f>
        <v/>
      </c>
      <c r="J1721" s="208">
        <f>EXP(SUMPRODUCT((rl_eff&lt;=$C1721)*(rl_key=$A$1696)*rl_ln1p))</f>
        <v/>
      </c>
      <c r="K1721" s="201">
        <f>COUNTIFS(rl_key,$A$1696,rl_eff,"&gt;="&amp;$B1721,rl_eff,"&lt;="&amp;$C1721)</f>
        <v/>
      </c>
      <c r="L1721" s="201">
        <f>SUMIFS(rl_daysafter,rl_key,$A$1696,rl_effmonth,$B1721,rl_first,1)</f>
        <v/>
      </c>
      <c r="M1721" s="209">
        <f>IF($K1721=0,0,MIN(1,$L1721/$D1721))</f>
        <v/>
      </c>
      <c r="N1721" s="208">
        <f>IF($K1721=0,$J1721,(1-$M1721)*$I1721+$M1721*$J1721)</f>
        <v/>
      </c>
      <c r="O1721" s="209">
        <f>IF($F1721&lt;$B$1697,$E$1697+$I$1697*($F1721-$A$1697),IF($F1721&lt;$C$1697,$F$1697+$J$1697*($F1721-$B$1697),$G$1697+$K$1697*($F1721-$C$1697)))</f>
        <v/>
      </c>
      <c r="P1721" s="208">
        <f>MIN(1,MAX(0,(nr_MEndPm1-$G1721+0.5)/$C$1696))-MIN(1,MAX(0,(nr_MStartPm1-1-$G1721+0.5)/$C$1696))</f>
        <v/>
      </c>
      <c r="Q1721" s="208">
        <f>MIN(1,MAX(0,(nr_MEndP-$G1721+0.5)/$C$1696))-MIN(1,MAX(0,(nr_MStartP-1-$G1721+0.5)/$C$1696))</f>
        <v/>
      </c>
      <c r="R1721" s="208">
        <f>MIN(1,MAX(0,(nr_MEndP1-$G1721+0.5)/$C$1696))-MIN(1,MAX(0,(nr_MStartP1-1-$G1721+0.5)/$C$1696))</f>
        <v/>
      </c>
      <c r="S1721" s="208">
        <f>IF($L$1696,$N1721*IF($O$1696=1,$O1721/$F$1696,1),"")</f>
        <v/>
      </c>
      <c r="T1721" s="208">
        <f>IF(NOT($L$1696),"",IF($G1721&lt;nr_MStartP,$S1721,$T1709*(1+IF($G1721&lt;nr_MStartP1,$M$1696,$N$1696))))</f>
        <v/>
      </c>
      <c r="U1721" s="208">
        <f>IF($L$1696,$T1721,$N1721)</f>
        <v/>
      </c>
    </row>
    <row r="1722">
      <c r="A1722" s="145" t="n">
        <v>24</v>
      </c>
      <c r="B1722" s="204">
        <f>EDATE($B1721,1)</f>
        <v/>
      </c>
      <c r="C1722" s="205">
        <f>EOMONTH($B1722,0)</f>
        <v/>
      </c>
      <c r="D1722" s="201">
        <f>$C1722-$B1722+1</f>
        <v/>
      </c>
      <c r="E1722" s="201">
        <f>MONTH($B1722)</f>
        <v/>
      </c>
      <c r="F1722" s="235">
        <f>($B1722+$C1722+1)/2</f>
        <v/>
      </c>
      <c r="G1722" s="201">
        <f>YEAR($B1722)*12+MONTH($B1722)-1</f>
        <v/>
      </c>
      <c r="H1722" s="207">
        <f>IF(OR(nr_SeasonOn="OFF",$D$1696=0,$E$1696=0),1,12*INDEX(se_block,$D$1696,$E1722)/$E$1696)</f>
        <v/>
      </c>
      <c r="I1722" s="208">
        <f>EXP(SUMPRODUCT((rl_eff&lt;$B1722)*(rl_key=$A$1696)*rl_ln1p))</f>
        <v/>
      </c>
      <c r="J1722" s="208">
        <f>EXP(SUMPRODUCT((rl_eff&lt;=$C1722)*(rl_key=$A$1696)*rl_ln1p))</f>
        <v/>
      </c>
      <c r="K1722" s="201">
        <f>COUNTIFS(rl_key,$A$1696,rl_eff,"&gt;="&amp;$B1722,rl_eff,"&lt;="&amp;$C1722)</f>
        <v/>
      </c>
      <c r="L1722" s="201">
        <f>SUMIFS(rl_daysafter,rl_key,$A$1696,rl_effmonth,$B1722,rl_first,1)</f>
        <v/>
      </c>
      <c r="M1722" s="209">
        <f>IF($K1722=0,0,MIN(1,$L1722/$D1722))</f>
        <v/>
      </c>
      <c r="N1722" s="208">
        <f>IF($K1722=0,$J1722,(1-$M1722)*$I1722+$M1722*$J1722)</f>
        <v/>
      </c>
      <c r="O1722" s="209">
        <f>IF($F1722&lt;$B$1697,$E$1697+$I$1697*($F1722-$A$1697),IF($F1722&lt;$C$1697,$F$1697+$J$1697*($F1722-$B$1697),$G$1697+$K$1697*($F1722-$C$1697)))</f>
        <v/>
      </c>
      <c r="P1722" s="208">
        <f>MIN(1,MAX(0,(nr_MEndPm1-$G1722+0.5)/$C$1696))-MIN(1,MAX(0,(nr_MStartPm1-1-$G1722+0.5)/$C$1696))</f>
        <v/>
      </c>
      <c r="Q1722" s="208">
        <f>MIN(1,MAX(0,(nr_MEndP-$G1722+0.5)/$C$1696))-MIN(1,MAX(0,(nr_MStartP-1-$G1722+0.5)/$C$1696))</f>
        <v/>
      </c>
      <c r="R1722" s="208">
        <f>MIN(1,MAX(0,(nr_MEndP1-$G1722+0.5)/$C$1696))-MIN(1,MAX(0,(nr_MStartP1-1-$G1722+0.5)/$C$1696))</f>
        <v/>
      </c>
      <c r="S1722" s="208">
        <f>IF($L$1696,$N1722*IF($O$1696=1,$O1722/$F$1696,1),"")</f>
        <v/>
      </c>
      <c r="T1722" s="208">
        <f>IF(NOT($L$1696),"",IF($G1722&lt;nr_MStartP,$S1722,$T1710*(1+IF($G1722&lt;nr_MStartP1,$M$1696,$N$1696))))</f>
        <v/>
      </c>
      <c r="U1722" s="208">
        <f>IF($L$1696,$T1722,$N1722)</f>
        <v/>
      </c>
    </row>
    <row r="1723">
      <c r="A1723" s="145" t="n">
        <v>25</v>
      </c>
      <c r="B1723" s="204">
        <f>EDATE($B1722,1)</f>
        <v/>
      </c>
      <c r="C1723" s="205">
        <f>EOMONTH($B1723,0)</f>
        <v/>
      </c>
      <c r="D1723" s="201">
        <f>$C1723-$B1723+1</f>
        <v/>
      </c>
      <c r="E1723" s="201">
        <f>MONTH($B1723)</f>
        <v/>
      </c>
      <c r="F1723" s="235">
        <f>($B1723+$C1723+1)/2</f>
        <v/>
      </c>
      <c r="G1723" s="201">
        <f>YEAR($B1723)*12+MONTH($B1723)-1</f>
        <v/>
      </c>
      <c r="H1723" s="207">
        <f>IF(OR(nr_SeasonOn="OFF",$D$1696=0,$E$1696=0),1,12*INDEX(se_block,$D$1696,$E1723)/$E$1696)</f>
        <v/>
      </c>
      <c r="I1723" s="208">
        <f>EXP(SUMPRODUCT((rl_eff&lt;$B1723)*(rl_key=$A$1696)*rl_ln1p))</f>
        <v/>
      </c>
      <c r="J1723" s="208">
        <f>EXP(SUMPRODUCT((rl_eff&lt;=$C1723)*(rl_key=$A$1696)*rl_ln1p))</f>
        <v/>
      </c>
      <c r="K1723" s="201">
        <f>COUNTIFS(rl_key,$A$1696,rl_eff,"&gt;="&amp;$B1723,rl_eff,"&lt;="&amp;$C1723)</f>
        <v/>
      </c>
      <c r="L1723" s="201">
        <f>SUMIFS(rl_daysafter,rl_key,$A$1696,rl_effmonth,$B1723,rl_first,1)</f>
        <v/>
      </c>
      <c r="M1723" s="209">
        <f>IF($K1723=0,0,MIN(1,$L1723/$D1723))</f>
        <v/>
      </c>
      <c r="N1723" s="208">
        <f>IF($K1723=0,$J1723,(1-$M1723)*$I1723+$M1723*$J1723)</f>
        <v/>
      </c>
      <c r="O1723" s="209">
        <f>IF($F1723&lt;$B$1697,$E$1697+$I$1697*($F1723-$A$1697),IF($F1723&lt;$C$1697,$F$1697+$J$1697*($F1723-$B$1697),$G$1697+$K$1697*($F1723-$C$1697)))</f>
        <v/>
      </c>
      <c r="P1723" s="208">
        <f>MIN(1,MAX(0,(nr_MEndPm1-$G1723+0.5)/$C$1696))-MIN(1,MAX(0,(nr_MStartPm1-1-$G1723+0.5)/$C$1696))</f>
        <v/>
      </c>
      <c r="Q1723" s="208">
        <f>MIN(1,MAX(0,(nr_MEndP-$G1723+0.5)/$C$1696))-MIN(1,MAX(0,(nr_MStartP-1-$G1723+0.5)/$C$1696))</f>
        <v/>
      </c>
      <c r="R1723" s="208">
        <f>MIN(1,MAX(0,(nr_MEndP1-$G1723+0.5)/$C$1696))-MIN(1,MAX(0,(nr_MStartP1-1-$G1723+0.5)/$C$1696))</f>
        <v/>
      </c>
      <c r="S1723" s="208">
        <f>IF($L$1696,$N1723*IF($O$1696=1,$O1723/$F$1696,1),"")</f>
        <v/>
      </c>
      <c r="T1723" s="208">
        <f>IF(NOT($L$1696),"",IF($G1723&lt;nr_MStartP,$S1723,$T1711*(1+IF($G1723&lt;nr_MStartP1,$M$1696,$N$1696))))</f>
        <v/>
      </c>
      <c r="U1723" s="208">
        <f>IF($L$1696,$T1723,$N1723)</f>
        <v/>
      </c>
    </row>
    <row r="1724">
      <c r="A1724" s="145" t="n">
        <v>26</v>
      </c>
      <c r="B1724" s="204">
        <f>EDATE($B1723,1)</f>
        <v/>
      </c>
      <c r="C1724" s="205">
        <f>EOMONTH($B1724,0)</f>
        <v/>
      </c>
      <c r="D1724" s="201">
        <f>$C1724-$B1724+1</f>
        <v/>
      </c>
      <c r="E1724" s="201">
        <f>MONTH($B1724)</f>
        <v/>
      </c>
      <c r="F1724" s="235">
        <f>($B1724+$C1724+1)/2</f>
        <v/>
      </c>
      <c r="G1724" s="201">
        <f>YEAR($B1724)*12+MONTH($B1724)-1</f>
        <v/>
      </c>
      <c r="H1724" s="207">
        <f>IF(OR(nr_SeasonOn="OFF",$D$1696=0,$E$1696=0),1,12*INDEX(se_block,$D$1696,$E1724)/$E$1696)</f>
        <v/>
      </c>
      <c r="I1724" s="208">
        <f>EXP(SUMPRODUCT((rl_eff&lt;$B1724)*(rl_key=$A$1696)*rl_ln1p))</f>
        <v/>
      </c>
      <c r="J1724" s="208">
        <f>EXP(SUMPRODUCT((rl_eff&lt;=$C1724)*(rl_key=$A$1696)*rl_ln1p))</f>
        <v/>
      </c>
      <c r="K1724" s="201">
        <f>COUNTIFS(rl_key,$A$1696,rl_eff,"&gt;="&amp;$B1724,rl_eff,"&lt;="&amp;$C1724)</f>
        <v/>
      </c>
      <c r="L1724" s="201">
        <f>SUMIFS(rl_daysafter,rl_key,$A$1696,rl_effmonth,$B1724,rl_first,1)</f>
        <v/>
      </c>
      <c r="M1724" s="209">
        <f>IF($K1724=0,0,MIN(1,$L1724/$D1724))</f>
        <v/>
      </c>
      <c r="N1724" s="208">
        <f>IF($K1724=0,$J1724,(1-$M1724)*$I1724+$M1724*$J1724)</f>
        <v/>
      </c>
      <c r="O1724" s="209">
        <f>IF($F1724&lt;$B$1697,$E$1697+$I$1697*($F1724-$A$1697),IF($F1724&lt;$C$1697,$F$1697+$J$1697*($F1724-$B$1697),$G$1697+$K$1697*($F1724-$C$1697)))</f>
        <v/>
      </c>
      <c r="P1724" s="208">
        <f>MIN(1,MAX(0,(nr_MEndPm1-$G1724+0.5)/$C$1696))-MIN(1,MAX(0,(nr_MStartPm1-1-$G1724+0.5)/$C$1696))</f>
        <v/>
      </c>
      <c r="Q1724" s="208">
        <f>MIN(1,MAX(0,(nr_MEndP-$G1724+0.5)/$C$1696))-MIN(1,MAX(0,(nr_MStartP-1-$G1724+0.5)/$C$1696))</f>
        <v/>
      </c>
      <c r="R1724" s="208">
        <f>MIN(1,MAX(0,(nr_MEndP1-$G1724+0.5)/$C$1696))-MIN(1,MAX(0,(nr_MStartP1-1-$G1724+0.5)/$C$1696))</f>
        <v/>
      </c>
      <c r="S1724" s="208">
        <f>IF($L$1696,$N1724*IF($O$1696=1,$O1724/$F$1696,1),"")</f>
        <v/>
      </c>
      <c r="T1724" s="208">
        <f>IF(NOT($L$1696),"",IF($G1724&lt;nr_MStartP,$S1724,$T1712*(1+IF($G1724&lt;nr_MStartP1,$M$1696,$N$1696))))</f>
        <v/>
      </c>
      <c r="U1724" s="208">
        <f>IF($L$1696,$T1724,$N1724)</f>
        <v/>
      </c>
    </row>
    <row r="1725">
      <c r="A1725" s="145" t="n">
        <v>27</v>
      </c>
      <c r="B1725" s="204">
        <f>EDATE($B1724,1)</f>
        <v/>
      </c>
      <c r="C1725" s="205">
        <f>EOMONTH($B1725,0)</f>
        <v/>
      </c>
      <c r="D1725" s="201">
        <f>$C1725-$B1725+1</f>
        <v/>
      </c>
      <c r="E1725" s="201">
        <f>MONTH($B1725)</f>
        <v/>
      </c>
      <c r="F1725" s="235">
        <f>($B1725+$C1725+1)/2</f>
        <v/>
      </c>
      <c r="G1725" s="201">
        <f>YEAR($B1725)*12+MONTH($B1725)-1</f>
        <v/>
      </c>
      <c r="H1725" s="207">
        <f>IF(OR(nr_SeasonOn="OFF",$D$1696=0,$E$1696=0),1,12*INDEX(se_block,$D$1696,$E1725)/$E$1696)</f>
        <v/>
      </c>
      <c r="I1725" s="208">
        <f>EXP(SUMPRODUCT((rl_eff&lt;$B1725)*(rl_key=$A$1696)*rl_ln1p))</f>
        <v/>
      </c>
      <c r="J1725" s="208">
        <f>EXP(SUMPRODUCT((rl_eff&lt;=$C1725)*(rl_key=$A$1696)*rl_ln1p))</f>
        <v/>
      </c>
      <c r="K1725" s="201">
        <f>COUNTIFS(rl_key,$A$1696,rl_eff,"&gt;="&amp;$B1725,rl_eff,"&lt;="&amp;$C1725)</f>
        <v/>
      </c>
      <c r="L1725" s="201">
        <f>SUMIFS(rl_daysafter,rl_key,$A$1696,rl_effmonth,$B1725,rl_first,1)</f>
        <v/>
      </c>
      <c r="M1725" s="209">
        <f>IF($K1725=0,0,MIN(1,$L1725/$D1725))</f>
        <v/>
      </c>
      <c r="N1725" s="208">
        <f>IF($K1725=0,$J1725,(1-$M1725)*$I1725+$M1725*$J1725)</f>
        <v/>
      </c>
      <c r="O1725" s="209">
        <f>IF($F1725&lt;$B$1697,$E$1697+$I$1697*($F1725-$A$1697),IF($F1725&lt;$C$1697,$F$1697+$J$1697*($F1725-$B$1697),$G$1697+$K$1697*($F1725-$C$1697)))</f>
        <v/>
      </c>
      <c r="P1725" s="208">
        <f>MIN(1,MAX(0,(nr_MEndPm1-$G1725+0.5)/$C$1696))-MIN(1,MAX(0,(nr_MStartPm1-1-$G1725+0.5)/$C$1696))</f>
        <v/>
      </c>
      <c r="Q1725" s="208">
        <f>MIN(1,MAX(0,(nr_MEndP-$G1725+0.5)/$C$1696))-MIN(1,MAX(0,(nr_MStartP-1-$G1725+0.5)/$C$1696))</f>
        <v/>
      </c>
      <c r="R1725" s="208">
        <f>MIN(1,MAX(0,(nr_MEndP1-$G1725+0.5)/$C$1696))-MIN(1,MAX(0,(nr_MStartP1-1-$G1725+0.5)/$C$1696))</f>
        <v/>
      </c>
      <c r="S1725" s="208">
        <f>IF($L$1696,$N1725*IF($O$1696=1,$O1725/$F$1696,1),"")</f>
        <v/>
      </c>
      <c r="T1725" s="208">
        <f>IF(NOT($L$1696),"",IF($G1725&lt;nr_MStartP,$S1725,$T1713*(1+IF($G1725&lt;nr_MStartP1,$M$1696,$N$1696))))</f>
        <v/>
      </c>
      <c r="U1725" s="208">
        <f>IF($L$1696,$T1725,$N1725)</f>
        <v/>
      </c>
    </row>
    <row r="1726">
      <c r="A1726" s="145" t="n">
        <v>28</v>
      </c>
      <c r="B1726" s="204">
        <f>EDATE($B1725,1)</f>
        <v/>
      </c>
      <c r="C1726" s="205">
        <f>EOMONTH($B1726,0)</f>
        <v/>
      </c>
      <c r="D1726" s="201">
        <f>$C1726-$B1726+1</f>
        <v/>
      </c>
      <c r="E1726" s="201">
        <f>MONTH($B1726)</f>
        <v/>
      </c>
      <c r="F1726" s="235">
        <f>($B1726+$C1726+1)/2</f>
        <v/>
      </c>
      <c r="G1726" s="201">
        <f>YEAR($B1726)*12+MONTH($B1726)-1</f>
        <v/>
      </c>
      <c r="H1726" s="207">
        <f>IF(OR(nr_SeasonOn="OFF",$D$1696=0,$E$1696=0),1,12*INDEX(se_block,$D$1696,$E1726)/$E$1696)</f>
        <v/>
      </c>
      <c r="I1726" s="208">
        <f>EXP(SUMPRODUCT((rl_eff&lt;$B1726)*(rl_key=$A$1696)*rl_ln1p))</f>
        <v/>
      </c>
      <c r="J1726" s="208">
        <f>EXP(SUMPRODUCT((rl_eff&lt;=$C1726)*(rl_key=$A$1696)*rl_ln1p))</f>
        <v/>
      </c>
      <c r="K1726" s="201">
        <f>COUNTIFS(rl_key,$A$1696,rl_eff,"&gt;="&amp;$B1726,rl_eff,"&lt;="&amp;$C1726)</f>
        <v/>
      </c>
      <c r="L1726" s="201">
        <f>SUMIFS(rl_daysafter,rl_key,$A$1696,rl_effmonth,$B1726,rl_first,1)</f>
        <v/>
      </c>
      <c r="M1726" s="209">
        <f>IF($K1726=0,0,MIN(1,$L1726/$D1726))</f>
        <v/>
      </c>
      <c r="N1726" s="208">
        <f>IF($K1726=0,$J1726,(1-$M1726)*$I1726+$M1726*$J1726)</f>
        <v/>
      </c>
      <c r="O1726" s="209">
        <f>IF($F1726&lt;$B$1697,$E$1697+$I$1697*($F1726-$A$1697),IF($F1726&lt;$C$1697,$F$1697+$J$1697*($F1726-$B$1697),$G$1697+$K$1697*($F1726-$C$1697)))</f>
        <v/>
      </c>
      <c r="P1726" s="208">
        <f>MIN(1,MAX(0,(nr_MEndPm1-$G1726+0.5)/$C$1696))-MIN(1,MAX(0,(nr_MStartPm1-1-$G1726+0.5)/$C$1696))</f>
        <v/>
      </c>
      <c r="Q1726" s="208">
        <f>MIN(1,MAX(0,(nr_MEndP-$G1726+0.5)/$C$1696))-MIN(1,MAX(0,(nr_MStartP-1-$G1726+0.5)/$C$1696))</f>
        <v/>
      </c>
      <c r="R1726" s="208">
        <f>MIN(1,MAX(0,(nr_MEndP1-$G1726+0.5)/$C$1696))-MIN(1,MAX(0,(nr_MStartP1-1-$G1726+0.5)/$C$1696))</f>
        <v/>
      </c>
      <c r="S1726" s="208">
        <f>IF($L$1696,$N1726*IF($O$1696=1,$O1726/$F$1696,1),"")</f>
        <v/>
      </c>
      <c r="T1726" s="208">
        <f>IF(NOT($L$1696),"",IF($G1726&lt;nr_MStartP,$S1726,$T1714*(1+IF($G1726&lt;nr_MStartP1,$M$1696,$N$1696))))</f>
        <v/>
      </c>
      <c r="U1726" s="208">
        <f>IF($L$1696,$T1726,$N1726)</f>
        <v/>
      </c>
    </row>
    <row r="1727">
      <c r="A1727" s="145" t="n">
        <v>29</v>
      </c>
      <c r="B1727" s="204">
        <f>EDATE($B1726,1)</f>
        <v/>
      </c>
      <c r="C1727" s="205">
        <f>EOMONTH($B1727,0)</f>
        <v/>
      </c>
      <c r="D1727" s="201">
        <f>$C1727-$B1727+1</f>
        <v/>
      </c>
      <c r="E1727" s="201">
        <f>MONTH($B1727)</f>
        <v/>
      </c>
      <c r="F1727" s="235">
        <f>($B1727+$C1727+1)/2</f>
        <v/>
      </c>
      <c r="G1727" s="201">
        <f>YEAR($B1727)*12+MONTH($B1727)-1</f>
        <v/>
      </c>
      <c r="H1727" s="207">
        <f>IF(OR(nr_SeasonOn="OFF",$D$1696=0,$E$1696=0),1,12*INDEX(se_block,$D$1696,$E1727)/$E$1696)</f>
        <v/>
      </c>
      <c r="I1727" s="208">
        <f>EXP(SUMPRODUCT((rl_eff&lt;$B1727)*(rl_key=$A$1696)*rl_ln1p))</f>
        <v/>
      </c>
      <c r="J1727" s="208">
        <f>EXP(SUMPRODUCT((rl_eff&lt;=$C1727)*(rl_key=$A$1696)*rl_ln1p))</f>
        <v/>
      </c>
      <c r="K1727" s="201">
        <f>COUNTIFS(rl_key,$A$1696,rl_eff,"&gt;="&amp;$B1727,rl_eff,"&lt;="&amp;$C1727)</f>
        <v/>
      </c>
      <c r="L1727" s="201">
        <f>SUMIFS(rl_daysafter,rl_key,$A$1696,rl_effmonth,$B1727,rl_first,1)</f>
        <v/>
      </c>
      <c r="M1727" s="209">
        <f>IF($K1727=0,0,MIN(1,$L1727/$D1727))</f>
        <v/>
      </c>
      <c r="N1727" s="208">
        <f>IF($K1727=0,$J1727,(1-$M1727)*$I1727+$M1727*$J1727)</f>
        <v/>
      </c>
      <c r="O1727" s="209">
        <f>IF($F1727&lt;$B$1697,$E$1697+$I$1697*($F1727-$A$1697),IF($F1727&lt;$C$1697,$F$1697+$J$1697*($F1727-$B$1697),$G$1697+$K$1697*($F1727-$C$1697)))</f>
        <v/>
      </c>
      <c r="P1727" s="208">
        <f>MIN(1,MAX(0,(nr_MEndPm1-$G1727+0.5)/$C$1696))-MIN(1,MAX(0,(nr_MStartPm1-1-$G1727+0.5)/$C$1696))</f>
        <v/>
      </c>
      <c r="Q1727" s="208">
        <f>MIN(1,MAX(0,(nr_MEndP-$G1727+0.5)/$C$1696))-MIN(1,MAX(0,(nr_MStartP-1-$G1727+0.5)/$C$1696))</f>
        <v/>
      </c>
      <c r="R1727" s="208">
        <f>MIN(1,MAX(0,(nr_MEndP1-$G1727+0.5)/$C$1696))-MIN(1,MAX(0,(nr_MStartP1-1-$G1727+0.5)/$C$1696))</f>
        <v/>
      </c>
      <c r="S1727" s="208">
        <f>IF($L$1696,$N1727*IF($O$1696=1,$O1727/$F$1696,1),"")</f>
        <v/>
      </c>
      <c r="T1727" s="208">
        <f>IF(NOT($L$1696),"",IF($G1727&lt;nr_MStartP,$S1727,$T1715*(1+IF($G1727&lt;nr_MStartP1,$M$1696,$N$1696))))</f>
        <v/>
      </c>
      <c r="U1727" s="208">
        <f>IF($L$1696,$T1727,$N1727)</f>
        <v/>
      </c>
    </row>
    <row r="1728">
      <c r="A1728" s="145" t="n">
        <v>30</v>
      </c>
      <c r="B1728" s="204">
        <f>EDATE($B1727,1)</f>
        <v/>
      </c>
      <c r="C1728" s="205">
        <f>EOMONTH($B1728,0)</f>
        <v/>
      </c>
      <c r="D1728" s="201">
        <f>$C1728-$B1728+1</f>
        <v/>
      </c>
      <c r="E1728" s="201">
        <f>MONTH($B1728)</f>
        <v/>
      </c>
      <c r="F1728" s="235">
        <f>($B1728+$C1728+1)/2</f>
        <v/>
      </c>
      <c r="G1728" s="201">
        <f>YEAR($B1728)*12+MONTH($B1728)-1</f>
        <v/>
      </c>
      <c r="H1728" s="207">
        <f>IF(OR(nr_SeasonOn="OFF",$D$1696=0,$E$1696=0),1,12*INDEX(se_block,$D$1696,$E1728)/$E$1696)</f>
        <v/>
      </c>
      <c r="I1728" s="208">
        <f>EXP(SUMPRODUCT((rl_eff&lt;$B1728)*(rl_key=$A$1696)*rl_ln1p))</f>
        <v/>
      </c>
      <c r="J1728" s="208">
        <f>EXP(SUMPRODUCT((rl_eff&lt;=$C1728)*(rl_key=$A$1696)*rl_ln1p))</f>
        <v/>
      </c>
      <c r="K1728" s="201">
        <f>COUNTIFS(rl_key,$A$1696,rl_eff,"&gt;="&amp;$B1728,rl_eff,"&lt;="&amp;$C1728)</f>
        <v/>
      </c>
      <c r="L1728" s="201">
        <f>SUMIFS(rl_daysafter,rl_key,$A$1696,rl_effmonth,$B1728,rl_first,1)</f>
        <v/>
      </c>
      <c r="M1728" s="209">
        <f>IF($K1728=0,0,MIN(1,$L1728/$D1728))</f>
        <v/>
      </c>
      <c r="N1728" s="208">
        <f>IF($K1728=0,$J1728,(1-$M1728)*$I1728+$M1728*$J1728)</f>
        <v/>
      </c>
      <c r="O1728" s="209">
        <f>IF($F1728&lt;$B$1697,$E$1697+$I$1697*($F1728-$A$1697),IF($F1728&lt;$C$1697,$F$1697+$J$1697*($F1728-$B$1697),$G$1697+$K$1697*($F1728-$C$1697)))</f>
        <v/>
      </c>
      <c r="P1728" s="208">
        <f>MIN(1,MAX(0,(nr_MEndPm1-$G1728+0.5)/$C$1696))-MIN(1,MAX(0,(nr_MStartPm1-1-$G1728+0.5)/$C$1696))</f>
        <v/>
      </c>
      <c r="Q1728" s="208">
        <f>MIN(1,MAX(0,(nr_MEndP-$G1728+0.5)/$C$1696))-MIN(1,MAX(0,(nr_MStartP-1-$G1728+0.5)/$C$1696))</f>
        <v/>
      </c>
      <c r="R1728" s="208">
        <f>MIN(1,MAX(0,(nr_MEndP1-$G1728+0.5)/$C$1696))-MIN(1,MAX(0,(nr_MStartP1-1-$G1728+0.5)/$C$1696))</f>
        <v/>
      </c>
      <c r="S1728" s="208">
        <f>IF($L$1696,$N1728*IF($O$1696=1,$O1728/$F$1696,1),"")</f>
        <v/>
      </c>
      <c r="T1728" s="208">
        <f>IF(NOT($L$1696),"",IF($G1728&lt;nr_MStartP,$S1728,$T1716*(1+IF($G1728&lt;nr_MStartP1,$M$1696,$N$1696))))</f>
        <v/>
      </c>
      <c r="U1728" s="208">
        <f>IF($L$1696,$T1728,$N1728)</f>
        <v/>
      </c>
    </row>
    <row r="1729">
      <c r="A1729" s="145" t="n">
        <v>31</v>
      </c>
      <c r="B1729" s="204">
        <f>EDATE($B1728,1)</f>
        <v/>
      </c>
      <c r="C1729" s="205">
        <f>EOMONTH($B1729,0)</f>
        <v/>
      </c>
      <c r="D1729" s="201">
        <f>$C1729-$B1729+1</f>
        <v/>
      </c>
      <c r="E1729" s="201">
        <f>MONTH($B1729)</f>
        <v/>
      </c>
      <c r="F1729" s="235">
        <f>($B1729+$C1729+1)/2</f>
        <v/>
      </c>
      <c r="G1729" s="201">
        <f>YEAR($B1729)*12+MONTH($B1729)-1</f>
        <v/>
      </c>
      <c r="H1729" s="207">
        <f>IF(OR(nr_SeasonOn="OFF",$D$1696=0,$E$1696=0),1,12*INDEX(se_block,$D$1696,$E1729)/$E$1696)</f>
        <v/>
      </c>
      <c r="I1729" s="208">
        <f>EXP(SUMPRODUCT((rl_eff&lt;$B1729)*(rl_key=$A$1696)*rl_ln1p))</f>
        <v/>
      </c>
      <c r="J1729" s="208">
        <f>EXP(SUMPRODUCT((rl_eff&lt;=$C1729)*(rl_key=$A$1696)*rl_ln1p))</f>
        <v/>
      </c>
      <c r="K1729" s="201">
        <f>COUNTIFS(rl_key,$A$1696,rl_eff,"&gt;="&amp;$B1729,rl_eff,"&lt;="&amp;$C1729)</f>
        <v/>
      </c>
      <c r="L1729" s="201">
        <f>SUMIFS(rl_daysafter,rl_key,$A$1696,rl_effmonth,$B1729,rl_first,1)</f>
        <v/>
      </c>
      <c r="M1729" s="209">
        <f>IF($K1729=0,0,MIN(1,$L1729/$D1729))</f>
        <v/>
      </c>
      <c r="N1729" s="208">
        <f>IF($K1729=0,$J1729,(1-$M1729)*$I1729+$M1729*$J1729)</f>
        <v/>
      </c>
      <c r="O1729" s="209">
        <f>IF($F1729&lt;$B$1697,$E$1697+$I$1697*($F1729-$A$1697),IF($F1729&lt;$C$1697,$F$1697+$J$1697*($F1729-$B$1697),$G$1697+$K$1697*($F1729-$C$1697)))</f>
        <v/>
      </c>
      <c r="P1729" s="208">
        <f>MIN(1,MAX(0,(nr_MEndPm1-$G1729+0.5)/$C$1696))-MIN(1,MAX(0,(nr_MStartPm1-1-$G1729+0.5)/$C$1696))</f>
        <v/>
      </c>
      <c r="Q1729" s="208">
        <f>MIN(1,MAX(0,(nr_MEndP-$G1729+0.5)/$C$1696))-MIN(1,MAX(0,(nr_MStartP-1-$G1729+0.5)/$C$1696))</f>
        <v/>
      </c>
      <c r="R1729" s="208">
        <f>MIN(1,MAX(0,(nr_MEndP1-$G1729+0.5)/$C$1696))-MIN(1,MAX(0,(nr_MStartP1-1-$G1729+0.5)/$C$1696))</f>
        <v/>
      </c>
      <c r="S1729" s="208">
        <f>IF($L$1696,$N1729*IF($O$1696=1,$O1729/$F$1696,1),"")</f>
        <v/>
      </c>
      <c r="T1729" s="208">
        <f>IF(NOT($L$1696),"",IF($G1729&lt;nr_MStartP,$S1729,$T1717*(1+IF($G1729&lt;nr_MStartP1,$M$1696,$N$1696))))</f>
        <v/>
      </c>
      <c r="U1729" s="208">
        <f>IF($L$1696,$T1729,$N1729)</f>
        <v/>
      </c>
    </row>
    <row r="1730">
      <c r="A1730" s="145" t="n">
        <v>32</v>
      </c>
      <c r="B1730" s="204">
        <f>EDATE($B1729,1)</f>
        <v/>
      </c>
      <c r="C1730" s="205">
        <f>EOMONTH($B1730,0)</f>
        <v/>
      </c>
      <c r="D1730" s="201">
        <f>$C1730-$B1730+1</f>
        <v/>
      </c>
      <c r="E1730" s="201">
        <f>MONTH($B1730)</f>
        <v/>
      </c>
      <c r="F1730" s="235">
        <f>($B1730+$C1730+1)/2</f>
        <v/>
      </c>
      <c r="G1730" s="201">
        <f>YEAR($B1730)*12+MONTH($B1730)-1</f>
        <v/>
      </c>
      <c r="H1730" s="207">
        <f>IF(OR(nr_SeasonOn="OFF",$D$1696=0,$E$1696=0),1,12*INDEX(se_block,$D$1696,$E1730)/$E$1696)</f>
        <v/>
      </c>
      <c r="I1730" s="208">
        <f>EXP(SUMPRODUCT((rl_eff&lt;$B1730)*(rl_key=$A$1696)*rl_ln1p))</f>
        <v/>
      </c>
      <c r="J1730" s="208">
        <f>EXP(SUMPRODUCT((rl_eff&lt;=$C1730)*(rl_key=$A$1696)*rl_ln1p))</f>
        <v/>
      </c>
      <c r="K1730" s="201">
        <f>COUNTIFS(rl_key,$A$1696,rl_eff,"&gt;="&amp;$B1730,rl_eff,"&lt;="&amp;$C1730)</f>
        <v/>
      </c>
      <c r="L1730" s="201">
        <f>SUMIFS(rl_daysafter,rl_key,$A$1696,rl_effmonth,$B1730,rl_first,1)</f>
        <v/>
      </c>
      <c r="M1730" s="209">
        <f>IF($K1730=0,0,MIN(1,$L1730/$D1730))</f>
        <v/>
      </c>
      <c r="N1730" s="208">
        <f>IF($K1730=0,$J1730,(1-$M1730)*$I1730+$M1730*$J1730)</f>
        <v/>
      </c>
      <c r="O1730" s="209">
        <f>IF($F1730&lt;$B$1697,$E$1697+$I$1697*($F1730-$A$1697),IF($F1730&lt;$C$1697,$F$1697+$J$1697*($F1730-$B$1697),$G$1697+$K$1697*($F1730-$C$1697)))</f>
        <v/>
      </c>
      <c r="P1730" s="208">
        <f>MIN(1,MAX(0,(nr_MEndPm1-$G1730+0.5)/$C$1696))-MIN(1,MAX(0,(nr_MStartPm1-1-$G1730+0.5)/$C$1696))</f>
        <v/>
      </c>
      <c r="Q1730" s="208">
        <f>MIN(1,MAX(0,(nr_MEndP-$G1730+0.5)/$C$1696))-MIN(1,MAX(0,(nr_MStartP-1-$G1730+0.5)/$C$1696))</f>
        <v/>
      </c>
      <c r="R1730" s="208">
        <f>MIN(1,MAX(0,(nr_MEndP1-$G1730+0.5)/$C$1696))-MIN(1,MAX(0,(nr_MStartP1-1-$G1730+0.5)/$C$1696))</f>
        <v/>
      </c>
      <c r="S1730" s="208">
        <f>IF($L$1696,$N1730*IF($O$1696=1,$O1730/$F$1696,1),"")</f>
        <v/>
      </c>
      <c r="T1730" s="208">
        <f>IF(NOT($L$1696),"",IF($G1730&lt;nr_MStartP,$S1730,$T1718*(1+IF($G1730&lt;nr_MStartP1,$M$1696,$N$1696))))</f>
        <v/>
      </c>
      <c r="U1730" s="208">
        <f>IF($L$1696,$T1730,$N1730)</f>
        <v/>
      </c>
    </row>
    <row r="1731">
      <c r="A1731" s="145" t="n">
        <v>33</v>
      </c>
      <c r="B1731" s="204">
        <f>EDATE($B1730,1)</f>
        <v/>
      </c>
      <c r="C1731" s="205">
        <f>EOMONTH($B1731,0)</f>
        <v/>
      </c>
      <c r="D1731" s="201">
        <f>$C1731-$B1731+1</f>
        <v/>
      </c>
      <c r="E1731" s="201">
        <f>MONTH($B1731)</f>
        <v/>
      </c>
      <c r="F1731" s="235">
        <f>($B1731+$C1731+1)/2</f>
        <v/>
      </c>
      <c r="G1731" s="201">
        <f>YEAR($B1731)*12+MONTH($B1731)-1</f>
        <v/>
      </c>
      <c r="H1731" s="207">
        <f>IF(OR(nr_SeasonOn="OFF",$D$1696=0,$E$1696=0),1,12*INDEX(se_block,$D$1696,$E1731)/$E$1696)</f>
        <v/>
      </c>
      <c r="I1731" s="208">
        <f>EXP(SUMPRODUCT((rl_eff&lt;$B1731)*(rl_key=$A$1696)*rl_ln1p))</f>
        <v/>
      </c>
      <c r="J1731" s="208">
        <f>EXP(SUMPRODUCT((rl_eff&lt;=$C1731)*(rl_key=$A$1696)*rl_ln1p))</f>
        <v/>
      </c>
      <c r="K1731" s="201">
        <f>COUNTIFS(rl_key,$A$1696,rl_eff,"&gt;="&amp;$B1731,rl_eff,"&lt;="&amp;$C1731)</f>
        <v/>
      </c>
      <c r="L1731" s="201">
        <f>SUMIFS(rl_daysafter,rl_key,$A$1696,rl_effmonth,$B1731,rl_first,1)</f>
        <v/>
      </c>
      <c r="M1731" s="209">
        <f>IF($K1731=0,0,MIN(1,$L1731/$D1731))</f>
        <v/>
      </c>
      <c r="N1731" s="208">
        <f>IF($K1731=0,$J1731,(1-$M1731)*$I1731+$M1731*$J1731)</f>
        <v/>
      </c>
      <c r="O1731" s="209">
        <f>IF($F1731&lt;$B$1697,$E$1697+$I$1697*($F1731-$A$1697),IF($F1731&lt;$C$1697,$F$1697+$J$1697*($F1731-$B$1697),$G$1697+$K$1697*($F1731-$C$1697)))</f>
        <v/>
      </c>
      <c r="P1731" s="208">
        <f>MIN(1,MAX(0,(nr_MEndPm1-$G1731+0.5)/$C$1696))-MIN(1,MAX(0,(nr_MStartPm1-1-$G1731+0.5)/$C$1696))</f>
        <v/>
      </c>
      <c r="Q1731" s="208">
        <f>MIN(1,MAX(0,(nr_MEndP-$G1731+0.5)/$C$1696))-MIN(1,MAX(0,(nr_MStartP-1-$G1731+0.5)/$C$1696))</f>
        <v/>
      </c>
      <c r="R1731" s="208">
        <f>MIN(1,MAX(0,(nr_MEndP1-$G1731+0.5)/$C$1696))-MIN(1,MAX(0,(nr_MStartP1-1-$G1731+0.5)/$C$1696))</f>
        <v/>
      </c>
      <c r="S1731" s="208">
        <f>IF($L$1696,$N1731*IF($O$1696=1,$O1731/$F$1696,1),"")</f>
        <v/>
      </c>
      <c r="T1731" s="208">
        <f>IF(NOT($L$1696),"",IF($G1731&lt;nr_MStartP,$S1731,$T1719*(1+IF($G1731&lt;nr_MStartP1,$M$1696,$N$1696))))</f>
        <v/>
      </c>
      <c r="U1731" s="208">
        <f>IF($L$1696,$T1731,$N1731)</f>
        <v/>
      </c>
    </row>
    <row r="1732">
      <c r="A1732" s="145" t="n">
        <v>34</v>
      </c>
      <c r="B1732" s="204">
        <f>EDATE($B1731,1)</f>
        <v/>
      </c>
      <c r="C1732" s="205">
        <f>EOMONTH($B1732,0)</f>
        <v/>
      </c>
      <c r="D1732" s="201">
        <f>$C1732-$B1732+1</f>
        <v/>
      </c>
      <c r="E1732" s="201">
        <f>MONTH($B1732)</f>
        <v/>
      </c>
      <c r="F1732" s="235">
        <f>($B1732+$C1732+1)/2</f>
        <v/>
      </c>
      <c r="G1732" s="201">
        <f>YEAR($B1732)*12+MONTH($B1732)-1</f>
        <v/>
      </c>
      <c r="H1732" s="207">
        <f>IF(OR(nr_SeasonOn="OFF",$D$1696=0,$E$1696=0),1,12*INDEX(se_block,$D$1696,$E1732)/$E$1696)</f>
        <v/>
      </c>
      <c r="I1732" s="208">
        <f>EXP(SUMPRODUCT((rl_eff&lt;$B1732)*(rl_key=$A$1696)*rl_ln1p))</f>
        <v/>
      </c>
      <c r="J1732" s="208">
        <f>EXP(SUMPRODUCT((rl_eff&lt;=$C1732)*(rl_key=$A$1696)*rl_ln1p))</f>
        <v/>
      </c>
      <c r="K1732" s="201">
        <f>COUNTIFS(rl_key,$A$1696,rl_eff,"&gt;="&amp;$B1732,rl_eff,"&lt;="&amp;$C1732)</f>
        <v/>
      </c>
      <c r="L1732" s="201">
        <f>SUMIFS(rl_daysafter,rl_key,$A$1696,rl_effmonth,$B1732,rl_first,1)</f>
        <v/>
      </c>
      <c r="M1732" s="209">
        <f>IF($K1732=0,0,MIN(1,$L1732/$D1732))</f>
        <v/>
      </c>
      <c r="N1732" s="208">
        <f>IF($K1732=0,$J1732,(1-$M1732)*$I1732+$M1732*$J1732)</f>
        <v/>
      </c>
      <c r="O1732" s="209">
        <f>IF($F1732&lt;$B$1697,$E$1697+$I$1697*($F1732-$A$1697),IF($F1732&lt;$C$1697,$F$1697+$J$1697*($F1732-$B$1697),$G$1697+$K$1697*($F1732-$C$1697)))</f>
        <v/>
      </c>
      <c r="P1732" s="208">
        <f>MIN(1,MAX(0,(nr_MEndPm1-$G1732+0.5)/$C$1696))-MIN(1,MAX(0,(nr_MStartPm1-1-$G1732+0.5)/$C$1696))</f>
        <v/>
      </c>
      <c r="Q1732" s="208">
        <f>MIN(1,MAX(0,(nr_MEndP-$G1732+0.5)/$C$1696))-MIN(1,MAX(0,(nr_MStartP-1-$G1732+0.5)/$C$1696))</f>
        <v/>
      </c>
      <c r="R1732" s="208">
        <f>MIN(1,MAX(0,(nr_MEndP1-$G1732+0.5)/$C$1696))-MIN(1,MAX(0,(nr_MStartP1-1-$G1732+0.5)/$C$1696))</f>
        <v/>
      </c>
      <c r="S1732" s="208">
        <f>IF($L$1696,$N1732*IF($O$1696=1,$O1732/$F$1696,1),"")</f>
        <v/>
      </c>
      <c r="T1732" s="208">
        <f>IF(NOT($L$1696),"",IF($G1732&lt;nr_MStartP,$S1732,$T1720*(1+IF($G1732&lt;nr_MStartP1,$M$1696,$N$1696))))</f>
        <v/>
      </c>
      <c r="U1732" s="208">
        <f>IF($L$1696,$T1732,$N1732)</f>
        <v/>
      </c>
    </row>
    <row r="1733">
      <c r="A1733" s="145" t="n">
        <v>35</v>
      </c>
      <c r="B1733" s="204">
        <f>EDATE($B1732,1)</f>
        <v/>
      </c>
      <c r="C1733" s="205">
        <f>EOMONTH($B1733,0)</f>
        <v/>
      </c>
      <c r="D1733" s="201">
        <f>$C1733-$B1733+1</f>
        <v/>
      </c>
      <c r="E1733" s="201">
        <f>MONTH($B1733)</f>
        <v/>
      </c>
      <c r="F1733" s="235">
        <f>($B1733+$C1733+1)/2</f>
        <v/>
      </c>
      <c r="G1733" s="201">
        <f>YEAR($B1733)*12+MONTH($B1733)-1</f>
        <v/>
      </c>
      <c r="H1733" s="207">
        <f>IF(OR(nr_SeasonOn="OFF",$D$1696=0,$E$1696=0),1,12*INDEX(se_block,$D$1696,$E1733)/$E$1696)</f>
        <v/>
      </c>
      <c r="I1733" s="208">
        <f>EXP(SUMPRODUCT((rl_eff&lt;$B1733)*(rl_key=$A$1696)*rl_ln1p))</f>
        <v/>
      </c>
      <c r="J1733" s="208">
        <f>EXP(SUMPRODUCT((rl_eff&lt;=$C1733)*(rl_key=$A$1696)*rl_ln1p))</f>
        <v/>
      </c>
      <c r="K1733" s="201">
        <f>COUNTIFS(rl_key,$A$1696,rl_eff,"&gt;="&amp;$B1733,rl_eff,"&lt;="&amp;$C1733)</f>
        <v/>
      </c>
      <c r="L1733" s="201">
        <f>SUMIFS(rl_daysafter,rl_key,$A$1696,rl_effmonth,$B1733,rl_first,1)</f>
        <v/>
      </c>
      <c r="M1733" s="209">
        <f>IF($K1733=0,0,MIN(1,$L1733/$D1733))</f>
        <v/>
      </c>
      <c r="N1733" s="208">
        <f>IF($K1733=0,$J1733,(1-$M1733)*$I1733+$M1733*$J1733)</f>
        <v/>
      </c>
      <c r="O1733" s="209">
        <f>IF($F1733&lt;$B$1697,$E$1697+$I$1697*($F1733-$A$1697),IF($F1733&lt;$C$1697,$F$1697+$J$1697*($F1733-$B$1697),$G$1697+$K$1697*($F1733-$C$1697)))</f>
        <v/>
      </c>
      <c r="P1733" s="208">
        <f>MIN(1,MAX(0,(nr_MEndPm1-$G1733+0.5)/$C$1696))-MIN(1,MAX(0,(nr_MStartPm1-1-$G1733+0.5)/$C$1696))</f>
        <v/>
      </c>
      <c r="Q1733" s="208">
        <f>MIN(1,MAX(0,(nr_MEndP-$G1733+0.5)/$C$1696))-MIN(1,MAX(0,(nr_MStartP-1-$G1733+0.5)/$C$1696))</f>
        <v/>
      </c>
      <c r="R1733" s="208">
        <f>MIN(1,MAX(0,(nr_MEndP1-$G1733+0.5)/$C$1696))-MIN(1,MAX(0,(nr_MStartP1-1-$G1733+0.5)/$C$1696))</f>
        <v/>
      </c>
      <c r="S1733" s="208">
        <f>IF($L$1696,$N1733*IF($O$1696=1,$O1733/$F$1696,1),"")</f>
        <v/>
      </c>
      <c r="T1733" s="208">
        <f>IF(NOT($L$1696),"",IF($G1733&lt;nr_MStartP,$S1733,$T1721*(1+IF($G1733&lt;nr_MStartP1,$M$1696,$N$1696))))</f>
        <v/>
      </c>
      <c r="U1733" s="208">
        <f>IF($L$1696,$T1733,$N1733)</f>
        <v/>
      </c>
    </row>
    <row r="1734">
      <c r="A1734" s="145" t="n">
        <v>36</v>
      </c>
      <c r="B1734" s="204">
        <f>EDATE($B1733,1)</f>
        <v/>
      </c>
      <c r="C1734" s="205">
        <f>EOMONTH($B1734,0)</f>
        <v/>
      </c>
      <c r="D1734" s="201">
        <f>$C1734-$B1734+1</f>
        <v/>
      </c>
      <c r="E1734" s="201">
        <f>MONTH($B1734)</f>
        <v/>
      </c>
      <c r="F1734" s="235">
        <f>($B1734+$C1734+1)/2</f>
        <v/>
      </c>
      <c r="G1734" s="201">
        <f>YEAR($B1734)*12+MONTH($B1734)-1</f>
        <v/>
      </c>
      <c r="H1734" s="207">
        <f>IF(OR(nr_SeasonOn="OFF",$D$1696=0,$E$1696=0),1,12*INDEX(se_block,$D$1696,$E1734)/$E$1696)</f>
        <v/>
      </c>
      <c r="I1734" s="208">
        <f>EXP(SUMPRODUCT((rl_eff&lt;$B1734)*(rl_key=$A$1696)*rl_ln1p))</f>
        <v/>
      </c>
      <c r="J1734" s="208">
        <f>EXP(SUMPRODUCT((rl_eff&lt;=$C1734)*(rl_key=$A$1696)*rl_ln1p))</f>
        <v/>
      </c>
      <c r="K1734" s="201">
        <f>COUNTIFS(rl_key,$A$1696,rl_eff,"&gt;="&amp;$B1734,rl_eff,"&lt;="&amp;$C1734)</f>
        <v/>
      </c>
      <c r="L1734" s="201">
        <f>SUMIFS(rl_daysafter,rl_key,$A$1696,rl_effmonth,$B1734,rl_first,1)</f>
        <v/>
      </c>
      <c r="M1734" s="209">
        <f>IF($K1734=0,0,MIN(1,$L1734/$D1734))</f>
        <v/>
      </c>
      <c r="N1734" s="208">
        <f>IF($K1734=0,$J1734,(1-$M1734)*$I1734+$M1734*$J1734)</f>
        <v/>
      </c>
      <c r="O1734" s="209">
        <f>IF($F1734&lt;$B$1697,$E$1697+$I$1697*($F1734-$A$1697),IF($F1734&lt;$C$1697,$F$1697+$J$1697*($F1734-$B$1697),$G$1697+$K$1697*($F1734-$C$1697)))</f>
        <v/>
      </c>
      <c r="P1734" s="208">
        <f>MIN(1,MAX(0,(nr_MEndPm1-$G1734+0.5)/$C$1696))-MIN(1,MAX(0,(nr_MStartPm1-1-$G1734+0.5)/$C$1696))</f>
        <v/>
      </c>
      <c r="Q1734" s="208">
        <f>MIN(1,MAX(0,(nr_MEndP-$G1734+0.5)/$C$1696))-MIN(1,MAX(0,(nr_MStartP-1-$G1734+0.5)/$C$1696))</f>
        <v/>
      </c>
      <c r="R1734" s="208">
        <f>MIN(1,MAX(0,(nr_MEndP1-$G1734+0.5)/$C$1696))-MIN(1,MAX(0,(nr_MStartP1-1-$G1734+0.5)/$C$1696))</f>
        <v/>
      </c>
      <c r="S1734" s="208">
        <f>IF($L$1696,$N1734*IF($O$1696=1,$O1734/$F$1696,1),"")</f>
        <v/>
      </c>
      <c r="T1734" s="208">
        <f>IF(NOT($L$1696),"",IF($G1734&lt;nr_MStartP,$S1734,$T1722*(1+IF($G1734&lt;nr_MStartP1,$M$1696,$N$1696))))</f>
        <v/>
      </c>
      <c r="U1734" s="208">
        <f>IF($L$1696,$T1734,$N1734)</f>
        <v/>
      </c>
    </row>
    <row r="1735">
      <c r="A1735" s="145" t="n">
        <v>37</v>
      </c>
      <c r="B1735" s="204">
        <f>EDATE($B1734,1)</f>
        <v/>
      </c>
      <c r="C1735" s="205">
        <f>EOMONTH($B1735,0)</f>
        <v/>
      </c>
      <c r="D1735" s="201">
        <f>$C1735-$B1735+1</f>
        <v/>
      </c>
      <c r="E1735" s="201">
        <f>MONTH($B1735)</f>
        <v/>
      </c>
      <c r="F1735" s="235">
        <f>($B1735+$C1735+1)/2</f>
        <v/>
      </c>
      <c r="G1735" s="201">
        <f>YEAR($B1735)*12+MONTH($B1735)-1</f>
        <v/>
      </c>
      <c r="H1735" s="207">
        <f>IF(OR(nr_SeasonOn="OFF",$D$1696=0,$E$1696=0),1,12*INDEX(se_block,$D$1696,$E1735)/$E$1696)</f>
        <v/>
      </c>
      <c r="I1735" s="208">
        <f>EXP(SUMPRODUCT((rl_eff&lt;$B1735)*(rl_key=$A$1696)*rl_ln1p))</f>
        <v/>
      </c>
      <c r="J1735" s="208">
        <f>EXP(SUMPRODUCT((rl_eff&lt;=$C1735)*(rl_key=$A$1696)*rl_ln1p))</f>
        <v/>
      </c>
      <c r="K1735" s="201">
        <f>COUNTIFS(rl_key,$A$1696,rl_eff,"&gt;="&amp;$B1735,rl_eff,"&lt;="&amp;$C1735)</f>
        <v/>
      </c>
      <c r="L1735" s="201">
        <f>SUMIFS(rl_daysafter,rl_key,$A$1696,rl_effmonth,$B1735,rl_first,1)</f>
        <v/>
      </c>
      <c r="M1735" s="209">
        <f>IF($K1735=0,0,MIN(1,$L1735/$D1735))</f>
        <v/>
      </c>
      <c r="N1735" s="208">
        <f>IF($K1735=0,$J1735,(1-$M1735)*$I1735+$M1735*$J1735)</f>
        <v/>
      </c>
      <c r="O1735" s="209">
        <f>IF($F1735&lt;$B$1697,$E$1697+$I$1697*($F1735-$A$1697),IF($F1735&lt;$C$1697,$F$1697+$J$1697*($F1735-$B$1697),$G$1697+$K$1697*($F1735-$C$1697)))</f>
        <v/>
      </c>
      <c r="P1735" s="208">
        <f>MIN(1,MAX(0,(nr_MEndPm1-$G1735+0.5)/$C$1696))-MIN(1,MAX(0,(nr_MStartPm1-1-$G1735+0.5)/$C$1696))</f>
        <v/>
      </c>
      <c r="Q1735" s="208">
        <f>MIN(1,MAX(0,(nr_MEndP-$G1735+0.5)/$C$1696))-MIN(1,MAX(0,(nr_MStartP-1-$G1735+0.5)/$C$1696))</f>
        <v/>
      </c>
      <c r="R1735" s="208">
        <f>MIN(1,MAX(0,(nr_MEndP1-$G1735+0.5)/$C$1696))-MIN(1,MAX(0,(nr_MStartP1-1-$G1735+0.5)/$C$1696))</f>
        <v/>
      </c>
      <c r="S1735" s="208">
        <f>IF($L$1696,$N1735*IF($O$1696=1,$O1735/$F$1696,1),"")</f>
        <v/>
      </c>
      <c r="T1735" s="208">
        <f>IF(NOT($L$1696),"",IF($G1735&lt;nr_MStartP,$S1735,$T1723*(1+IF($G1735&lt;nr_MStartP1,$M$1696,$N$1696))))</f>
        <v/>
      </c>
      <c r="U1735" s="208">
        <f>IF($L$1696,$T1735,$N1735)</f>
        <v/>
      </c>
    </row>
    <row r="1736">
      <c r="A1736" s="145" t="n">
        <v>38</v>
      </c>
      <c r="B1736" s="204">
        <f>EDATE($B1735,1)</f>
        <v/>
      </c>
      <c r="C1736" s="205">
        <f>EOMONTH($B1736,0)</f>
        <v/>
      </c>
      <c r="D1736" s="201">
        <f>$C1736-$B1736+1</f>
        <v/>
      </c>
      <c r="E1736" s="201">
        <f>MONTH($B1736)</f>
        <v/>
      </c>
      <c r="F1736" s="235">
        <f>($B1736+$C1736+1)/2</f>
        <v/>
      </c>
      <c r="G1736" s="201">
        <f>YEAR($B1736)*12+MONTH($B1736)-1</f>
        <v/>
      </c>
      <c r="H1736" s="207">
        <f>IF(OR(nr_SeasonOn="OFF",$D$1696=0,$E$1696=0),1,12*INDEX(se_block,$D$1696,$E1736)/$E$1696)</f>
        <v/>
      </c>
      <c r="I1736" s="208">
        <f>EXP(SUMPRODUCT((rl_eff&lt;$B1736)*(rl_key=$A$1696)*rl_ln1p))</f>
        <v/>
      </c>
      <c r="J1736" s="208">
        <f>EXP(SUMPRODUCT((rl_eff&lt;=$C1736)*(rl_key=$A$1696)*rl_ln1p))</f>
        <v/>
      </c>
      <c r="K1736" s="201">
        <f>COUNTIFS(rl_key,$A$1696,rl_eff,"&gt;="&amp;$B1736,rl_eff,"&lt;="&amp;$C1736)</f>
        <v/>
      </c>
      <c r="L1736" s="201">
        <f>SUMIFS(rl_daysafter,rl_key,$A$1696,rl_effmonth,$B1736,rl_first,1)</f>
        <v/>
      </c>
      <c r="M1736" s="209">
        <f>IF($K1736=0,0,MIN(1,$L1736/$D1736))</f>
        <v/>
      </c>
      <c r="N1736" s="208">
        <f>IF($K1736=0,$J1736,(1-$M1736)*$I1736+$M1736*$J1736)</f>
        <v/>
      </c>
      <c r="O1736" s="209">
        <f>IF($F1736&lt;$B$1697,$E$1697+$I$1697*($F1736-$A$1697),IF($F1736&lt;$C$1697,$F$1697+$J$1697*($F1736-$B$1697),$G$1697+$K$1697*($F1736-$C$1697)))</f>
        <v/>
      </c>
      <c r="P1736" s="208">
        <f>MIN(1,MAX(0,(nr_MEndPm1-$G1736+0.5)/$C$1696))-MIN(1,MAX(0,(nr_MStartPm1-1-$G1736+0.5)/$C$1696))</f>
        <v/>
      </c>
      <c r="Q1736" s="208">
        <f>MIN(1,MAX(0,(nr_MEndP-$G1736+0.5)/$C$1696))-MIN(1,MAX(0,(nr_MStartP-1-$G1736+0.5)/$C$1696))</f>
        <v/>
      </c>
      <c r="R1736" s="208">
        <f>MIN(1,MAX(0,(nr_MEndP1-$G1736+0.5)/$C$1696))-MIN(1,MAX(0,(nr_MStartP1-1-$G1736+0.5)/$C$1696))</f>
        <v/>
      </c>
      <c r="S1736" s="208">
        <f>IF($L$1696,$N1736*IF($O$1696=1,$O1736/$F$1696,1),"")</f>
        <v/>
      </c>
      <c r="T1736" s="208">
        <f>IF(NOT($L$1696),"",IF($G1736&lt;nr_MStartP,$S1736,$T1724*(1+IF($G1736&lt;nr_MStartP1,$M$1696,$N$1696))))</f>
        <v/>
      </c>
      <c r="U1736" s="208">
        <f>IF($L$1696,$T1736,$N1736)</f>
        <v/>
      </c>
    </row>
    <row r="1737">
      <c r="A1737" s="145" t="n">
        <v>39</v>
      </c>
      <c r="B1737" s="204">
        <f>EDATE($B1736,1)</f>
        <v/>
      </c>
      <c r="C1737" s="205">
        <f>EOMONTH($B1737,0)</f>
        <v/>
      </c>
      <c r="D1737" s="201">
        <f>$C1737-$B1737+1</f>
        <v/>
      </c>
      <c r="E1737" s="201">
        <f>MONTH($B1737)</f>
        <v/>
      </c>
      <c r="F1737" s="235">
        <f>($B1737+$C1737+1)/2</f>
        <v/>
      </c>
      <c r="G1737" s="201">
        <f>YEAR($B1737)*12+MONTH($B1737)-1</f>
        <v/>
      </c>
      <c r="H1737" s="207">
        <f>IF(OR(nr_SeasonOn="OFF",$D$1696=0,$E$1696=0),1,12*INDEX(se_block,$D$1696,$E1737)/$E$1696)</f>
        <v/>
      </c>
      <c r="I1737" s="208">
        <f>EXP(SUMPRODUCT((rl_eff&lt;$B1737)*(rl_key=$A$1696)*rl_ln1p))</f>
        <v/>
      </c>
      <c r="J1737" s="208">
        <f>EXP(SUMPRODUCT((rl_eff&lt;=$C1737)*(rl_key=$A$1696)*rl_ln1p))</f>
        <v/>
      </c>
      <c r="K1737" s="201">
        <f>COUNTIFS(rl_key,$A$1696,rl_eff,"&gt;="&amp;$B1737,rl_eff,"&lt;="&amp;$C1737)</f>
        <v/>
      </c>
      <c r="L1737" s="201">
        <f>SUMIFS(rl_daysafter,rl_key,$A$1696,rl_effmonth,$B1737,rl_first,1)</f>
        <v/>
      </c>
      <c r="M1737" s="209">
        <f>IF($K1737=0,0,MIN(1,$L1737/$D1737))</f>
        <v/>
      </c>
      <c r="N1737" s="208">
        <f>IF($K1737=0,$J1737,(1-$M1737)*$I1737+$M1737*$J1737)</f>
        <v/>
      </c>
      <c r="O1737" s="209">
        <f>IF($F1737&lt;$B$1697,$E$1697+$I$1697*($F1737-$A$1697),IF($F1737&lt;$C$1697,$F$1697+$J$1697*($F1737-$B$1697),$G$1697+$K$1697*($F1737-$C$1697)))</f>
        <v/>
      </c>
      <c r="P1737" s="208">
        <f>MIN(1,MAX(0,(nr_MEndPm1-$G1737+0.5)/$C$1696))-MIN(1,MAX(0,(nr_MStartPm1-1-$G1737+0.5)/$C$1696))</f>
        <v/>
      </c>
      <c r="Q1737" s="208">
        <f>MIN(1,MAX(0,(nr_MEndP-$G1737+0.5)/$C$1696))-MIN(1,MAX(0,(nr_MStartP-1-$G1737+0.5)/$C$1696))</f>
        <v/>
      </c>
      <c r="R1737" s="208">
        <f>MIN(1,MAX(0,(nr_MEndP1-$G1737+0.5)/$C$1696))-MIN(1,MAX(0,(nr_MStartP1-1-$G1737+0.5)/$C$1696))</f>
        <v/>
      </c>
      <c r="S1737" s="208">
        <f>IF($L$1696,$N1737*IF($O$1696=1,$O1737/$F$1696,1),"")</f>
        <v/>
      </c>
      <c r="T1737" s="208">
        <f>IF(NOT($L$1696),"",IF($G1737&lt;nr_MStartP,$S1737,$T1725*(1+IF($G1737&lt;nr_MStartP1,$M$1696,$N$1696))))</f>
        <v/>
      </c>
      <c r="U1737" s="208">
        <f>IF($L$1696,$T1737,$N1737)</f>
        <v/>
      </c>
    </row>
    <row r="1738">
      <c r="A1738" s="145" t="n">
        <v>40</v>
      </c>
      <c r="B1738" s="204">
        <f>EDATE($B1737,1)</f>
        <v/>
      </c>
      <c r="C1738" s="205">
        <f>EOMONTH($B1738,0)</f>
        <v/>
      </c>
      <c r="D1738" s="201">
        <f>$C1738-$B1738+1</f>
        <v/>
      </c>
      <c r="E1738" s="201">
        <f>MONTH($B1738)</f>
        <v/>
      </c>
      <c r="F1738" s="235">
        <f>($B1738+$C1738+1)/2</f>
        <v/>
      </c>
      <c r="G1738" s="201">
        <f>YEAR($B1738)*12+MONTH($B1738)-1</f>
        <v/>
      </c>
      <c r="H1738" s="207">
        <f>IF(OR(nr_SeasonOn="OFF",$D$1696=0,$E$1696=0),1,12*INDEX(se_block,$D$1696,$E1738)/$E$1696)</f>
        <v/>
      </c>
      <c r="I1738" s="208">
        <f>EXP(SUMPRODUCT((rl_eff&lt;$B1738)*(rl_key=$A$1696)*rl_ln1p))</f>
        <v/>
      </c>
      <c r="J1738" s="208">
        <f>EXP(SUMPRODUCT((rl_eff&lt;=$C1738)*(rl_key=$A$1696)*rl_ln1p))</f>
        <v/>
      </c>
      <c r="K1738" s="201">
        <f>COUNTIFS(rl_key,$A$1696,rl_eff,"&gt;="&amp;$B1738,rl_eff,"&lt;="&amp;$C1738)</f>
        <v/>
      </c>
      <c r="L1738" s="201">
        <f>SUMIFS(rl_daysafter,rl_key,$A$1696,rl_effmonth,$B1738,rl_first,1)</f>
        <v/>
      </c>
      <c r="M1738" s="209">
        <f>IF($K1738=0,0,MIN(1,$L1738/$D1738))</f>
        <v/>
      </c>
      <c r="N1738" s="208">
        <f>IF($K1738=0,$J1738,(1-$M1738)*$I1738+$M1738*$J1738)</f>
        <v/>
      </c>
      <c r="O1738" s="209">
        <f>IF($F1738&lt;$B$1697,$E$1697+$I$1697*($F1738-$A$1697),IF($F1738&lt;$C$1697,$F$1697+$J$1697*($F1738-$B$1697),$G$1697+$K$1697*($F1738-$C$1697)))</f>
        <v/>
      </c>
      <c r="P1738" s="208">
        <f>MIN(1,MAX(0,(nr_MEndPm1-$G1738+0.5)/$C$1696))-MIN(1,MAX(0,(nr_MStartPm1-1-$G1738+0.5)/$C$1696))</f>
        <v/>
      </c>
      <c r="Q1738" s="208">
        <f>MIN(1,MAX(0,(nr_MEndP-$G1738+0.5)/$C$1696))-MIN(1,MAX(0,(nr_MStartP-1-$G1738+0.5)/$C$1696))</f>
        <v/>
      </c>
      <c r="R1738" s="208">
        <f>MIN(1,MAX(0,(nr_MEndP1-$G1738+0.5)/$C$1696))-MIN(1,MAX(0,(nr_MStartP1-1-$G1738+0.5)/$C$1696))</f>
        <v/>
      </c>
      <c r="S1738" s="208">
        <f>IF($L$1696,$N1738*IF($O$1696=1,$O1738/$F$1696,1),"")</f>
        <v/>
      </c>
      <c r="T1738" s="208">
        <f>IF(NOT($L$1696),"",IF($G1738&lt;nr_MStartP,$S1738,$T1726*(1+IF($G1738&lt;nr_MStartP1,$M$1696,$N$1696))))</f>
        <v/>
      </c>
      <c r="U1738" s="208">
        <f>IF($L$1696,$T1738,$N1738)</f>
        <v/>
      </c>
    </row>
    <row r="1739">
      <c r="A1739" s="145" t="n">
        <v>41</v>
      </c>
      <c r="B1739" s="204">
        <f>EDATE($B1738,1)</f>
        <v/>
      </c>
      <c r="C1739" s="205">
        <f>EOMONTH($B1739,0)</f>
        <v/>
      </c>
      <c r="D1739" s="201">
        <f>$C1739-$B1739+1</f>
        <v/>
      </c>
      <c r="E1739" s="201">
        <f>MONTH($B1739)</f>
        <v/>
      </c>
      <c r="F1739" s="235">
        <f>($B1739+$C1739+1)/2</f>
        <v/>
      </c>
      <c r="G1739" s="201">
        <f>YEAR($B1739)*12+MONTH($B1739)-1</f>
        <v/>
      </c>
      <c r="H1739" s="207">
        <f>IF(OR(nr_SeasonOn="OFF",$D$1696=0,$E$1696=0),1,12*INDEX(se_block,$D$1696,$E1739)/$E$1696)</f>
        <v/>
      </c>
      <c r="I1739" s="208">
        <f>EXP(SUMPRODUCT((rl_eff&lt;$B1739)*(rl_key=$A$1696)*rl_ln1p))</f>
        <v/>
      </c>
      <c r="J1739" s="208">
        <f>EXP(SUMPRODUCT((rl_eff&lt;=$C1739)*(rl_key=$A$1696)*rl_ln1p))</f>
        <v/>
      </c>
      <c r="K1739" s="201">
        <f>COUNTIFS(rl_key,$A$1696,rl_eff,"&gt;="&amp;$B1739,rl_eff,"&lt;="&amp;$C1739)</f>
        <v/>
      </c>
      <c r="L1739" s="201">
        <f>SUMIFS(rl_daysafter,rl_key,$A$1696,rl_effmonth,$B1739,rl_first,1)</f>
        <v/>
      </c>
      <c r="M1739" s="209">
        <f>IF($K1739=0,0,MIN(1,$L1739/$D1739))</f>
        <v/>
      </c>
      <c r="N1739" s="208">
        <f>IF($K1739=0,$J1739,(1-$M1739)*$I1739+$M1739*$J1739)</f>
        <v/>
      </c>
      <c r="O1739" s="209">
        <f>IF($F1739&lt;$B$1697,$E$1697+$I$1697*($F1739-$A$1697),IF($F1739&lt;$C$1697,$F$1697+$J$1697*($F1739-$B$1697),$G$1697+$K$1697*($F1739-$C$1697)))</f>
        <v/>
      </c>
      <c r="P1739" s="208">
        <f>MIN(1,MAX(0,(nr_MEndPm1-$G1739+0.5)/$C$1696))-MIN(1,MAX(0,(nr_MStartPm1-1-$G1739+0.5)/$C$1696))</f>
        <v/>
      </c>
      <c r="Q1739" s="208">
        <f>MIN(1,MAX(0,(nr_MEndP-$G1739+0.5)/$C$1696))-MIN(1,MAX(0,(nr_MStartP-1-$G1739+0.5)/$C$1696))</f>
        <v/>
      </c>
      <c r="R1739" s="208">
        <f>MIN(1,MAX(0,(nr_MEndP1-$G1739+0.5)/$C$1696))-MIN(1,MAX(0,(nr_MStartP1-1-$G1739+0.5)/$C$1696))</f>
        <v/>
      </c>
      <c r="S1739" s="208">
        <f>IF($L$1696,$N1739*IF($O$1696=1,$O1739/$F$1696,1),"")</f>
        <v/>
      </c>
      <c r="T1739" s="208">
        <f>IF(NOT($L$1696),"",IF($G1739&lt;nr_MStartP,$S1739,$T1727*(1+IF($G1739&lt;nr_MStartP1,$M$1696,$N$1696))))</f>
        <v/>
      </c>
      <c r="U1739" s="208">
        <f>IF($L$1696,$T1739,$N1739)</f>
        <v/>
      </c>
    </row>
    <row r="1740">
      <c r="A1740" s="145" t="n">
        <v>42</v>
      </c>
      <c r="B1740" s="204">
        <f>EDATE($B1739,1)</f>
        <v/>
      </c>
      <c r="C1740" s="205">
        <f>EOMONTH($B1740,0)</f>
        <v/>
      </c>
      <c r="D1740" s="201">
        <f>$C1740-$B1740+1</f>
        <v/>
      </c>
      <c r="E1740" s="201">
        <f>MONTH($B1740)</f>
        <v/>
      </c>
      <c r="F1740" s="235">
        <f>($B1740+$C1740+1)/2</f>
        <v/>
      </c>
      <c r="G1740" s="201">
        <f>YEAR($B1740)*12+MONTH($B1740)-1</f>
        <v/>
      </c>
      <c r="H1740" s="207">
        <f>IF(OR(nr_SeasonOn="OFF",$D$1696=0,$E$1696=0),1,12*INDEX(se_block,$D$1696,$E1740)/$E$1696)</f>
        <v/>
      </c>
      <c r="I1740" s="208">
        <f>EXP(SUMPRODUCT((rl_eff&lt;$B1740)*(rl_key=$A$1696)*rl_ln1p))</f>
        <v/>
      </c>
      <c r="J1740" s="208">
        <f>EXP(SUMPRODUCT((rl_eff&lt;=$C1740)*(rl_key=$A$1696)*rl_ln1p))</f>
        <v/>
      </c>
      <c r="K1740" s="201">
        <f>COUNTIFS(rl_key,$A$1696,rl_eff,"&gt;="&amp;$B1740,rl_eff,"&lt;="&amp;$C1740)</f>
        <v/>
      </c>
      <c r="L1740" s="201">
        <f>SUMIFS(rl_daysafter,rl_key,$A$1696,rl_effmonth,$B1740,rl_first,1)</f>
        <v/>
      </c>
      <c r="M1740" s="209">
        <f>IF($K1740=0,0,MIN(1,$L1740/$D1740))</f>
        <v/>
      </c>
      <c r="N1740" s="208">
        <f>IF($K1740=0,$J1740,(1-$M1740)*$I1740+$M1740*$J1740)</f>
        <v/>
      </c>
      <c r="O1740" s="209">
        <f>IF($F1740&lt;$B$1697,$E$1697+$I$1697*($F1740-$A$1697),IF($F1740&lt;$C$1697,$F$1697+$J$1697*($F1740-$B$1697),$G$1697+$K$1697*($F1740-$C$1697)))</f>
        <v/>
      </c>
      <c r="P1740" s="208">
        <f>MIN(1,MAX(0,(nr_MEndPm1-$G1740+0.5)/$C$1696))-MIN(1,MAX(0,(nr_MStartPm1-1-$G1740+0.5)/$C$1696))</f>
        <v/>
      </c>
      <c r="Q1740" s="208">
        <f>MIN(1,MAX(0,(nr_MEndP-$G1740+0.5)/$C$1696))-MIN(1,MAX(0,(nr_MStartP-1-$G1740+0.5)/$C$1696))</f>
        <v/>
      </c>
      <c r="R1740" s="208">
        <f>MIN(1,MAX(0,(nr_MEndP1-$G1740+0.5)/$C$1696))-MIN(1,MAX(0,(nr_MStartP1-1-$G1740+0.5)/$C$1696))</f>
        <v/>
      </c>
      <c r="S1740" s="208">
        <f>IF($L$1696,$N1740*IF($O$1696=1,$O1740/$F$1696,1),"")</f>
        <v/>
      </c>
      <c r="T1740" s="208">
        <f>IF(NOT($L$1696),"",IF($G1740&lt;nr_MStartP,$S1740,$T1728*(1+IF($G1740&lt;nr_MStartP1,$M$1696,$N$1696))))</f>
        <v/>
      </c>
      <c r="U1740" s="208">
        <f>IF($L$1696,$T1740,$N1740)</f>
        <v/>
      </c>
    </row>
    <row r="1741">
      <c r="A1741" s="145" t="n">
        <v>43</v>
      </c>
      <c r="B1741" s="204">
        <f>EDATE($B1740,1)</f>
        <v/>
      </c>
      <c r="C1741" s="205">
        <f>EOMONTH($B1741,0)</f>
        <v/>
      </c>
      <c r="D1741" s="201">
        <f>$C1741-$B1741+1</f>
        <v/>
      </c>
      <c r="E1741" s="201">
        <f>MONTH($B1741)</f>
        <v/>
      </c>
      <c r="F1741" s="235">
        <f>($B1741+$C1741+1)/2</f>
        <v/>
      </c>
      <c r="G1741" s="201">
        <f>YEAR($B1741)*12+MONTH($B1741)-1</f>
        <v/>
      </c>
      <c r="H1741" s="207">
        <f>IF(OR(nr_SeasonOn="OFF",$D$1696=0,$E$1696=0),1,12*INDEX(se_block,$D$1696,$E1741)/$E$1696)</f>
        <v/>
      </c>
      <c r="I1741" s="208">
        <f>EXP(SUMPRODUCT((rl_eff&lt;$B1741)*(rl_key=$A$1696)*rl_ln1p))</f>
        <v/>
      </c>
      <c r="J1741" s="208">
        <f>EXP(SUMPRODUCT((rl_eff&lt;=$C1741)*(rl_key=$A$1696)*rl_ln1p))</f>
        <v/>
      </c>
      <c r="K1741" s="201">
        <f>COUNTIFS(rl_key,$A$1696,rl_eff,"&gt;="&amp;$B1741,rl_eff,"&lt;="&amp;$C1741)</f>
        <v/>
      </c>
      <c r="L1741" s="201">
        <f>SUMIFS(rl_daysafter,rl_key,$A$1696,rl_effmonth,$B1741,rl_first,1)</f>
        <v/>
      </c>
      <c r="M1741" s="209">
        <f>IF($K1741=0,0,MIN(1,$L1741/$D1741))</f>
        <v/>
      </c>
      <c r="N1741" s="208">
        <f>IF($K1741=0,$J1741,(1-$M1741)*$I1741+$M1741*$J1741)</f>
        <v/>
      </c>
      <c r="O1741" s="209">
        <f>IF($F1741&lt;$B$1697,$E$1697+$I$1697*($F1741-$A$1697),IF($F1741&lt;$C$1697,$F$1697+$J$1697*($F1741-$B$1697),$G$1697+$K$1697*($F1741-$C$1697)))</f>
        <v/>
      </c>
      <c r="P1741" s="208">
        <f>MIN(1,MAX(0,(nr_MEndPm1-$G1741+0.5)/$C$1696))-MIN(1,MAX(0,(nr_MStartPm1-1-$G1741+0.5)/$C$1696))</f>
        <v/>
      </c>
      <c r="Q1741" s="208">
        <f>MIN(1,MAX(0,(nr_MEndP-$G1741+0.5)/$C$1696))-MIN(1,MAX(0,(nr_MStartP-1-$G1741+0.5)/$C$1696))</f>
        <v/>
      </c>
      <c r="R1741" s="208">
        <f>MIN(1,MAX(0,(nr_MEndP1-$G1741+0.5)/$C$1696))-MIN(1,MAX(0,(nr_MStartP1-1-$G1741+0.5)/$C$1696))</f>
        <v/>
      </c>
      <c r="S1741" s="208">
        <f>IF($L$1696,$N1741*IF($O$1696=1,$O1741/$F$1696,1),"")</f>
        <v/>
      </c>
      <c r="T1741" s="208">
        <f>IF(NOT($L$1696),"",IF($G1741&lt;nr_MStartP,$S1741,$T1729*(1+IF($G1741&lt;nr_MStartP1,$M$1696,$N$1696))))</f>
        <v/>
      </c>
      <c r="U1741" s="208">
        <f>IF($L$1696,$T1741,$N1741)</f>
        <v/>
      </c>
    </row>
    <row r="1742">
      <c r="A1742" s="145" t="n">
        <v>44</v>
      </c>
      <c r="B1742" s="204">
        <f>EDATE($B1741,1)</f>
        <v/>
      </c>
      <c r="C1742" s="205">
        <f>EOMONTH($B1742,0)</f>
        <v/>
      </c>
      <c r="D1742" s="201">
        <f>$C1742-$B1742+1</f>
        <v/>
      </c>
      <c r="E1742" s="201">
        <f>MONTH($B1742)</f>
        <v/>
      </c>
      <c r="F1742" s="235">
        <f>($B1742+$C1742+1)/2</f>
        <v/>
      </c>
      <c r="G1742" s="201">
        <f>YEAR($B1742)*12+MONTH($B1742)-1</f>
        <v/>
      </c>
      <c r="H1742" s="207">
        <f>IF(OR(nr_SeasonOn="OFF",$D$1696=0,$E$1696=0),1,12*INDEX(se_block,$D$1696,$E1742)/$E$1696)</f>
        <v/>
      </c>
      <c r="I1742" s="208">
        <f>EXP(SUMPRODUCT((rl_eff&lt;$B1742)*(rl_key=$A$1696)*rl_ln1p))</f>
        <v/>
      </c>
      <c r="J1742" s="208">
        <f>EXP(SUMPRODUCT((rl_eff&lt;=$C1742)*(rl_key=$A$1696)*rl_ln1p))</f>
        <v/>
      </c>
      <c r="K1742" s="201">
        <f>COUNTIFS(rl_key,$A$1696,rl_eff,"&gt;="&amp;$B1742,rl_eff,"&lt;="&amp;$C1742)</f>
        <v/>
      </c>
      <c r="L1742" s="201">
        <f>SUMIFS(rl_daysafter,rl_key,$A$1696,rl_effmonth,$B1742,rl_first,1)</f>
        <v/>
      </c>
      <c r="M1742" s="209">
        <f>IF($K1742=0,0,MIN(1,$L1742/$D1742))</f>
        <v/>
      </c>
      <c r="N1742" s="208">
        <f>IF($K1742=0,$J1742,(1-$M1742)*$I1742+$M1742*$J1742)</f>
        <v/>
      </c>
      <c r="O1742" s="209">
        <f>IF($F1742&lt;$B$1697,$E$1697+$I$1697*($F1742-$A$1697),IF($F1742&lt;$C$1697,$F$1697+$J$1697*($F1742-$B$1697),$G$1697+$K$1697*($F1742-$C$1697)))</f>
        <v/>
      </c>
      <c r="P1742" s="208">
        <f>MIN(1,MAX(0,(nr_MEndPm1-$G1742+0.5)/$C$1696))-MIN(1,MAX(0,(nr_MStartPm1-1-$G1742+0.5)/$C$1696))</f>
        <v/>
      </c>
      <c r="Q1742" s="208">
        <f>MIN(1,MAX(0,(nr_MEndP-$G1742+0.5)/$C$1696))-MIN(1,MAX(0,(nr_MStartP-1-$G1742+0.5)/$C$1696))</f>
        <v/>
      </c>
      <c r="R1742" s="208">
        <f>MIN(1,MAX(0,(nr_MEndP1-$G1742+0.5)/$C$1696))-MIN(1,MAX(0,(nr_MStartP1-1-$G1742+0.5)/$C$1696))</f>
        <v/>
      </c>
      <c r="S1742" s="208">
        <f>IF($L$1696,$N1742*IF($O$1696=1,$O1742/$F$1696,1),"")</f>
        <v/>
      </c>
      <c r="T1742" s="208">
        <f>IF(NOT($L$1696),"",IF($G1742&lt;nr_MStartP,$S1742,$T1730*(1+IF($G1742&lt;nr_MStartP1,$M$1696,$N$1696))))</f>
        <v/>
      </c>
      <c r="U1742" s="208">
        <f>IF($L$1696,$T1742,$N1742)</f>
        <v/>
      </c>
    </row>
    <row r="1743">
      <c r="A1743" s="145" t="n">
        <v>45</v>
      </c>
      <c r="B1743" s="204">
        <f>EDATE($B1742,1)</f>
        <v/>
      </c>
      <c r="C1743" s="205">
        <f>EOMONTH($B1743,0)</f>
        <v/>
      </c>
      <c r="D1743" s="201">
        <f>$C1743-$B1743+1</f>
        <v/>
      </c>
      <c r="E1743" s="201">
        <f>MONTH($B1743)</f>
        <v/>
      </c>
      <c r="F1743" s="235">
        <f>($B1743+$C1743+1)/2</f>
        <v/>
      </c>
      <c r="G1743" s="201">
        <f>YEAR($B1743)*12+MONTH($B1743)-1</f>
        <v/>
      </c>
      <c r="H1743" s="207">
        <f>IF(OR(nr_SeasonOn="OFF",$D$1696=0,$E$1696=0),1,12*INDEX(se_block,$D$1696,$E1743)/$E$1696)</f>
        <v/>
      </c>
      <c r="I1743" s="208">
        <f>EXP(SUMPRODUCT((rl_eff&lt;$B1743)*(rl_key=$A$1696)*rl_ln1p))</f>
        <v/>
      </c>
      <c r="J1743" s="208">
        <f>EXP(SUMPRODUCT((rl_eff&lt;=$C1743)*(rl_key=$A$1696)*rl_ln1p))</f>
        <v/>
      </c>
      <c r="K1743" s="201">
        <f>COUNTIFS(rl_key,$A$1696,rl_eff,"&gt;="&amp;$B1743,rl_eff,"&lt;="&amp;$C1743)</f>
        <v/>
      </c>
      <c r="L1743" s="201">
        <f>SUMIFS(rl_daysafter,rl_key,$A$1696,rl_effmonth,$B1743,rl_first,1)</f>
        <v/>
      </c>
      <c r="M1743" s="209">
        <f>IF($K1743=0,0,MIN(1,$L1743/$D1743))</f>
        <v/>
      </c>
      <c r="N1743" s="208">
        <f>IF($K1743=0,$J1743,(1-$M1743)*$I1743+$M1743*$J1743)</f>
        <v/>
      </c>
      <c r="O1743" s="209">
        <f>IF($F1743&lt;$B$1697,$E$1697+$I$1697*($F1743-$A$1697),IF($F1743&lt;$C$1697,$F$1697+$J$1697*($F1743-$B$1697),$G$1697+$K$1697*($F1743-$C$1697)))</f>
        <v/>
      </c>
      <c r="P1743" s="208">
        <f>MIN(1,MAX(0,(nr_MEndPm1-$G1743+0.5)/$C$1696))-MIN(1,MAX(0,(nr_MStartPm1-1-$G1743+0.5)/$C$1696))</f>
        <v/>
      </c>
      <c r="Q1743" s="208">
        <f>MIN(1,MAX(0,(nr_MEndP-$G1743+0.5)/$C$1696))-MIN(1,MAX(0,(nr_MStartP-1-$G1743+0.5)/$C$1696))</f>
        <v/>
      </c>
      <c r="R1743" s="208">
        <f>MIN(1,MAX(0,(nr_MEndP1-$G1743+0.5)/$C$1696))-MIN(1,MAX(0,(nr_MStartP1-1-$G1743+0.5)/$C$1696))</f>
        <v/>
      </c>
      <c r="S1743" s="208">
        <f>IF($L$1696,$N1743*IF($O$1696=1,$O1743/$F$1696,1),"")</f>
        <v/>
      </c>
      <c r="T1743" s="208">
        <f>IF(NOT($L$1696),"",IF($G1743&lt;nr_MStartP,$S1743,$T1731*(1+IF($G1743&lt;nr_MStartP1,$M$1696,$N$1696))))</f>
        <v/>
      </c>
      <c r="U1743" s="208">
        <f>IF($L$1696,$T1743,$N1743)</f>
        <v/>
      </c>
    </row>
    <row r="1744">
      <c r="A1744" s="145" t="n">
        <v>46</v>
      </c>
      <c r="B1744" s="204">
        <f>EDATE($B1743,1)</f>
        <v/>
      </c>
      <c r="C1744" s="205">
        <f>EOMONTH($B1744,0)</f>
        <v/>
      </c>
      <c r="D1744" s="201">
        <f>$C1744-$B1744+1</f>
        <v/>
      </c>
      <c r="E1744" s="201">
        <f>MONTH($B1744)</f>
        <v/>
      </c>
      <c r="F1744" s="235">
        <f>($B1744+$C1744+1)/2</f>
        <v/>
      </c>
      <c r="G1744" s="201">
        <f>YEAR($B1744)*12+MONTH($B1744)-1</f>
        <v/>
      </c>
      <c r="H1744" s="207">
        <f>IF(OR(nr_SeasonOn="OFF",$D$1696=0,$E$1696=0),1,12*INDEX(se_block,$D$1696,$E1744)/$E$1696)</f>
        <v/>
      </c>
      <c r="I1744" s="208">
        <f>EXP(SUMPRODUCT((rl_eff&lt;$B1744)*(rl_key=$A$1696)*rl_ln1p))</f>
        <v/>
      </c>
      <c r="J1744" s="208">
        <f>EXP(SUMPRODUCT((rl_eff&lt;=$C1744)*(rl_key=$A$1696)*rl_ln1p))</f>
        <v/>
      </c>
      <c r="K1744" s="201">
        <f>COUNTIFS(rl_key,$A$1696,rl_eff,"&gt;="&amp;$B1744,rl_eff,"&lt;="&amp;$C1744)</f>
        <v/>
      </c>
      <c r="L1744" s="201">
        <f>SUMIFS(rl_daysafter,rl_key,$A$1696,rl_effmonth,$B1744,rl_first,1)</f>
        <v/>
      </c>
      <c r="M1744" s="209">
        <f>IF($K1744=0,0,MIN(1,$L1744/$D1744))</f>
        <v/>
      </c>
      <c r="N1744" s="208">
        <f>IF($K1744=0,$J1744,(1-$M1744)*$I1744+$M1744*$J1744)</f>
        <v/>
      </c>
      <c r="O1744" s="209">
        <f>IF($F1744&lt;$B$1697,$E$1697+$I$1697*($F1744-$A$1697),IF($F1744&lt;$C$1697,$F$1697+$J$1697*($F1744-$B$1697),$G$1697+$K$1697*($F1744-$C$1697)))</f>
        <v/>
      </c>
      <c r="P1744" s="208">
        <f>MIN(1,MAX(0,(nr_MEndPm1-$G1744+0.5)/$C$1696))-MIN(1,MAX(0,(nr_MStartPm1-1-$G1744+0.5)/$C$1696))</f>
        <v/>
      </c>
      <c r="Q1744" s="208">
        <f>MIN(1,MAX(0,(nr_MEndP-$G1744+0.5)/$C$1696))-MIN(1,MAX(0,(nr_MStartP-1-$G1744+0.5)/$C$1696))</f>
        <v/>
      </c>
      <c r="R1744" s="208">
        <f>MIN(1,MAX(0,(nr_MEndP1-$G1744+0.5)/$C$1696))-MIN(1,MAX(0,(nr_MStartP1-1-$G1744+0.5)/$C$1696))</f>
        <v/>
      </c>
      <c r="S1744" s="208">
        <f>IF($L$1696,$N1744*IF($O$1696=1,$O1744/$F$1696,1),"")</f>
        <v/>
      </c>
      <c r="T1744" s="208">
        <f>IF(NOT($L$1696),"",IF($G1744&lt;nr_MStartP,$S1744,$T1732*(1+IF($G1744&lt;nr_MStartP1,$M$1696,$N$1696))))</f>
        <v/>
      </c>
      <c r="U1744" s="208">
        <f>IF($L$1696,$T1744,$N1744)</f>
        <v/>
      </c>
    </row>
    <row r="1745">
      <c r="A1745" s="145" t="n">
        <v>47</v>
      </c>
      <c r="B1745" s="204">
        <f>EDATE($B1744,1)</f>
        <v/>
      </c>
      <c r="C1745" s="205">
        <f>EOMONTH($B1745,0)</f>
        <v/>
      </c>
      <c r="D1745" s="201">
        <f>$C1745-$B1745+1</f>
        <v/>
      </c>
      <c r="E1745" s="201">
        <f>MONTH($B1745)</f>
        <v/>
      </c>
      <c r="F1745" s="235">
        <f>($B1745+$C1745+1)/2</f>
        <v/>
      </c>
      <c r="G1745" s="201">
        <f>YEAR($B1745)*12+MONTH($B1745)-1</f>
        <v/>
      </c>
      <c r="H1745" s="207">
        <f>IF(OR(nr_SeasonOn="OFF",$D$1696=0,$E$1696=0),1,12*INDEX(se_block,$D$1696,$E1745)/$E$1696)</f>
        <v/>
      </c>
      <c r="I1745" s="208">
        <f>EXP(SUMPRODUCT((rl_eff&lt;$B1745)*(rl_key=$A$1696)*rl_ln1p))</f>
        <v/>
      </c>
      <c r="J1745" s="208">
        <f>EXP(SUMPRODUCT((rl_eff&lt;=$C1745)*(rl_key=$A$1696)*rl_ln1p))</f>
        <v/>
      </c>
      <c r="K1745" s="201">
        <f>COUNTIFS(rl_key,$A$1696,rl_eff,"&gt;="&amp;$B1745,rl_eff,"&lt;="&amp;$C1745)</f>
        <v/>
      </c>
      <c r="L1745" s="201">
        <f>SUMIFS(rl_daysafter,rl_key,$A$1696,rl_effmonth,$B1745,rl_first,1)</f>
        <v/>
      </c>
      <c r="M1745" s="209">
        <f>IF($K1745=0,0,MIN(1,$L1745/$D1745))</f>
        <v/>
      </c>
      <c r="N1745" s="208">
        <f>IF($K1745=0,$J1745,(1-$M1745)*$I1745+$M1745*$J1745)</f>
        <v/>
      </c>
      <c r="O1745" s="209">
        <f>IF($F1745&lt;$B$1697,$E$1697+$I$1697*($F1745-$A$1697),IF($F1745&lt;$C$1697,$F$1697+$J$1697*($F1745-$B$1697),$G$1697+$K$1697*($F1745-$C$1697)))</f>
        <v/>
      </c>
      <c r="P1745" s="208">
        <f>MIN(1,MAX(0,(nr_MEndPm1-$G1745+0.5)/$C$1696))-MIN(1,MAX(0,(nr_MStartPm1-1-$G1745+0.5)/$C$1696))</f>
        <v/>
      </c>
      <c r="Q1745" s="208">
        <f>MIN(1,MAX(0,(nr_MEndP-$G1745+0.5)/$C$1696))-MIN(1,MAX(0,(nr_MStartP-1-$G1745+0.5)/$C$1696))</f>
        <v/>
      </c>
      <c r="R1745" s="208">
        <f>MIN(1,MAX(0,(nr_MEndP1-$G1745+0.5)/$C$1696))-MIN(1,MAX(0,(nr_MStartP1-1-$G1745+0.5)/$C$1696))</f>
        <v/>
      </c>
      <c r="S1745" s="208">
        <f>IF($L$1696,$N1745*IF($O$1696=1,$O1745/$F$1696,1),"")</f>
        <v/>
      </c>
      <c r="T1745" s="208">
        <f>IF(NOT($L$1696),"",IF($G1745&lt;nr_MStartP,$S1745,$T1733*(1+IF($G1745&lt;nr_MStartP1,$M$1696,$N$1696))))</f>
        <v/>
      </c>
      <c r="U1745" s="208">
        <f>IF($L$1696,$T1745,$N1745)</f>
        <v/>
      </c>
    </row>
    <row r="1746">
      <c r="A1746" s="145" t="n">
        <v>48</v>
      </c>
      <c r="B1746" s="204">
        <f>EDATE($B1745,1)</f>
        <v/>
      </c>
      <c r="C1746" s="205">
        <f>EOMONTH($B1746,0)</f>
        <v/>
      </c>
      <c r="D1746" s="201">
        <f>$C1746-$B1746+1</f>
        <v/>
      </c>
      <c r="E1746" s="201">
        <f>MONTH($B1746)</f>
        <v/>
      </c>
      <c r="F1746" s="235">
        <f>($B1746+$C1746+1)/2</f>
        <v/>
      </c>
      <c r="G1746" s="201">
        <f>YEAR($B1746)*12+MONTH($B1746)-1</f>
        <v/>
      </c>
      <c r="H1746" s="207">
        <f>IF(OR(nr_SeasonOn="OFF",$D$1696=0,$E$1696=0),1,12*INDEX(se_block,$D$1696,$E1746)/$E$1696)</f>
        <v/>
      </c>
      <c r="I1746" s="208">
        <f>EXP(SUMPRODUCT((rl_eff&lt;$B1746)*(rl_key=$A$1696)*rl_ln1p))</f>
        <v/>
      </c>
      <c r="J1746" s="208">
        <f>EXP(SUMPRODUCT((rl_eff&lt;=$C1746)*(rl_key=$A$1696)*rl_ln1p))</f>
        <v/>
      </c>
      <c r="K1746" s="201">
        <f>COUNTIFS(rl_key,$A$1696,rl_eff,"&gt;="&amp;$B1746,rl_eff,"&lt;="&amp;$C1746)</f>
        <v/>
      </c>
      <c r="L1746" s="201">
        <f>SUMIFS(rl_daysafter,rl_key,$A$1696,rl_effmonth,$B1746,rl_first,1)</f>
        <v/>
      </c>
      <c r="M1746" s="209">
        <f>IF($K1746=0,0,MIN(1,$L1746/$D1746))</f>
        <v/>
      </c>
      <c r="N1746" s="208">
        <f>IF($K1746=0,$J1746,(1-$M1746)*$I1746+$M1746*$J1746)</f>
        <v/>
      </c>
      <c r="O1746" s="209">
        <f>IF($F1746&lt;$B$1697,$E$1697+$I$1697*($F1746-$A$1697),IF($F1746&lt;$C$1697,$F$1697+$J$1697*($F1746-$B$1697),$G$1697+$K$1697*($F1746-$C$1697)))</f>
        <v/>
      </c>
      <c r="P1746" s="208">
        <f>MIN(1,MAX(0,(nr_MEndPm1-$G1746+0.5)/$C$1696))-MIN(1,MAX(0,(nr_MStartPm1-1-$G1746+0.5)/$C$1696))</f>
        <v/>
      </c>
      <c r="Q1746" s="208">
        <f>MIN(1,MAX(0,(nr_MEndP-$G1746+0.5)/$C$1696))-MIN(1,MAX(0,(nr_MStartP-1-$G1746+0.5)/$C$1696))</f>
        <v/>
      </c>
      <c r="R1746" s="208">
        <f>MIN(1,MAX(0,(nr_MEndP1-$G1746+0.5)/$C$1696))-MIN(1,MAX(0,(nr_MStartP1-1-$G1746+0.5)/$C$1696))</f>
        <v/>
      </c>
      <c r="S1746" s="208">
        <f>IF($L$1696,$N1746*IF($O$1696=1,$O1746/$F$1696,1),"")</f>
        <v/>
      </c>
      <c r="T1746" s="208">
        <f>IF(NOT($L$1696),"",IF($G1746&lt;nr_MStartP,$S1746,$T1734*(1+IF($G1746&lt;nr_MStartP1,$M$1696,$N$1696))))</f>
        <v/>
      </c>
      <c r="U1746" s="208">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184">
        <f>SUMPRODUCT($H$1699:$H$1746,$Q$1699:$Q$1746,$O$1699:$O$1746)/SUMPRODUCT($H$1699:$H$1746,$Q$1699:$Q$1746)</f>
        <v/>
      </c>
      <c r="G1747" s="184">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184">
        <f>IF(N(INDEX(lr_mind,32))=0,1,INDEX(lr_mind,32))</f>
        <v/>
      </c>
      <c r="G1750" s="184">
        <f>IF(N(INDEX(lr_m0,32))=0,1,INDEX(lr_m0,32))</f>
        <v/>
      </c>
      <c r="H1750" s="73">
        <f>IF(N(INDEX(lr_m0asof,32))=0,DATE(nr_PlanYear-1,10,1),INDEX(lr_m0asof,32))</f>
        <v/>
      </c>
      <c r="I1750" s="184">
        <f>IF(N(INDEX(lr_m1,32))=0,1,INDEX(lr_m1,32))</f>
        <v/>
      </c>
      <c r="J1750" s="184">
        <f>INDEX(lr_mprior,32)</f>
        <v/>
      </c>
      <c r="K1750" s="184">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145" t="n">
        <v>1</v>
      </c>
      <c r="B1753" s="204">
        <f>DATE(nr_PlanYear-2,1,1)</f>
        <v/>
      </c>
      <c r="C1753" s="205">
        <f>EOMONTH($B1753,0)</f>
        <v/>
      </c>
      <c r="D1753" s="201">
        <f>$C1753-$B1753+1</f>
        <v/>
      </c>
      <c r="E1753" s="201">
        <f>MONTH($B1753)</f>
        <v/>
      </c>
      <c r="F1753" s="235">
        <f>($B1753+$C1753+1)/2</f>
        <v/>
      </c>
      <c r="G1753" s="201">
        <f>YEAR($B1753)*12+MONTH($B1753)-1</f>
        <v/>
      </c>
      <c r="H1753" s="207">
        <f>IF(OR(nr_SeasonOn="OFF",$D$1750=0,$E$1750=0),1,12*INDEX(se_block,$D$1750,$E1753)/$E$1750)</f>
        <v/>
      </c>
      <c r="I1753" s="208">
        <f>EXP(SUMPRODUCT((rl_eff&lt;$B1753)*(rl_key=$A$1750)*rl_ln1p))</f>
        <v/>
      </c>
      <c r="J1753" s="208">
        <f>EXP(SUMPRODUCT((rl_eff&lt;=$C1753)*(rl_key=$A$1750)*rl_ln1p))</f>
        <v/>
      </c>
      <c r="K1753" s="201">
        <f>COUNTIFS(rl_key,$A$1750,rl_eff,"&gt;="&amp;$B1753,rl_eff,"&lt;="&amp;$C1753)</f>
        <v/>
      </c>
      <c r="L1753" s="201">
        <f>SUMIFS(rl_daysafter,rl_key,$A$1750,rl_effmonth,$B1753,rl_first,1)</f>
        <v/>
      </c>
      <c r="M1753" s="209">
        <f>IF($K1753=0,0,MIN(1,$L1753/$D1753))</f>
        <v/>
      </c>
      <c r="N1753" s="208">
        <f>IF($K1753=0,$J1753,(1-$M1753)*$I1753+$M1753*$J1753)</f>
        <v/>
      </c>
      <c r="O1753" s="209">
        <f>IF($F1753&lt;$B$1751,$E$1751+$I$1751*($F1753-$A$1751),IF($F1753&lt;$C$1751,$F$1751+$J$1751*($F1753-$B$1751),$G$1751+$K$1751*($F1753-$C$1751)))</f>
        <v/>
      </c>
      <c r="P1753" s="208">
        <f>MIN(1,MAX(0,(nr_MEndPm1-$G1753+0.5)/$C$1750))-MIN(1,MAX(0,(nr_MStartPm1-1-$G1753+0.5)/$C$1750))</f>
        <v/>
      </c>
      <c r="Q1753" s="208">
        <f>MIN(1,MAX(0,(nr_MEndP-$G1753+0.5)/$C$1750))-MIN(1,MAX(0,(nr_MStartP-1-$G1753+0.5)/$C$1750))</f>
        <v/>
      </c>
      <c r="R1753" s="208">
        <f>MIN(1,MAX(0,(nr_MEndP1-$G1753+0.5)/$C$1750))-MIN(1,MAX(0,(nr_MStartP1-1-$G1753+0.5)/$C$1750))</f>
        <v/>
      </c>
      <c r="S1753" s="208">
        <f>IF($L$1750,$N1753*IF($O$1750=1,$O1753/$F$1750,1),"")</f>
        <v/>
      </c>
      <c r="T1753" s="208">
        <f>IF(NOT($L$1750),"",IF($G1753&lt;nr_MStartP,$S1753,$T1741*(1+IF($G1753&lt;nr_MStartP1,$M$1750,$N$1750))))</f>
        <v/>
      </c>
      <c r="U1753" s="208">
        <f>IF($L$1750,$T1753,$N1753)</f>
        <v/>
      </c>
    </row>
    <row r="1754">
      <c r="A1754" s="145" t="n">
        <v>2</v>
      </c>
      <c r="B1754" s="204">
        <f>EDATE($B1753,1)</f>
        <v/>
      </c>
      <c r="C1754" s="205">
        <f>EOMONTH($B1754,0)</f>
        <v/>
      </c>
      <c r="D1754" s="201">
        <f>$C1754-$B1754+1</f>
        <v/>
      </c>
      <c r="E1754" s="201">
        <f>MONTH($B1754)</f>
        <v/>
      </c>
      <c r="F1754" s="235">
        <f>($B1754+$C1754+1)/2</f>
        <v/>
      </c>
      <c r="G1754" s="201">
        <f>YEAR($B1754)*12+MONTH($B1754)-1</f>
        <v/>
      </c>
      <c r="H1754" s="207">
        <f>IF(OR(nr_SeasonOn="OFF",$D$1750=0,$E$1750=0),1,12*INDEX(se_block,$D$1750,$E1754)/$E$1750)</f>
        <v/>
      </c>
      <c r="I1754" s="208">
        <f>EXP(SUMPRODUCT((rl_eff&lt;$B1754)*(rl_key=$A$1750)*rl_ln1p))</f>
        <v/>
      </c>
      <c r="J1754" s="208">
        <f>EXP(SUMPRODUCT((rl_eff&lt;=$C1754)*(rl_key=$A$1750)*rl_ln1p))</f>
        <v/>
      </c>
      <c r="K1754" s="201">
        <f>COUNTIFS(rl_key,$A$1750,rl_eff,"&gt;="&amp;$B1754,rl_eff,"&lt;="&amp;$C1754)</f>
        <v/>
      </c>
      <c r="L1754" s="201">
        <f>SUMIFS(rl_daysafter,rl_key,$A$1750,rl_effmonth,$B1754,rl_first,1)</f>
        <v/>
      </c>
      <c r="M1754" s="209">
        <f>IF($K1754=0,0,MIN(1,$L1754/$D1754))</f>
        <v/>
      </c>
      <c r="N1754" s="208">
        <f>IF($K1754=0,$J1754,(1-$M1754)*$I1754+$M1754*$J1754)</f>
        <v/>
      </c>
      <c r="O1754" s="209">
        <f>IF($F1754&lt;$B$1751,$E$1751+$I$1751*($F1754-$A$1751),IF($F1754&lt;$C$1751,$F$1751+$J$1751*($F1754-$B$1751),$G$1751+$K$1751*($F1754-$C$1751)))</f>
        <v/>
      </c>
      <c r="P1754" s="208">
        <f>MIN(1,MAX(0,(nr_MEndPm1-$G1754+0.5)/$C$1750))-MIN(1,MAX(0,(nr_MStartPm1-1-$G1754+0.5)/$C$1750))</f>
        <v/>
      </c>
      <c r="Q1754" s="208">
        <f>MIN(1,MAX(0,(nr_MEndP-$G1754+0.5)/$C$1750))-MIN(1,MAX(0,(nr_MStartP-1-$G1754+0.5)/$C$1750))</f>
        <v/>
      </c>
      <c r="R1754" s="208">
        <f>MIN(1,MAX(0,(nr_MEndP1-$G1754+0.5)/$C$1750))-MIN(1,MAX(0,(nr_MStartP1-1-$G1754+0.5)/$C$1750))</f>
        <v/>
      </c>
      <c r="S1754" s="208">
        <f>IF($L$1750,$N1754*IF($O$1750=1,$O1754/$F$1750,1),"")</f>
        <v/>
      </c>
      <c r="T1754" s="208">
        <f>IF(NOT($L$1750),"",IF($G1754&lt;nr_MStartP,$S1754,$T1742*(1+IF($G1754&lt;nr_MStartP1,$M$1750,$N$1750))))</f>
        <v/>
      </c>
      <c r="U1754" s="208">
        <f>IF($L$1750,$T1754,$N1754)</f>
        <v/>
      </c>
    </row>
    <row r="1755">
      <c r="A1755" s="145" t="n">
        <v>3</v>
      </c>
      <c r="B1755" s="204">
        <f>EDATE($B1754,1)</f>
        <v/>
      </c>
      <c r="C1755" s="205">
        <f>EOMONTH($B1755,0)</f>
        <v/>
      </c>
      <c r="D1755" s="201">
        <f>$C1755-$B1755+1</f>
        <v/>
      </c>
      <c r="E1755" s="201">
        <f>MONTH($B1755)</f>
        <v/>
      </c>
      <c r="F1755" s="235">
        <f>($B1755+$C1755+1)/2</f>
        <v/>
      </c>
      <c r="G1755" s="201">
        <f>YEAR($B1755)*12+MONTH($B1755)-1</f>
        <v/>
      </c>
      <c r="H1755" s="207">
        <f>IF(OR(nr_SeasonOn="OFF",$D$1750=0,$E$1750=0),1,12*INDEX(se_block,$D$1750,$E1755)/$E$1750)</f>
        <v/>
      </c>
      <c r="I1755" s="208">
        <f>EXP(SUMPRODUCT((rl_eff&lt;$B1755)*(rl_key=$A$1750)*rl_ln1p))</f>
        <v/>
      </c>
      <c r="J1755" s="208">
        <f>EXP(SUMPRODUCT((rl_eff&lt;=$C1755)*(rl_key=$A$1750)*rl_ln1p))</f>
        <v/>
      </c>
      <c r="K1755" s="201">
        <f>COUNTIFS(rl_key,$A$1750,rl_eff,"&gt;="&amp;$B1755,rl_eff,"&lt;="&amp;$C1755)</f>
        <v/>
      </c>
      <c r="L1755" s="201">
        <f>SUMIFS(rl_daysafter,rl_key,$A$1750,rl_effmonth,$B1755,rl_first,1)</f>
        <v/>
      </c>
      <c r="M1755" s="209">
        <f>IF($K1755=0,0,MIN(1,$L1755/$D1755))</f>
        <v/>
      </c>
      <c r="N1755" s="208">
        <f>IF($K1755=0,$J1755,(1-$M1755)*$I1755+$M1755*$J1755)</f>
        <v/>
      </c>
      <c r="O1755" s="209">
        <f>IF($F1755&lt;$B$1751,$E$1751+$I$1751*($F1755-$A$1751),IF($F1755&lt;$C$1751,$F$1751+$J$1751*($F1755-$B$1751),$G$1751+$K$1751*($F1755-$C$1751)))</f>
        <v/>
      </c>
      <c r="P1755" s="208">
        <f>MIN(1,MAX(0,(nr_MEndPm1-$G1755+0.5)/$C$1750))-MIN(1,MAX(0,(nr_MStartPm1-1-$G1755+0.5)/$C$1750))</f>
        <v/>
      </c>
      <c r="Q1755" s="208">
        <f>MIN(1,MAX(0,(nr_MEndP-$G1755+0.5)/$C$1750))-MIN(1,MAX(0,(nr_MStartP-1-$G1755+0.5)/$C$1750))</f>
        <v/>
      </c>
      <c r="R1755" s="208">
        <f>MIN(1,MAX(0,(nr_MEndP1-$G1755+0.5)/$C$1750))-MIN(1,MAX(0,(nr_MStartP1-1-$G1755+0.5)/$C$1750))</f>
        <v/>
      </c>
      <c r="S1755" s="208">
        <f>IF($L$1750,$N1755*IF($O$1750=1,$O1755/$F$1750,1),"")</f>
        <v/>
      </c>
      <c r="T1755" s="208">
        <f>IF(NOT($L$1750),"",IF($G1755&lt;nr_MStartP,$S1755,$T1743*(1+IF($G1755&lt;nr_MStartP1,$M$1750,$N$1750))))</f>
        <v/>
      </c>
      <c r="U1755" s="208">
        <f>IF($L$1750,$T1755,$N1755)</f>
        <v/>
      </c>
    </row>
    <row r="1756">
      <c r="A1756" s="145" t="n">
        <v>4</v>
      </c>
      <c r="B1756" s="204">
        <f>EDATE($B1755,1)</f>
        <v/>
      </c>
      <c r="C1756" s="205">
        <f>EOMONTH($B1756,0)</f>
        <v/>
      </c>
      <c r="D1756" s="201">
        <f>$C1756-$B1756+1</f>
        <v/>
      </c>
      <c r="E1756" s="201">
        <f>MONTH($B1756)</f>
        <v/>
      </c>
      <c r="F1756" s="235">
        <f>($B1756+$C1756+1)/2</f>
        <v/>
      </c>
      <c r="G1756" s="201">
        <f>YEAR($B1756)*12+MONTH($B1756)-1</f>
        <v/>
      </c>
      <c r="H1756" s="207">
        <f>IF(OR(nr_SeasonOn="OFF",$D$1750=0,$E$1750=0),1,12*INDEX(se_block,$D$1750,$E1756)/$E$1750)</f>
        <v/>
      </c>
      <c r="I1756" s="208">
        <f>EXP(SUMPRODUCT((rl_eff&lt;$B1756)*(rl_key=$A$1750)*rl_ln1p))</f>
        <v/>
      </c>
      <c r="J1756" s="208">
        <f>EXP(SUMPRODUCT((rl_eff&lt;=$C1756)*(rl_key=$A$1750)*rl_ln1p))</f>
        <v/>
      </c>
      <c r="K1756" s="201">
        <f>COUNTIFS(rl_key,$A$1750,rl_eff,"&gt;="&amp;$B1756,rl_eff,"&lt;="&amp;$C1756)</f>
        <v/>
      </c>
      <c r="L1756" s="201">
        <f>SUMIFS(rl_daysafter,rl_key,$A$1750,rl_effmonth,$B1756,rl_first,1)</f>
        <v/>
      </c>
      <c r="M1756" s="209">
        <f>IF($K1756=0,0,MIN(1,$L1756/$D1756))</f>
        <v/>
      </c>
      <c r="N1756" s="208">
        <f>IF($K1756=0,$J1756,(1-$M1756)*$I1756+$M1756*$J1756)</f>
        <v/>
      </c>
      <c r="O1756" s="209">
        <f>IF($F1756&lt;$B$1751,$E$1751+$I$1751*($F1756-$A$1751),IF($F1756&lt;$C$1751,$F$1751+$J$1751*($F1756-$B$1751),$G$1751+$K$1751*($F1756-$C$1751)))</f>
        <v/>
      </c>
      <c r="P1756" s="208">
        <f>MIN(1,MAX(0,(nr_MEndPm1-$G1756+0.5)/$C$1750))-MIN(1,MAX(0,(nr_MStartPm1-1-$G1756+0.5)/$C$1750))</f>
        <v/>
      </c>
      <c r="Q1756" s="208">
        <f>MIN(1,MAX(0,(nr_MEndP-$G1756+0.5)/$C$1750))-MIN(1,MAX(0,(nr_MStartP-1-$G1756+0.5)/$C$1750))</f>
        <v/>
      </c>
      <c r="R1756" s="208">
        <f>MIN(1,MAX(0,(nr_MEndP1-$G1756+0.5)/$C$1750))-MIN(1,MAX(0,(nr_MStartP1-1-$G1756+0.5)/$C$1750))</f>
        <v/>
      </c>
      <c r="S1756" s="208">
        <f>IF($L$1750,$N1756*IF($O$1750=1,$O1756/$F$1750,1),"")</f>
        <v/>
      </c>
      <c r="T1756" s="208">
        <f>IF(NOT($L$1750),"",IF($G1756&lt;nr_MStartP,$S1756,$T1744*(1+IF($G1756&lt;nr_MStartP1,$M$1750,$N$1750))))</f>
        <v/>
      </c>
      <c r="U1756" s="208">
        <f>IF($L$1750,$T1756,$N1756)</f>
        <v/>
      </c>
    </row>
    <row r="1757">
      <c r="A1757" s="145" t="n">
        <v>5</v>
      </c>
      <c r="B1757" s="204">
        <f>EDATE($B1756,1)</f>
        <v/>
      </c>
      <c r="C1757" s="205">
        <f>EOMONTH($B1757,0)</f>
        <v/>
      </c>
      <c r="D1757" s="201">
        <f>$C1757-$B1757+1</f>
        <v/>
      </c>
      <c r="E1757" s="201">
        <f>MONTH($B1757)</f>
        <v/>
      </c>
      <c r="F1757" s="235">
        <f>($B1757+$C1757+1)/2</f>
        <v/>
      </c>
      <c r="G1757" s="201">
        <f>YEAR($B1757)*12+MONTH($B1757)-1</f>
        <v/>
      </c>
      <c r="H1757" s="207">
        <f>IF(OR(nr_SeasonOn="OFF",$D$1750=0,$E$1750=0),1,12*INDEX(se_block,$D$1750,$E1757)/$E$1750)</f>
        <v/>
      </c>
      <c r="I1757" s="208">
        <f>EXP(SUMPRODUCT((rl_eff&lt;$B1757)*(rl_key=$A$1750)*rl_ln1p))</f>
        <v/>
      </c>
      <c r="J1757" s="208">
        <f>EXP(SUMPRODUCT((rl_eff&lt;=$C1757)*(rl_key=$A$1750)*rl_ln1p))</f>
        <v/>
      </c>
      <c r="K1757" s="201">
        <f>COUNTIFS(rl_key,$A$1750,rl_eff,"&gt;="&amp;$B1757,rl_eff,"&lt;="&amp;$C1757)</f>
        <v/>
      </c>
      <c r="L1757" s="201">
        <f>SUMIFS(rl_daysafter,rl_key,$A$1750,rl_effmonth,$B1757,rl_first,1)</f>
        <v/>
      </c>
      <c r="M1757" s="209">
        <f>IF($K1757=0,0,MIN(1,$L1757/$D1757))</f>
        <v/>
      </c>
      <c r="N1757" s="208">
        <f>IF($K1757=0,$J1757,(1-$M1757)*$I1757+$M1757*$J1757)</f>
        <v/>
      </c>
      <c r="O1757" s="209">
        <f>IF($F1757&lt;$B$1751,$E$1751+$I$1751*($F1757-$A$1751),IF($F1757&lt;$C$1751,$F$1751+$J$1751*($F1757-$B$1751),$G$1751+$K$1751*($F1757-$C$1751)))</f>
        <v/>
      </c>
      <c r="P1757" s="208">
        <f>MIN(1,MAX(0,(nr_MEndPm1-$G1757+0.5)/$C$1750))-MIN(1,MAX(0,(nr_MStartPm1-1-$G1757+0.5)/$C$1750))</f>
        <v/>
      </c>
      <c r="Q1757" s="208">
        <f>MIN(1,MAX(0,(nr_MEndP-$G1757+0.5)/$C$1750))-MIN(1,MAX(0,(nr_MStartP-1-$G1757+0.5)/$C$1750))</f>
        <v/>
      </c>
      <c r="R1757" s="208">
        <f>MIN(1,MAX(0,(nr_MEndP1-$G1757+0.5)/$C$1750))-MIN(1,MAX(0,(nr_MStartP1-1-$G1757+0.5)/$C$1750))</f>
        <v/>
      </c>
      <c r="S1757" s="208">
        <f>IF($L$1750,$N1757*IF($O$1750=1,$O1757/$F$1750,1),"")</f>
        <v/>
      </c>
      <c r="T1757" s="208">
        <f>IF(NOT($L$1750),"",IF($G1757&lt;nr_MStartP,$S1757,$T1745*(1+IF($G1757&lt;nr_MStartP1,$M$1750,$N$1750))))</f>
        <v/>
      </c>
      <c r="U1757" s="208">
        <f>IF($L$1750,$T1757,$N1757)</f>
        <v/>
      </c>
    </row>
    <row r="1758">
      <c r="A1758" s="145" t="n">
        <v>6</v>
      </c>
      <c r="B1758" s="204">
        <f>EDATE($B1757,1)</f>
        <v/>
      </c>
      <c r="C1758" s="205">
        <f>EOMONTH($B1758,0)</f>
        <v/>
      </c>
      <c r="D1758" s="201">
        <f>$C1758-$B1758+1</f>
        <v/>
      </c>
      <c r="E1758" s="201">
        <f>MONTH($B1758)</f>
        <v/>
      </c>
      <c r="F1758" s="235">
        <f>($B1758+$C1758+1)/2</f>
        <v/>
      </c>
      <c r="G1758" s="201">
        <f>YEAR($B1758)*12+MONTH($B1758)-1</f>
        <v/>
      </c>
      <c r="H1758" s="207">
        <f>IF(OR(nr_SeasonOn="OFF",$D$1750=0,$E$1750=0),1,12*INDEX(se_block,$D$1750,$E1758)/$E$1750)</f>
        <v/>
      </c>
      <c r="I1758" s="208">
        <f>EXP(SUMPRODUCT((rl_eff&lt;$B1758)*(rl_key=$A$1750)*rl_ln1p))</f>
        <v/>
      </c>
      <c r="J1758" s="208">
        <f>EXP(SUMPRODUCT((rl_eff&lt;=$C1758)*(rl_key=$A$1750)*rl_ln1p))</f>
        <v/>
      </c>
      <c r="K1758" s="201">
        <f>COUNTIFS(rl_key,$A$1750,rl_eff,"&gt;="&amp;$B1758,rl_eff,"&lt;="&amp;$C1758)</f>
        <v/>
      </c>
      <c r="L1758" s="201">
        <f>SUMIFS(rl_daysafter,rl_key,$A$1750,rl_effmonth,$B1758,rl_first,1)</f>
        <v/>
      </c>
      <c r="M1758" s="209">
        <f>IF($K1758=0,0,MIN(1,$L1758/$D1758))</f>
        <v/>
      </c>
      <c r="N1758" s="208">
        <f>IF($K1758=0,$J1758,(1-$M1758)*$I1758+$M1758*$J1758)</f>
        <v/>
      </c>
      <c r="O1758" s="209">
        <f>IF($F1758&lt;$B$1751,$E$1751+$I$1751*($F1758-$A$1751),IF($F1758&lt;$C$1751,$F$1751+$J$1751*($F1758-$B$1751),$G$1751+$K$1751*($F1758-$C$1751)))</f>
        <v/>
      </c>
      <c r="P1758" s="208">
        <f>MIN(1,MAX(0,(nr_MEndPm1-$G1758+0.5)/$C$1750))-MIN(1,MAX(0,(nr_MStartPm1-1-$G1758+0.5)/$C$1750))</f>
        <v/>
      </c>
      <c r="Q1758" s="208">
        <f>MIN(1,MAX(0,(nr_MEndP-$G1758+0.5)/$C$1750))-MIN(1,MAX(0,(nr_MStartP-1-$G1758+0.5)/$C$1750))</f>
        <v/>
      </c>
      <c r="R1758" s="208">
        <f>MIN(1,MAX(0,(nr_MEndP1-$G1758+0.5)/$C$1750))-MIN(1,MAX(0,(nr_MStartP1-1-$G1758+0.5)/$C$1750))</f>
        <v/>
      </c>
      <c r="S1758" s="208">
        <f>IF($L$1750,$N1758*IF($O$1750=1,$O1758/$F$1750,1),"")</f>
        <v/>
      </c>
      <c r="T1758" s="208">
        <f>IF(NOT($L$1750),"",IF($G1758&lt;nr_MStartP,$S1758,$T1746*(1+IF($G1758&lt;nr_MStartP1,$M$1750,$N$1750))))</f>
        <v/>
      </c>
      <c r="U1758" s="208">
        <f>IF($L$1750,$T1758,$N1758)</f>
        <v/>
      </c>
    </row>
    <row r="1759">
      <c r="A1759" s="145" t="n">
        <v>7</v>
      </c>
      <c r="B1759" s="204">
        <f>EDATE($B1758,1)</f>
        <v/>
      </c>
      <c r="C1759" s="205">
        <f>EOMONTH($B1759,0)</f>
        <v/>
      </c>
      <c r="D1759" s="201">
        <f>$C1759-$B1759+1</f>
        <v/>
      </c>
      <c r="E1759" s="201">
        <f>MONTH($B1759)</f>
        <v/>
      </c>
      <c r="F1759" s="235">
        <f>($B1759+$C1759+1)/2</f>
        <v/>
      </c>
      <c r="G1759" s="201">
        <f>YEAR($B1759)*12+MONTH($B1759)-1</f>
        <v/>
      </c>
      <c r="H1759" s="207">
        <f>IF(OR(nr_SeasonOn="OFF",$D$1750=0,$E$1750=0),1,12*INDEX(se_block,$D$1750,$E1759)/$E$1750)</f>
        <v/>
      </c>
      <c r="I1759" s="208">
        <f>EXP(SUMPRODUCT((rl_eff&lt;$B1759)*(rl_key=$A$1750)*rl_ln1p))</f>
        <v/>
      </c>
      <c r="J1759" s="208">
        <f>EXP(SUMPRODUCT((rl_eff&lt;=$C1759)*(rl_key=$A$1750)*rl_ln1p))</f>
        <v/>
      </c>
      <c r="K1759" s="201">
        <f>COUNTIFS(rl_key,$A$1750,rl_eff,"&gt;="&amp;$B1759,rl_eff,"&lt;="&amp;$C1759)</f>
        <v/>
      </c>
      <c r="L1759" s="201">
        <f>SUMIFS(rl_daysafter,rl_key,$A$1750,rl_effmonth,$B1759,rl_first,1)</f>
        <v/>
      </c>
      <c r="M1759" s="209">
        <f>IF($K1759=0,0,MIN(1,$L1759/$D1759))</f>
        <v/>
      </c>
      <c r="N1759" s="208">
        <f>IF($K1759=0,$J1759,(1-$M1759)*$I1759+$M1759*$J1759)</f>
        <v/>
      </c>
      <c r="O1759" s="209">
        <f>IF($F1759&lt;$B$1751,$E$1751+$I$1751*($F1759-$A$1751),IF($F1759&lt;$C$1751,$F$1751+$J$1751*($F1759-$B$1751),$G$1751+$K$1751*($F1759-$C$1751)))</f>
        <v/>
      </c>
      <c r="P1759" s="208">
        <f>MIN(1,MAX(0,(nr_MEndPm1-$G1759+0.5)/$C$1750))-MIN(1,MAX(0,(nr_MStartPm1-1-$G1759+0.5)/$C$1750))</f>
        <v/>
      </c>
      <c r="Q1759" s="208">
        <f>MIN(1,MAX(0,(nr_MEndP-$G1759+0.5)/$C$1750))-MIN(1,MAX(0,(nr_MStartP-1-$G1759+0.5)/$C$1750))</f>
        <v/>
      </c>
      <c r="R1759" s="208">
        <f>MIN(1,MAX(0,(nr_MEndP1-$G1759+0.5)/$C$1750))-MIN(1,MAX(0,(nr_MStartP1-1-$G1759+0.5)/$C$1750))</f>
        <v/>
      </c>
      <c r="S1759" s="208">
        <f>IF($L$1750,$N1759*IF($O$1750=1,$O1759/$F$1750,1),"")</f>
        <v/>
      </c>
      <c r="T1759" s="208">
        <f>IF(NOT($L$1750),"",IF($G1759&lt;nr_MStartP,$S1759,$T1747*(1+IF($G1759&lt;nr_MStartP1,$M$1750,$N$1750))))</f>
        <v/>
      </c>
      <c r="U1759" s="208">
        <f>IF($L$1750,$T1759,$N1759)</f>
        <v/>
      </c>
    </row>
    <row r="1760">
      <c r="A1760" s="145" t="n">
        <v>8</v>
      </c>
      <c r="B1760" s="204">
        <f>EDATE($B1759,1)</f>
        <v/>
      </c>
      <c r="C1760" s="205">
        <f>EOMONTH($B1760,0)</f>
        <v/>
      </c>
      <c r="D1760" s="201">
        <f>$C1760-$B1760+1</f>
        <v/>
      </c>
      <c r="E1760" s="201">
        <f>MONTH($B1760)</f>
        <v/>
      </c>
      <c r="F1760" s="235">
        <f>($B1760+$C1760+1)/2</f>
        <v/>
      </c>
      <c r="G1760" s="201">
        <f>YEAR($B1760)*12+MONTH($B1760)-1</f>
        <v/>
      </c>
      <c r="H1760" s="207">
        <f>IF(OR(nr_SeasonOn="OFF",$D$1750=0,$E$1750=0),1,12*INDEX(se_block,$D$1750,$E1760)/$E$1750)</f>
        <v/>
      </c>
      <c r="I1760" s="208">
        <f>EXP(SUMPRODUCT((rl_eff&lt;$B1760)*(rl_key=$A$1750)*rl_ln1p))</f>
        <v/>
      </c>
      <c r="J1760" s="208">
        <f>EXP(SUMPRODUCT((rl_eff&lt;=$C1760)*(rl_key=$A$1750)*rl_ln1p))</f>
        <v/>
      </c>
      <c r="K1760" s="201">
        <f>COUNTIFS(rl_key,$A$1750,rl_eff,"&gt;="&amp;$B1760,rl_eff,"&lt;="&amp;$C1760)</f>
        <v/>
      </c>
      <c r="L1760" s="201">
        <f>SUMIFS(rl_daysafter,rl_key,$A$1750,rl_effmonth,$B1760,rl_first,1)</f>
        <v/>
      </c>
      <c r="M1760" s="209">
        <f>IF($K1760=0,0,MIN(1,$L1760/$D1760))</f>
        <v/>
      </c>
      <c r="N1760" s="208">
        <f>IF($K1760=0,$J1760,(1-$M1760)*$I1760+$M1760*$J1760)</f>
        <v/>
      </c>
      <c r="O1760" s="209">
        <f>IF($F1760&lt;$B$1751,$E$1751+$I$1751*($F1760-$A$1751),IF($F1760&lt;$C$1751,$F$1751+$J$1751*($F1760-$B$1751),$G$1751+$K$1751*($F1760-$C$1751)))</f>
        <v/>
      </c>
      <c r="P1760" s="208">
        <f>MIN(1,MAX(0,(nr_MEndPm1-$G1760+0.5)/$C$1750))-MIN(1,MAX(0,(nr_MStartPm1-1-$G1760+0.5)/$C$1750))</f>
        <v/>
      </c>
      <c r="Q1760" s="208">
        <f>MIN(1,MAX(0,(nr_MEndP-$G1760+0.5)/$C$1750))-MIN(1,MAX(0,(nr_MStartP-1-$G1760+0.5)/$C$1750))</f>
        <v/>
      </c>
      <c r="R1760" s="208">
        <f>MIN(1,MAX(0,(nr_MEndP1-$G1760+0.5)/$C$1750))-MIN(1,MAX(0,(nr_MStartP1-1-$G1760+0.5)/$C$1750))</f>
        <v/>
      </c>
      <c r="S1760" s="208">
        <f>IF($L$1750,$N1760*IF($O$1750=1,$O1760/$F$1750,1),"")</f>
        <v/>
      </c>
      <c r="T1760" s="208">
        <f>IF(NOT($L$1750),"",IF($G1760&lt;nr_MStartP,$S1760,$T1748*(1+IF($G1760&lt;nr_MStartP1,$M$1750,$N$1750))))</f>
        <v/>
      </c>
      <c r="U1760" s="208">
        <f>IF($L$1750,$T1760,$N1760)</f>
        <v/>
      </c>
    </row>
    <row r="1761">
      <c r="A1761" s="145" t="n">
        <v>9</v>
      </c>
      <c r="B1761" s="204">
        <f>EDATE($B1760,1)</f>
        <v/>
      </c>
      <c r="C1761" s="205">
        <f>EOMONTH($B1761,0)</f>
        <v/>
      </c>
      <c r="D1761" s="201">
        <f>$C1761-$B1761+1</f>
        <v/>
      </c>
      <c r="E1761" s="201">
        <f>MONTH($B1761)</f>
        <v/>
      </c>
      <c r="F1761" s="235">
        <f>($B1761+$C1761+1)/2</f>
        <v/>
      </c>
      <c r="G1761" s="201">
        <f>YEAR($B1761)*12+MONTH($B1761)-1</f>
        <v/>
      </c>
      <c r="H1761" s="207">
        <f>IF(OR(nr_SeasonOn="OFF",$D$1750=0,$E$1750=0),1,12*INDEX(se_block,$D$1750,$E1761)/$E$1750)</f>
        <v/>
      </c>
      <c r="I1761" s="208">
        <f>EXP(SUMPRODUCT((rl_eff&lt;$B1761)*(rl_key=$A$1750)*rl_ln1p))</f>
        <v/>
      </c>
      <c r="J1761" s="208">
        <f>EXP(SUMPRODUCT((rl_eff&lt;=$C1761)*(rl_key=$A$1750)*rl_ln1p))</f>
        <v/>
      </c>
      <c r="K1761" s="201">
        <f>COUNTIFS(rl_key,$A$1750,rl_eff,"&gt;="&amp;$B1761,rl_eff,"&lt;="&amp;$C1761)</f>
        <v/>
      </c>
      <c r="L1761" s="201">
        <f>SUMIFS(rl_daysafter,rl_key,$A$1750,rl_effmonth,$B1761,rl_first,1)</f>
        <v/>
      </c>
      <c r="M1761" s="209">
        <f>IF($K1761=0,0,MIN(1,$L1761/$D1761))</f>
        <v/>
      </c>
      <c r="N1761" s="208">
        <f>IF($K1761=0,$J1761,(1-$M1761)*$I1761+$M1761*$J1761)</f>
        <v/>
      </c>
      <c r="O1761" s="209">
        <f>IF($F1761&lt;$B$1751,$E$1751+$I$1751*($F1761-$A$1751),IF($F1761&lt;$C$1751,$F$1751+$J$1751*($F1761-$B$1751),$G$1751+$K$1751*($F1761-$C$1751)))</f>
        <v/>
      </c>
      <c r="P1761" s="208">
        <f>MIN(1,MAX(0,(nr_MEndPm1-$G1761+0.5)/$C$1750))-MIN(1,MAX(0,(nr_MStartPm1-1-$G1761+0.5)/$C$1750))</f>
        <v/>
      </c>
      <c r="Q1761" s="208">
        <f>MIN(1,MAX(0,(nr_MEndP-$G1761+0.5)/$C$1750))-MIN(1,MAX(0,(nr_MStartP-1-$G1761+0.5)/$C$1750))</f>
        <v/>
      </c>
      <c r="R1761" s="208">
        <f>MIN(1,MAX(0,(nr_MEndP1-$G1761+0.5)/$C$1750))-MIN(1,MAX(0,(nr_MStartP1-1-$G1761+0.5)/$C$1750))</f>
        <v/>
      </c>
      <c r="S1761" s="208">
        <f>IF($L$1750,$N1761*IF($O$1750=1,$O1761/$F$1750,1),"")</f>
        <v/>
      </c>
      <c r="T1761" s="208">
        <f>IF(NOT($L$1750),"",IF($G1761&lt;nr_MStartP,$S1761,$T1749*(1+IF($G1761&lt;nr_MStartP1,$M$1750,$N$1750))))</f>
        <v/>
      </c>
      <c r="U1761" s="208">
        <f>IF($L$1750,$T1761,$N1761)</f>
        <v/>
      </c>
    </row>
    <row r="1762">
      <c r="A1762" s="145" t="n">
        <v>10</v>
      </c>
      <c r="B1762" s="204">
        <f>EDATE($B1761,1)</f>
        <v/>
      </c>
      <c r="C1762" s="205">
        <f>EOMONTH($B1762,0)</f>
        <v/>
      </c>
      <c r="D1762" s="201">
        <f>$C1762-$B1762+1</f>
        <v/>
      </c>
      <c r="E1762" s="201">
        <f>MONTH($B1762)</f>
        <v/>
      </c>
      <c r="F1762" s="235">
        <f>($B1762+$C1762+1)/2</f>
        <v/>
      </c>
      <c r="G1762" s="201">
        <f>YEAR($B1762)*12+MONTH($B1762)-1</f>
        <v/>
      </c>
      <c r="H1762" s="207">
        <f>IF(OR(nr_SeasonOn="OFF",$D$1750=0,$E$1750=0),1,12*INDEX(se_block,$D$1750,$E1762)/$E$1750)</f>
        <v/>
      </c>
      <c r="I1762" s="208">
        <f>EXP(SUMPRODUCT((rl_eff&lt;$B1762)*(rl_key=$A$1750)*rl_ln1p))</f>
        <v/>
      </c>
      <c r="J1762" s="208">
        <f>EXP(SUMPRODUCT((rl_eff&lt;=$C1762)*(rl_key=$A$1750)*rl_ln1p))</f>
        <v/>
      </c>
      <c r="K1762" s="201">
        <f>COUNTIFS(rl_key,$A$1750,rl_eff,"&gt;="&amp;$B1762,rl_eff,"&lt;="&amp;$C1762)</f>
        <v/>
      </c>
      <c r="L1762" s="201">
        <f>SUMIFS(rl_daysafter,rl_key,$A$1750,rl_effmonth,$B1762,rl_first,1)</f>
        <v/>
      </c>
      <c r="M1762" s="209">
        <f>IF($K1762=0,0,MIN(1,$L1762/$D1762))</f>
        <v/>
      </c>
      <c r="N1762" s="208">
        <f>IF($K1762=0,$J1762,(1-$M1762)*$I1762+$M1762*$J1762)</f>
        <v/>
      </c>
      <c r="O1762" s="209">
        <f>IF($F1762&lt;$B$1751,$E$1751+$I$1751*($F1762-$A$1751),IF($F1762&lt;$C$1751,$F$1751+$J$1751*($F1762-$B$1751),$G$1751+$K$1751*($F1762-$C$1751)))</f>
        <v/>
      </c>
      <c r="P1762" s="208">
        <f>MIN(1,MAX(0,(nr_MEndPm1-$G1762+0.5)/$C$1750))-MIN(1,MAX(0,(nr_MStartPm1-1-$G1762+0.5)/$C$1750))</f>
        <v/>
      </c>
      <c r="Q1762" s="208">
        <f>MIN(1,MAX(0,(nr_MEndP-$G1762+0.5)/$C$1750))-MIN(1,MAX(0,(nr_MStartP-1-$G1762+0.5)/$C$1750))</f>
        <v/>
      </c>
      <c r="R1762" s="208">
        <f>MIN(1,MAX(0,(nr_MEndP1-$G1762+0.5)/$C$1750))-MIN(1,MAX(0,(nr_MStartP1-1-$G1762+0.5)/$C$1750))</f>
        <v/>
      </c>
      <c r="S1762" s="208">
        <f>IF($L$1750,$N1762*IF($O$1750=1,$O1762/$F$1750,1),"")</f>
        <v/>
      </c>
      <c r="T1762" s="208">
        <f>IF(NOT($L$1750),"",IF($G1762&lt;nr_MStartP,$S1762,$T1750*(1+IF($G1762&lt;nr_MStartP1,$M$1750,$N$1750))))</f>
        <v/>
      </c>
      <c r="U1762" s="208">
        <f>IF($L$1750,$T1762,$N1762)</f>
        <v/>
      </c>
    </row>
    <row r="1763">
      <c r="A1763" s="145" t="n">
        <v>11</v>
      </c>
      <c r="B1763" s="204">
        <f>EDATE($B1762,1)</f>
        <v/>
      </c>
      <c r="C1763" s="205">
        <f>EOMONTH($B1763,0)</f>
        <v/>
      </c>
      <c r="D1763" s="201">
        <f>$C1763-$B1763+1</f>
        <v/>
      </c>
      <c r="E1763" s="201">
        <f>MONTH($B1763)</f>
        <v/>
      </c>
      <c r="F1763" s="235">
        <f>($B1763+$C1763+1)/2</f>
        <v/>
      </c>
      <c r="G1763" s="201">
        <f>YEAR($B1763)*12+MONTH($B1763)-1</f>
        <v/>
      </c>
      <c r="H1763" s="207">
        <f>IF(OR(nr_SeasonOn="OFF",$D$1750=0,$E$1750=0),1,12*INDEX(se_block,$D$1750,$E1763)/$E$1750)</f>
        <v/>
      </c>
      <c r="I1763" s="208">
        <f>EXP(SUMPRODUCT((rl_eff&lt;$B1763)*(rl_key=$A$1750)*rl_ln1p))</f>
        <v/>
      </c>
      <c r="J1763" s="208">
        <f>EXP(SUMPRODUCT((rl_eff&lt;=$C1763)*(rl_key=$A$1750)*rl_ln1p))</f>
        <v/>
      </c>
      <c r="K1763" s="201">
        <f>COUNTIFS(rl_key,$A$1750,rl_eff,"&gt;="&amp;$B1763,rl_eff,"&lt;="&amp;$C1763)</f>
        <v/>
      </c>
      <c r="L1763" s="201">
        <f>SUMIFS(rl_daysafter,rl_key,$A$1750,rl_effmonth,$B1763,rl_first,1)</f>
        <v/>
      </c>
      <c r="M1763" s="209">
        <f>IF($K1763=0,0,MIN(1,$L1763/$D1763))</f>
        <v/>
      </c>
      <c r="N1763" s="208">
        <f>IF($K1763=0,$J1763,(1-$M1763)*$I1763+$M1763*$J1763)</f>
        <v/>
      </c>
      <c r="O1763" s="209">
        <f>IF($F1763&lt;$B$1751,$E$1751+$I$1751*($F1763-$A$1751),IF($F1763&lt;$C$1751,$F$1751+$J$1751*($F1763-$B$1751),$G$1751+$K$1751*($F1763-$C$1751)))</f>
        <v/>
      </c>
      <c r="P1763" s="208">
        <f>MIN(1,MAX(0,(nr_MEndPm1-$G1763+0.5)/$C$1750))-MIN(1,MAX(0,(nr_MStartPm1-1-$G1763+0.5)/$C$1750))</f>
        <v/>
      </c>
      <c r="Q1763" s="208">
        <f>MIN(1,MAX(0,(nr_MEndP-$G1763+0.5)/$C$1750))-MIN(1,MAX(0,(nr_MStartP-1-$G1763+0.5)/$C$1750))</f>
        <v/>
      </c>
      <c r="R1763" s="208">
        <f>MIN(1,MAX(0,(nr_MEndP1-$G1763+0.5)/$C$1750))-MIN(1,MAX(0,(nr_MStartP1-1-$G1763+0.5)/$C$1750))</f>
        <v/>
      </c>
      <c r="S1763" s="208">
        <f>IF($L$1750,$N1763*IF($O$1750=1,$O1763/$F$1750,1),"")</f>
        <v/>
      </c>
      <c r="T1763" s="208">
        <f>IF(NOT($L$1750),"",IF($G1763&lt;nr_MStartP,$S1763,$T1751*(1+IF($G1763&lt;nr_MStartP1,$M$1750,$N$1750))))</f>
        <v/>
      </c>
      <c r="U1763" s="208">
        <f>IF($L$1750,$T1763,$N1763)</f>
        <v/>
      </c>
    </row>
    <row r="1764">
      <c r="A1764" s="145" t="n">
        <v>12</v>
      </c>
      <c r="B1764" s="204">
        <f>EDATE($B1763,1)</f>
        <v/>
      </c>
      <c r="C1764" s="205">
        <f>EOMONTH($B1764,0)</f>
        <v/>
      </c>
      <c r="D1764" s="201">
        <f>$C1764-$B1764+1</f>
        <v/>
      </c>
      <c r="E1764" s="201">
        <f>MONTH($B1764)</f>
        <v/>
      </c>
      <c r="F1764" s="235">
        <f>($B1764+$C1764+1)/2</f>
        <v/>
      </c>
      <c r="G1764" s="201">
        <f>YEAR($B1764)*12+MONTH($B1764)-1</f>
        <v/>
      </c>
      <c r="H1764" s="207">
        <f>IF(OR(nr_SeasonOn="OFF",$D$1750=0,$E$1750=0),1,12*INDEX(se_block,$D$1750,$E1764)/$E$1750)</f>
        <v/>
      </c>
      <c r="I1764" s="208">
        <f>EXP(SUMPRODUCT((rl_eff&lt;$B1764)*(rl_key=$A$1750)*rl_ln1p))</f>
        <v/>
      </c>
      <c r="J1764" s="208">
        <f>EXP(SUMPRODUCT((rl_eff&lt;=$C1764)*(rl_key=$A$1750)*rl_ln1p))</f>
        <v/>
      </c>
      <c r="K1764" s="201">
        <f>COUNTIFS(rl_key,$A$1750,rl_eff,"&gt;="&amp;$B1764,rl_eff,"&lt;="&amp;$C1764)</f>
        <v/>
      </c>
      <c r="L1764" s="201">
        <f>SUMIFS(rl_daysafter,rl_key,$A$1750,rl_effmonth,$B1764,rl_first,1)</f>
        <v/>
      </c>
      <c r="M1764" s="209">
        <f>IF($K1764=0,0,MIN(1,$L1764/$D1764))</f>
        <v/>
      </c>
      <c r="N1764" s="208">
        <f>IF($K1764=0,$J1764,(1-$M1764)*$I1764+$M1764*$J1764)</f>
        <v/>
      </c>
      <c r="O1764" s="209">
        <f>IF($F1764&lt;$B$1751,$E$1751+$I$1751*($F1764-$A$1751),IF($F1764&lt;$C$1751,$F$1751+$J$1751*($F1764-$B$1751),$G$1751+$K$1751*($F1764-$C$1751)))</f>
        <v/>
      </c>
      <c r="P1764" s="208">
        <f>MIN(1,MAX(0,(nr_MEndPm1-$G1764+0.5)/$C$1750))-MIN(1,MAX(0,(nr_MStartPm1-1-$G1764+0.5)/$C$1750))</f>
        <v/>
      </c>
      <c r="Q1764" s="208">
        <f>MIN(1,MAX(0,(nr_MEndP-$G1764+0.5)/$C$1750))-MIN(1,MAX(0,(nr_MStartP-1-$G1764+0.5)/$C$1750))</f>
        <v/>
      </c>
      <c r="R1764" s="208">
        <f>MIN(1,MAX(0,(nr_MEndP1-$G1764+0.5)/$C$1750))-MIN(1,MAX(0,(nr_MStartP1-1-$G1764+0.5)/$C$1750))</f>
        <v/>
      </c>
      <c r="S1764" s="208">
        <f>IF($L$1750,$N1764*IF($O$1750=1,$O1764/$F$1750,1),"")</f>
        <v/>
      </c>
      <c r="T1764" s="208">
        <f>IF(NOT($L$1750),"",IF($G1764&lt;nr_MStartP,$S1764,$T1752*(1+IF($G1764&lt;nr_MStartP1,$M$1750,$N$1750))))</f>
        <v/>
      </c>
      <c r="U1764" s="208">
        <f>IF($L$1750,$T1764,$N1764)</f>
        <v/>
      </c>
    </row>
    <row r="1765">
      <c r="A1765" s="145" t="n">
        <v>13</v>
      </c>
      <c r="B1765" s="204">
        <f>EDATE($B1764,1)</f>
        <v/>
      </c>
      <c r="C1765" s="205">
        <f>EOMONTH($B1765,0)</f>
        <v/>
      </c>
      <c r="D1765" s="201">
        <f>$C1765-$B1765+1</f>
        <v/>
      </c>
      <c r="E1765" s="201">
        <f>MONTH($B1765)</f>
        <v/>
      </c>
      <c r="F1765" s="235">
        <f>($B1765+$C1765+1)/2</f>
        <v/>
      </c>
      <c r="G1765" s="201">
        <f>YEAR($B1765)*12+MONTH($B1765)-1</f>
        <v/>
      </c>
      <c r="H1765" s="207">
        <f>IF(OR(nr_SeasonOn="OFF",$D$1750=0,$E$1750=0),1,12*INDEX(se_block,$D$1750,$E1765)/$E$1750)</f>
        <v/>
      </c>
      <c r="I1765" s="208">
        <f>EXP(SUMPRODUCT((rl_eff&lt;$B1765)*(rl_key=$A$1750)*rl_ln1p))</f>
        <v/>
      </c>
      <c r="J1765" s="208">
        <f>EXP(SUMPRODUCT((rl_eff&lt;=$C1765)*(rl_key=$A$1750)*rl_ln1p))</f>
        <v/>
      </c>
      <c r="K1765" s="201">
        <f>COUNTIFS(rl_key,$A$1750,rl_eff,"&gt;="&amp;$B1765,rl_eff,"&lt;="&amp;$C1765)</f>
        <v/>
      </c>
      <c r="L1765" s="201">
        <f>SUMIFS(rl_daysafter,rl_key,$A$1750,rl_effmonth,$B1765,rl_first,1)</f>
        <v/>
      </c>
      <c r="M1765" s="209">
        <f>IF($K1765=0,0,MIN(1,$L1765/$D1765))</f>
        <v/>
      </c>
      <c r="N1765" s="208">
        <f>IF($K1765=0,$J1765,(1-$M1765)*$I1765+$M1765*$J1765)</f>
        <v/>
      </c>
      <c r="O1765" s="209">
        <f>IF($F1765&lt;$B$1751,$E$1751+$I$1751*($F1765-$A$1751),IF($F1765&lt;$C$1751,$F$1751+$J$1751*($F1765-$B$1751),$G$1751+$K$1751*($F1765-$C$1751)))</f>
        <v/>
      </c>
      <c r="P1765" s="208">
        <f>MIN(1,MAX(0,(nr_MEndPm1-$G1765+0.5)/$C$1750))-MIN(1,MAX(0,(nr_MStartPm1-1-$G1765+0.5)/$C$1750))</f>
        <v/>
      </c>
      <c r="Q1765" s="208">
        <f>MIN(1,MAX(0,(nr_MEndP-$G1765+0.5)/$C$1750))-MIN(1,MAX(0,(nr_MStartP-1-$G1765+0.5)/$C$1750))</f>
        <v/>
      </c>
      <c r="R1765" s="208">
        <f>MIN(1,MAX(0,(nr_MEndP1-$G1765+0.5)/$C$1750))-MIN(1,MAX(0,(nr_MStartP1-1-$G1765+0.5)/$C$1750))</f>
        <v/>
      </c>
      <c r="S1765" s="208">
        <f>IF($L$1750,$N1765*IF($O$1750=1,$O1765/$F$1750,1),"")</f>
        <v/>
      </c>
      <c r="T1765" s="208">
        <f>IF(NOT($L$1750),"",IF($G1765&lt;nr_MStartP,$S1765,$T1753*(1+IF($G1765&lt;nr_MStartP1,$M$1750,$N$1750))))</f>
        <v/>
      </c>
      <c r="U1765" s="208">
        <f>IF($L$1750,$T1765,$N1765)</f>
        <v/>
      </c>
    </row>
    <row r="1766">
      <c r="A1766" s="145" t="n">
        <v>14</v>
      </c>
      <c r="B1766" s="204">
        <f>EDATE($B1765,1)</f>
        <v/>
      </c>
      <c r="C1766" s="205">
        <f>EOMONTH($B1766,0)</f>
        <v/>
      </c>
      <c r="D1766" s="201">
        <f>$C1766-$B1766+1</f>
        <v/>
      </c>
      <c r="E1766" s="201">
        <f>MONTH($B1766)</f>
        <v/>
      </c>
      <c r="F1766" s="235">
        <f>($B1766+$C1766+1)/2</f>
        <v/>
      </c>
      <c r="G1766" s="201">
        <f>YEAR($B1766)*12+MONTH($B1766)-1</f>
        <v/>
      </c>
      <c r="H1766" s="207">
        <f>IF(OR(nr_SeasonOn="OFF",$D$1750=0,$E$1750=0),1,12*INDEX(se_block,$D$1750,$E1766)/$E$1750)</f>
        <v/>
      </c>
      <c r="I1766" s="208">
        <f>EXP(SUMPRODUCT((rl_eff&lt;$B1766)*(rl_key=$A$1750)*rl_ln1p))</f>
        <v/>
      </c>
      <c r="J1766" s="208">
        <f>EXP(SUMPRODUCT((rl_eff&lt;=$C1766)*(rl_key=$A$1750)*rl_ln1p))</f>
        <v/>
      </c>
      <c r="K1766" s="201">
        <f>COUNTIFS(rl_key,$A$1750,rl_eff,"&gt;="&amp;$B1766,rl_eff,"&lt;="&amp;$C1766)</f>
        <v/>
      </c>
      <c r="L1766" s="201">
        <f>SUMIFS(rl_daysafter,rl_key,$A$1750,rl_effmonth,$B1766,rl_first,1)</f>
        <v/>
      </c>
      <c r="M1766" s="209">
        <f>IF($K1766=0,0,MIN(1,$L1766/$D1766))</f>
        <v/>
      </c>
      <c r="N1766" s="208">
        <f>IF($K1766=0,$J1766,(1-$M1766)*$I1766+$M1766*$J1766)</f>
        <v/>
      </c>
      <c r="O1766" s="209">
        <f>IF($F1766&lt;$B$1751,$E$1751+$I$1751*($F1766-$A$1751),IF($F1766&lt;$C$1751,$F$1751+$J$1751*($F1766-$B$1751),$G$1751+$K$1751*($F1766-$C$1751)))</f>
        <v/>
      </c>
      <c r="P1766" s="208">
        <f>MIN(1,MAX(0,(nr_MEndPm1-$G1766+0.5)/$C$1750))-MIN(1,MAX(0,(nr_MStartPm1-1-$G1766+0.5)/$C$1750))</f>
        <v/>
      </c>
      <c r="Q1766" s="208">
        <f>MIN(1,MAX(0,(nr_MEndP-$G1766+0.5)/$C$1750))-MIN(1,MAX(0,(nr_MStartP-1-$G1766+0.5)/$C$1750))</f>
        <v/>
      </c>
      <c r="R1766" s="208">
        <f>MIN(1,MAX(0,(nr_MEndP1-$G1766+0.5)/$C$1750))-MIN(1,MAX(0,(nr_MStartP1-1-$G1766+0.5)/$C$1750))</f>
        <v/>
      </c>
      <c r="S1766" s="208">
        <f>IF($L$1750,$N1766*IF($O$1750=1,$O1766/$F$1750,1),"")</f>
        <v/>
      </c>
      <c r="T1766" s="208">
        <f>IF(NOT($L$1750),"",IF($G1766&lt;nr_MStartP,$S1766,$T1754*(1+IF($G1766&lt;nr_MStartP1,$M$1750,$N$1750))))</f>
        <v/>
      </c>
      <c r="U1766" s="208">
        <f>IF($L$1750,$T1766,$N1766)</f>
        <v/>
      </c>
    </row>
    <row r="1767">
      <c r="A1767" s="145" t="n">
        <v>15</v>
      </c>
      <c r="B1767" s="204">
        <f>EDATE($B1766,1)</f>
        <v/>
      </c>
      <c r="C1767" s="205">
        <f>EOMONTH($B1767,0)</f>
        <v/>
      </c>
      <c r="D1767" s="201">
        <f>$C1767-$B1767+1</f>
        <v/>
      </c>
      <c r="E1767" s="201">
        <f>MONTH($B1767)</f>
        <v/>
      </c>
      <c r="F1767" s="235">
        <f>($B1767+$C1767+1)/2</f>
        <v/>
      </c>
      <c r="G1767" s="201">
        <f>YEAR($B1767)*12+MONTH($B1767)-1</f>
        <v/>
      </c>
      <c r="H1767" s="207">
        <f>IF(OR(nr_SeasonOn="OFF",$D$1750=0,$E$1750=0),1,12*INDEX(se_block,$D$1750,$E1767)/$E$1750)</f>
        <v/>
      </c>
      <c r="I1767" s="208">
        <f>EXP(SUMPRODUCT((rl_eff&lt;$B1767)*(rl_key=$A$1750)*rl_ln1p))</f>
        <v/>
      </c>
      <c r="J1767" s="208">
        <f>EXP(SUMPRODUCT((rl_eff&lt;=$C1767)*(rl_key=$A$1750)*rl_ln1p))</f>
        <v/>
      </c>
      <c r="K1767" s="201">
        <f>COUNTIFS(rl_key,$A$1750,rl_eff,"&gt;="&amp;$B1767,rl_eff,"&lt;="&amp;$C1767)</f>
        <v/>
      </c>
      <c r="L1767" s="201">
        <f>SUMIFS(rl_daysafter,rl_key,$A$1750,rl_effmonth,$B1767,rl_first,1)</f>
        <v/>
      </c>
      <c r="M1767" s="209">
        <f>IF($K1767=0,0,MIN(1,$L1767/$D1767))</f>
        <v/>
      </c>
      <c r="N1767" s="208">
        <f>IF($K1767=0,$J1767,(1-$M1767)*$I1767+$M1767*$J1767)</f>
        <v/>
      </c>
      <c r="O1767" s="209">
        <f>IF($F1767&lt;$B$1751,$E$1751+$I$1751*($F1767-$A$1751),IF($F1767&lt;$C$1751,$F$1751+$J$1751*($F1767-$B$1751),$G$1751+$K$1751*($F1767-$C$1751)))</f>
        <v/>
      </c>
      <c r="P1767" s="208">
        <f>MIN(1,MAX(0,(nr_MEndPm1-$G1767+0.5)/$C$1750))-MIN(1,MAX(0,(nr_MStartPm1-1-$G1767+0.5)/$C$1750))</f>
        <v/>
      </c>
      <c r="Q1767" s="208">
        <f>MIN(1,MAX(0,(nr_MEndP-$G1767+0.5)/$C$1750))-MIN(1,MAX(0,(nr_MStartP-1-$G1767+0.5)/$C$1750))</f>
        <v/>
      </c>
      <c r="R1767" s="208">
        <f>MIN(1,MAX(0,(nr_MEndP1-$G1767+0.5)/$C$1750))-MIN(1,MAX(0,(nr_MStartP1-1-$G1767+0.5)/$C$1750))</f>
        <v/>
      </c>
      <c r="S1767" s="208">
        <f>IF($L$1750,$N1767*IF($O$1750=1,$O1767/$F$1750,1),"")</f>
        <v/>
      </c>
      <c r="T1767" s="208">
        <f>IF(NOT($L$1750),"",IF($G1767&lt;nr_MStartP,$S1767,$T1755*(1+IF($G1767&lt;nr_MStartP1,$M$1750,$N$1750))))</f>
        <v/>
      </c>
      <c r="U1767" s="208">
        <f>IF($L$1750,$T1767,$N1767)</f>
        <v/>
      </c>
    </row>
    <row r="1768">
      <c r="A1768" s="145" t="n">
        <v>16</v>
      </c>
      <c r="B1768" s="204">
        <f>EDATE($B1767,1)</f>
        <v/>
      </c>
      <c r="C1768" s="205">
        <f>EOMONTH($B1768,0)</f>
        <v/>
      </c>
      <c r="D1768" s="201">
        <f>$C1768-$B1768+1</f>
        <v/>
      </c>
      <c r="E1768" s="201">
        <f>MONTH($B1768)</f>
        <v/>
      </c>
      <c r="F1768" s="235">
        <f>($B1768+$C1768+1)/2</f>
        <v/>
      </c>
      <c r="G1768" s="201">
        <f>YEAR($B1768)*12+MONTH($B1768)-1</f>
        <v/>
      </c>
      <c r="H1768" s="207">
        <f>IF(OR(nr_SeasonOn="OFF",$D$1750=0,$E$1750=0),1,12*INDEX(se_block,$D$1750,$E1768)/$E$1750)</f>
        <v/>
      </c>
      <c r="I1768" s="208">
        <f>EXP(SUMPRODUCT((rl_eff&lt;$B1768)*(rl_key=$A$1750)*rl_ln1p))</f>
        <v/>
      </c>
      <c r="J1768" s="208">
        <f>EXP(SUMPRODUCT((rl_eff&lt;=$C1768)*(rl_key=$A$1750)*rl_ln1p))</f>
        <v/>
      </c>
      <c r="K1768" s="201">
        <f>COUNTIFS(rl_key,$A$1750,rl_eff,"&gt;="&amp;$B1768,rl_eff,"&lt;="&amp;$C1768)</f>
        <v/>
      </c>
      <c r="L1768" s="201">
        <f>SUMIFS(rl_daysafter,rl_key,$A$1750,rl_effmonth,$B1768,rl_first,1)</f>
        <v/>
      </c>
      <c r="M1768" s="209">
        <f>IF($K1768=0,0,MIN(1,$L1768/$D1768))</f>
        <v/>
      </c>
      <c r="N1768" s="208">
        <f>IF($K1768=0,$J1768,(1-$M1768)*$I1768+$M1768*$J1768)</f>
        <v/>
      </c>
      <c r="O1768" s="209">
        <f>IF($F1768&lt;$B$1751,$E$1751+$I$1751*($F1768-$A$1751),IF($F1768&lt;$C$1751,$F$1751+$J$1751*($F1768-$B$1751),$G$1751+$K$1751*($F1768-$C$1751)))</f>
        <v/>
      </c>
      <c r="P1768" s="208">
        <f>MIN(1,MAX(0,(nr_MEndPm1-$G1768+0.5)/$C$1750))-MIN(1,MAX(0,(nr_MStartPm1-1-$G1768+0.5)/$C$1750))</f>
        <v/>
      </c>
      <c r="Q1768" s="208">
        <f>MIN(1,MAX(0,(nr_MEndP-$G1768+0.5)/$C$1750))-MIN(1,MAX(0,(nr_MStartP-1-$G1768+0.5)/$C$1750))</f>
        <v/>
      </c>
      <c r="R1768" s="208">
        <f>MIN(1,MAX(0,(nr_MEndP1-$G1768+0.5)/$C$1750))-MIN(1,MAX(0,(nr_MStartP1-1-$G1768+0.5)/$C$1750))</f>
        <v/>
      </c>
      <c r="S1768" s="208">
        <f>IF($L$1750,$N1768*IF($O$1750=1,$O1768/$F$1750,1),"")</f>
        <v/>
      </c>
      <c r="T1768" s="208">
        <f>IF(NOT($L$1750),"",IF($G1768&lt;nr_MStartP,$S1768,$T1756*(1+IF($G1768&lt;nr_MStartP1,$M$1750,$N$1750))))</f>
        <v/>
      </c>
      <c r="U1768" s="208">
        <f>IF($L$1750,$T1768,$N1768)</f>
        <v/>
      </c>
    </row>
    <row r="1769">
      <c r="A1769" s="145" t="n">
        <v>17</v>
      </c>
      <c r="B1769" s="204">
        <f>EDATE($B1768,1)</f>
        <v/>
      </c>
      <c r="C1769" s="205">
        <f>EOMONTH($B1769,0)</f>
        <v/>
      </c>
      <c r="D1769" s="201">
        <f>$C1769-$B1769+1</f>
        <v/>
      </c>
      <c r="E1769" s="201">
        <f>MONTH($B1769)</f>
        <v/>
      </c>
      <c r="F1769" s="235">
        <f>($B1769+$C1769+1)/2</f>
        <v/>
      </c>
      <c r="G1769" s="201">
        <f>YEAR($B1769)*12+MONTH($B1769)-1</f>
        <v/>
      </c>
      <c r="H1769" s="207">
        <f>IF(OR(nr_SeasonOn="OFF",$D$1750=0,$E$1750=0),1,12*INDEX(se_block,$D$1750,$E1769)/$E$1750)</f>
        <v/>
      </c>
      <c r="I1769" s="208">
        <f>EXP(SUMPRODUCT((rl_eff&lt;$B1769)*(rl_key=$A$1750)*rl_ln1p))</f>
        <v/>
      </c>
      <c r="J1769" s="208">
        <f>EXP(SUMPRODUCT((rl_eff&lt;=$C1769)*(rl_key=$A$1750)*rl_ln1p))</f>
        <v/>
      </c>
      <c r="K1769" s="201">
        <f>COUNTIFS(rl_key,$A$1750,rl_eff,"&gt;="&amp;$B1769,rl_eff,"&lt;="&amp;$C1769)</f>
        <v/>
      </c>
      <c r="L1769" s="201">
        <f>SUMIFS(rl_daysafter,rl_key,$A$1750,rl_effmonth,$B1769,rl_first,1)</f>
        <v/>
      </c>
      <c r="M1769" s="209">
        <f>IF($K1769=0,0,MIN(1,$L1769/$D1769))</f>
        <v/>
      </c>
      <c r="N1769" s="208">
        <f>IF($K1769=0,$J1769,(1-$M1769)*$I1769+$M1769*$J1769)</f>
        <v/>
      </c>
      <c r="O1769" s="209">
        <f>IF($F1769&lt;$B$1751,$E$1751+$I$1751*($F1769-$A$1751),IF($F1769&lt;$C$1751,$F$1751+$J$1751*($F1769-$B$1751),$G$1751+$K$1751*($F1769-$C$1751)))</f>
        <v/>
      </c>
      <c r="P1769" s="208">
        <f>MIN(1,MAX(0,(nr_MEndPm1-$G1769+0.5)/$C$1750))-MIN(1,MAX(0,(nr_MStartPm1-1-$G1769+0.5)/$C$1750))</f>
        <v/>
      </c>
      <c r="Q1769" s="208">
        <f>MIN(1,MAX(0,(nr_MEndP-$G1769+0.5)/$C$1750))-MIN(1,MAX(0,(nr_MStartP-1-$G1769+0.5)/$C$1750))</f>
        <v/>
      </c>
      <c r="R1769" s="208">
        <f>MIN(1,MAX(0,(nr_MEndP1-$G1769+0.5)/$C$1750))-MIN(1,MAX(0,(nr_MStartP1-1-$G1769+0.5)/$C$1750))</f>
        <v/>
      </c>
      <c r="S1769" s="208">
        <f>IF($L$1750,$N1769*IF($O$1750=1,$O1769/$F$1750,1),"")</f>
        <v/>
      </c>
      <c r="T1769" s="208">
        <f>IF(NOT($L$1750),"",IF($G1769&lt;nr_MStartP,$S1769,$T1757*(1+IF($G1769&lt;nr_MStartP1,$M$1750,$N$1750))))</f>
        <v/>
      </c>
      <c r="U1769" s="208">
        <f>IF($L$1750,$T1769,$N1769)</f>
        <v/>
      </c>
    </row>
    <row r="1770">
      <c r="A1770" s="145" t="n">
        <v>18</v>
      </c>
      <c r="B1770" s="204">
        <f>EDATE($B1769,1)</f>
        <v/>
      </c>
      <c r="C1770" s="205">
        <f>EOMONTH($B1770,0)</f>
        <v/>
      </c>
      <c r="D1770" s="201">
        <f>$C1770-$B1770+1</f>
        <v/>
      </c>
      <c r="E1770" s="201">
        <f>MONTH($B1770)</f>
        <v/>
      </c>
      <c r="F1770" s="235">
        <f>($B1770+$C1770+1)/2</f>
        <v/>
      </c>
      <c r="G1770" s="201">
        <f>YEAR($B1770)*12+MONTH($B1770)-1</f>
        <v/>
      </c>
      <c r="H1770" s="207">
        <f>IF(OR(nr_SeasonOn="OFF",$D$1750=0,$E$1750=0),1,12*INDEX(se_block,$D$1750,$E1770)/$E$1750)</f>
        <v/>
      </c>
      <c r="I1770" s="208">
        <f>EXP(SUMPRODUCT((rl_eff&lt;$B1770)*(rl_key=$A$1750)*rl_ln1p))</f>
        <v/>
      </c>
      <c r="J1770" s="208">
        <f>EXP(SUMPRODUCT((rl_eff&lt;=$C1770)*(rl_key=$A$1750)*rl_ln1p))</f>
        <v/>
      </c>
      <c r="K1770" s="201">
        <f>COUNTIFS(rl_key,$A$1750,rl_eff,"&gt;="&amp;$B1770,rl_eff,"&lt;="&amp;$C1770)</f>
        <v/>
      </c>
      <c r="L1770" s="201">
        <f>SUMIFS(rl_daysafter,rl_key,$A$1750,rl_effmonth,$B1770,rl_first,1)</f>
        <v/>
      </c>
      <c r="M1770" s="209">
        <f>IF($K1770=0,0,MIN(1,$L1770/$D1770))</f>
        <v/>
      </c>
      <c r="N1770" s="208">
        <f>IF($K1770=0,$J1770,(1-$M1770)*$I1770+$M1770*$J1770)</f>
        <v/>
      </c>
      <c r="O1770" s="209">
        <f>IF($F1770&lt;$B$1751,$E$1751+$I$1751*($F1770-$A$1751),IF($F1770&lt;$C$1751,$F$1751+$J$1751*($F1770-$B$1751),$G$1751+$K$1751*($F1770-$C$1751)))</f>
        <v/>
      </c>
      <c r="P1770" s="208">
        <f>MIN(1,MAX(0,(nr_MEndPm1-$G1770+0.5)/$C$1750))-MIN(1,MAX(0,(nr_MStartPm1-1-$G1770+0.5)/$C$1750))</f>
        <v/>
      </c>
      <c r="Q1770" s="208">
        <f>MIN(1,MAX(0,(nr_MEndP-$G1770+0.5)/$C$1750))-MIN(1,MAX(0,(nr_MStartP-1-$G1770+0.5)/$C$1750))</f>
        <v/>
      </c>
      <c r="R1770" s="208">
        <f>MIN(1,MAX(0,(nr_MEndP1-$G1770+0.5)/$C$1750))-MIN(1,MAX(0,(nr_MStartP1-1-$G1770+0.5)/$C$1750))</f>
        <v/>
      </c>
      <c r="S1770" s="208">
        <f>IF($L$1750,$N1770*IF($O$1750=1,$O1770/$F$1750,1),"")</f>
        <v/>
      </c>
      <c r="T1770" s="208">
        <f>IF(NOT($L$1750),"",IF($G1770&lt;nr_MStartP,$S1770,$T1758*(1+IF($G1770&lt;nr_MStartP1,$M$1750,$N$1750))))</f>
        <v/>
      </c>
      <c r="U1770" s="208">
        <f>IF($L$1750,$T1770,$N1770)</f>
        <v/>
      </c>
    </row>
    <row r="1771">
      <c r="A1771" s="145" t="n">
        <v>19</v>
      </c>
      <c r="B1771" s="204">
        <f>EDATE($B1770,1)</f>
        <v/>
      </c>
      <c r="C1771" s="205">
        <f>EOMONTH($B1771,0)</f>
        <v/>
      </c>
      <c r="D1771" s="201">
        <f>$C1771-$B1771+1</f>
        <v/>
      </c>
      <c r="E1771" s="201">
        <f>MONTH($B1771)</f>
        <v/>
      </c>
      <c r="F1771" s="235">
        <f>($B1771+$C1771+1)/2</f>
        <v/>
      </c>
      <c r="G1771" s="201">
        <f>YEAR($B1771)*12+MONTH($B1771)-1</f>
        <v/>
      </c>
      <c r="H1771" s="207">
        <f>IF(OR(nr_SeasonOn="OFF",$D$1750=0,$E$1750=0),1,12*INDEX(se_block,$D$1750,$E1771)/$E$1750)</f>
        <v/>
      </c>
      <c r="I1771" s="208">
        <f>EXP(SUMPRODUCT((rl_eff&lt;$B1771)*(rl_key=$A$1750)*rl_ln1p))</f>
        <v/>
      </c>
      <c r="J1771" s="208">
        <f>EXP(SUMPRODUCT((rl_eff&lt;=$C1771)*(rl_key=$A$1750)*rl_ln1p))</f>
        <v/>
      </c>
      <c r="K1771" s="201">
        <f>COUNTIFS(rl_key,$A$1750,rl_eff,"&gt;="&amp;$B1771,rl_eff,"&lt;="&amp;$C1771)</f>
        <v/>
      </c>
      <c r="L1771" s="201">
        <f>SUMIFS(rl_daysafter,rl_key,$A$1750,rl_effmonth,$B1771,rl_first,1)</f>
        <v/>
      </c>
      <c r="M1771" s="209">
        <f>IF($K1771=0,0,MIN(1,$L1771/$D1771))</f>
        <v/>
      </c>
      <c r="N1771" s="208">
        <f>IF($K1771=0,$J1771,(1-$M1771)*$I1771+$M1771*$J1771)</f>
        <v/>
      </c>
      <c r="O1771" s="209">
        <f>IF($F1771&lt;$B$1751,$E$1751+$I$1751*($F1771-$A$1751),IF($F1771&lt;$C$1751,$F$1751+$J$1751*($F1771-$B$1751),$G$1751+$K$1751*($F1771-$C$1751)))</f>
        <v/>
      </c>
      <c r="P1771" s="208">
        <f>MIN(1,MAX(0,(nr_MEndPm1-$G1771+0.5)/$C$1750))-MIN(1,MAX(0,(nr_MStartPm1-1-$G1771+0.5)/$C$1750))</f>
        <v/>
      </c>
      <c r="Q1771" s="208">
        <f>MIN(1,MAX(0,(nr_MEndP-$G1771+0.5)/$C$1750))-MIN(1,MAX(0,(nr_MStartP-1-$G1771+0.5)/$C$1750))</f>
        <v/>
      </c>
      <c r="R1771" s="208">
        <f>MIN(1,MAX(0,(nr_MEndP1-$G1771+0.5)/$C$1750))-MIN(1,MAX(0,(nr_MStartP1-1-$G1771+0.5)/$C$1750))</f>
        <v/>
      </c>
      <c r="S1771" s="208">
        <f>IF($L$1750,$N1771*IF($O$1750=1,$O1771/$F$1750,1),"")</f>
        <v/>
      </c>
      <c r="T1771" s="208">
        <f>IF(NOT($L$1750),"",IF($G1771&lt;nr_MStartP,$S1771,$T1759*(1+IF($G1771&lt;nr_MStartP1,$M$1750,$N$1750))))</f>
        <v/>
      </c>
      <c r="U1771" s="208">
        <f>IF($L$1750,$T1771,$N1771)</f>
        <v/>
      </c>
    </row>
    <row r="1772">
      <c r="A1772" s="145" t="n">
        <v>20</v>
      </c>
      <c r="B1772" s="204">
        <f>EDATE($B1771,1)</f>
        <v/>
      </c>
      <c r="C1772" s="205">
        <f>EOMONTH($B1772,0)</f>
        <v/>
      </c>
      <c r="D1772" s="201">
        <f>$C1772-$B1772+1</f>
        <v/>
      </c>
      <c r="E1772" s="201">
        <f>MONTH($B1772)</f>
        <v/>
      </c>
      <c r="F1772" s="235">
        <f>($B1772+$C1772+1)/2</f>
        <v/>
      </c>
      <c r="G1772" s="201">
        <f>YEAR($B1772)*12+MONTH($B1772)-1</f>
        <v/>
      </c>
      <c r="H1772" s="207">
        <f>IF(OR(nr_SeasonOn="OFF",$D$1750=0,$E$1750=0),1,12*INDEX(se_block,$D$1750,$E1772)/$E$1750)</f>
        <v/>
      </c>
      <c r="I1772" s="208">
        <f>EXP(SUMPRODUCT((rl_eff&lt;$B1772)*(rl_key=$A$1750)*rl_ln1p))</f>
        <v/>
      </c>
      <c r="J1772" s="208">
        <f>EXP(SUMPRODUCT((rl_eff&lt;=$C1772)*(rl_key=$A$1750)*rl_ln1p))</f>
        <v/>
      </c>
      <c r="K1772" s="201">
        <f>COUNTIFS(rl_key,$A$1750,rl_eff,"&gt;="&amp;$B1772,rl_eff,"&lt;="&amp;$C1772)</f>
        <v/>
      </c>
      <c r="L1772" s="201">
        <f>SUMIFS(rl_daysafter,rl_key,$A$1750,rl_effmonth,$B1772,rl_first,1)</f>
        <v/>
      </c>
      <c r="M1772" s="209">
        <f>IF($K1772=0,0,MIN(1,$L1772/$D1772))</f>
        <v/>
      </c>
      <c r="N1772" s="208">
        <f>IF($K1772=0,$J1772,(1-$M1772)*$I1772+$M1772*$J1772)</f>
        <v/>
      </c>
      <c r="O1772" s="209">
        <f>IF($F1772&lt;$B$1751,$E$1751+$I$1751*($F1772-$A$1751),IF($F1772&lt;$C$1751,$F$1751+$J$1751*($F1772-$B$1751),$G$1751+$K$1751*($F1772-$C$1751)))</f>
        <v/>
      </c>
      <c r="P1772" s="208">
        <f>MIN(1,MAX(0,(nr_MEndPm1-$G1772+0.5)/$C$1750))-MIN(1,MAX(0,(nr_MStartPm1-1-$G1772+0.5)/$C$1750))</f>
        <v/>
      </c>
      <c r="Q1772" s="208">
        <f>MIN(1,MAX(0,(nr_MEndP-$G1772+0.5)/$C$1750))-MIN(1,MAX(0,(nr_MStartP-1-$G1772+0.5)/$C$1750))</f>
        <v/>
      </c>
      <c r="R1772" s="208">
        <f>MIN(1,MAX(0,(nr_MEndP1-$G1772+0.5)/$C$1750))-MIN(1,MAX(0,(nr_MStartP1-1-$G1772+0.5)/$C$1750))</f>
        <v/>
      </c>
      <c r="S1772" s="208">
        <f>IF($L$1750,$N1772*IF($O$1750=1,$O1772/$F$1750,1),"")</f>
        <v/>
      </c>
      <c r="T1772" s="208">
        <f>IF(NOT($L$1750),"",IF($G1772&lt;nr_MStartP,$S1772,$T1760*(1+IF($G1772&lt;nr_MStartP1,$M$1750,$N$1750))))</f>
        <v/>
      </c>
      <c r="U1772" s="208">
        <f>IF($L$1750,$T1772,$N1772)</f>
        <v/>
      </c>
    </row>
    <row r="1773">
      <c r="A1773" s="145" t="n">
        <v>21</v>
      </c>
      <c r="B1773" s="204">
        <f>EDATE($B1772,1)</f>
        <v/>
      </c>
      <c r="C1773" s="205">
        <f>EOMONTH($B1773,0)</f>
        <v/>
      </c>
      <c r="D1773" s="201">
        <f>$C1773-$B1773+1</f>
        <v/>
      </c>
      <c r="E1773" s="201">
        <f>MONTH($B1773)</f>
        <v/>
      </c>
      <c r="F1773" s="235">
        <f>($B1773+$C1773+1)/2</f>
        <v/>
      </c>
      <c r="G1773" s="201">
        <f>YEAR($B1773)*12+MONTH($B1773)-1</f>
        <v/>
      </c>
      <c r="H1773" s="207">
        <f>IF(OR(nr_SeasonOn="OFF",$D$1750=0,$E$1750=0),1,12*INDEX(se_block,$D$1750,$E1773)/$E$1750)</f>
        <v/>
      </c>
      <c r="I1773" s="208">
        <f>EXP(SUMPRODUCT((rl_eff&lt;$B1773)*(rl_key=$A$1750)*rl_ln1p))</f>
        <v/>
      </c>
      <c r="J1773" s="208">
        <f>EXP(SUMPRODUCT((rl_eff&lt;=$C1773)*(rl_key=$A$1750)*rl_ln1p))</f>
        <v/>
      </c>
      <c r="K1773" s="201">
        <f>COUNTIFS(rl_key,$A$1750,rl_eff,"&gt;="&amp;$B1773,rl_eff,"&lt;="&amp;$C1773)</f>
        <v/>
      </c>
      <c r="L1773" s="201">
        <f>SUMIFS(rl_daysafter,rl_key,$A$1750,rl_effmonth,$B1773,rl_first,1)</f>
        <v/>
      </c>
      <c r="M1773" s="209">
        <f>IF($K1773=0,0,MIN(1,$L1773/$D1773))</f>
        <v/>
      </c>
      <c r="N1773" s="208">
        <f>IF($K1773=0,$J1773,(1-$M1773)*$I1773+$M1773*$J1773)</f>
        <v/>
      </c>
      <c r="O1773" s="209">
        <f>IF($F1773&lt;$B$1751,$E$1751+$I$1751*($F1773-$A$1751),IF($F1773&lt;$C$1751,$F$1751+$J$1751*($F1773-$B$1751),$G$1751+$K$1751*($F1773-$C$1751)))</f>
        <v/>
      </c>
      <c r="P1773" s="208">
        <f>MIN(1,MAX(0,(nr_MEndPm1-$G1773+0.5)/$C$1750))-MIN(1,MAX(0,(nr_MStartPm1-1-$G1773+0.5)/$C$1750))</f>
        <v/>
      </c>
      <c r="Q1773" s="208">
        <f>MIN(1,MAX(0,(nr_MEndP-$G1773+0.5)/$C$1750))-MIN(1,MAX(0,(nr_MStartP-1-$G1773+0.5)/$C$1750))</f>
        <v/>
      </c>
      <c r="R1773" s="208">
        <f>MIN(1,MAX(0,(nr_MEndP1-$G1773+0.5)/$C$1750))-MIN(1,MAX(0,(nr_MStartP1-1-$G1773+0.5)/$C$1750))</f>
        <v/>
      </c>
      <c r="S1773" s="208">
        <f>IF($L$1750,$N1773*IF($O$1750=1,$O1773/$F$1750,1),"")</f>
        <v/>
      </c>
      <c r="T1773" s="208">
        <f>IF(NOT($L$1750),"",IF($G1773&lt;nr_MStartP,$S1773,$T1761*(1+IF($G1773&lt;nr_MStartP1,$M$1750,$N$1750))))</f>
        <v/>
      </c>
      <c r="U1773" s="208">
        <f>IF($L$1750,$T1773,$N1773)</f>
        <v/>
      </c>
    </row>
    <row r="1774">
      <c r="A1774" s="145" t="n">
        <v>22</v>
      </c>
      <c r="B1774" s="204">
        <f>EDATE($B1773,1)</f>
        <v/>
      </c>
      <c r="C1774" s="205">
        <f>EOMONTH($B1774,0)</f>
        <v/>
      </c>
      <c r="D1774" s="201">
        <f>$C1774-$B1774+1</f>
        <v/>
      </c>
      <c r="E1774" s="201">
        <f>MONTH($B1774)</f>
        <v/>
      </c>
      <c r="F1774" s="235">
        <f>($B1774+$C1774+1)/2</f>
        <v/>
      </c>
      <c r="G1774" s="201">
        <f>YEAR($B1774)*12+MONTH($B1774)-1</f>
        <v/>
      </c>
      <c r="H1774" s="207">
        <f>IF(OR(nr_SeasonOn="OFF",$D$1750=0,$E$1750=0),1,12*INDEX(se_block,$D$1750,$E1774)/$E$1750)</f>
        <v/>
      </c>
      <c r="I1774" s="208">
        <f>EXP(SUMPRODUCT((rl_eff&lt;$B1774)*(rl_key=$A$1750)*rl_ln1p))</f>
        <v/>
      </c>
      <c r="J1774" s="208">
        <f>EXP(SUMPRODUCT((rl_eff&lt;=$C1774)*(rl_key=$A$1750)*rl_ln1p))</f>
        <v/>
      </c>
      <c r="K1774" s="201">
        <f>COUNTIFS(rl_key,$A$1750,rl_eff,"&gt;="&amp;$B1774,rl_eff,"&lt;="&amp;$C1774)</f>
        <v/>
      </c>
      <c r="L1774" s="201">
        <f>SUMIFS(rl_daysafter,rl_key,$A$1750,rl_effmonth,$B1774,rl_first,1)</f>
        <v/>
      </c>
      <c r="M1774" s="209">
        <f>IF($K1774=0,0,MIN(1,$L1774/$D1774))</f>
        <v/>
      </c>
      <c r="N1774" s="208">
        <f>IF($K1774=0,$J1774,(1-$M1774)*$I1774+$M1774*$J1774)</f>
        <v/>
      </c>
      <c r="O1774" s="209">
        <f>IF($F1774&lt;$B$1751,$E$1751+$I$1751*($F1774-$A$1751),IF($F1774&lt;$C$1751,$F$1751+$J$1751*($F1774-$B$1751),$G$1751+$K$1751*($F1774-$C$1751)))</f>
        <v/>
      </c>
      <c r="P1774" s="208">
        <f>MIN(1,MAX(0,(nr_MEndPm1-$G1774+0.5)/$C$1750))-MIN(1,MAX(0,(nr_MStartPm1-1-$G1774+0.5)/$C$1750))</f>
        <v/>
      </c>
      <c r="Q1774" s="208">
        <f>MIN(1,MAX(0,(nr_MEndP-$G1774+0.5)/$C$1750))-MIN(1,MAX(0,(nr_MStartP-1-$G1774+0.5)/$C$1750))</f>
        <v/>
      </c>
      <c r="R1774" s="208">
        <f>MIN(1,MAX(0,(nr_MEndP1-$G1774+0.5)/$C$1750))-MIN(1,MAX(0,(nr_MStartP1-1-$G1774+0.5)/$C$1750))</f>
        <v/>
      </c>
      <c r="S1774" s="208">
        <f>IF($L$1750,$N1774*IF($O$1750=1,$O1774/$F$1750,1),"")</f>
        <v/>
      </c>
      <c r="T1774" s="208">
        <f>IF(NOT($L$1750),"",IF($G1774&lt;nr_MStartP,$S1774,$T1762*(1+IF($G1774&lt;nr_MStartP1,$M$1750,$N$1750))))</f>
        <v/>
      </c>
      <c r="U1774" s="208">
        <f>IF($L$1750,$T1774,$N1774)</f>
        <v/>
      </c>
    </row>
    <row r="1775">
      <c r="A1775" s="145" t="n">
        <v>23</v>
      </c>
      <c r="B1775" s="204">
        <f>EDATE($B1774,1)</f>
        <v/>
      </c>
      <c r="C1775" s="205">
        <f>EOMONTH($B1775,0)</f>
        <v/>
      </c>
      <c r="D1775" s="201">
        <f>$C1775-$B1775+1</f>
        <v/>
      </c>
      <c r="E1775" s="201">
        <f>MONTH($B1775)</f>
        <v/>
      </c>
      <c r="F1775" s="235">
        <f>($B1775+$C1775+1)/2</f>
        <v/>
      </c>
      <c r="G1775" s="201">
        <f>YEAR($B1775)*12+MONTH($B1775)-1</f>
        <v/>
      </c>
      <c r="H1775" s="207">
        <f>IF(OR(nr_SeasonOn="OFF",$D$1750=0,$E$1750=0),1,12*INDEX(se_block,$D$1750,$E1775)/$E$1750)</f>
        <v/>
      </c>
      <c r="I1775" s="208">
        <f>EXP(SUMPRODUCT((rl_eff&lt;$B1775)*(rl_key=$A$1750)*rl_ln1p))</f>
        <v/>
      </c>
      <c r="J1775" s="208">
        <f>EXP(SUMPRODUCT((rl_eff&lt;=$C1775)*(rl_key=$A$1750)*rl_ln1p))</f>
        <v/>
      </c>
      <c r="K1775" s="201">
        <f>COUNTIFS(rl_key,$A$1750,rl_eff,"&gt;="&amp;$B1775,rl_eff,"&lt;="&amp;$C1775)</f>
        <v/>
      </c>
      <c r="L1775" s="201">
        <f>SUMIFS(rl_daysafter,rl_key,$A$1750,rl_effmonth,$B1775,rl_first,1)</f>
        <v/>
      </c>
      <c r="M1775" s="209">
        <f>IF($K1775=0,0,MIN(1,$L1775/$D1775))</f>
        <v/>
      </c>
      <c r="N1775" s="208">
        <f>IF($K1775=0,$J1775,(1-$M1775)*$I1775+$M1775*$J1775)</f>
        <v/>
      </c>
      <c r="O1775" s="209">
        <f>IF($F1775&lt;$B$1751,$E$1751+$I$1751*($F1775-$A$1751),IF($F1775&lt;$C$1751,$F$1751+$J$1751*($F1775-$B$1751),$G$1751+$K$1751*($F1775-$C$1751)))</f>
        <v/>
      </c>
      <c r="P1775" s="208">
        <f>MIN(1,MAX(0,(nr_MEndPm1-$G1775+0.5)/$C$1750))-MIN(1,MAX(0,(nr_MStartPm1-1-$G1775+0.5)/$C$1750))</f>
        <v/>
      </c>
      <c r="Q1775" s="208">
        <f>MIN(1,MAX(0,(nr_MEndP-$G1775+0.5)/$C$1750))-MIN(1,MAX(0,(nr_MStartP-1-$G1775+0.5)/$C$1750))</f>
        <v/>
      </c>
      <c r="R1775" s="208">
        <f>MIN(1,MAX(0,(nr_MEndP1-$G1775+0.5)/$C$1750))-MIN(1,MAX(0,(nr_MStartP1-1-$G1775+0.5)/$C$1750))</f>
        <v/>
      </c>
      <c r="S1775" s="208">
        <f>IF($L$1750,$N1775*IF($O$1750=1,$O1775/$F$1750,1),"")</f>
        <v/>
      </c>
      <c r="T1775" s="208">
        <f>IF(NOT($L$1750),"",IF($G1775&lt;nr_MStartP,$S1775,$T1763*(1+IF($G1775&lt;nr_MStartP1,$M$1750,$N$1750))))</f>
        <v/>
      </c>
      <c r="U1775" s="208">
        <f>IF($L$1750,$T1775,$N1775)</f>
        <v/>
      </c>
    </row>
    <row r="1776">
      <c r="A1776" s="145" t="n">
        <v>24</v>
      </c>
      <c r="B1776" s="204">
        <f>EDATE($B1775,1)</f>
        <v/>
      </c>
      <c r="C1776" s="205">
        <f>EOMONTH($B1776,0)</f>
        <v/>
      </c>
      <c r="D1776" s="201">
        <f>$C1776-$B1776+1</f>
        <v/>
      </c>
      <c r="E1776" s="201">
        <f>MONTH($B1776)</f>
        <v/>
      </c>
      <c r="F1776" s="235">
        <f>($B1776+$C1776+1)/2</f>
        <v/>
      </c>
      <c r="G1776" s="201">
        <f>YEAR($B1776)*12+MONTH($B1776)-1</f>
        <v/>
      </c>
      <c r="H1776" s="207">
        <f>IF(OR(nr_SeasonOn="OFF",$D$1750=0,$E$1750=0),1,12*INDEX(se_block,$D$1750,$E1776)/$E$1750)</f>
        <v/>
      </c>
      <c r="I1776" s="208">
        <f>EXP(SUMPRODUCT((rl_eff&lt;$B1776)*(rl_key=$A$1750)*rl_ln1p))</f>
        <v/>
      </c>
      <c r="J1776" s="208">
        <f>EXP(SUMPRODUCT((rl_eff&lt;=$C1776)*(rl_key=$A$1750)*rl_ln1p))</f>
        <v/>
      </c>
      <c r="K1776" s="201">
        <f>COUNTIFS(rl_key,$A$1750,rl_eff,"&gt;="&amp;$B1776,rl_eff,"&lt;="&amp;$C1776)</f>
        <v/>
      </c>
      <c r="L1776" s="201">
        <f>SUMIFS(rl_daysafter,rl_key,$A$1750,rl_effmonth,$B1776,rl_first,1)</f>
        <v/>
      </c>
      <c r="M1776" s="209">
        <f>IF($K1776=0,0,MIN(1,$L1776/$D1776))</f>
        <v/>
      </c>
      <c r="N1776" s="208">
        <f>IF($K1776=0,$J1776,(1-$M1776)*$I1776+$M1776*$J1776)</f>
        <v/>
      </c>
      <c r="O1776" s="209">
        <f>IF($F1776&lt;$B$1751,$E$1751+$I$1751*($F1776-$A$1751),IF($F1776&lt;$C$1751,$F$1751+$J$1751*($F1776-$B$1751),$G$1751+$K$1751*($F1776-$C$1751)))</f>
        <v/>
      </c>
      <c r="P1776" s="208">
        <f>MIN(1,MAX(0,(nr_MEndPm1-$G1776+0.5)/$C$1750))-MIN(1,MAX(0,(nr_MStartPm1-1-$G1776+0.5)/$C$1750))</f>
        <v/>
      </c>
      <c r="Q1776" s="208">
        <f>MIN(1,MAX(0,(nr_MEndP-$G1776+0.5)/$C$1750))-MIN(1,MAX(0,(nr_MStartP-1-$G1776+0.5)/$C$1750))</f>
        <v/>
      </c>
      <c r="R1776" s="208">
        <f>MIN(1,MAX(0,(nr_MEndP1-$G1776+0.5)/$C$1750))-MIN(1,MAX(0,(nr_MStartP1-1-$G1776+0.5)/$C$1750))</f>
        <v/>
      </c>
      <c r="S1776" s="208">
        <f>IF($L$1750,$N1776*IF($O$1750=1,$O1776/$F$1750,1),"")</f>
        <v/>
      </c>
      <c r="T1776" s="208">
        <f>IF(NOT($L$1750),"",IF($G1776&lt;nr_MStartP,$S1776,$T1764*(1+IF($G1776&lt;nr_MStartP1,$M$1750,$N$1750))))</f>
        <v/>
      </c>
      <c r="U1776" s="208">
        <f>IF($L$1750,$T1776,$N1776)</f>
        <v/>
      </c>
    </row>
    <row r="1777">
      <c r="A1777" s="145" t="n">
        <v>25</v>
      </c>
      <c r="B1777" s="204">
        <f>EDATE($B1776,1)</f>
        <v/>
      </c>
      <c r="C1777" s="205">
        <f>EOMONTH($B1777,0)</f>
        <v/>
      </c>
      <c r="D1777" s="201">
        <f>$C1777-$B1777+1</f>
        <v/>
      </c>
      <c r="E1777" s="201">
        <f>MONTH($B1777)</f>
        <v/>
      </c>
      <c r="F1777" s="235">
        <f>($B1777+$C1777+1)/2</f>
        <v/>
      </c>
      <c r="G1777" s="201">
        <f>YEAR($B1777)*12+MONTH($B1777)-1</f>
        <v/>
      </c>
      <c r="H1777" s="207">
        <f>IF(OR(nr_SeasonOn="OFF",$D$1750=0,$E$1750=0),1,12*INDEX(se_block,$D$1750,$E1777)/$E$1750)</f>
        <v/>
      </c>
      <c r="I1777" s="208">
        <f>EXP(SUMPRODUCT((rl_eff&lt;$B1777)*(rl_key=$A$1750)*rl_ln1p))</f>
        <v/>
      </c>
      <c r="J1777" s="208">
        <f>EXP(SUMPRODUCT((rl_eff&lt;=$C1777)*(rl_key=$A$1750)*rl_ln1p))</f>
        <v/>
      </c>
      <c r="K1777" s="201">
        <f>COUNTIFS(rl_key,$A$1750,rl_eff,"&gt;="&amp;$B1777,rl_eff,"&lt;="&amp;$C1777)</f>
        <v/>
      </c>
      <c r="L1777" s="201">
        <f>SUMIFS(rl_daysafter,rl_key,$A$1750,rl_effmonth,$B1777,rl_first,1)</f>
        <v/>
      </c>
      <c r="M1777" s="209">
        <f>IF($K1777=0,0,MIN(1,$L1777/$D1777))</f>
        <v/>
      </c>
      <c r="N1777" s="208">
        <f>IF($K1777=0,$J1777,(1-$M1777)*$I1777+$M1777*$J1777)</f>
        <v/>
      </c>
      <c r="O1777" s="209">
        <f>IF($F1777&lt;$B$1751,$E$1751+$I$1751*($F1777-$A$1751),IF($F1777&lt;$C$1751,$F$1751+$J$1751*($F1777-$B$1751),$G$1751+$K$1751*($F1777-$C$1751)))</f>
        <v/>
      </c>
      <c r="P1777" s="208">
        <f>MIN(1,MAX(0,(nr_MEndPm1-$G1777+0.5)/$C$1750))-MIN(1,MAX(0,(nr_MStartPm1-1-$G1777+0.5)/$C$1750))</f>
        <v/>
      </c>
      <c r="Q1777" s="208">
        <f>MIN(1,MAX(0,(nr_MEndP-$G1777+0.5)/$C$1750))-MIN(1,MAX(0,(nr_MStartP-1-$G1777+0.5)/$C$1750))</f>
        <v/>
      </c>
      <c r="R1777" s="208">
        <f>MIN(1,MAX(0,(nr_MEndP1-$G1777+0.5)/$C$1750))-MIN(1,MAX(0,(nr_MStartP1-1-$G1777+0.5)/$C$1750))</f>
        <v/>
      </c>
      <c r="S1777" s="208">
        <f>IF($L$1750,$N1777*IF($O$1750=1,$O1777/$F$1750,1),"")</f>
        <v/>
      </c>
      <c r="T1777" s="208">
        <f>IF(NOT($L$1750),"",IF($G1777&lt;nr_MStartP,$S1777,$T1765*(1+IF($G1777&lt;nr_MStartP1,$M$1750,$N$1750))))</f>
        <v/>
      </c>
      <c r="U1777" s="208">
        <f>IF($L$1750,$T1777,$N1777)</f>
        <v/>
      </c>
    </row>
    <row r="1778">
      <c r="A1778" s="145" t="n">
        <v>26</v>
      </c>
      <c r="B1778" s="204">
        <f>EDATE($B1777,1)</f>
        <v/>
      </c>
      <c r="C1778" s="205">
        <f>EOMONTH($B1778,0)</f>
        <v/>
      </c>
      <c r="D1778" s="201">
        <f>$C1778-$B1778+1</f>
        <v/>
      </c>
      <c r="E1778" s="201">
        <f>MONTH($B1778)</f>
        <v/>
      </c>
      <c r="F1778" s="235">
        <f>($B1778+$C1778+1)/2</f>
        <v/>
      </c>
      <c r="G1778" s="201">
        <f>YEAR($B1778)*12+MONTH($B1778)-1</f>
        <v/>
      </c>
      <c r="H1778" s="207">
        <f>IF(OR(nr_SeasonOn="OFF",$D$1750=0,$E$1750=0),1,12*INDEX(se_block,$D$1750,$E1778)/$E$1750)</f>
        <v/>
      </c>
      <c r="I1778" s="208">
        <f>EXP(SUMPRODUCT((rl_eff&lt;$B1778)*(rl_key=$A$1750)*rl_ln1p))</f>
        <v/>
      </c>
      <c r="J1778" s="208">
        <f>EXP(SUMPRODUCT((rl_eff&lt;=$C1778)*(rl_key=$A$1750)*rl_ln1p))</f>
        <v/>
      </c>
      <c r="K1778" s="201">
        <f>COUNTIFS(rl_key,$A$1750,rl_eff,"&gt;="&amp;$B1778,rl_eff,"&lt;="&amp;$C1778)</f>
        <v/>
      </c>
      <c r="L1778" s="201">
        <f>SUMIFS(rl_daysafter,rl_key,$A$1750,rl_effmonth,$B1778,rl_first,1)</f>
        <v/>
      </c>
      <c r="M1778" s="209">
        <f>IF($K1778=0,0,MIN(1,$L1778/$D1778))</f>
        <v/>
      </c>
      <c r="N1778" s="208">
        <f>IF($K1778=0,$J1778,(1-$M1778)*$I1778+$M1778*$J1778)</f>
        <v/>
      </c>
      <c r="O1778" s="209">
        <f>IF($F1778&lt;$B$1751,$E$1751+$I$1751*($F1778-$A$1751),IF($F1778&lt;$C$1751,$F$1751+$J$1751*($F1778-$B$1751),$G$1751+$K$1751*($F1778-$C$1751)))</f>
        <v/>
      </c>
      <c r="P1778" s="208">
        <f>MIN(1,MAX(0,(nr_MEndPm1-$G1778+0.5)/$C$1750))-MIN(1,MAX(0,(nr_MStartPm1-1-$G1778+0.5)/$C$1750))</f>
        <v/>
      </c>
      <c r="Q1778" s="208">
        <f>MIN(1,MAX(0,(nr_MEndP-$G1778+0.5)/$C$1750))-MIN(1,MAX(0,(nr_MStartP-1-$G1778+0.5)/$C$1750))</f>
        <v/>
      </c>
      <c r="R1778" s="208">
        <f>MIN(1,MAX(0,(nr_MEndP1-$G1778+0.5)/$C$1750))-MIN(1,MAX(0,(nr_MStartP1-1-$G1778+0.5)/$C$1750))</f>
        <v/>
      </c>
      <c r="S1778" s="208">
        <f>IF($L$1750,$N1778*IF($O$1750=1,$O1778/$F$1750,1),"")</f>
        <v/>
      </c>
      <c r="T1778" s="208">
        <f>IF(NOT($L$1750),"",IF($G1778&lt;nr_MStartP,$S1778,$T1766*(1+IF($G1778&lt;nr_MStartP1,$M$1750,$N$1750))))</f>
        <v/>
      </c>
      <c r="U1778" s="208">
        <f>IF($L$1750,$T1778,$N1778)</f>
        <v/>
      </c>
    </row>
    <row r="1779">
      <c r="A1779" s="145" t="n">
        <v>27</v>
      </c>
      <c r="B1779" s="204">
        <f>EDATE($B1778,1)</f>
        <v/>
      </c>
      <c r="C1779" s="205">
        <f>EOMONTH($B1779,0)</f>
        <v/>
      </c>
      <c r="D1779" s="201">
        <f>$C1779-$B1779+1</f>
        <v/>
      </c>
      <c r="E1779" s="201">
        <f>MONTH($B1779)</f>
        <v/>
      </c>
      <c r="F1779" s="235">
        <f>($B1779+$C1779+1)/2</f>
        <v/>
      </c>
      <c r="G1779" s="201">
        <f>YEAR($B1779)*12+MONTH($B1779)-1</f>
        <v/>
      </c>
      <c r="H1779" s="207">
        <f>IF(OR(nr_SeasonOn="OFF",$D$1750=0,$E$1750=0),1,12*INDEX(se_block,$D$1750,$E1779)/$E$1750)</f>
        <v/>
      </c>
      <c r="I1779" s="208">
        <f>EXP(SUMPRODUCT((rl_eff&lt;$B1779)*(rl_key=$A$1750)*rl_ln1p))</f>
        <v/>
      </c>
      <c r="J1779" s="208">
        <f>EXP(SUMPRODUCT((rl_eff&lt;=$C1779)*(rl_key=$A$1750)*rl_ln1p))</f>
        <v/>
      </c>
      <c r="K1779" s="201">
        <f>COUNTIFS(rl_key,$A$1750,rl_eff,"&gt;="&amp;$B1779,rl_eff,"&lt;="&amp;$C1779)</f>
        <v/>
      </c>
      <c r="L1779" s="201">
        <f>SUMIFS(rl_daysafter,rl_key,$A$1750,rl_effmonth,$B1779,rl_first,1)</f>
        <v/>
      </c>
      <c r="M1779" s="209">
        <f>IF($K1779=0,0,MIN(1,$L1779/$D1779))</f>
        <v/>
      </c>
      <c r="N1779" s="208">
        <f>IF($K1779=0,$J1779,(1-$M1779)*$I1779+$M1779*$J1779)</f>
        <v/>
      </c>
      <c r="O1779" s="209">
        <f>IF($F1779&lt;$B$1751,$E$1751+$I$1751*($F1779-$A$1751),IF($F1779&lt;$C$1751,$F$1751+$J$1751*($F1779-$B$1751),$G$1751+$K$1751*($F1779-$C$1751)))</f>
        <v/>
      </c>
      <c r="P1779" s="208">
        <f>MIN(1,MAX(0,(nr_MEndPm1-$G1779+0.5)/$C$1750))-MIN(1,MAX(0,(nr_MStartPm1-1-$G1779+0.5)/$C$1750))</f>
        <v/>
      </c>
      <c r="Q1779" s="208">
        <f>MIN(1,MAX(0,(nr_MEndP-$G1779+0.5)/$C$1750))-MIN(1,MAX(0,(nr_MStartP-1-$G1779+0.5)/$C$1750))</f>
        <v/>
      </c>
      <c r="R1779" s="208">
        <f>MIN(1,MAX(0,(nr_MEndP1-$G1779+0.5)/$C$1750))-MIN(1,MAX(0,(nr_MStartP1-1-$G1779+0.5)/$C$1750))</f>
        <v/>
      </c>
      <c r="S1779" s="208">
        <f>IF($L$1750,$N1779*IF($O$1750=1,$O1779/$F$1750,1),"")</f>
        <v/>
      </c>
      <c r="T1779" s="208">
        <f>IF(NOT($L$1750),"",IF($G1779&lt;nr_MStartP,$S1779,$T1767*(1+IF($G1779&lt;nr_MStartP1,$M$1750,$N$1750))))</f>
        <v/>
      </c>
      <c r="U1779" s="208">
        <f>IF($L$1750,$T1779,$N1779)</f>
        <v/>
      </c>
    </row>
    <row r="1780">
      <c r="A1780" s="145" t="n">
        <v>28</v>
      </c>
      <c r="B1780" s="204">
        <f>EDATE($B1779,1)</f>
        <v/>
      </c>
      <c r="C1780" s="205">
        <f>EOMONTH($B1780,0)</f>
        <v/>
      </c>
      <c r="D1780" s="201">
        <f>$C1780-$B1780+1</f>
        <v/>
      </c>
      <c r="E1780" s="201">
        <f>MONTH($B1780)</f>
        <v/>
      </c>
      <c r="F1780" s="235">
        <f>($B1780+$C1780+1)/2</f>
        <v/>
      </c>
      <c r="G1780" s="201">
        <f>YEAR($B1780)*12+MONTH($B1780)-1</f>
        <v/>
      </c>
      <c r="H1780" s="207">
        <f>IF(OR(nr_SeasonOn="OFF",$D$1750=0,$E$1750=0),1,12*INDEX(se_block,$D$1750,$E1780)/$E$1750)</f>
        <v/>
      </c>
      <c r="I1780" s="208">
        <f>EXP(SUMPRODUCT((rl_eff&lt;$B1780)*(rl_key=$A$1750)*rl_ln1p))</f>
        <v/>
      </c>
      <c r="J1780" s="208">
        <f>EXP(SUMPRODUCT((rl_eff&lt;=$C1780)*(rl_key=$A$1750)*rl_ln1p))</f>
        <v/>
      </c>
      <c r="K1780" s="201">
        <f>COUNTIFS(rl_key,$A$1750,rl_eff,"&gt;="&amp;$B1780,rl_eff,"&lt;="&amp;$C1780)</f>
        <v/>
      </c>
      <c r="L1780" s="201">
        <f>SUMIFS(rl_daysafter,rl_key,$A$1750,rl_effmonth,$B1780,rl_first,1)</f>
        <v/>
      </c>
      <c r="M1780" s="209">
        <f>IF($K1780=0,0,MIN(1,$L1780/$D1780))</f>
        <v/>
      </c>
      <c r="N1780" s="208">
        <f>IF($K1780=0,$J1780,(1-$M1780)*$I1780+$M1780*$J1780)</f>
        <v/>
      </c>
      <c r="O1780" s="209">
        <f>IF($F1780&lt;$B$1751,$E$1751+$I$1751*($F1780-$A$1751),IF($F1780&lt;$C$1751,$F$1751+$J$1751*($F1780-$B$1751),$G$1751+$K$1751*($F1780-$C$1751)))</f>
        <v/>
      </c>
      <c r="P1780" s="208">
        <f>MIN(1,MAX(0,(nr_MEndPm1-$G1780+0.5)/$C$1750))-MIN(1,MAX(0,(nr_MStartPm1-1-$G1780+0.5)/$C$1750))</f>
        <v/>
      </c>
      <c r="Q1780" s="208">
        <f>MIN(1,MAX(0,(nr_MEndP-$G1780+0.5)/$C$1750))-MIN(1,MAX(0,(nr_MStartP-1-$G1780+0.5)/$C$1750))</f>
        <v/>
      </c>
      <c r="R1780" s="208">
        <f>MIN(1,MAX(0,(nr_MEndP1-$G1780+0.5)/$C$1750))-MIN(1,MAX(0,(nr_MStartP1-1-$G1780+0.5)/$C$1750))</f>
        <v/>
      </c>
      <c r="S1780" s="208">
        <f>IF($L$1750,$N1780*IF($O$1750=1,$O1780/$F$1750,1),"")</f>
        <v/>
      </c>
      <c r="T1780" s="208">
        <f>IF(NOT($L$1750),"",IF($G1780&lt;nr_MStartP,$S1780,$T1768*(1+IF($G1780&lt;nr_MStartP1,$M$1750,$N$1750))))</f>
        <v/>
      </c>
      <c r="U1780" s="208">
        <f>IF($L$1750,$T1780,$N1780)</f>
        <v/>
      </c>
    </row>
    <row r="1781">
      <c r="A1781" s="145" t="n">
        <v>29</v>
      </c>
      <c r="B1781" s="204">
        <f>EDATE($B1780,1)</f>
        <v/>
      </c>
      <c r="C1781" s="205">
        <f>EOMONTH($B1781,0)</f>
        <v/>
      </c>
      <c r="D1781" s="201">
        <f>$C1781-$B1781+1</f>
        <v/>
      </c>
      <c r="E1781" s="201">
        <f>MONTH($B1781)</f>
        <v/>
      </c>
      <c r="F1781" s="235">
        <f>($B1781+$C1781+1)/2</f>
        <v/>
      </c>
      <c r="G1781" s="201">
        <f>YEAR($B1781)*12+MONTH($B1781)-1</f>
        <v/>
      </c>
      <c r="H1781" s="207">
        <f>IF(OR(nr_SeasonOn="OFF",$D$1750=0,$E$1750=0),1,12*INDEX(se_block,$D$1750,$E1781)/$E$1750)</f>
        <v/>
      </c>
      <c r="I1781" s="208">
        <f>EXP(SUMPRODUCT((rl_eff&lt;$B1781)*(rl_key=$A$1750)*rl_ln1p))</f>
        <v/>
      </c>
      <c r="J1781" s="208">
        <f>EXP(SUMPRODUCT((rl_eff&lt;=$C1781)*(rl_key=$A$1750)*rl_ln1p))</f>
        <v/>
      </c>
      <c r="K1781" s="201">
        <f>COUNTIFS(rl_key,$A$1750,rl_eff,"&gt;="&amp;$B1781,rl_eff,"&lt;="&amp;$C1781)</f>
        <v/>
      </c>
      <c r="L1781" s="201">
        <f>SUMIFS(rl_daysafter,rl_key,$A$1750,rl_effmonth,$B1781,rl_first,1)</f>
        <v/>
      </c>
      <c r="M1781" s="209">
        <f>IF($K1781=0,0,MIN(1,$L1781/$D1781))</f>
        <v/>
      </c>
      <c r="N1781" s="208">
        <f>IF($K1781=0,$J1781,(1-$M1781)*$I1781+$M1781*$J1781)</f>
        <v/>
      </c>
      <c r="O1781" s="209">
        <f>IF($F1781&lt;$B$1751,$E$1751+$I$1751*($F1781-$A$1751),IF($F1781&lt;$C$1751,$F$1751+$J$1751*($F1781-$B$1751),$G$1751+$K$1751*($F1781-$C$1751)))</f>
        <v/>
      </c>
      <c r="P1781" s="208">
        <f>MIN(1,MAX(0,(nr_MEndPm1-$G1781+0.5)/$C$1750))-MIN(1,MAX(0,(nr_MStartPm1-1-$G1781+0.5)/$C$1750))</f>
        <v/>
      </c>
      <c r="Q1781" s="208">
        <f>MIN(1,MAX(0,(nr_MEndP-$G1781+0.5)/$C$1750))-MIN(1,MAX(0,(nr_MStartP-1-$G1781+0.5)/$C$1750))</f>
        <v/>
      </c>
      <c r="R1781" s="208">
        <f>MIN(1,MAX(0,(nr_MEndP1-$G1781+0.5)/$C$1750))-MIN(1,MAX(0,(nr_MStartP1-1-$G1781+0.5)/$C$1750))</f>
        <v/>
      </c>
      <c r="S1781" s="208">
        <f>IF($L$1750,$N1781*IF($O$1750=1,$O1781/$F$1750,1),"")</f>
        <v/>
      </c>
      <c r="T1781" s="208">
        <f>IF(NOT($L$1750),"",IF($G1781&lt;nr_MStartP,$S1781,$T1769*(1+IF($G1781&lt;nr_MStartP1,$M$1750,$N$1750))))</f>
        <v/>
      </c>
      <c r="U1781" s="208">
        <f>IF($L$1750,$T1781,$N1781)</f>
        <v/>
      </c>
    </row>
    <row r="1782">
      <c r="A1782" s="145" t="n">
        <v>30</v>
      </c>
      <c r="B1782" s="204">
        <f>EDATE($B1781,1)</f>
        <v/>
      </c>
      <c r="C1782" s="205">
        <f>EOMONTH($B1782,0)</f>
        <v/>
      </c>
      <c r="D1782" s="201">
        <f>$C1782-$B1782+1</f>
        <v/>
      </c>
      <c r="E1782" s="201">
        <f>MONTH($B1782)</f>
        <v/>
      </c>
      <c r="F1782" s="235">
        <f>($B1782+$C1782+1)/2</f>
        <v/>
      </c>
      <c r="G1782" s="201">
        <f>YEAR($B1782)*12+MONTH($B1782)-1</f>
        <v/>
      </c>
      <c r="H1782" s="207">
        <f>IF(OR(nr_SeasonOn="OFF",$D$1750=0,$E$1750=0),1,12*INDEX(se_block,$D$1750,$E1782)/$E$1750)</f>
        <v/>
      </c>
      <c r="I1782" s="208">
        <f>EXP(SUMPRODUCT((rl_eff&lt;$B1782)*(rl_key=$A$1750)*rl_ln1p))</f>
        <v/>
      </c>
      <c r="J1782" s="208">
        <f>EXP(SUMPRODUCT((rl_eff&lt;=$C1782)*(rl_key=$A$1750)*rl_ln1p))</f>
        <v/>
      </c>
      <c r="K1782" s="201">
        <f>COUNTIFS(rl_key,$A$1750,rl_eff,"&gt;="&amp;$B1782,rl_eff,"&lt;="&amp;$C1782)</f>
        <v/>
      </c>
      <c r="L1782" s="201">
        <f>SUMIFS(rl_daysafter,rl_key,$A$1750,rl_effmonth,$B1782,rl_first,1)</f>
        <v/>
      </c>
      <c r="M1782" s="209">
        <f>IF($K1782=0,0,MIN(1,$L1782/$D1782))</f>
        <v/>
      </c>
      <c r="N1782" s="208">
        <f>IF($K1782=0,$J1782,(1-$M1782)*$I1782+$M1782*$J1782)</f>
        <v/>
      </c>
      <c r="O1782" s="209">
        <f>IF($F1782&lt;$B$1751,$E$1751+$I$1751*($F1782-$A$1751),IF($F1782&lt;$C$1751,$F$1751+$J$1751*($F1782-$B$1751),$G$1751+$K$1751*($F1782-$C$1751)))</f>
        <v/>
      </c>
      <c r="P1782" s="208">
        <f>MIN(1,MAX(0,(nr_MEndPm1-$G1782+0.5)/$C$1750))-MIN(1,MAX(0,(nr_MStartPm1-1-$G1782+0.5)/$C$1750))</f>
        <v/>
      </c>
      <c r="Q1782" s="208">
        <f>MIN(1,MAX(0,(nr_MEndP-$G1782+0.5)/$C$1750))-MIN(1,MAX(0,(nr_MStartP-1-$G1782+0.5)/$C$1750))</f>
        <v/>
      </c>
      <c r="R1782" s="208">
        <f>MIN(1,MAX(0,(nr_MEndP1-$G1782+0.5)/$C$1750))-MIN(1,MAX(0,(nr_MStartP1-1-$G1782+0.5)/$C$1750))</f>
        <v/>
      </c>
      <c r="S1782" s="208">
        <f>IF($L$1750,$N1782*IF($O$1750=1,$O1782/$F$1750,1),"")</f>
        <v/>
      </c>
      <c r="T1782" s="208">
        <f>IF(NOT($L$1750),"",IF($G1782&lt;nr_MStartP,$S1782,$T1770*(1+IF($G1782&lt;nr_MStartP1,$M$1750,$N$1750))))</f>
        <v/>
      </c>
      <c r="U1782" s="208">
        <f>IF($L$1750,$T1782,$N1782)</f>
        <v/>
      </c>
    </row>
    <row r="1783">
      <c r="A1783" s="145" t="n">
        <v>31</v>
      </c>
      <c r="B1783" s="204">
        <f>EDATE($B1782,1)</f>
        <v/>
      </c>
      <c r="C1783" s="205">
        <f>EOMONTH($B1783,0)</f>
        <v/>
      </c>
      <c r="D1783" s="201">
        <f>$C1783-$B1783+1</f>
        <v/>
      </c>
      <c r="E1783" s="201">
        <f>MONTH($B1783)</f>
        <v/>
      </c>
      <c r="F1783" s="235">
        <f>($B1783+$C1783+1)/2</f>
        <v/>
      </c>
      <c r="G1783" s="201">
        <f>YEAR($B1783)*12+MONTH($B1783)-1</f>
        <v/>
      </c>
      <c r="H1783" s="207">
        <f>IF(OR(nr_SeasonOn="OFF",$D$1750=0,$E$1750=0),1,12*INDEX(se_block,$D$1750,$E1783)/$E$1750)</f>
        <v/>
      </c>
      <c r="I1783" s="208">
        <f>EXP(SUMPRODUCT((rl_eff&lt;$B1783)*(rl_key=$A$1750)*rl_ln1p))</f>
        <v/>
      </c>
      <c r="J1783" s="208">
        <f>EXP(SUMPRODUCT((rl_eff&lt;=$C1783)*(rl_key=$A$1750)*rl_ln1p))</f>
        <v/>
      </c>
      <c r="K1783" s="201">
        <f>COUNTIFS(rl_key,$A$1750,rl_eff,"&gt;="&amp;$B1783,rl_eff,"&lt;="&amp;$C1783)</f>
        <v/>
      </c>
      <c r="L1783" s="201">
        <f>SUMIFS(rl_daysafter,rl_key,$A$1750,rl_effmonth,$B1783,rl_first,1)</f>
        <v/>
      </c>
      <c r="M1783" s="209">
        <f>IF($K1783=0,0,MIN(1,$L1783/$D1783))</f>
        <v/>
      </c>
      <c r="N1783" s="208">
        <f>IF($K1783=0,$J1783,(1-$M1783)*$I1783+$M1783*$J1783)</f>
        <v/>
      </c>
      <c r="O1783" s="209">
        <f>IF($F1783&lt;$B$1751,$E$1751+$I$1751*($F1783-$A$1751),IF($F1783&lt;$C$1751,$F$1751+$J$1751*($F1783-$B$1751),$G$1751+$K$1751*($F1783-$C$1751)))</f>
        <v/>
      </c>
      <c r="P1783" s="208">
        <f>MIN(1,MAX(0,(nr_MEndPm1-$G1783+0.5)/$C$1750))-MIN(1,MAX(0,(nr_MStartPm1-1-$G1783+0.5)/$C$1750))</f>
        <v/>
      </c>
      <c r="Q1783" s="208">
        <f>MIN(1,MAX(0,(nr_MEndP-$G1783+0.5)/$C$1750))-MIN(1,MAX(0,(nr_MStartP-1-$G1783+0.5)/$C$1750))</f>
        <v/>
      </c>
      <c r="R1783" s="208">
        <f>MIN(1,MAX(0,(nr_MEndP1-$G1783+0.5)/$C$1750))-MIN(1,MAX(0,(nr_MStartP1-1-$G1783+0.5)/$C$1750))</f>
        <v/>
      </c>
      <c r="S1783" s="208">
        <f>IF($L$1750,$N1783*IF($O$1750=1,$O1783/$F$1750,1),"")</f>
        <v/>
      </c>
      <c r="T1783" s="208">
        <f>IF(NOT($L$1750),"",IF($G1783&lt;nr_MStartP,$S1783,$T1771*(1+IF($G1783&lt;nr_MStartP1,$M$1750,$N$1750))))</f>
        <v/>
      </c>
      <c r="U1783" s="208">
        <f>IF($L$1750,$T1783,$N1783)</f>
        <v/>
      </c>
    </row>
    <row r="1784">
      <c r="A1784" s="145" t="n">
        <v>32</v>
      </c>
      <c r="B1784" s="204">
        <f>EDATE($B1783,1)</f>
        <v/>
      </c>
      <c r="C1784" s="205">
        <f>EOMONTH($B1784,0)</f>
        <v/>
      </c>
      <c r="D1784" s="201">
        <f>$C1784-$B1784+1</f>
        <v/>
      </c>
      <c r="E1784" s="201">
        <f>MONTH($B1784)</f>
        <v/>
      </c>
      <c r="F1784" s="235">
        <f>($B1784+$C1784+1)/2</f>
        <v/>
      </c>
      <c r="G1784" s="201">
        <f>YEAR($B1784)*12+MONTH($B1784)-1</f>
        <v/>
      </c>
      <c r="H1784" s="207">
        <f>IF(OR(nr_SeasonOn="OFF",$D$1750=0,$E$1750=0),1,12*INDEX(se_block,$D$1750,$E1784)/$E$1750)</f>
        <v/>
      </c>
      <c r="I1784" s="208">
        <f>EXP(SUMPRODUCT((rl_eff&lt;$B1784)*(rl_key=$A$1750)*rl_ln1p))</f>
        <v/>
      </c>
      <c r="J1784" s="208">
        <f>EXP(SUMPRODUCT((rl_eff&lt;=$C1784)*(rl_key=$A$1750)*rl_ln1p))</f>
        <v/>
      </c>
      <c r="K1784" s="201">
        <f>COUNTIFS(rl_key,$A$1750,rl_eff,"&gt;="&amp;$B1784,rl_eff,"&lt;="&amp;$C1784)</f>
        <v/>
      </c>
      <c r="L1784" s="201">
        <f>SUMIFS(rl_daysafter,rl_key,$A$1750,rl_effmonth,$B1784,rl_first,1)</f>
        <v/>
      </c>
      <c r="M1784" s="209">
        <f>IF($K1784=0,0,MIN(1,$L1784/$D1784))</f>
        <v/>
      </c>
      <c r="N1784" s="208">
        <f>IF($K1784=0,$J1784,(1-$M1784)*$I1784+$M1784*$J1784)</f>
        <v/>
      </c>
      <c r="O1784" s="209">
        <f>IF($F1784&lt;$B$1751,$E$1751+$I$1751*($F1784-$A$1751),IF($F1784&lt;$C$1751,$F$1751+$J$1751*($F1784-$B$1751),$G$1751+$K$1751*($F1784-$C$1751)))</f>
        <v/>
      </c>
      <c r="P1784" s="208">
        <f>MIN(1,MAX(0,(nr_MEndPm1-$G1784+0.5)/$C$1750))-MIN(1,MAX(0,(nr_MStartPm1-1-$G1784+0.5)/$C$1750))</f>
        <v/>
      </c>
      <c r="Q1784" s="208">
        <f>MIN(1,MAX(0,(nr_MEndP-$G1784+0.5)/$C$1750))-MIN(1,MAX(0,(nr_MStartP-1-$G1784+0.5)/$C$1750))</f>
        <v/>
      </c>
      <c r="R1784" s="208">
        <f>MIN(1,MAX(0,(nr_MEndP1-$G1784+0.5)/$C$1750))-MIN(1,MAX(0,(nr_MStartP1-1-$G1784+0.5)/$C$1750))</f>
        <v/>
      </c>
      <c r="S1784" s="208">
        <f>IF($L$1750,$N1784*IF($O$1750=1,$O1784/$F$1750,1),"")</f>
        <v/>
      </c>
      <c r="T1784" s="208">
        <f>IF(NOT($L$1750),"",IF($G1784&lt;nr_MStartP,$S1784,$T1772*(1+IF($G1784&lt;nr_MStartP1,$M$1750,$N$1750))))</f>
        <v/>
      </c>
      <c r="U1784" s="208">
        <f>IF($L$1750,$T1784,$N1784)</f>
        <v/>
      </c>
    </row>
    <row r="1785">
      <c r="A1785" s="145" t="n">
        <v>33</v>
      </c>
      <c r="B1785" s="204">
        <f>EDATE($B1784,1)</f>
        <v/>
      </c>
      <c r="C1785" s="205">
        <f>EOMONTH($B1785,0)</f>
        <v/>
      </c>
      <c r="D1785" s="201">
        <f>$C1785-$B1785+1</f>
        <v/>
      </c>
      <c r="E1785" s="201">
        <f>MONTH($B1785)</f>
        <v/>
      </c>
      <c r="F1785" s="235">
        <f>($B1785+$C1785+1)/2</f>
        <v/>
      </c>
      <c r="G1785" s="201">
        <f>YEAR($B1785)*12+MONTH($B1785)-1</f>
        <v/>
      </c>
      <c r="H1785" s="207">
        <f>IF(OR(nr_SeasonOn="OFF",$D$1750=0,$E$1750=0),1,12*INDEX(se_block,$D$1750,$E1785)/$E$1750)</f>
        <v/>
      </c>
      <c r="I1785" s="208">
        <f>EXP(SUMPRODUCT((rl_eff&lt;$B1785)*(rl_key=$A$1750)*rl_ln1p))</f>
        <v/>
      </c>
      <c r="J1785" s="208">
        <f>EXP(SUMPRODUCT((rl_eff&lt;=$C1785)*(rl_key=$A$1750)*rl_ln1p))</f>
        <v/>
      </c>
      <c r="K1785" s="201">
        <f>COUNTIFS(rl_key,$A$1750,rl_eff,"&gt;="&amp;$B1785,rl_eff,"&lt;="&amp;$C1785)</f>
        <v/>
      </c>
      <c r="L1785" s="201">
        <f>SUMIFS(rl_daysafter,rl_key,$A$1750,rl_effmonth,$B1785,rl_first,1)</f>
        <v/>
      </c>
      <c r="M1785" s="209">
        <f>IF($K1785=0,0,MIN(1,$L1785/$D1785))</f>
        <v/>
      </c>
      <c r="N1785" s="208">
        <f>IF($K1785=0,$J1785,(1-$M1785)*$I1785+$M1785*$J1785)</f>
        <v/>
      </c>
      <c r="O1785" s="209">
        <f>IF($F1785&lt;$B$1751,$E$1751+$I$1751*($F1785-$A$1751),IF($F1785&lt;$C$1751,$F$1751+$J$1751*($F1785-$B$1751),$G$1751+$K$1751*($F1785-$C$1751)))</f>
        <v/>
      </c>
      <c r="P1785" s="208">
        <f>MIN(1,MAX(0,(nr_MEndPm1-$G1785+0.5)/$C$1750))-MIN(1,MAX(0,(nr_MStartPm1-1-$G1785+0.5)/$C$1750))</f>
        <v/>
      </c>
      <c r="Q1785" s="208">
        <f>MIN(1,MAX(0,(nr_MEndP-$G1785+0.5)/$C$1750))-MIN(1,MAX(0,(nr_MStartP-1-$G1785+0.5)/$C$1750))</f>
        <v/>
      </c>
      <c r="R1785" s="208">
        <f>MIN(1,MAX(0,(nr_MEndP1-$G1785+0.5)/$C$1750))-MIN(1,MAX(0,(nr_MStartP1-1-$G1785+0.5)/$C$1750))</f>
        <v/>
      </c>
      <c r="S1785" s="208">
        <f>IF($L$1750,$N1785*IF($O$1750=1,$O1785/$F$1750,1),"")</f>
        <v/>
      </c>
      <c r="T1785" s="208">
        <f>IF(NOT($L$1750),"",IF($G1785&lt;nr_MStartP,$S1785,$T1773*(1+IF($G1785&lt;nr_MStartP1,$M$1750,$N$1750))))</f>
        <v/>
      </c>
      <c r="U1785" s="208">
        <f>IF($L$1750,$T1785,$N1785)</f>
        <v/>
      </c>
    </row>
    <row r="1786">
      <c r="A1786" s="145" t="n">
        <v>34</v>
      </c>
      <c r="B1786" s="204">
        <f>EDATE($B1785,1)</f>
        <v/>
      </c>
      <c r="C1786" s="205">
        <f>EOMONTH($B1786,0)</f>
        <v/>
      </c>
      <c r="D1786" s="201">
        <f>$C1786-$B1786+1</f>
        <v/>
      </c>
      <c r="E1786" s="201">
        <f>MONTH($B1786)</f>
        <v/>
      </c>
      <c r="F1786" s="235">
        <f>($B1786+$C1786+1)/2</f>
        <v/>
      </c>
      <c r="G1786" s="201">
        <f>YEAR($B1786)*12+MONTH($B1786)-1</f>
        <v/>
      </c>
      <c r="H1786" s="207">
        <f>IF(OR(nr_SeasonOn="OFF",$D$1750=0,$E$1750=0),1,12*INDEX(se_block,$D$1750,$E1786)/$E$1750)</f>
        <v/>
      </c>
      <c r="I1786" s="208">
        <f>EXP(SUMPRODUCT((rl_eff&lt;$B1786)*(rl_key=$A$1750)*rl_ln1p))</f>
        <v/>
      </c>
      <c r="J1786" s="208">
        <f>EXP(SUMPRODUCT((rl_eff&lt;=$C1786)*(rl_key=$A$1750)*rl_ln1p))</f>
        <v/>
      </c>
      <c r="K1786" s="201">
        <f>COUNTIFS(rl_key,$A$1750,rl_eff,"&gt;="&amp;$B1786,rl_eff,"&lt;="&amp;$C1786)</f>
        <v/>
      </c>
      <c r="L1786" s="201">
        <f>SUMIFS(rl_daysafter,rl_key,$A$1750,rl_effmonth,$B1786,rl_first,1)</f>
        <v/>
      </c>
      <c r="M1786" s="209">
        <f>IF($K1786=0,0,MIN(1,$L1786/$D1786))</f>
        <v/>
      </c>
      <c r="N1786" s="208">
        <f>IF($K1786=0,$J1786,(1-$M1786)*$I1786+$M1786*$J1786)</f>
        <v/>
      </c>
      <c r="O1786" s="209">
        <f>IF($F1786&lt;$B$1751,$E$1751+$I$1751*($F1786-$A$1751),IF($F1786&lt;$C$1751,$F$1751+$J$1751*($F1786-$B$1751),$G$1751+$K$1751*($F1786-$C$1751)))</f>
        <v/>
      </c>
      <c r="P1786" s="208">
        <f>MIN(1,MAX(0,(nr_MEndPm1-$G1786+0.5)/$C$1750))-MIN(1,MAX(0,(nr_MStartPm1-1-$G1786+0.5)/$C$1750))</f>
        <v/>
      </c>
      <c r="Q1786" s="208">
        <f>MIN(1,MAX(0,(nr_MEndP-$G1786+0.5)/$C$1750))-MIN(1,MAX(0,(nr_MStartP-1-$G1786+0.5)/$C$1750))</f>
        <v/>
      </c>
      <c r="R1786" s="208">
        <f>MIN(1,MAX(0,(nr_MEndP1-$G1786+0.5)/$C$1750))-MIN(1,MAX(0,(nr_MStartP1-1-$G1786+0.5)/$C$1750))</f>
        <v/>
      </c>
      <c r="S1786" s="208">
        <f>IF($L$1750,$N1786*IF($O$1750=1,$O1786/$F$1750,1),"")</f>
        <v/>
      </c>
      <c r="T1786" s="208">
        <f>IF(NOT($L$1750),"",IF($G1786&lt;nr_MStartP,$S1786,$T1774*(1+IF($G1786&lt;nr_MStartP1,$M$1750,$N$1750))))</f>
        <v/>
      </c>
      <c r="U1786" s="208">
        <f>IF($L$1750,$T1786,$N1786)</f>
        <v/>
      </c>
    </row>
    <row r="1787">
      <c r="A1787" s="145" t="n">
        <v>35</v>
      </c>
      <c r="B1787" s="204">
        <f>EDATE($B1786,1)</f>
        <v/>
      </c>
      <c r="C1787" s="205">
        <f>EOMONTH($B1787,0)</f>
        <v/>
      </c>
      <c r="D1787" s="201">
        <f>$C1787-$B1787+1</f>
        <v/>
      </c>
      <c r="E1787" s="201">
        <f>MONTH($B1787)</f>
        <v/>
      </c>
      <c r="F1787" s="235">
        <f>($B1787+$C1787+1)/2</f>
        <v/>
      </c>
      <c r="G1787" s="201">
        <f>YEAR($B1787)*12+MONTH($B1787)-1</f>
        <v/>
      </c>
      <c r="H1787" s="207">
        <f>IF(OR(nr_SeasonOn="OFF",$D$1750=0,$E$1750=0),1,12*INDEX(se_block,$D$1750,$E1787)/$E$1750)</f>
        <v/>
      </c>
      <c r="I1787" s="208">
        <f>EXP(SUMPRODUCT((rl_eff&lt;$B1787)*(rl_key=$A$1750)*rl_ln1p))</f>
        <v/>
      </c>
      <c r="J1787" s="208">
        <f>EXP(SUMPRODUCT((rl_eff&lt;=$C1787)*(rl_key=$A$1750)*rl_ln1p))</f>
        <v/>
      </c>
      <c r="K1787" s="201">
        <f>COUNTIFS(rl_key,$A$1750,rl_eff,"&gt;="&amp;$B1787,rl_eff,"&lt;="&amp;$C1787)</f>
        <v/>
      </c>
      <c r="L1787" s="201">
        <f>SUMIFS(rl_daysafter,rl_key,$A$1750,rl_effmonth,$B1787,rl_first,1)</f>
        <v/>
      </c>
      <c r="M1787" s="209">
        <f>IF($K1787=0,0,MIN(1,$L1787/$D1787))</f>
        <v/>
      </c>
      <c r="N1787" s="208">
        <f>IF($K1787=0,$J1787,(1-$M1787)*$I1787+$M1787*$J1787)</f>
        <v/>
      </c>
      <c r="O1787" s="209">
        <f>IF($F1787&lt;$B$1751,$E$1751+$I$1751*($F1787-$A$1751),IF($F1787&lt;$C$1751,$F$1751+$J$1751*($F1787-$B$1751),$G$1751+$K$1751*($F1787-$C$1751)))</f>
        <v/>
      </c>
      <c r="P1787" s="208">
        <f>MIN(1,MAX(0,(nr_MEndPm1-$G1787+0.5)/$C$1750))-MIN(1,MAX(0,(nr_MStartPm1-1-$G1787+0.5)/$C$1750))</f>
        <v/>
      </c>
      <c r="Q1787" s="208">
        <f>MIN(1,MAX(0,(nr_MEndP-$G1787+0.5)/$C$1750))-MIN(1,MAX(0,(nr_MStartP-1-$G1787+0.5)/$C$1750))</f>
        <v/>
      </c>
      <c r="R1787" s="208">
        <f>MIN(1,MAX(0,(nr_MEndP1-$G1787+0.5)/$C$1750))-MIN(1,MAX(0,(nr_MStartP1-1-$G1787+0.5)/$C$1750))</f>
        <v/>
      </c>
      <c r="S1787" s="208">
        <f>IF($L$1750,$N1787*IF($O$1750=1,$O1787/$F$1750,1),"")</f>
        <v/>
      </c>
      <c r="T1787" s="208">
        <f>IF(NOT($L$1750),"",IF($G1787&lt;nr_MStartP,$S1787,$T1775*(1+IF($G1787&lt;nr_MStartP1,$M$1750,$N$1750))))</f>
        <v/>
      </c>
      <c r="U1787" s="208">
        <f>IF($L$1750,$T1787,$N1787)</f>
        <v/>
      </c>
    </row>
    <row r="1788">
      <c r="A1788" s="145" t="n">
        <v>36</v>
      </c>
      <c r="B1788" s="204">
        <f>EDATE($B1787,1)</f>
        <v/>
      </c>
      <c r="C1788" s="205">
        <f>EOMONTH($B1788,0)</f>
        <v/>
      </c>
      <c r="D1788" s="201">
        <f>$C1788-$B1788+1</f>
        <v/>
      </c>
      <c r="E1788" s="201">
        <f>MONTH($B1788)</f>
        <v/>
      </c>
      <c r="F1788" s="235">
        <f>($B1788+$C1788+1)/2</f>
        <v/>
      </c>
      <c r="G1788" s="201">
        <f>YEAR($B1788)*12+MONTH($B1788)-1</f>
        <v/>
      </c>
      <c r="H1788" s="207">
        <f>IF(OR(nr_SeasonOn="OFF",$D$1750=0,$E$1750=0),1,12*INDEX(se_block,$D$1750,$E1788)/$E$1750)</f>
        <v/>
      </c>
      <c r="I1788" s="208">
        <f>EXP(SUMPRODUCT((rl_eff&lt;$B1788)*(rl_key=$A$1750)*rl_ln1p))</f>
        <v/>
      </c>
      <c r="J1788" s="208">
        <f>EXP(SUMPRODUCT((rl_eff&lt;=$C1788)*(rl_key=$A$1750)*rl_ln1p))</f>
        <v/>
      </c>
      <c r="K1788" s="201">
        <f>COUNTIFS(rl_key,$A$1750,rl_eff,"&gt;="&amp;$B1788,rl_eff,"&lt;="&amp;$C1788)</f>
        <v/>
      </c>
      <c r="L1788" s="201">
        <f>SUMIFS(rl_daysafter,rl_key,$A$1750,rl_effmonth,$B1788,rl_first,1)</f>
        <v/>
      </c>
      <c r="M1788" s="209">
        <f>IF($K1788=0,0,MIN(1,$L1788/$D1788))</f>
        <v/>
      </c>
      <c r="N1788" s="208">
        <f>IF($K1788=0,$J1788,(1-$M1788)*$I1788+$M1788*$J1788)</f>
        <v/>
      </c>
      <c r="O1788" s="209">
        <f>IF($F1788&lt;$B$1751,$E$1751+$I$1751*($F1788-$A$1751),IF($F1788&lt;$C$1751,$F$1751+$J$1751*($F1788-$B$1751),$G$1751+$K$1751*($F1788-$C$1751)))</f>
        <v/>
      </c>
      <c r="P1788" s="208">
        <f>MIN(1,MAX(0,(nr_MEndPm1-$G1788+0.5)/$C$1750))-MIN(1,MAX(0,(nr_MStartPm1-1-$G1788+0.5)/$C$1750))</f>
        <v/>
      </c>
      <c r="Q1788" s="208">
        <f>MIN(1,MAX(0,(nr_MEndP-$G1788+0.5)/$C$1750))-MIN(1,MAX(0,(nr_MStartP-1-$G1788+0.5)/$C$1750))</f>
        <v/>
      </c>
      <c r="R1788" s="208">
        <f>MIN(1,MAX(0,(nr_MEndP1-$G1788+0.5)/$C$1750))-MIN(1,MAX(0,(nr_MStartP1-1-$G1788+0.5)/$C$1750))</f>
        <v/>
      </c>
      <c r="S1788" s="208">
        <f>IF($L$1750,$N1788*IF($O$1750=1,$O1788/$F$1750,1),"")</f>
        <v/>
      </c>
      <c r="T1788" s="208">
        <f>IF(NOT($L$1750),"",IF($G1788&lt;nr_MStartP,$S1788,$T1776*(1+IF($G1788&lt;nr_MStartP1,$M$1750,$N$1750))))</f>
        <v/>
      </c>
      <c r="U1788" s="208">
        <f>IF($L$1750,$T1788,$N1788)</f>
        <v/>
      </c>
    </row>
    <row r="1789">
      <c r="A1789" s="145" t="n">
        <v>37</v>
      </c>
      <c r="B1789" s="204">
        <f>EDATE($B1788,1)</f>
        <v/>
      </c>
      <c r="C1789" s="205">
        <f>EOMONTH($B1789,0)</f>
        <v/>
      </c>
      <c r="D1789" s="201">
        <f>$C1789-$B1789+1</f>
        <v/>
      </c>
      <c r="E1789" s="201">
        <f>MONTH($B1789)</f>
        <v/>
      </c>
      <c r="F1789" s="235">
        <f>($B1789+$C1789+1)/2</f>
        <v/>
      </c>
      <c r="G1789" s="201">
        <f>YEAR($B1789)*12+MONTH($B1789)-1</f>
        <v/>
      </c>
      <c r="H1789" s="207">
        <f>IF(OR(nr_SeasonOn="OFF",$D$1750=0,$E$1750=0),1,12*INDEX(se_block,$D$1750,$E1789)/$E$1750)</f>
        <v/>
      </c>
      <c r="I1789" s="208">
        <f>EXP(SUMPRODUCT((rl_eff&lt;$B1789)*(rl_key=$A$1750)*rl_ln1p))</f>
        <v/>
      </c>
      <c r="J1789" s="208">
        <f>EXP(SUMPRODUCT((rl_eff&lt;=$C1789)*(rl_key=$A$1750)*rl_ln1p))</f>
        <v/>
      </c>
      <c r="K1789" s="201">
        <f>COUNTIFS(rl_key,$A$1750,rl_eff,"&gt;="&amp;$B1789,rl_eff,"&lt;="&amp;$C1789)</f>
        <v/>
      </c>
      <c r="L1789" s="201">
        <f>SUMIFS(rl_daysafter,rl_key,$A$1750,rl_effmonth,$B1789,rl_first,1)</f>
        <v/>
      </c>
      <c r="M1789" s="209">
        <f>IF($K1789=0,0,MIN(1,$L1789/$D1789))</f>
        <v/>
      </c>
      <c r="N1789" s="208">
        <f>IF($K1789=0,$J1789,(1-$M1789)*$I1789+$M1789*$J1789)</f>
        <v/>
      </c>
      <c r="O1789" s="209">
        <f>IF($F1789&lt;$B$1751,$E$1751+$I$1751*($F1789-$A$1751),IF($F1789&lt;$C$1751,$F$1751+$J$1751*($F1789-$B$1751),$G$1751+$K$1751*($F1789-$C$1751)))</f>
        <v/>
      </c>
      <c r="P1789" s="208">
        <f>MIN(1,MAX(0,(nr_MEndPm1-$G1789+0.5)/$C$1750))-MIN(1,MAX(0,(nr_MStartPm1-1-$G1789+0.5)/$C$1750))</f>
        <v/>
      </c>
      <c r="Q1789" s="208">
        <f>MIN(1,MAX(0,(nr_MEndP-$G1789+0.5)/$C$1750))-MIN(1,MAX(0,(nr_MStartP-1-$G1789+0.5)/$C$1750))</f>
        <v/>
      </c>
      <c r="R1789" s="208">
        <f>MIN(1,MAX(0,(nr_MEndP1-$G1789+0.5)/$C$1750))-MIN(1,MAX(0,(nr_MStartP1-1-$G1789+0.5)/$C$1750))</f>
        <v/>
      </c>
      <c r="S1789" s="208">
        <f>IF($L$1750,$N1789*IF($O$1750=1,$O1789/$F$1750,1),"")</f>
        <v/>
      </c>
      <c r="T1789" s="208">
        <f>IF(NOT($L$1750),"",IF($G1789&lt;nr_MStartP,$S1789,$T1777*(1+IF($G1789&lt;nr_MStartP1,$M$1750,$N$1750))))</f>
        <v/>
      </c>
      <c r="U1789" s="208">
        <f>IF($L$1750,$T1789,$N1789)</f>
        <v/>
      </c>
    </row>
    <row r="1790">
      <c r="A1790" s="145" t="n">
        <v>38</v>
      </c>
      <c r="B1790" s="204">
        <f>EDATE($B1789,1)</f>
        <v/>
      </c>
      <c r="C1790" s="205">
        <f>EOMONTH($B1790,0)</f>
        <v/>
      </c>
      <c r="D1790" s="201">
        <f>$C1790-$B1790+1</f>
        <v/>
      </c>
      <c r="E1790" s="201">
        <f>MONTH($B1790)</f>
        <v/>
      </c>
      <c r="F1790" s="235">
        <f>($B1790+$C1790+1)/2</f>
        <v/>
      </c>
      <c r="G1790" s="201">
        <f>YEAR($B1790)*12+MONTH($B1790)-1</f>
        <v/>
      </c>
      <c r="H1790" s="207">
        <f>IF(OR(nr_SeasonOn="OFF",$D$1750=0,$E$1750=0),1,12*INDEX(se_block,$D$1750,$E1790)/$E$1750)</f>
        <v/>
      </c>
      <c r="I1790" s="208">
        <f>EXP(SUMPRODUCT((rl_eff&lt;$B1790)*(rl_key=$A$1750)*rl_ln1p))</f>
        <v/>
      </c>
      <c r="J1790" s="208">
        <f>EXP(SUMPRODUCT((rl_eff&lt;=$C1790)*(rl_key=$A$1750)*rl_ln1p))</f>
        <v/>
      </c>
      <c r="K1790" s="201">
        <f>COUNTIFS(rl_key,$A$1750,rl_eff,"&gt;="&amp;$B1790,rl_eff,"&lt;="&amp;$C1790)</f>
        <v/>
      </c>
      <c r="L1790" s="201">
        <f>SUMIFS(rl_daysafter,rl_key,$A$1750,rl_effmonth,$B1790,rl_first,1)</f>
        <v/>
      </c>
      <c r="M1790" s="209">
        <f>IF($K1790=0,0,MIN(1,$L1790/$D1790))</f>
        <v/>
      </c>
      <c r="N1790" s="208">
        <f>IF($K1790=0,$J1790,(1-$M1790)*$I1790+$M1790*$J1790)</f>
        <v/>
      </c>
      <c r="O1790" s="209">
        <f>IF($F1790&lt;$B$1751,$E$1751+$I$1751*($F1790-$A$1751),IF($F1790&lt;$C$1751,$F$1751+$J$1751*($F1790-$B$1751),$G$1751+$K$1751*($F1790-$C$1751)))</f>
        <v/>
      </c>
      <c r="P1790" s="208">
        <f>MIN(1,MAX(0,(nr_MEndPm1-$G1790+0.5)/$C$1750))-MIN(1,MAX(0,(nr_MStartPm1-1-$G1790+0.5)/$C$1750))</f>
        <v/>
      </c>
      <c r="Q1790" s="208">
        <f>MIN(1,MAX(0,(nr_MEndP-$G1790+0.5)/$C$1750))-MIN(1,MAX(0,(nr_MStartP-1-$G1790+0.5)/$C$1750))</f>
        <v/>
      </c>
      <c r="R1790" s="208">
        <f>MIN(1,MAX(0,(nr_MEndP1-$G1790+0.5)/$C$1750))-MIN(1,MAX(0,(nr_MStartP1-1-$G1790+0.5)/$C$1750))</f>
        <v/>
      </c>
      <c r="S1790" s="208">
        <f>IF($L$1750,$N1790*IF($O$1750=1,$O1790/$F$1750,1),"")</f>
        <v/>
      </c>
      <c r="T1790" s="208">
        <f>IF(NOT($L$1750),"",IF($G1790&lt;nr_MStartP,$S1790,$T1778*(1+IF($G1790&lt;nr_MStartP1,$M$1750,$N$1750))))</f>
        <v/>
      </c>
      <c r="U1790" s="208">
        <f>IF($L$1750,$T1790,$N1790)</f>
        <v/>
      </c>
    </row>
    <row r="1791">
      <c r="A1791" s="145" t="n">
        <v>39</v>
      </c>
      <c r="B1791" s="204">
        <f>EDATE($B1790,1)</f>
        <v/>
      </c>
      <c r="C1791" s="205">
        <f>EOMONTH($B1791,0)</f>
        <v/>
      </c>
      <c r="D1791" s="201">
        <f>$C1791-$B1791+1</f>
        <v/>
      </c>
      <c r="E1791" s="201">
        <f>MONTH($B1791)</f>
        <v/>
      </c>
      <c r="F1791" s="235">
        <f>($B1791+$C1791+1)/2</f>
        <v/>
      </c>
      <c r="G1791" s="201">
        <f>YEAR($B1791)*12+MONTH($B1791)-1</f>
        <v/>
      </c>
      <c r="H1791" s="207">
        <f>IF(OR(nr_SeasonOn="OFF",$D$1750=0,$E$1750=0),1,12*INDEX(se_block,$D$1750,$E1791)/$E$1750)</f>
        <v/>
      </c>
      <c r="I1791" s="208">
        <f>EXP(SUMPRODUCT((rl_eff&lt;$B1791)*(rl_key=$A$1750)*rl_ln1p))</f>
        <v/>
      </c>
      <c r="J1791" s="208">
        <f>EXP(SUMPRODUCT((rl_eff&lt;=$C1791)*(rl_key=$A$1750)*rl_ln1p))</f>
        <v/>
      </c>
      <c r="K1791" s="201">
        <f>COUNTIFS(rl_key,$A$1750,rl_eff,"&gt;="&amp;$B1791,rl_eff,"&lt;="&amp;$C1791)</f>
        <v/>
      </c>
      <c r="L1791" s="201">
        <f>SUMIFS(rl_daysafter,rl_key,$A$1750,rl_effmonth,$B1791,rl_first,1)</f>
        <v/>
      </c>
      <c r="M1791" s="209">
        <f>IF($K1791=0,0,MIN(1,$L1791/$D1791))</f>
        <v/>
      </c>
      <c r="N1791" s="208">
        <f>IF($K1791=0,$J1791,(1-$M1791)*$I1791+$M1791*$J1791)</f>
        <v/>
      </c>
      <c r="O1791" s="209">
        <f>IF($F1791&lt;$B$1751,$E$1751+$I$1751*($F1791-$A$1751),IF($F1791&lt;$C$1751,$F$1751+$J$1751*($F1791-$B$1751),$G$1751+$K$1751*($F1791-$C$1751)))</f>
        <v/>
      </c>
      <c r="P1791" s="208">
        <f>MIN(1,MAX(0,(nr_MEndPm1-$G1791+0.5)/$C$1750))-MIN(1,MAX(0,(nr_MStartPm1-1-$G1791+0.5)/$C$1750))</f>
        <v/>
      </c>
      <c r="Q1791" s="208">
        <f>MIN(1,MAX(0,(nr_MEndP-$G1791+0.5)/$C$1750))-MIN(1,MAX(0,(nr_MStartP-1-$G1791+0.5)/$C$1750))</f>
        <v/>
      </c>
      <c r="R1791" s="208">
        <f>MIN(1,MAX(0,(nr_MEndP1-$G1791+0.5)/$C$1750))-MIN(1,MAX(0,(nr_MStartP1-1-$G1791+0.5)/$C$1750))</f>
        <v/>
      </c>
      <c r="S1791" s="208">
        <f>IF($L$1750,$N1791*IF($O$1750=1,$O1791/$F$1750,1),"")</f>
        <v/>
      </c>
      <c r="T1791" s="208">
        <f>IF(NOT($L$1750),"",IF($G1791&lt;nr_MStartP,$S1791,$T1779*(1+IF($G1791&lt;nr_MStartP1,$M$1750,$N$1750))))</f>
        <v/>
      </c>
      <c r="U1791" s="208">
        <f>IF($L$1750,$T1791,$N1791)</f>
        <v/>
      </c>
    </row>
    <row r="1792">
      <c r="A1792" s="145" t="n">
        <v>40</v>
      </c>
      <c r="B1792" s="204">
        <f>EDATE($B1791,1)</f>
        <v/>
      </c>
      <c r="C1792" s="205">
        <f>EOMONTH($B1792,0)</f>
        <v/>
      </c>
      <c r="D1792" s="201">
        <f>$C1792-$B1792+1</f>
        <v/>
      </c>
      <c r="E1792" s="201">
        <f>MONTH($B1792)</f>
        <v/>
      </c>
      <c r="F1792" s="235">
        <f>($B1792+$C1792+1)/2</f>
        <v/>
      </c>
      <c r="G1792" s="201">
        <f>YEAR($B1792)*12+MONTH($B1792)-1</f>
        <v/>
      </c>
      <c r="H1792" s="207">
        <f>IF(OR(nr_SeasonOn="OFF",$D$1750=0,$E$1750=0),1,12*INDEX(se_block,$D$1750,$E1792)/$E$1750)</f>
        <v/>
      </c>
      <c r="I1792" s="208">
        <f>EXP(SUMPRODUCT((rl_eff&lt;$B1792)*(rl_key=$A$1750)*rl_ln1p))</f>
        <v/>
      </c>
      <c r="J1792" s="208">
        <f>EXP(SUMPRODUCT((rl_eff&lt;=$C1792)*(rl_key=$A$1750)*rl_ln1p))</f>
        <v/>
      </c>
      <c r="K1792" s="201">
        <f>COUNTIFS(rl_key,$A$1750,rl_eff,"&gt;="&amp;$B1792,rl_eff,"&lt;="&amp;$C1792)</f>
        <v/>
      </c>
      <c r="L1792" s="201">
        <f>SUMIFS(rl_daysafter,rl_key,$A$1750,rl_effmonth,$B1792,rl_first,1)</f>
        <v/>
      </c>
      <c r="M1792" s="209">
        <f>IF($K1792=0,0,MIN(1,$L1792/$D1792))</f>
        <v/>
      </c>
      <c r="N1792" s="208">
        <f>IF($K1792=0,$J1792,(1-$M1792)*$I1792+$M1792*$J1792)</f>
        <v/>
      </c>
      <c r="O1792" s="209">
        <f>IF($F1792&lt;$B$1751,$E$1751+$I$1751*($F1792-$A$1751),IF($F1792&lt;$C$1751,$F$1751+$J$1751*($F1792-$B$1751),$G$1751+$K$1751*($F1792-$C$1751)))</f>
        <v/>
      </c>
      <c r="P1792" s="208">
        <f>MIN(1,MAX(0,(nr_MEndPm1-$G1792+0.5)/$C$1750))-MIN(1,MAX(0,(nr_MStartPm1-1-$G1792+0.5)/$C$1750))</f>
        <v/>
      </c>
      <c r="Q1792" s="208">
        <f>MIN(1,MAX(0,(nr_MEndP-$G1792+0.5)/$C$1750))-MIN(1,MAX(0,(nr_MStartP-1-$G1792+0.5)/$C$1750))</f>
        <v/>
      </c>
      <c r="R1792" s="208">
        <f>MIN(1,MAX(0,(nr_MEndP1-$G1792+0.5)/$C$1750))-MIN(1,MAX(0,(nr_MStartP1-1-$G1792+0.5)/$C$1750))</f>
        <v/>
      </c>
      <c r="S1792" s="208">
        <f>IF($L$1750,$N1792*IF($O$1750=1,$O1792/$F$1750,1),"")</f>
        <v/>
      </c>
      <c r="T1792" s="208">
        <f>IF(NOT($L$1750),"",IF($G1792&lt;nr_MStartP,$S1792,$T1780*(1+IF($G1792&lt;nr_MStartP1,$M$1750,$N$1750))))</f>
        <v/>
      </c>
      <c r="U1792" s="208">
        <f>IF($L$1750,$T1792,$N1792)</f>
        <v/>
      </c>
    </row>
    <row r="1793">
      <c r="A1793" s="145" t="n">
        <v>41</v>
      </c>
      <c r="B1793" s="204">
        <f>EDATE($B1792,1)</f>
        <v/>
      </c>
      <c r="C1793" s="205">
        <f>EOMONTH($B1793,0)</f>
        <v/>
      </c>
      <c r="D1793" s="201">
        <f>$C1793-$B1793+1</f>
        <v/>
      </c>
      <c r="E1793" s="201">
        <f>MONTH($B1793)</f>
        <v/>
      </c>
      <c r="F1793" s="235">
        <f>($B1793+$C1793+1)/2</f>
        <v/>
      </c>
      <c r="G1793" s="201">
        <f>YEAR($B1793)*12+MONTH($B1793)-1</f>
        <v/>
      </c>
      <c r="H1793" s="207">
        <f>IF(OR(nr_SeasonOn="OFF",$D$1750=0,$E$1750=0),1,12*INDEX(se_block,$D$1750,$E1793)/$E$1750)</f>
        <v/>
      </c>
      <c r="I1793" s="208">
        <f>EXP(SUMPRODUCT((rl_eff&lt;$B1793)*(rl_key=$A$1750)*rl_ln1p))</f>
        <v/>
      </c>
      <c r="J1793" s="208">
        <f>EXP(SUMPRODUCT((rl_eff&lt;=$C1793)*(rl_key=$A$1750)*rl_ln1p))</f>
        <v/>
      </c>
      <c r="K1793" s="201">
        <f>COUNTIFS(rl_key,$A$1750,rl_eff,"&gt;="&amp;$B1793,rl_eff,"&lt;="&amp;$C1793)</f>
        <v/>
      </c>
      <c r="L1793" s="201">
        <f>SUMIFS(rl_daysafter,rl_key,$A$1750,rl_effmonth,$B1793,rl_first,1)</f>
        <v/>
      </c>
      <c r="M1793" s="209">
        <f>IF($K1793=0,0,MIN(1,$L1793/$D1793))</f>
        <v/>
      </c>
      <c r="N1793" s="208">
        <f>IF($K1793=0,$J1793,(1-$M1793)*$I1793+$M1793*$J1793)</f>
        <v/>
      </c>
      <c r="O1793" s="209">
        <f>IF($F1793&lt;$B$1751,$E$1751+$I$1751*($F1793-$A$1751),IF($F1793&lt;$C$1751,$F$1751+$J$1751*($F1793-$B$1751),$G$1751+$K$1751*($F1793-$C$1751)))</f>
        <v/>
      </c>
      <c r="P1793" s="208">
        <f>MIN(1,MAX(0,(nr_MEndPm1-$G1793+0.5)/$C$1750))-MIN(1,MAX(0,(nr_MStartPm1-1-$G1793+0.5)/$C$1750))</f>
        <v/>
      </c>
      <c r="Q1793" s="208">
        <f>MIN(1,MAX(0,(nr_MEndP-$G1793+0.5)/$C$1750))-MIN(1,MAX(0,(nr_MStartP-1-$G1793+0.5)/$C$1750))</f>
        <v/>
      </c>
      <c r="R1793" s="208">
        <f>MIN(1,MAX(0,(nr_MEndP1-$G1793+0.5)/$C$1750))-MIN(1,MAX(0,(nr_MStartP1-1-$G1793+0.5)/$C$1750))</f>
        <v/>
      </c>
      <c r="S1793" s="208">
        <f>IF($L$1750,$N1793*IF($O$1750=1,$O1793/$F$1750,1),"")</f>
        <v/>
      </c>
      <c r="T1793" s="208">
        <f>IF(NOT($L$1750),"",IF($G1793&lt;nr_MStartP,$S1793,$T1781*(1+IF($G1793&lt;nr_MStartP1,$M$1750,$N$1750))))</f>
        <v/>
      </c>
      <c r="U1793" s="208">
        <f>IF($L$1750,$T1793,$N1793)</f>
        <v/>
      </c>
    </row>
    <row r="1794">
      <c r="A1794" s="145" t="n">
        <v>42</v>
      </c>
      <c r="B1794" s="204">
        <f>EDATE($B1793,1)</f>
        <v/>
      </c>
      <c r="C1794" s="205">
        <f>EOMONTH($B1794,0)</f>
        <v/>
      </c>
      <c r="D1794" s="201">
        <f>$C1794-$B1794+1</f>
        <v/>
      </c>
      <c r="E1794" s="201">
        <f>MONTH($B1794)</f>
        <v/>
      </c>
      <c r="F1794" s="235">
        <f>($B1794+$C1794+1)/2</f>
        <v/>
      </c>
      <c r="G1794" s="201">
        <f>YEAR($B1794)*12+MONTH($B1794)-1</f>
        <v/>
      </c>
      <c r="H1794" s="207">
        <f>IF(OR(nr_SeasonOn="OFF",$D$1750=0,$E$1750=0),1,12*INDEX(se_block,$D$1750,$E1794)/$E$1750)</f>
        <v/>
      </c>
      <c r="I1794" s="208">
        <f>EXP(SUMPRODUCT((rl_eff&lt;$B1794)*(rl_key=$A$1750)*rl_ln1p))</f>
        <v/>
      </c>
      <c r="J1794" s="208">
        <f>EXP(SUMPRODUCT((rl_eff&lt;=$C1794)*(rl_key=$A$1750)*rl_ln1p))</f>
        <v/>
      </c>
      <c r="K1794" s="201">
        <f>COUNTIFS(rl_key,$A$1750,rl_eff,"&gt;="&amp;$B1794,rl_eff,"&lt;="&amp;$C1794)</f>
        <v/>
      </c>
      <c r="L1794" s="201">
        <f>SUMIFS(rl_daysafter,rl_key,$A$1750,rl_effmonth,$B1794,rl_first,1)</f>
        <v/>
      </c>
      <c r="M1794" s="209">
        <f>IF($K1794=0,0,MIN(1,$L1794/$D1794))</f>
        <v/>
      </c>
      <c r="N1794" s="208">
        <f>IF($K1794=0,$J1794,(1-$M1794)*$I1794+$M1794*$J1794)</f>
        <v/>
      </c>
      <c r="O1794" s="209">
        <f>IF($F1794&lt;$B$1751,$E$1751+$I$1751*($F1794-$A$1751),IF($F1794&lt;$C$1751,$F$1751+$J$1751*($F1794-$B$1751),$G$1751+$K$1751*($F1794-$C$1751)))</f>
        <v/>
      </c>
      <c r="P1794" s="208">
        <f>MIN(1,MAX(0,(nr_MEndPm1-$G1794+0.5)/$C$1750))-MIN(1,MAX(0,(nr_MStartPm1-1-$G1794+0.5)/$C$1750))</f>
        <v/>
      </c>
      <c r="Q1794" s="208">
        <f>MIN(1,MAX(0,(nr_MEndP-$G1794+0.5)/$C$1750))-MIN(1,MAX(0,(nr_MStartP-1-$G1794+0.5)/$C$1750))</f>
        <v/>
      </c>
      <c r="R1794" s="208">
        <f>MIN(1,MAX(0,(nr_MEndP1-$G1794+0.5)/$C$1750))-MIN(1,MAX(0,(nr_MStartP1-1-$G1794+0.5)/$C$1750))</f>
        <v/>
      </c>
      <c r="S1794" s="208">
        <f>IF($L$1750,$N1794*IF($O$1750=1,$O1794/$F$1750,1),"")</f>
        <v/>
      </c>
      <c r="T1794" s="208">
        <f>IF(NOT($L$1750),"",IF($G1794&lt;nr_MStartP,$S1794,$T1782*(1+IF($G1794&lt;nr_MStartP1,$M$1750,$N$1750))))</f>
        <v/>
      </c>
      <c r="U1794" s="208">
        <f>IF($L$1750,$T1794,$N1794)</f>
        <v/>
      </c>
    </row>
    <row r="1795">
      <c r="A1795" s="145" t="n">
        <v>43</v>
      </c>
      <c r="B1795" s="204">
        <f>EDATE($B1794,1)</f>
        <v/>
      </c>
      <c r="C1795" s="205">
        <f>EOMONTH($B1795,0)</f>
        <v/>
      </c>
      <c r="D1795" s="201">
        <f>$C1795-$B1795+1</f>
        <v/>
      </c>
      <c r="E1795" s="201">
        <f>MONTH($B1795)</f>
        <v/>
      </c>
      <c r="F1795" s="235">
        <f>($B1795+$C1795+1)/2</f>
        <v/>
      </c>
      <c r="G1795" s="201">
        <f>YEAR($B1795)*12+MONTH($B1795)-1</f>
        <v/>
      </c>
      <c r="H1795" s="207">
        <f>IF(OR(nr_SeasonOn="OFF",$D$1750=0,$E$1750=0),1,12*INDEX(se_block,$D$1750,$E1795)/$E$1750)</f>
        <v/>
      </c>
      <c r="I1795" s="208">
        <f>EXP(SUMPRODUCT((rl_eff&lt;$B1795)*(rl_key=$A$1750)*rl_ln1p))</f>
        <v/>
      </c>
      <c r="J1795" s="208">
        <f>EXP(SUMPRODUCT((rl_eff&lt;=$C1795)*(rl_key=$A$1750)*rl_ln1p))</f>
        <v/>
      </c>
      <c r="K1795" s="201">
        <f>COUNTIFS(rl_key,$A$1750,rl_eff,"&gt;="&amp;$B1795,rl_eff,"&lt;="&amp;$C1795)</f>
        <v/>
      </c>
      <c r="L1795" s="201">
        <f>SUMIFS(rl_daysafter,rl_key,$A$1750,rl_effmonth,$B1795,rl_first,1)</f>
        <v/>
      </c>
      <c r="M1795" s="209">
        <f>IF($K1795=0,0,MIN(1,$L1795/$D1795))</f>
        <v/>
      </c>
      <c r="N1795" s="208">
        <f>IF($K1795=0,$J1795,(1-$M1795)*$I1795+$M1795*$J1795)</f>
        <v/>
      </c>
      <c r="O1795" s="209">
        <f>IF($F1795&lt;$B$1751,$E$1751+$I$1751*($F1795-$A$1751),IF($F1795&lt;$C$1751,$F$1751+$J$1751*($F1795-$B$1751),$G$1751+$K$1751*($F1795-$C$1751)))</f>
        <v/>
      </c>
      <c r="P1795" s="208">
        <f>MIN(1,MAX(0,(nr_MEndPm1-$G1795+0.5)/$C$1750))-MIN(1,MAX(0,(nr_MStartPm1-1-$G1795+0.5)/$C$1750))</f>
        <v/>
      </c>
      <c r="Q1795" s="208">
        <f>MIN(1,MAX(0,(nr_MEndP-$G1795+0.5)/$C$1750))-MIN(1,MAX(0,(nr_MStartP-1-$G1795+0.5)/$C$1750))</f>
        <v/>
      </c>
      <c r="R1795" s="208">
        <f>MIN(1,MAX(0,(nr_MEndP1-$G1795+0.5)/$C$1750))-MIN(1,MAX(0,(nr_MStartP1-1-$G1795+0.5)/$C$1750))</f>
        <v/>
      </c>
      <c r="S1795" s="208">
        <f>IF($L$1750,$N1795*IF($O$1750=1,$O1795/$F$1750,1),"")</f>
        <v/>
      </c>
      <c r="T1795" s="208">
        <f>IF(NOT($L$1750),"",IF($G1795&lt;nr_MStartP,$S1795,$T1783*(1+IF($G1795&lt;nr_MStartP1,$M$1750,$N$1750))))</f>
        <v/>
      </c>
      <c r="U1795" s="208">
        <f>IF($L$1750,$T1795,$N1795)</f>
        <v/>
      </c>
    </row>
    <row r="1796">
      <c r="A1796" s="145" t="n">
        <v>44</v>
      </c>
      <c r="B1796" s="204">
        <f>EDATE($B1795,1)</f>
        <v/>
      </c>
      <c r="C1796" s="205">
        <f>EOMONTH($B1796,0)</f>
        <v/>
      </c>
      <c r="D1796" s="201">
        <f>$C1796-$B1796+1</f>
        <v/>
      </c>
      <c r="E1796" s="201">
        <f>MONTH($B1796)</f>
        <v/>
      </c>
      <c r="F1796" s="235">
        <f>($B1796+$C1796+1)/2</f>
        <v/>
      </c>
      <c r="G1796" s="201">
        <f>YEAR($B1796)*12+MONTH($B1796)-1</f>
        <v/>
      </c>
      <c r="H1796" s="207">
        <f>IF(OR(nr_SeasonOn="OFF",$D$1750=0,$E$1750=0),1,12*INDEX(se_block,$D$1750,$E1796)/$E$1750)</f>
        <v/>
      </c>
      <c r="I1796" s="208">
        <f>EXP(SUMPRODUCT((rl_eff&lt;$B1796)*(rl_key=$A$1750)*rl_ln1p))</f>
        <v/>
      </c>
      <c r="J1796" s="208">
        <f>EXP(SUMPRODUCT((rl_eff&lt;=$C1796)*(rl_key=$A$1750)*rl_ln1p))</f>
        <v/>
      </c>
      <c r="K1796" s="201">
        <f>COUNTIFS(rl_key,$A$1750,rl_eff,"&gt;="&amp;$B1796,rl_eff,"&lt;="&amp;$C1796)</f>
        <v/>
      </c>
      <c r="L1796" s="201">
        <f>SUMIFS(rl_daysafter,rl_key,$A$1750,rl_effmonth,$B1796,rl_first,1)</f>
        <v/>
      </c>
      <c r="M1796" s="209">
        <f>IF($K1796=0,0,MIN(1,$L1796/$D1796))</f>
        <v/>
      </c>
      <c r="N1796" s="208">
        <f>IF($K1796=0,$J1796,(1-$M1796)*$I1796+$M1796*$J1796)</f>
        <v/>
      </c>
      <c r="O1796" s="209">
        <f>IF($F1796&lt;$B$1751,$E$1751+$I$1751*($F1796-$A$1751),IF($F1796&lt;$C$1751,$F$1751+$J$1751*($F1796-$B$1751),$G$1751+$K$1751*($F1796-$C$1751)))</f>
        <v/>
      </c>
      <c r="P1796" s="208">
        <f>MIN(1,MAX(0,(nr_MEndPm1-$G1796+0.5)/$C$1750))-MIN(1,MAX(0,(nr_MStartPm1-1-$G1796+0.5)/$C$1750))</f>
        <v/>
      </c>
      <c r="Q1796" s="208">
        <f>MIN(1,MAX(0,(nr_MEndP-$G1796+0.5)/$C$1750))-MIN(1,MAX(0,(nr_MStartP-1-$G1796+0.5)/$C$1750))</f>
        <v/>
      </c>
      <c r="R1796" s="208">
        <f>MIN(1,MAX(0,(nr_MEndP1-$G1796+0.5)/$C$1750))-MIN(1,MAX(0,(nr_MStartP1-1-$G1796+0.5)/$C$1750))</f>
        <v/>
      </c>
      <c r="S1796" s="208">
        <f>IF($L$1750,$N1796*IF($O$1750=1,$O1796/$F$1750,1),"")</f>
        <v/>
      </c>
      <c r="T1796" s="208">
        <f>IF(NOT($L$1750),"",IF($G1796&lt;nr_MStartP,$S1796,$T1784*(1+IF($G1796&lt;nr_MStartP1,$M$1750,$N$1750))))</f>
        <v/>
      </c>
      <c r="U1796" s="208">
        <f>IF($L$1750,$T1796,$N1796)</f>
        <v/>
      </c>
    </row>
    <row r="1797">
      <c r="A1797" s="145" t="n">
        <v>45</v>
      </c>
      <c r="B1797" s="204">
        <f>EDATE($B1796,1)</f>
        <v/>
      </c>
      <c r="C1797" s="205">
        <f>EOMONTH($B1797,0)</f>
        <v/>
      </c>
      <c r="D1797" s="201">
        <f>$C1797-$B1797+1</f>
        <v/>
      </c>
      <c r="E1797" s="201">
        <f>MONTH($B1797)</f>
        <v/>
      </c>
      <c r="F1797" s="235">
        <f>($B1797+$C1797+1)/2</f>
        <v/>
      </c>
      <c r="G1797" s="201">
        <f>YEAR($B1797)*12+MONTH($B1797)-1</f>
        <v/>
      </c>
      <c r="H1797" s="207">
        <f>IF(OR(nr_SeasonOn="OFF",$D$1750=0,$E$1750=0),1,12*INDEX(se_block,$D$1750,$E1797)/$E$1750)</f>
        <v/>
      </c>
      <c r="I1797" s="208">
        <f>EXP(SUMPRODUCT((rl_eff&lt;$B1797)*(rl_key=$A$1750)*rl_ln1p))</f>
        <v/>
      </c>
      <c r="J1797" s="208">
        <f>EXP(SUMPRODUCT((rl_eff&lt;=$C1797)*(rl_key=$A$1750)*rl_ln1p))</f>
        <v/>
      </c>
      <c r="K1797" s="201">
        <f>COUNTIFS(rl_key,$A$1750,rl_eff,"&gt;="&amp;$B1797,rl_eff,"&lt;="&amp;$C1797)</f>
        <v/>
      </c>
      <c r="L1797" s="201">
        <f>SUMIFS(rl_daysafter,rl_key,$A$1750,rl_effmonth,$B1797,rl_first,1)</f>
        <v/>
      </c>
      <c r="M1797" s="209">
        <f>IF($K1797=0,0,MIN(1,$L1797/$D1797))</f>
        <v/>
      </c>
      <c r="N1797" s="208">
        <f>IF($K1797=0,$J1797,(1-$M1797)*$I1797+$M1797*$J1797)</f>
        <v/>
      </c>
      <c r="O1797" s="209">
        <f>IF($F1797&lt;$B$1751,$E$1751+$I$1751*($F1797-$A$1751),IF($F1797&lt;$C$1751,$F$1751+$J$1751*($F1797-$B$1751),$G$1751+$K$1751*($F1797-$C$1751)))</f>
        <v/>
      </c>
      <c r="P1797" s="208">
        <f>MIN(1,MAX(0,(nr_MEndPm1-$G1797+0.5)/$C$1750))-MIN(1,MAX(0,(nr_MStartPm1-1-$G1797+0.5)/$C$1750))</f>
        <v/>
      </c>
      <c r="Q1797" s="208">
        <f>MIN(1,MAX(0,(nr_MEndP-$G1797+0.5)/$C$1750))-MIN(1,MAX(0,(nr_MStartP-1-$G1797+0.5)/$C$1750))</f>
        <v/>
      </c>
      <c r="R1797" s="208">
        <f>MIN(1,MAX(0,(nr_MEndP1-$G1797+0.5)/$C$1750))-MIN(1,MAX(0,(nr_MStartP1-1-$G1797+0.5)/$C$1750))</f>
        <v/>
      </c>
      <c r="S1797" s="208">
        <f>IF($L$1750,$N1797*IF($O$1750=1,$O1797/$F$1750,1),"")</f>
        <v/>
      </c>
      <c r="T1797" s="208">
        <f>IF(NOT($L$1750),"",IF($G1797&lt;nr_MStartP,$S1797,$T1785*(1+IF($G1797&lt;nr_MStartP1,$M$1750,$N$1750))))</f>
        <v/>
      </c>
      <c r="U1797" s="208">
        <f>IF($L$1750,$T1797,$N1797)</f>
        <v/>
      </c>
    </row>
    <row r="1798">
      <c r="A1798" s="145" t="n">
        <v>46</v>
      </c>
      <c r="B1798" s="204">
        <f>EDATE($B1797,1)</f>
        <v/>
      </c>
      <c r="C1798" s="205">
        <f>EOMONTH($B1798,0)</f>
        <v/>
      </c>
      <c r="D1798" s="201">
        <f>$C1798-$B1798+1</f>
        <v/>
      </c>
      <c r="E1798" s="201">
        <f>MONTH($B1798)</f>
        <v/>
      </c>
      <c r="F1798" s="235">
        <f>($B1798+$C1798+1)/2</f>
        <v/>
      </c>
      <c r="G1798" s="201">
        <f>YEAR($B1798)*12+MONTH($B1798)-1</f>
        <v/>
      </c>
      <c r="H1798" s="207">
        <f>IF(OR(nr_SeasonOn="OFF",$D$1750=0,$E$1750=0),1,12*INDEX(se_block,$D$1750,$E1798)/$E$1750)</f>
        <v/>
      </c>
      <c r="I1798" s="208">
        <f>EXP(SUMPRODUCT((rl_eff&lt;$B1798)*(rl_key=$A$1750)*rl_ln1p))</f>
        <v/>
      </c>
      <c r="J1798" s="208">
        <f>EXP(SUMPRODUCT((rl_eff&lt;=$C1798)*(rl_key=$A$1750)*rl_ln1p))</f>
        <v/>
      </c>
      <c r="K1798" s="201">
        <f>COUNTIFS(rl_key,$A$1750,rl_eff,"&gt;="&amp;$B1798,rl_eff,"&lt;="&amp;$C1798)</f>
        <v/>
      </c>
      <c r="L1798" s="201">
        <f>SUMIFS(rl_daysafter,rl_key,$A$1750,rl_effmonth,$B1798,rl_first,1)</f>
        <v/>
      </c>
      <c r="M1798" s="209">
        <f>IF($K1798=0,0,MIN(1,$L1798/$D1798))</f>
        <v/>
      </c>
      <c r="N1798" s="208">
        <f>IF($K1798=0,$J1798,(1-$M1798)*$I1798+$M1798*$J1798)</f>
        <v/>
      </c>
      <c r="O1798" s="209">
        <f>IF($F1798&lt;$B$1751,$E$1751+$I$1751*($F1798-$A$1751),IF($F1798&lt;$C$1751,$F$1751+$J$1751*($F1798-$B$1751),$G$1751+$K$1751*($F1798-$C$1751)))</f>
        <v/>
      </c>
      <c r="P1798" s="208">
        <f>MIN(1,MAX(0,(nr_MEndPm1-$G1798+0.5)/$C$1750))-MIN(1,MAX(0,(nr_MStartPm1-1-$G1798+0.5)/$C$1750))</f>
        <v/>
      </c>
      <c r="Q1798" s="208">
        <f>MIN(1,MAX(0,(nr_MEndP-$G1798+0.5)/$C$1750))-MIN(1,MAX(0,(nr_MStartP-1-$G1798+0.5)/$C$1750))</f>
        <v/>
      </c>
      <c r="R1798" s="208">
        <f>MIN(1,MAX(0,(nr_MEndP1-$G1798+0.5)/$C$1750))-MIN(1,MAX(0,(nr_MStartP1-1-$G1798+0.5)/$C$1750))</f>
        <v/>
      </c>
      <c r="S1798" s="208">
        <f>IF($L$1750,$N1798*IF($O$1750=1,$O1798/$F$1750,1),"")</f>
        <v/>
      </c>
      <c r="T1798" s="208">
        <f>IF(NOT($L$1750),"",IF($G1798&lt;nr_MStartP,$S1798,$T1786*(1+IF($G1798&lt;nr_MStartP1,$M$1750,$N$1750))))</f>
        <v/>
      </c>
      <c r="U1798" s="208">
        <f>IF($L$1750,$T1798,$N1798)</f>
        <v/>
      </c>
    </row>
    <row r="1799">
      <c r="A1799" s="145" t="n">
        <v>47</v>
      </c>
      <c r="B1799" s="204">
        <f>EDATE($B1798,1)</f>
        <v/>
      </c>
      <c r="C1799" s="205">
        <f>EOMONTH($B1799,0)</f>
        <v/>
      </c>
      <c r="D1799" s="201">
        <f>$C1799-$B1799+1</f>
        <v/>
      </c>
      <c r="E1799" s="201">
        <f>MONTH($B1799)</f>
        <v/>
      </c>
      <c r="F1799" s="235">
        <f>($B1799+$C1799+1)/2</f>
        <v/>
      </c>
      <c r="G1799" s="201">
        <f>YEAR($B1799)*12+MONTH($B1799)-1</f>
        <v/>
      </c>
      <c r="H1799" s="207">
        <f>IF(OR(nr_SeasonOn="OFF",$D$1750=0,$E$1750=0),1,12*INDEX(se_block,$D$1750,$E1799)/$E$1750)</f>
        <v/>
      </c>
      <c r="I1799" s="208">
        <f>EXP(SUMPRODUCT((rl_eff&lt;$B1799)*(rl_key=$A$1750)*rl_ln1p))</f>
        <v/>
      </c>
      <c r="J1799" s="208">
        <f>EXP(SUMPRODUCT((rl_eff&lt;=$C1799)*(rl_key=$A$1750)*rl_ln1p))</f>
        <v/>
      </c>
      <c r="K1799" s="201">
        <f>COUNTIFS(rl_key,$A$1750,rl_eff,"&gt;="&amp;$B1799,rl_eff,"&lt;="&amp;$C1799)</f>
        <v/>
      </c>
      <c r="L1799" s="201">
        <f>SUMIFS(rl_daysafter,rl_key,$A$1750,rl_effmonth,$B1799,rl_first,1)</f>
        <v/>
      </c>
      <c r="M1799" s="209">
        <f>IF($K1799=0,0,MIN(1,$L1799/$D1799))</f>
        <v/>
      </c>
      <c r="N1799" s="208">
        <f>IF($K1799=0,$J1799,(1-$M1799)*$I1799+$M1799*$J1799)</f>
        <v/>
      </c>
      <c r="O1799" s="209">
        <f>IF($F1799&lt;$B$1751,$E$1751+$I$1751*($F1799-$A$1751),IF($F1799&lt;$C$1751,$F$1751+$J$1751*($F1799-$B$1751),$G$1751+$K$1751*($F1799-$C$1751)))</f>
        <v/>
      </c>
      <c r="P1799" s="208">
        <f>MIN(1,MAX(0,(nr_MEndPm1-$G1799+0.5)/$C$1750))-MIN(1,MAX(0,(nr_MStartPm1-1-$G1799+0.5)/$C$1750))</f>
        <v/>
      </c>
      <c r="Q1799" s="208">
        <f>MIN(1,MAX(0,(nr_MEndP-$G1799+0.5)/$C$1750))-MIN(1,MAX(0,(nr_MStartP-1-$G1799+0.5)/$C$1750))</f>
        <v/>
      </c>
      <c r="R1799" s="208">
        <f>MIN(1,MAX(0,(nr_MEndP1-$G1799+0.5)/$C$1750))-MIN(1,MAX(0,(nr_MStartP1-1-$G1799+0.5)/$C$1750))</f>
        <v/>
      </c>
      <c r="S1799" s="208">
        <f>IF($L$1750,$N1799*IF($O$1750=1,$O1799/$F$1750,1),"")</f>
        <v/>
      </c>
      <c r="T1799" s="208">
        <f>IF(NOT($L$1750),"",IF($G1799&lt;nr_MStartP,$S1799,$T1787*(1+IF($G1799&lt;nr_MStartP1,$M$1750,$N$1750))))</f>
        <v/>
      </c>
      <c r="U1799" s="208">
        <f>IF($L$1750,$T1799,$N1799)</f>
        <v/>
      </c>
    </row>
    <row r="1800">
      <c r="A1800" s="145" t="n">
        <v>48</v>
      </c>
      <c r="B1800" s="204">
        <f>EDATE($B1799,1)</f>
        <v/>
      </c>
      <c r="C1800" s="205">
        <f>EOMONTH($B1800,0)</f>
        <v/>
      </c>
      <c r="D1800" s="201">
        <f>$C1800-$B1800+1</f>
        <v/>
      </c>
      <c r="E1800" s="201">
        <f>MONTH($B1800)</f>
        <v/>
      </c>
      <c r="F1800" s="235">
        <f>($B1800+$C1800+1)/2</f>
        <v/>
      </c>
      <c r="G1800" s="201">
        <f>YEAR($B1800)*12+MONTH($B1800)-1</f>
        <v/>
      </c>
      <c r="H1800" s="207">
        <f>IF(OR(nr_SeasonOn="OFF",$D$1750=0,$E$1750=0),1,12*INDEX(se_block,$D$1750,$E1800)/$E$1750)</f>
        <v/>
      </c>
      <c r="I1800" s="208">
        <f>EXP(SUMPRODUCT((rl_eff&lt;$B1800)*(rl_key=$A$1750)*rl_ln1p))</f>
        <v/>
      </c>
      <c r="J1800" s="208">
        <f>EXP(SUMPRODUCT((rl_eff&lt;=$C1800)*(rl_key=$A$1750)*rl_ln1p))</f>
        <v/>
      </c>
      <c r="K1800" s="201">
        <f>COUNTIFS(rl_key,$A$1750,rl_eff,"&gt;="&amp;$B1800,rl_eff,"&lt;="&amp;$C1800)</f>
        <v/>
      </c>
      <c r="L1800" s="201">
        <f>SUMIFS(rl_daysafter,rl_key,$A$1750,rl_effmonth,$B1800,rl_first,1)</f>
        <v/>
      </c>
      <c r="M1800" s="209">
        <f>IF($K1800=0,0,MIN(1,$L1800/$D1800))</f>
        <v/>
      </c>
      <c r="N1800" s="208">
        <f>IF($K1800=0,$J1800,(1-$M1800)*$I1800+$M1800*$J1800)</f>
        <v/>
      </c>
      <c r="O1800" s="209">
        <f>IF($F1800&lt;$B$1751,$E$1751+$I$1751*($F1800-$A$1751),IF($F1800&lt;$C$1751,$F$1751+$J$1751*($F1800-$B$1751),$G$1751+$K$1751*($F1800-$C$1751)))</f>
        <v/>
      </c>
      <c r="P1800" s="208">
        <f>MIN(1,MAX(0,(nr_MEndPm1-$G1800+0.5)/$C$1750))-MIN(1,MAX(0,(nr_MStartPm1-1-$G1800+0.5)/$C$1750))</f>
        <v/>
      </c>
      <c r="Q1800" s="208">
        <f>MIN(1,MAX(0,(nr_MEndP-$G1800+0.5)/$C$1750))-MIN(1,MAX(0,(nr_MStartP-1-$G1800+0.5)/$C$1750))</f>
        <v/>
      </c>
      <c r="R1800" s="208">
        <f>MIN(1,MAX(0,(nr_MEndP1-$G1800+0.5)/$C$1750))-MIN(1,MAX(0,(nr_MStartP1-1-$G1800+0.5)/$C$1750))</f>
        <v/>
      </c>
      <c r="S1800" s="208">
        <f>IF($L$1750,$N1800*IF($O$1750=1,$O1800/$F$1750,1),"")</f>
        <v/>
      </c>
      <c r="T1800" s="208">
        <f>IF(NOT($L$1750),"",IF($G1800&lt;nr_MStartP,$S1800,$T1788*(1+IF($G1800&lt;nr_MStartP1,$M$1750,$N$1750))))</f>
        <v/>
      </c>
      <c r="U1800" s="208">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184">
        <f>SUMPRODUCT($H$1753:$H$1800,$Q$1753:$Q$1800,$O$1753:$O$1800)/SUMPRODUCT($H$1753:$H$1800,$Q$1753:$Q$1800)</f>
        <v/>
      </c>
      <c r="G1801" s="184">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184">
        <f>IF(N(INDEX(lr_mind,33))=0,1,INDEX(lr_mind,33))</f>
        <v/>
      </c>
      <c r="G1804" s="184">
        <f>IF(N(INDEX(lr_m0,33))=0,1,INDEX(lr_m0,33))</f>
        <v/>
      </c>
      <c r="H1804" s="73">
        <f>IF(N(INDEX(lr_m0asof,33))=0,DATE(nr_PlanYear-1,10,1),INDEX(lr_m0asof,33))</f>
        <v/>
      </c>
      <c r="I1804" s="184">
        <f>IF(N(INDEX(lr_m1,33))=0,1,INDEX(lr_m1,33))</f>
        <v/>
      </c>
      <c r="J1804" s="184">
        <f>INDEX(lr_mprior,33)</f>
        <v/>
      </c>
      <c r="K1804" s="184">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145" t="n">
        <v>1</v>
      </c>
      <c r="B1807" s="204">
        <f>DATE(nr_PlanYear-2,1,1)</f>
        <v/>
      </c>
      <c r="C1807" s="205">
        <f>EOMONTH($B1807,0)</f>
        <v/>
      </c>
      <c r="D1807" s="201">
        <f>$C1807-$B1807+1</f>
        <v/>
      </c>
      <c r="E1807" s="201">
        <f>MONTH($B1807)</f>
        <v/>
      </c>
      <c r="F1807" s="235">
        <f>($B1807+$C1807+1)/2</f>
        <v/>
      </c>
      <c r="G1807" s="201">
        <f>YEAR($B1807)*12+MONTH($B1807)-1</f>
        <v/>
      </c>
      <c r="H1807" s="207">
        <f>IF(OR(nr_SeasonOn="OFF",$D$1804=0,$E$1804=0),1,12*INDEX(se_block,$D$1804,$E1807)/$E$1804)</f>
        <v/>
      </c>
      <c r="I1807" s="208">
        <f>EXP(SUMPRODUCT((rl_eff&lt;$B1807)*(rl_key=$A$1804)*rl_ln1p))</f>
        <v/>
      </c>
      <c r="J1807" s="208">
        <f>EXP(SUMPRODUCT((rl_eff&lt;=$C1807)*(rl_key=$A$1804)*rl_ln1p))</f>
        <v/>
      </c>
      <c r="K1807" s="201">
        <f>COUNTIFS(rl_key,$A$1804,rl_eff,"&gt;="&amp;$B1807,rl_eff,"&lt;="&amp;$C1807)</f>
        <v/>
      </c>
      <c r="L1807" s="201">
        <f>SUMIFS(rl_daysafter,rl_key,$A$1804,rl_effmonth,$B1807,rl_first,1)</f>
        <v/>
      </c>
      <c r="M1807" s="209">
        <f>IF($K1807=0,0,MIN(1,$L1807/$D1807))</f>
        <v/>
      </c>
      <c r="N1807" s="208">
        <f>IF($K1807=0,$J1807,(1-$M1807)*$I1807+$M1807*$J1807)</f>
        <v/>
      </c>
      <c r="O1807" s="209">
        <f>IF($F1807&lt;$B$1805,$E$1805+$I$1805*($F1807-$A$1805),IF($F1807&lt;$C$1805,$F$1805+$J$1805*($F1807-$B$1805),$G$1805+$K$1805*($F1807-$C$1805)))</f>
        <v/>
      </c>
      <c r="P1807" s="208">
        <f>MIN(1,MAX(0,(nr_MEndPm1-$G1807+0.5)/$C$1804))-MIN(1,MAX(0,(nr_MStartPm1-1-$G1807+0.5)/$C$1804))</f>
        <v/>
      </c>
      <c r="Q1807" s="208">
        <f>MIN(1,MAX(0,(nr_MEndP-$G1807+0.5)/$C$1804))-MIN(1,MAX(0,(nr_MStartP-1-$G1807+0.5)/$C$1804))</f>
        <v/>
      </c>
      <c r="R1807" s="208">
        <f>MIN(1,MAX(0,(nr_MEndP1-$G1807+0.5)/$C$1804))-MIN(1,MAX(0,(nr_MStartP1-1-$G1807+0.5)/$C$1804))</f>
        <v/>
      </c>
      <c r="S1807" s="208">
        <f>IF($L$1804,$N1807*IF($O$1804=1,$O1807/$F$1804,1),"")</f>
        <v/>
      </c>
      <c r="T1807" s="208">
        <f>IF(NOT($L$1804),"",IF($G1807&lt;nr_MStartP,$S1807,$T1795*(1+IF($G1807&lt;nr_MStartP1,$M$1804,$N$1804))))</f>
        <v/>
      </c>
      <c r="U1807" s="208">
        <f>IF($L$1804,$T1807,$N1807)</f>
        <v/>
      </c>
    </row>
    <row r="1808">
      <c r="A1808" s="145" t="n">
        <v>2</v>
      </c>
      <c r="B1808" s="204">
        <f>EDATE($B1807,1)</f>
        <v/>
      </c>
      <c r="C1808" s="205">
        <f>EOMONTH($B1808,0)</f>
        <v/>
      </c>
      <c r="D1808" s="201">
        <f>$C1808-$B1808+1</f>
        <v/>
      </c>
      <c r="E1808" s="201">
        <f>MONTH($B1808)</f>
        <v/>
      </c>
      <c r="F1808" s="235">
        <f>($B1808+$C1808+1)/2</f>
        <v/>
      </c>
      <c r="G1808" s="201">
        <f>YEAR($B1808)*12+MONTH($B1808)-1</f>
        <v/>
      </c>
      <c r="H1808" s="207">
        <f>IF(OR(nr_SeasonOn="OFF",$D$1804=0,$E$1804=0),1,12*INDEX(se_block,$D$1804,$E1808)/$E$1804)</f>
        <v/>
      </c>
      <c r="I1808" s="208">
        <f>EXP(SUMPRODUCT((rl_eff&lt;$B1808)*(rl_key=$A$1804)*rl_ln1p))</f>
        <v/>
      </c>
      <c r="J1808" s="208">
        <f>EXP(SUMPRODUCT((rl_eff&lt;=$C1808)*(rl_key=$A$1804)*rl_ln1p))</f>
        <v/>
      </c>
      <c r="K1808" s="201">
        <f>COUNTIFS(rl_key,$A$1804,rl_eff,"&gt;="&amp;$B1808,rl_eff,"&lt;="&amp;$C1808)</f>
        <v/>
      </c>
      <c r="L1808" s="201">
        <f>SUMIFS(rl_daysafter,rl_key,$A$1804,rl_effmonth,$B1808,rl_first,1)</f>
        <v/>
      </c>
      <c r="M1808" s="209">
        <f>IF($K1808=0,0,MIN(1,$L1808/$D1808))</f>
        <v/>
      </c>
      <c r="N1808" s="208">
        <f>IF($K1808=0,$J1808,(1-$M1808)*$I1808+$M1808*$J1808)</f>
        <v/>
      </c>
      <c r="O1808" s="209">
        <f>IF($F1808&lt;$B$1805,$E$1805+$I$1805*($F1808-$A$1805),IF($F1808&lt;$C$1805,$F$1805+$J$1805*($F1808-$B$1805),$G$1805+$K$1805*($F1808-$C$1805)))</f>
        <v/>
      </c>
      <c r="P1808" s="208">
        <f>MIN(1,MAX(0,(nr_MEndPm1-$G1808+0.5)/$C$1804))-MIN(1,MAX(0,(nr_MStartPm1-1-$G1808+0.5)/$C$1804))</f>
        <v/>
      </c>
      <c r="Q1808" s="208">
        <f>MIN(1,MAX(0,(nr_MEndP-$G1808+0.5)/$C$1804))-MIN(1,MAX(0,(nr_MStartP-1-$G1808+0.5)/$C$1804))</f>
        <v/>
      </c>
      <c r="R1808" s="208">
        <f>MIN(1,MAX(0,(nr_MEndP1-$G1808+0.5)/$C$1804))-MIN(1,MAX(0,(nr_MStartP1-1-$G1808+0.5)/$C$1804))</f>
        <v/>
      </c>
      <c r="S1808" s="208">
        <f>IF($L$1804,$N1808*IF($O$1804=1,$O1808/$F$1804,1),"")</f>
        <v/>
      </c>
      <c r="T1808" s="208">
        <f>IF(NOT($L$1804),"",IF($G1808&lt;nr_MStartP,$S1808,$T1796*(1+IF($G1808&lt;nr_MStartP1,$M$1804,$N$1804))))</f>
        <v/>
      </c>
      <c r="U1808" s="208">
        <f>IF($L$1804,$T1808,$N1808)</f>
        <v/>
      </c>
    </row>
    <row r="1809">
      <c r="A1809" s="145" t="n">
        <v>3</v>
      </c>
      <c r="B1809" s="204">
        <f>EDATE($B1808,1)</f>
        <v/>
      </c>
      <c r="C1809" s="205">
        <f>EOMONTH($B1809,0)</f>
        <v/>
      </c>
      <c r="D1809" s="201">
        <f>$C1809-$B1809+1</f>
        <v/>
      </c>
      <c r="E1809" s="201">
        <f>MONTH($B1809)</f>
        <v/>
      </c>
      <c r="F1809" s="235">
        <f>($B1809+$C1809+1)/2</f>
        <v/>
      </c>
      <c r="G1809" s="201">
        <f>YEAR($B1809)*12+MONTH($B1809)-1</f>
        <v/>
      </c>
      <c r="H1809" s="207">
        <f>IF(OR(nr_SeasonOn="OFF",$D$1804=0,$E$1804=0),1,12*INDEX(se_block,$D$1804,$E1809)/$E$1804)</f>
        <v/>
      </c>
      <c r="I1809" s="208">
        <f>EXP(SUMPRODUCT((rl_eff&lt;$B1809)*(rl_key=$A$1804)*rl_ln1p))</f>
        <v/>
      </c>
      <c r="J1809" s="208">
        <f>EXP(SUMPRODUCT((rl_eff&lt;=$C1809)*(rl_key=$A$1804)*rl_ln1p))</f>
        <v/>
      </c>
      <c r="K1809" s="201">
        <f>COUNTIFS(rl_key,$A$1804,rl_eff,"&gt;="&amp;$B1809,rl_eff,"&lt;="&amp;$C1809)</f>
        <v/>
      </c>
      <c r="L1809" s="201">
        <f>SUMIFS(rl_daysafter,rl_key,$A$1804,rl_effmonth,$B1809,rl_first,1)</f>
        <v/>
      </c>
      <c r="M1809" s="209">
        <f>IF($K1809=0,0,MIN(1,$L1809/$D1809))</f>
        <v/>
      </c>
      <c r="N1809" s="208">
        <f>IF($K1809=0,$J1809,(1-$M1809)*$I1809+$M1809*$J1809)</f>
        <v/>
      </c>
      <c r="O1809" s="209">
        <f>IF($F1809&lt;$B$1805,$E$1805+$I$1805*($F1809-$A$1805),IF($F1809&lt;$C$1805,$F$1805+$J$1805*($F1809-$B$1805),$G$1805+$K$1805*($F1809-$C$1805)))</f>
        <v/>
      </c>
      <c r="P1809" s="208">
        <f>MIN(1,MAX(0,(nr_MEndPm1-$G1809+0.5)/$C$1804))-MIN(1,MAX(0,(nr_MStartPm1-1-$G1809+0.5)/$C$1804))</f>
        <v/>
      </c>
      <c r="Q1809" s="208">
        <f>MIN(1,MAX(0,(nr_MEndP-$G1809+0.5)/$C$1804))-MIN(1,MAX(0,(nr_MStartP-1-$G1809+0.5)/$C$1804))</f>
        <v/>
      </c>
      <c r="R1809" s="208">
        <f>MIN(1,MAX(0,(nr_MEndP1-$G1809+0.5)/$C$1804))-MIN(1,MAX(0,(nr_MStartP1-1-$G1809+0.5)/$C$1804))</f>
        <v/>
      </c>
      <c r="S1809" s="208">
        <f>IF($L$1804,$N1809*IF($O$1804=1,$O1809/$F$1804,1),"")</f>
        <v/>
      </c>
      <c r="T1809" s="208">
        <f>IF(NOT($L$1804),"",IF($G1809&lt;nr_MStartP,$S1809,$T1797*(1+IF($G1809&lt;nr_MStartP1,$M$1804,$N$1804))))</f>
        <v/>
      </c>
      <c r="U1809" s="208">
        <f>IF($L$1804,$T1809,$N1809)</f>
        <v/>
      </c>
    </row>
    <row r="1810">
      <c r="A1810" s="145" t="n">
        <v>4</v>
      </c>
      <c r="B1810" s="204">
        <f>EDATE($B1809,1)</f>
        <v/>
      </c>
      <c r="C1810" s="205">
        <f>EOMONTH($B1810,0)</f>
        <v/>
      </c>
      <c r="D1810" s="201">
        <f>$C1810-$B1810+1</f>
        <v/>
      </c>
      <c r="E1810" s="201">
        <f>MONTH($B1810)</f>
        <v/>
      </c>
      <c r="F1810" s="235">
        <f>($B1810+$C1810+1)/2</f>
        <v/>
      </c>
      <c r="G1810" s="201">
        <f>YEAR($B1810)*12+MONTH($B1810)-1</f>
        <v/>
      </c>
      <c r="H1810" s="207">
        <f>IF(OR(nr_SeasonOn="OFF",$D$1804=0,$E$1804=0),1,12*INDEX(se_block,$D$1804,$E1810)/$E$1804)</f>
        <v/>
      </c>
      <c r="I1810" s="208">
        <f>EXP(SUMPRODUCT((rl_eff&lt;$B1810)*(rl_key=$A$1804)*rl_ln1p))</f>
        <v/>
      </c>
      <c r="J1810" s="208">
        <f>EXP(SUMPRODUCT((rl_eff&lt;=$C1810)*(rl_key=$A$1804)*rl_ln1p))</f>
        <v/>
      </c>
      <c r="K1810" s="201">
        <f>COUNTIFS(rl_key,$A$1804,rl_eff,"&gt;="&amp;$B1810,rl_eff,"&lt;="&amp;$C1810)</f>
        <v/>
      </c>
      <c r="L1810" s="201">
        <f>SUMIFS(rl_daysafter,rl_key,$A$1804,rl_effmonth,$B1810,rl_first,1)</f>
        <v/>
      </c>
      <c r="M1810" s="209">
        <f>IF($K1810=0,0,MIN(1,$L1810/$D1810))</f>
        <v/>
      </c>
      <c r="N1810" s="208">
        <f>IF($K1810=0,$J1810,(1-$M1810)*$I1810+$M1810*$J1810)</f>
        <v/>
      </c>
      <c r="O1810" s="209">
        <f>IF($F1810&lt;$B$1805,$E$1805+$I$1805*($F1810-$A$1805),IF($F1810&lt;$C$1805,$F$1805+$J$1805*($F1810-$B$1805),$G$1805+$K$1805*($F1810-$C$1805)))</f>
        <v/>
      </c>
      <c r="P1810" s="208">
        <f>MIN(1,MAX(0,(nr_MEndPm1-$G1810+0.5)/$C$1804))-MIN(1,MAX(0,(nr_MStartPm1-1-$G1810+0.5)/$C$1804))</f>
        <v/>
      </c>
      <c r="Q1810" s="208">
        <f>MIN(1,MAX(0,(nr_MEndP-$G1810+0.5)/$C$1804))-MIN(1,MAX(0,(nr_MStartP-1-$G1810+0.5)/$C$1804))</f>
        <v/>
      </c>
      <c r="R1810" s="208">
        <f>MIN(1,MAX(0,(nr_MEndP1-$G1810+0.5)/$C$1804))-MIN(1,MAX(0,(nr_MStartP1-1-$G1810+0.5)/$C$1804))</f>
        <v/>
      </c>
      <c r="S1810" s="208">
        <f>IF($L$1804,$N1810*IF($O$1804=1,$O1810/$F$1804,1),"")</f>
        <v/>
      </c>
      <c r="T1810" s="208">
        <f>IF(NOT($L$1804),"",IF($G1810&lt;nr_MStartP,$S1810,$T1798*(1+IF($G1810&lt;nr_MStartP1,$M$1804,$N$1804))))</f>
        <v/>
      </c>
      <c r="U1810" s="208">
        <f>IF($L$1804,$T1810,$N1810)</f>
        <v/>
      </c>
    </row>
    <row r="1811">
      <c r="A1811" s="145" t="n">
        <v>5</v>
      </c>
      <c r="B1811" s="204">
        <f>EDATE($B1810,1)</f>
        <v/>
      </c>
      <c r="C1811" s="205">
        <f>EOMONTH($B1811,0)</f>
        <v/>
      </c>
      <c r="D1811" s="201">
        <f>$C1811-$B1811+1</f>
        <v/>
      </c>
      <c r="E1811" s="201">
        <f>MONTH($B1811)</f>
        <v/>
      </c>
      <c r="F1811" s="235">
        <f>($B1811+$C1811+1)/2</f>
        <v/>
      </c>
      <c r="G1811" s="201">
        <f>YEAR($B1811)*12+MONTH($B1811)-1</f>
        <v/>
      </c>
      <c r="H1811" s="207">
        <f>IF(OR(nr_SeasonOn="OFF",$D$1804=0,$E$1804=0),1,12*INDEX(se_block,$D$1804,$E1811)/$E$1804)</f>
        <v/>
      </c>
      <c r="I1811" s="208">
        <f>EXP(SUMPRODUCT((rl_eff&lt;$B1811)*(rl_key=$A$1804)*rl_ln1p))</f>
        <v/>
      </c>
      <c r="J1811" s="208">
        <f>EXP(SUMPRODUCT((rl_eff&lt;=$C1811)*(rl_key=$A$1804)*rl_ln1p))</f>
        <v/>
      </c>
      <c r="K1811" s="201">
        <f>COUNTIFS(rl_key,$A$1804,rl_eff,"&gt;="&amp;$B1811,rl_eff,"&lt;="&amp;$C1811)</f>
        <v/>
      </c>
      <c r="L1811" s="201">
        <f>SUMIFS(rl_daysafter,rl_key,$A$1804,rl_effmonth,$B1811,rl_first,1)</f>
        <v/>
      </c>
      <c r="M1811" s="209">
        <f>IF($K1811=0,0,MIN(1,$L1811/$D1811))</f>
        <v/>
      </c>
      <c r="N1811" s="208">
        <f>IF($K1811=0,$J1811,(1-$M1811)*$I1811+$M1811*$J1811)</f>
        <v/>
      </c>
      <c r="O1811" s="209">
        <f>IF($F1811&lt;$B$1805,$E$1805+$I$1805*($F1811-$A$1805),IF($F1811&lt;$C$1805,$F$1805+$J$1805*($F1811-$B$1805),$G$1805+$K$1805*($F1811-$C$1805)))</f>
        <v/>
      </c>
      <c r="P1811" s="208">
        <f>MIN(1,MAX(0,(nr_MEndPm1-$G1811+0.5)/$C$1804))-MIN(1,MAX(0,(nr_MStartPm1-1-$G1811+0.5)/$C$1804))</f>
        <v/>
      </c>
      <c r="Q1811" s="208">
        <f>MIN(1,MAX(0,(nr_MEndP-$G1811+0.5)/$C$1804))-MIN(1,MAX(0,(nr_MStartP-1-$G1811+0.5)/$C$1804))</f>
        <v/>
      </c>
      <c r="R1811" s="208">
        <f>MIN(1,MAX(0,(nr_MEndP1-$G1811+0.5)/$C$1804))-MIN(1,MAX(0,(nr_MStartP1-1-$G1811+0.5)/$C$1804))</f>
        <v/>
      </c>
      <c r="S1811" s="208">
        <f>IF($L$1804,$N1811*IF($O$1804=1,$O1811/$F$1804,1),"")</f>
        <v/>
      </c>
      <c r="T1811" s="208">
        <f>IF(NOT($L$1804),"",IF($G1811&lt;nr_MStartP,$S1811,$T1799*(1+IF($G1811&lt;nr_MStartP1,$M$1804,$N$1804))))</f>
        <v/>
      </c>
      <c r="U1811" s="208">
        <f>IF($L$1804,$T1811,$N1811)</f>
        <v/>
      </c>
    </row>
    <row r="1812">
      <c r="A1812" s="145" t="n">
        <v>6</v>
      </c>
      <c r="B1812" s="204">
        <f>EDATE($B1811,1)</f>
        <v/>
      </c>
      <c r="C1812" s="205">
        <f>EOMONTH($B1812,0)</f>
        <v/>
      </c>
      <c r="D1812" s="201">
        <f>$C1812-$B1812+1</f>
        <v/>
      </c>
      <c r="E1812" s="201">
        <f>MONTH($B1812)</f>
        <v/>
      </c>
      <c r="F1812" s="235">
        <f>($B1812+$C1812+1)/2</f>
        <v/>
      </c>
      <c r="G1812" s="201">
        <f>YEAR($B1812)*12+MONTH($B1812)-1</f>
        <v/>
      </c>
      <c r="H1812" s="207">
        <f>IF(OR(nr_SeasonOn="OFF",$D$1804=0,$E$1804=0),1,12*INDEX(se_block,$D$1804,$E1812)/$E$1804)</f>
        <v/>
      </c>
      <c r="I1812" s="208">
        <f>EXP(SUMPRODUCT((rl_eff&lt;$B1812)*(rl_key=$A$1804)*rl_ln1p))</f>
        <v/>
      </c>
      <c r="J1812" s="208">
        <f>EXP(SUMPRODUCT((rl_eff&lt;=$C1812)*(rl_key=$A$1804)*rl_ln1p))</f>
        <v/>
      </c>
      <c r="K1812" s="201">
        <f>COUNTIFS(rl_key,$A$1804,rl_eff,"&gt;="&amp;$B1812,rl_eff,"&lt;="&amp;$C1812)</f>
        <v/>
      </c>
      <c r="L1812" s="201">
        <f>SUMIFS(rl_daysafter,rl_key,$A$1804,rl_effmonth,$B1812,rl_first,1)</f>
        <v/>
      </c>
      <c r="M1812" s="209">
        <f>IF($K1812=0,0,MIN(1,$L1812/$D1812))</f>
        <v/>
      </c>
      <c r="N1812" s="208">
        <f>IF($K1812=0,$J1812,(1-$M1812)*$I1812+$M1812*$J1812)</f>
        <v/>
      </c>
      <c r="O1812" s="209">
        <f>IF($F1812&lt;$B$1805,$E$1805+$I$1805*($F1812-$A$1805),IF($F1812&lt;$C$1805,$F$1805+$J$1805*($F1812-$B$1805),$G$1805+$K$1805*($F1812-$C$1805)))</f>
        <v/>
      </c>
      <c r="P1812" s="208">
        <f>MIN(1,MAX(0,(nr_MEndPm1-$G1812+0.5)/$C$1804))-MIN(1,MAX(0,(nr_MStartPm1-1-$G1812+0.5)/$C$1804))</f>
        <v/>
      </c>
      <c r="Q1812" s="208">
        <f>MIN(1,MAX(0,(nr_MEndP-$G1812+0.5)/$C$1804))-MIN(1,MAX(0,(nr_MStartP-1-$G1812+0.5)/$C$1804))</f>
        <v/>
      </c>
      <c r="R1812" s="208">
        <f>MIN(1,MAX(0,(nr_MEndP1-$G1812+0.5)/$C$1804))-MIN(1,MAX(0,(nr_MStartP1-1-$G1812+0.5)/$C$1804))</f>
        <v/>
      </c>
      <c r="S1812" s="208">
        <f>IF($L$1804,$N1812*IF($O$1804=1,$O1812/$F$1804,1),"")</f>
        <v/>
      </c>
      <c r="T1812" s="208">
        <f>IF(NOT($L$1804),"",IF($G1812&lt;nr_MStartP,$S1812,$T1800*(1+IF($G1812&lt;nr_MStartP1,$M$1804,$N$1804))))</f>
        <v/>
      </c>
      <c r="U1812" s="208">
        <f>IF($L$1804,$T1812,$N1812)</f>
        <v/>
      </c>
    </row>
    <row r="1813">
      <c r="A1813" s="145" t="n">
        <v>7</v>
      </c>
      <c r="B1813" s="204">
        <f>EDATE($B1812,1)</f>
        <v/>
      </c>
      <c r="C1813" s="205">
        <f>EOMONTH($B1813,0)</f>
        <v/>
      </c>
      <c r="D1813" s="201">
        <f>$C1813-$B1813+1</f>
        <v/>
      </c>
      <c r="E1813" s="201">
        <f>MONTH($B1813)</f>
        <v/>
      </c>
      <c r="F1813" s="235">
        <f>($B1813+$C1813+1)/2</f>
        <v/>
      </c>
      <c r="G1813" s="201">
        <f>YEAR($B1813)*12+MONTH($B1813)-1</f>
        <v/>
      </c>
      <c r="H1813" s="207">
        <f>IF(OR(nr_SeasonOn="OFF",$D$1804=0,$E$1804=0),1,12*INDEX(se_block,$D$1804,$E1813)/$E$1804)</f>
        <v/>
      </c>
      <c r="I1813" s="208">
        <f>EXP(SUMPRODUCT((rl_eff&lt;$B1813)*(rl_key=$A$1804)*rl_ln1p))</f>
        <v/>
      </c>
      <c r="J1813" s="208">
        <f>EXP(SUMPRODUCT((rl_eff&lt;=$C1813)*(rl_key=$A$1804)*rl_ln1p))</f>
        <v/>
      </c>
      <c r="K1813" s="201">
        <f>COUNTIFS(rl_key,$A$1804,rl_eff,"&gt;="&amp;$B1813,rl_eff,"&lt;="&amp;$C1813)</f>
        <v/>
      </c>
      <c r="L1813" s="201">
        <f>SUMIFS(rl_daysafter,rl_key,$A$1804,rl_effmonth,$B1813,rl_first,1)</f>
        <v/>
      </c>
      <c r="M1813" s="209">
        <f>IF($K1813=0,0,MIN(1,$L1813/$D1813))</f>
        <v/>
      </c>
      <c r="N1813" s="208">
        <f>IF($K1813=0,$J1813,(1-$M1813)*$I1813+$M1813*$J1813)</f>
        <v/>
      </c>
      <c r="O1813" s="209">
        <f>IF($F1813&lt;$B$1805,$E$1805+$I$1805*($F1813-$A$1805),IF($F1813&lt;$C$1805,$F$1805+$J$1805*($F1813-$B$1805),$G$1805+$K$1805*($F1813-$C$1805)))</f>
        <v/>
      </c>
      <c r="P1813" s="208">
        <f>MIN(1,MAX(0,(nr_MEndPm1-$G1813+0.5)/$C$1804))-MIN(1,MAX(0,(nr_MStartPm1-1-$G1813+0.5)/$C$1804))</f>
        <v/>
      </c>
      <c r="Q1813" s="208">
        <f>MIN(1,MAX(0,(nr_MEndP-$G1813+0.5)/$C$1804))-MIN(1,MAX(0,(nr_MStartP-1-$G1813+0.5)/$C$1804))</f>
        <v/>
      </c>
      <c r="R1813" s="208">
        <f>MIN(1,MAX(0,(nr_MEndP1-$G1813+0.5)/$C$1804))-MIN(1,MAX(0,(nr_MStartP1-1-$G1813+0.5)/$C$1804))</f>
        <v/>
      </c>
      <c r="S1813" s="208">
        <f>IF($L$1804,$N1813*IF($O$1804=1,$O1813/$F$1804,1),"")</f>
        <v/>
      </c>
      <c r="T1813" s="208">
        <f>IF(NOT($L$1804),"",IF($G1813&lt;nr_MStartP,$S1813,$T1801*(1+IF($G1813&lt;nr_MStartP1,$M$1804,$N$1804))))</f>
        <v/>
      </c>
      <c r="U1813" s="208">
        <f>IF($L$1804,$T1813,$N1813)</f>
        <v/>
      </c>
    </row>
    <row r="1814">
      <c r="A1814" s="145" t="n">
        <v>8</v>
      </c>
      <c r="B1814" s="204">
        <f>EDATE($B1813,1)</f>
        <v/>
      </c>
      <c r="C1814" s="205">
        <f>EOMONTH($B1814,0)</f>
        <v/>
      </c>
      <c r="D1814" s="201">
        <f>$C1814-$B1814+1</f>
        <v/>
      </c>
      <c r="E1814" s="201">
        <f>MONTH($B1814)</f>
        <v/>
      </c>
      <c r="F1814" s="235">
        <f>($B1814+$C1814+1)/2</f>
        <v/>
      </c>
      <c r="G1814" s="201">
        <f>YEAR($B1814)*12+MONTH($B1814)-1</f>
        <v/>
      </c>
      <c r="H1814" s="207">
        <f>IF(OR(nr_SeasonOn="OFF",$D$1804=0,$E$1804=0),1,12*INDEX(se_block,$D$1804,$E1814)/$E$1804)</f>
        <v/>
      </c>
      <c r="I1814" s="208">
        <f>EXP(SUMPRODUCT((rl_eff&lt;$B1814)*(rl_key=$A$1804)*rl_ln1p))</f>
        <v/>
      </c>
      <c r="J1814" s="208">
        <f>EXP(SUMPRODUCT((rl_eff&lt;=$C1814)*(rl_key=$A$1804)*rl_ln1p))</f>
        <v/>
      </c>
      <c r="K1814" s="201">
        <f>COUNTIFS(rl_key,$A$1804,rl_eff,"&gt;="&amp;$B1814,rl_eff,"&lt;="&amp;$C1814)</f>
        <v/>
      </c>
      <c r="L1814" s="201">
        <f>SUMIFS(rl_daysafter,rl_key,$A$1804,rl_effmonth,$B1814,rl_first,1)</f>
        <v/>
      </c>
      <c r="M1814" s="209">
        <f>IF($K1814=0,0,MIN(1,$L1814/$D1814))</f>
        <v/>
      </c>
      <c r="N1814" s="208">
        <f>IF($K1814=0,$J1814,(1-$M1814)*$I1814+$M1814*$J1814)</f>
        <v/>
      </c>
      <c r="O1814" s="209">
        <f>IF($F1814&lt;$B$1805,$E$1805+$I$1805*($F1814-$A$1805),IF($F1814&lt;$C$1805,$F$1805+$J$1805*($F1814-$B$1805),$G$1805+$K$1805*($F1814-$C$1805)))</f>
        <v/>
      </c>
      <c r="P1814" s="208">
        <f>MIN(1,MAX(0,(nr_MEndPm1-$G1814+0.5)/$C$1804))-MIN(1,MAX(0,(nr_MStartPm1-1-$G1814+0.5)/$C$1804))</f>
        <v/>
      </c>
      <c r="Q1814" s="208">
        <f>MIN(1,MAX(0,(nr_MEndP-$G1814+0.5)/$C$1804))-MIN(1,MAX(0,(nr_MStartP-1-$G1814+0.5)/$C$1804))</f>
        <v/>
      </c>
      <c r="R1814" s="208">
        <f>MIN(1,MAX(0,(nr_MEndP1-$G1814+0.5)/$C$1804))-MIN(1,MAX(0,(nr_MStartP1-1-$G1814+0.5)/$C$1804))</f>
        <v/>
      </c>
      <c r="S1814" s="208">
        <f>IF($L$1804,$N1814*IF($O$1804=1,$O1814/$F$1804,1),"")</f>
        <v/>
      </c>
      <c r="T1814" s="208">
        <f>IF(NOT($L$1804),"",IF($G1814&lt;nr_MStartP,$S1814,$T1802*(1+IF($G1814&lt;nr_MStartP1,$M$1804,$N$1804))))</f>
        <v/>
      </c>
      <c r="U1814" s="208">
        <f>IF($L$1804,$T1814,$N1814)</f>
        <v/>
      </c>
    </row>
    <row r="1815">
      <c r="A1815" s="145" t="n">
        <v>9</v>
      </c>
      <c r="B1815" s="204">
        <f>EDATE($B1814,1)</f>
        <v/>
      </c>
      <c r="C1815" s="205">
        <f>EOMONTH($B1815,0)</f>
        <v/>
      </c>
      <c r="D1815" s="201">
        <f>$C1815-$B1815+1</f>
        <v/>
      </c>
      <c r="E1815" s="201">
        <f>MONTH($B1815)</f>
        <v/>
      </c>
      <c r="F1815" s="235">
        <f>($B1815+$C1815+1)/2</f>
        <v/>
      </c>
      <c r="G1815" s="201">
        <f>YEAR($B1815)*12+MONTH($B1815)-1</f>
        <v/>
      </c>
      <c r="H1815" s="207">
        <f>IF(OR(nr_SeasonOn="OFF",$D$1804=0,$E$1804=0),1,12*INDEX(se_block,$D$1804,$E1815)/$E$1804)</f>
        <v/>
      </c>
      <c r="I1815" s="208">
        <f>EXP(SUMPRODUCT((rl_eff&lt;$B1815)*(rl_key=$A$1804)*rl_ln1p))</f>
        <v/>
      </c>
      <c r="J1815" s="208">
        <f>EXP(SUMPRODUCT((rl_eff&lt;=$C1815)*(rl_key=$A$1804)*rl_ln1p))</f>
        <v/>
      </c>
      <c r="K1815" s="201">
        <f>COUNTIFS(rl_key,$A$1804,rl_eff,"&gt;="&amp;$B1815,rl_eff,"&lt;="&amp;$C1815)</f>
        <v/>
      </c>
      <c r="L1815" s="201">
        <f>SUMIFS(rl_daysafter,rl_key,$A$1804,rl_effmonth,$B1815,rl_first,1)</f>
        <v/>
      </c>
      <c r="M1815" s="209">
        <f>IF($K1815=0,0,MIN(1,$L1815/$D1815))</f>
        <v/>
      </c>
      <c r="N1815" s="208">
        <f>IF($K1815=0,$J1815,(1-$M1815)*$I1815+$M1815*$J1815)</f>
        <v/>
      </c>
      <c r="O1815" s="209">
        <f>IF($F1815&lt;$B$1805,$E$1805+$I$1805*($F1815-$A$1805),IF($F1815&lt;$C$1805,$F$1805+$J$1805*($F1815-$B$1805),$G$1805+$K$1805*($F1815-$C$1805)))</f>
        <v/>
      </c>
      <c r="P1815" s="208">
        <f>MIN(1,MAX(0,(nr_MEndPm1-$G1815+0.5)/$C$1804))-MIN(1,MAX(0,(nr_MStartPm1-1-$G1815+0.5)/$C$1804))</f>
        <v/>
      </c>
      <c r="Q1815" s="208">
        <f>MIN(1,MAX(0,(nr_MEndP-$G1815+0.5)/$C$1804))-MIN(1,MAX(0,(nr_MStartP-1-$G1815+0.5)/$C$1804))</f>
        <v/>
      </c>
      <c r="R1815" s="208">
        <f>MIN(1,MAX(0,(nr_MEndP1-$G1815+0.5)/$C$1804))-MIN(1,MAX(0,(nr_MStartP1-1-$G1815+0.5)/$C$1804))</f>
        <v/>
      </c>
      <c r="S1815" s="208">
        <f>IF($L$1804,$N1815*IF($O$1804=1,$O1815/$F$1804,1),"")</f>
        <v/>
      </c>
      <c r="T1815" s="208">
        <f>IF(NOT($L$1804),"",IF($G1815&lt;nr_MStartP,$S1815,$T1803*(1+IF($G1815&lt;nr_MStartP1,$M$1804,$N$1804))))</f>
        <v/>
      </c>
      <c r="U1815" s="208">
        <f>IF($L$1804,$T1815,$N1815)</f>
        <v/>
      </c>
    </row>
    <row r="1816">
      <c r="A1816" s="145" t="n">
        <v>10</v>
      </c>
      <c r="B1816" s="204">
        <f>EDATE($B1815,1)</f>
        <v/>
      </c>
      <c r="C1816" s="205">
        <f>EOMONTH($B1816,0)</f>
        <v/>
      </c>
      <c r="D1816" s="201">
        <f>$C1816-$B1816+1</f>
        <v/>
      </c>
      <c r="E1816" s="201">
        <f>MONTH($B1816)</f>
        <v/>
      </c>
      <c r="F1816" s="235">
        <f>($B1816+$C1816+1)/2</f>
        <v/>
      </c>
      <c r="G1816" s="201">
        <f>YEAR($B1816)*12+MONTH($B1816)-1</f>
        <v/>
      </c>
      <c r="H1816" s="207">
        <f>IF(OR(nr_SeasonOn="OFF",$D$1804=0,$E$1804=0),1,12*INDEX(se_block,$D$1804,$E1816)/$E$1804)</f>
        <v/>
      </c>
      <c r="I1816" s="208">
        <f>EXP(SUMPRODUCT((rl_eff&lt;$B1816)*(rl_key=$A$1804)*rl_ln1p))</f>
        <v/>
      </c>
      <c r="J1816" s="208">
        <f>EXP(SUMPRODUCT((rl_eff&lt;=$C1816)*(rl_key=$A$1804)*rl_ln1p))</f>
        <v/>
      </c>
      <c r="K1816" s="201">
        <f>COUNTIFS(rl_key,$A$1804,rl_eff,"&gt;="&amp;$B1816,rl_eff,"&lt;="&amp;$C1816)</f>
        <v/>
      </c>
      <c r="L1816" s="201">
        <f>SUMIFS(rl_daysafter,rl_key,$A$1804,rl_effmonth,$B1816,rl_first,1)</f>
        <v/>
      </c>
      <c r="M1816" s="209">
        <f>IF($K1816=0,0,MIN(1,$L1816/$D1816))</f>
        <v/>
      </c>
      <c r="N1816" s="208">
        <f>IF($K1816=0,$J1816,(1-$M1816)*$I1816+$M1816*$J1816)</f>
        <v/>
      </c>
      <c r="O1816" s="209">
        <f>IF($F1816&lt;$B$1805,$E$1805+$I$1805*($F1816-$A$1805),IF($F1816&lt;$C$1805,$F$1805+$J$1805*($F1816-$B$1805),$G$1805+$K$1805*($F1816-$C$1805)))</f>
        <v/>
      </c>
      <c r="P1816" s="208">
        <f>MIN(1,MAX(0,(nr_MEndPm1-$G1816+0.5)/$C$1804))-MIN(1,MAX(0,(nr_MStartPm1-1-$G1816+0.5)/$C$1804))</f>
        <v/>
      </c>
      <c r="Q1816" s="208">
        <f>MIN(1,MAX(0,(nr_MEndP-$G1816+0.5)/$C$1804))-MIN(1,MAX(0,(nr_MStartP-1-$G1816+0.5)/$C$1804))</f>
        <v/>
      </c>
      <c r="R1816" s="208">
        <f>MIN(1,MAX(0,(nr_MEndP1-$G1816+0.5)/$C$1804))-MIN(1,MAX(0,(nr_MStartP1-1-$G1816+0.5)/$C$1804))</f>
        <v/>
      </c>
      <c r="S1816" s="208">
        <f>IF($L$1804,$N1816*IF($O$1804=1,$O1816/$F$1804,1),"")</f>
        <v/>
      </c>
      <c r="T1816" s="208">
        <f>IF(NOT($L$1804),"",IF($G1816&lt;nr_MStartP,$S1816,$T1804*(1+IF($G1816&lt;nr_MStartP1,$M$1804,$N$1804))))</f>
        <v/>
      </c>
      <c r="U1816" s="208">
        <f>IF($L$1804,$T1816,$N1816)</f>
        <v/>
      </c>
    </row>
    <row r="1817">
      <c r="A1817" s="145" t="n">
        <v>11</v>
      </c>
      <c r="B1817" s="204">
        <f>EDATE($B1816,1)</f>
        <v/>
      </c>
      <c r="C1817" s="205">
        <f>EOMONTH($B1817,0)</f>
        <v/>
      </c>
      <c r="D1817" s="201">
        <f>$C1817-$B1817+1</f>
        <v/>
      </c>
      <c r="E1817" s="201">
        <f>MONTH($B1817)</f>
        <v/>
      </c>
      <c r="F1817" s="235">
        <f>($B1817+$C1817+1)/2</f>
        <v/>
      </c>
      <c r="G1817" s="201">
        <f>YEAR($B1817)*12+MONTH($B1817)-1</f>
        <v/>
      </c>
      <c r="H1817" s="207">
        <f>IF(OR(nr_SeasonOn="OFF",$D$1804=0,$E$1804=0),1,12*INDEX(se_block,$D$1804,$E1817)/$E$1804)</f>
        <v/>
      </c>
      <c r="I1817" s="208">
        <f>EXP(SUMPRODUCT((rl_eff&lt;$B1817)*(rl_key=$A$1804)*rl_ln1p))</f>
        <v/>
      </c>
      <c r="J1817" s="208">
        <f>EXP(SUMPRODUCT((rl_eff&lt;=$C1817)*(rl_key=$A$1804)*rl_ln1p))</f>
        <v/>
      </c>
      <c r="K1817" s="201">
        <f>COUNTIFS(rl_key,$A$1804,rl_eff,"&gt;="&amp;$B1817,rl_eff,"&lt;="&amp;$C1817)</f>
        <v/>
      </c>
      <c r="L1817" s="201">
        <f>SUMIFS(rl_daysafter,rl_key,$A$1804,rl_effmonth,$B1817,rl_first,1)</f>
        <v/>
      </c>
      <c r="M1817" s="209">
        <f>IF($K1817=0,0,MIN(1,$L1817/$D1817))</f>
        <v/>
      </c>
      <c r="N1817" s="208">
        <f>IF($K1817=0,$J1817,(1-$M1817)*$I1817+$M1817*$J1817)</f>
        <v/>
      </c>
      <c r="O1817" s="209">
        <f>IF($F1817&lt;$B$1805,$E$1805+$I$1805*($F1817-$A$1805),IF($F1817&lt;$C$1805,$F$1805+$J$1805*($F1817-$B$1805),$G$1805+$K$1805*($F1817-$C$1805)))</f>
        <v/>
      </c>
      <c r="P1817" s="208">
        <f>MIN(1,MAX(0,(nr_MEndPm1-$G1817+0.5)/$C$1804))-MIN(1,MAX(0,(nr_MStartPm1-1-$G1817+0.5)/$C$1804))</f>
        <v/>
      </c>
      <c r="Q1817" s="208">
        <f>MIN(1,MAX(0,(nr_MEndP-$G1817+0.5)/$C$1804))-MIN(1,MAX(0,(nr_MStartP-1-$G1817+0.5)/$C$1804))</f>
        <v/>
      </c>
      <c r="R1817" s="208">
        <f>MIN(1,MAX(0,(nr_MEndP1-$G1817+0.5)/$C$1804))-MIN(1,MAX(0,(nr_MStartP1-1-$G1817+0.5)/$C$1804))</f>
        <v/>
      </c>
      <c r="S1817" s="208">
        <f>IF($L$1804,$N1817*IF($O$1804=1,$O1817/$F$1804,1),"")</f>
        <v/>
      </c>
      <c r="T1817" s="208">
        <f>IF(NOT($L$1804),"",IF($G1817&lt;nr_MStartP,$S1817,$T1805*(1+IF($G1817&lt;nr_MStartP1,$M$1804,$N$1804))))</f>
        <v/>
      </c>
      <c r="U1817" s="208">
        <f>IF($L$1804,$T1817,$N1817)</f>
        <v/>
      </c>
    </row>
    <row r="1818">
      <c r="A1818" s="145" t="n">
        <v>12</v>
      </c>
      <c r="B1818" s="204">
        <f>EDATE($B1817,1)</f>
        <v/>
      </c>
      <c r="C1818" s="205">
        <f>EOMONTH($B1818,0)</f>
        <v/>
      </c>
      <c r="D1818" s="201">
        <f>$C1818-$B1818+1</f>
        <v/>
      </c>
      <c r="E1818" s="201">
        <f>MONTH($B1818)</f>
        <v/>
      </c>
      <c r="F1818" s="235">
        <f>($B1818+$C1818+1)/2</f>
        <v/>
      </c>
      <c r="G1818" s="201">
        <f>YEAR($B1818)*12+MONTH($B1818)-1</f>
        <v/>
      </c>
      <c r="H1818" s="207">
        <f>IF(OR(nr_SeasonOn="OFF",$D$1804=0,$E$1804=0),1,12*INDEX(se_block,$D$1804,$E1818)/$E$1804)</f>
        <v/>
      </c>
      <c r="I1818" s="208">
        <f>EXP(SUMPRODUCT((rl_eff&lt;$B1818)*(rl_key=$A$1804)*rl_ln1p))</f>
        <v/>
      </c>
      <c r="J1818" s="208">
        <f>EXP(SUMPRODUCT((rl_eff&lt;=$C1818)*(rl_key=$A$1804)*rl_ln1p))</f>
        <v/>
      </c>
      <c r="K1818" s="201">
        <f>COUNTIFS(rl_key,$A$1804,rl_eff,"&gt;="&amp;$B1818,rl_eff,"&lt;="&amp;$C1818)</f>
        <v/>
      </c>
      <c r="L1818" s="201">
        <f>SUMIFS(rl_daysafter,rl_key,$A$1804,rl_effmonth,$B1818,rl_first,1)</f>
        <v/>
      </c>
      <c r="M1818" s="209">
        <f>IF($K1818=0,0,MIN(1,$L1818/$D1818))</f>
        <v/>
      </c>
      <c r="N1818" s="208">
        <f>IF($K1818=0,$J1818,(1-$M1818)*$I1818+$M1818*$J1818)</f>
        <v/>
      </c>
      <c r="O1818" s="209">
        <f>IF($F1818&lt;$B$1805,$E$1805+$I$1805*($F1818-$A$1805),IF($F1818&lt;$C$1805,$F$1805+$J$1805*($F1818-$B$1805),$G$1805+$K$1805*($F1818-$C$1805)))</f>
        <v/>
      </c>
      <c r="P1818" s="208">
        <f>MIN(1,MAX(0,(nr_MEndPm1-$G1818+0.5)/$C$1804))-MIN(1,MAX(0,(nr_MStartPm1-1-$G1818+0.5)/$C$1804))</f>
        <v/>
      </c>
      <c r="Q1818" s="208">
        <f>MIN(1,MAX(0,(nr_MEndP-$G1818+0.5)/$C$1804))-MIN(1,MAX(0,(nr_MStartP-1-$G1818+0.5)/$C$1804))</f>
        <v/>
      </c>
      <c r="R1818" s="208">
        <f>MIN(1,MAX(0,(nr_MEndP1-$G1818+0.5)/$C$1804))-MIN(1,MAX(0,(nr_MStartP1-1-$G1818+0.5)/$C$1804))</f>
        <v/>
      </c>
      <c r="S1818" s="208">
        <f>IF($L$1804,$N1818*IF($O$1804=1,$O1818/$F$1804,1),"")</f>
        <v/>
      </c>
      <c r="T1818" s="208">
        <f>IF(NOT($L$1804),"",IF($G1818&lt;nr_MStartP,$S1818,$T1806*(1+IF($G1818&lt;nr_MStartP1,$M$1804,$N$1804))))</f>
        <v/>
      </c>
      <c r="U1818" s="208">
        <f>IF($L$1804,$T1818,$N1818)</f>
        <v/>
      </c>
    </row>
    <row r="1819">
      <c r="A1819" s="145" t="n">
        <v>13</v>
      </c>
      <c r="B1819" s="204">
        <f>EDATE($B1818,1)</f>
        <v/>
      </c>
      <c r="C1819" s="205">
        <f>EOMONTH($B1819,0)</f>
        <v/>
      </c>
      <c r="D1819" s="201">
        <f>$C1819-$B1819+1</f>
        <v/>
      </c>
      <c r="E1819" s="201">
        <f>MONTH($B1819)</f>
        <v/>
      </c>
      <c r="F1819" s="235">
        <f>($B1819+$C1819+1)/2</f>
        <v/>
      </c>
      <c r="G1819" s="201">
        <f>YEAR($B1819)*12+MONTH($B1819)-1</f>
        <v/>
      </c>
      <c r="H1819" s="207">
        <f>IF(OR(nr_SeasonOn="OFF",$D$1804=0,$E$1804=0),1,12*INDEX(se_block,$D$1804,$E1819)/$E$1804)</f>
        <v/>
      </c>
      <c r="I1819" s="208">
        <f>EXP(SUMPRODUCT((rl_eff&lt;$B1819)*(rl_key=$A$1804)*rl_ln1p))</f>
        <v/>
      </c>
      <c r="J1819" s="208">
        <f>EXP(SUMPRODUCT((rl_eff&lt;=$C1819)*(rl_key=$A$1804)*rl_ln1p))</f>
        <v/>
      </c>
      <c r="K1819" s="201">
        <f>COUNTIFS(rl_key,$A$1804,rl_eff,"&gt;="&amp;$B1819,rl_eff,"&lt;="&amp;$C1819)</f>
        <v/>
      </c>
      <c r="L1819" s="201">
        <f>SUMIFS(rl_daysafter,rl_key,$A$1804,rl_effmonth,$B1819,rl_first,1)</f>
        <v/>
      </c>
      <c r="M1819" s="209">
        <f>IF($K1819=0,0,MIN(1,$L1819/$D1819))</f>
        <v/>
      </c>
      <c r="N1819" s="208">
        <f>IF($K1819=0,$J1819,(1-$M1819)*$I1819+$M1819*$J1819)</f>
        <v/>
      </c>
      <c r="O1819" s="209">
        <f>IF($F1819&lt;$B$1805,$E$1805+$I$1805*($F1819-$A$1805),IF($F1819&lt;$C$1805,$F$1805+$J$1805*($F1819-$B$1805),$G$1805+$K$1805*($F1819-$C$1805)))</f>
        <v/>
      </c>
      <c r="P1819" s="208">
        <f>MIN(1,MAX(0,(nr_MEndPm1-$G1819+0.5)/$C$1804))-MIN(1,MAX(0,(nr_MStartPm1-1-$G1819+0.5)/$C$1804))</f>
        <v/>
      </c>
      <c r="Q1819" s="208">
        <f>MIN(1,MAX(0,(nr_MEndP-$G1819+0.5)/$C$1804))-MIN(1,MAX(0,(nr_MStartP-1-$G1819+0.5)/$C$1804))</f>
        <v/>
      </c>
      <c r="R1819" s="208">
        <f>MIN(1,MAX(0,(nr_MEndP1-$G1819+0.5)/$C$1804))-MIN(1,MAX(0,(nr_MStartP1-1-$G1819+0.5)/$C$1804))</f>
        <v/>
      </c>
      <c r="S1819" s="208">
        <f>IF($L$1804,$N1819*IF($O$1804=1,$O1819/$F$1804,1),"")</f>
        <v/>
      </c>
      <c r="T1819" s="208">
        <f>IF(NOT($L$1804),"",IF($G1819&lt;nr_MStartP,$S1819,$T1807*(1+IF($G1819&lt;nr_MStartP1,$M$1804,$N$1804))))</f>
        <v/>
      </c>
      <c r="U1819" s="208">
        <f>IF($L$1804,$T1819,$N1819)</f>
        <v/>
      </c>
    </row>
    <row r="1820">
      <c r="A1820" s="145" t="n">
        <v>14</v>
      </c>
      <c r="B1820" s="204">
        <f>EDATE($B1819,1)</f>
        <v/>
      </c>
      <c r="C1820" s="205">
        <f>EOMONTH($B1820,0)</f>
        <v/>
      </c>
      <c r="D1820" s="201">
        <f>$C1820-$B1820+1</f>
        <v/>
      </c>
      <c r="E1820" s="201">
        <f>MONTH($B1820)</f>
        <v/>
      </c>
      <c r="F1820" s="235">
        <f>($B1820+$C1820+1)/2</f>
        <v/>
      </c>
      <c r="G1820" s="201">
        <f>YEAR($B1820)*12+MONTH($B1820)-1</f>
        <v/>
      </c>
      <c r="H1820" s="207">
        <f>IF(OR(nr_SeasonOn="OFF",$D$1804=0,$E$1804=0),1,12*INDEX(se_block,$D$1804,$E1820)/$E$1804)</f>
        <v/>
      </c>
      <c r="I1820" s="208">
        <f>EXP(SUMPRODUCT((rl_eff&lt;$B1820)*(rl_key=$A$1804)*rl_ln1p))</f>
        <v/>
      </c>
      <c r="J1820" s="208">
        <f>EXP(SUMPRODUCT((rl_eff&lt;=$C1820)*(rl_key=$A$1804)*rl_ln1p))</f>
        <v/>
      </c>
      <c r="K1820" s="201">
        <f>COUNTIFS(rl_key,$A$1804,rl_eff,"&gt;="&amp;$B1820,rl_eff,"&lt;="&amp;$C1820)</f>
        <v/>
      </c>
      <c r="L1820" s="201">
        <f>SUMIFS(rl_daysafter,rl_key,$A$1804,rl_effmonth,$B1820,rl_first,1)</f>
        <v/>
      </c>
      <c r="M1820" s="209">
        <f>IF($K1820=0,0,MIN(1,$L1820/$D1820))</f>
        <v/>
      </c>
      <c r="N1820" s="208">
        <f>IF($K1820=0,$J1820,(1-$M1820)*$I1820+$M1820*$J1820)</f>
        <v/>
      </c>
      <c r="O1820" s="209">
        <f>IF($F1820&lt;$B$1805,$E$1805+$I$1805*($F1820-$A$1805),IF($F1820&lt;$C$1805,$F$1805+$J$1805*($F1820-$B$1805),$G$1805+$K$1805*($F1820-$C$1805)))</f>
        <v/>
      </c>
      <c r="P1820" s="208">
        <f>MIN(1,MAX(0,(nr_MEndPm1-$G1820+0.5)/$C$1804))-MIN(1,MAX(0,(nr_MStartPm1-1-$G1820+0.5)/$C$1804))</f>
        <v/>
      </c>
      <c r="Q1820" s="208">
        <f>MIN(1,MAX(0,(nr_MEndP-$G1820+0.5)/$C$1804))-MIN(1,MAX(0,(nr_MStartP-1-$G1820+0.5)/$C$1804))</f>
        <v/>
      </c>
      <c r="R1820" s="208">
        <f>MIN(1,MAX(0,(nr_MEndP1-$G1820+0.5)/$C$1804))-MIN(1,MAX(0,(nr_MStartP1-1-$G1820+0.5)/$C$1804))</f>
        <v/>
      </c>
      <c r="S1820" s="208">
        <f>IF($L$1804,$N1820*IF($O$1804=1,$O1820/$F$1804,1),"")</f>
        <v/>
      </c>
      <c r="T1820" s="208">
        <f>IF(NOT($L$1804),"",IF($G1820&lt;nr_MStartP,$S1820,$T1808*(1+IF($G1820&lt;nr_MStartP1,$M$1804,$N$1804))))</f>
        <v/>
      </c>
      <c r="U1820" s="208">
        <f>IF($L$1804,$T1820,$N1820)</f>
        <v/>
      </c>
    </row>
    <row r="1821">
      <c r="A1821" s="145" t="n">
        <v>15</v>
      </c>
      <c r="B1821" s="204">
        <f>EDATE($B1820,1)</f>
        <v/>
      </c>
      <c r="C1821" s="205">
        <f>EOMONTH($B1821,0)</f>
        <v/>
      </c>
      <c r="D1821" s="201">
        <f>$C1821-$B1821+1</f>
        <v/>
      </c>
      <c r="E1821" s="201">
        <f>MONTH($B1821)</f>
        <v/>
      </c>
      <c r="F1821" s="235">
        <f>($B1821+$C1821+1)/2</f>
        <v/>
      </c>
      <c r="G1821" s="201">
        <f>YEAR($B1821)*12+MONTH($B1821)-1</f>
        <v/>
      </c>
      <c r="H1821" s="207">
        <f>IF(OR(nr_SeasonOn="OFF",$D$1804=0,$E$1804=0),1,12*INDEX(se_block,$D$1804,$E1821)/$E$1804)</f>
        <v/>
      </c>
      <c r="I1821" s="208">
        <f>EXP(SUMPRODUCT((rl_eff&lt;$B1821)*(rl_key=$A$1804)*rl_ln1p))</f>
        <v/>
      </c>
      <c r="J1821" s="208">
        <f>EXP(SUMPRODUCT((rl_eff&lt;=$C1821)*(rl_key=$A$1804)*rl_ln1p))</f>
        <v/>
      </c>
      <c r="K1821" s="201">
        <f>COUNTIFS(rl_key,$A$1804,rl_eff,"&gt;="&amp;$B1821,rl_eff,"&lt;="&amp;$C1821)</f>
        <v/>
      </c>
      <c r="L1821" s="201">
        <f>SUMIFS(rl_daysafter,rl_key,$A$1804,rl_effmonth,$B1821,rl_first,1)</f>
        <v/>
      </c>
      <c r="M1821" s="209">
        <f>IF($K1821=0,0,MIN(1,$L1821/$D1821))</f>
        <v/>
      </c>
      <c r="N1821" s="208">
        <f>IF($K1821=0,$J1821,(1-$M1821)*$I1821+$M1821*$J1821)</f>
        <v/>
      </c>
      <c r="O1821" s="209">
        <f>IF($F1821&lt;$B$1805,$E$1805+$I$1805*($F1821-$A$1805),IF($F1821&lt;$C$1805,$F$1805+$J$1805*($F1821-$B$1805),$G$1805+$K$1805*($F1821-$C$1805)))</f>
        <v/>
      </c>
      <c r="P1821" s="208">
        <f>MIN(1,MAX(0,(nr_MEndPm1-$G1821+0.5)/$C$1804))-MIN(1,MAX(0,(nr_MStartPm1-1-$G1821+0.5)/$C$1804))</f>
        <v/>
      </c>
      <c r="Q1821" s="208">
        <f>MIN(1,MAX(0,(nr_MEndP-$G1821+0.5)/$C$1804))-MIN(1,MAX(0,(nr_MStartP-1-$G1821+0.5)/$C$1804))</f>
        <v/>
      </c>
      <c r="R1821" s="208">
        <f>MIN(1,MAX(0,(nr_MEndP1-$G1821+0.5)/$C$1804))-MIN(1,MAX(0,(nr_MStartP1-1-$G1821+0.5)/$C$1804))</f>
        <v/>
      </c>
      <c r="S1821" s="208">
        <f>IF($L$1804,$N1821*IF($O$1804=1,$O1821/$F$1804,1),"")</f>
        <v/>
      </c>
      <c r="T1821" s="208">
        <f>IF(NOT($L$1804),"",IF($G1821&lt;nr_MStartP,$S1821,$T1809*(1+IF($G1821&lt;nr_MStartP1,$M$1804,$N$1804))))</f>
        <v/>
      </c>
      <c r="U1821" s="208">
        <f>IF($L$1804,$T1821,$N1821)</f>
        <v/>
      </c>
    </row>
    <row r="1822">
      <c r="A1822" s="145" t="n">
        <v>16</v>
      </c>
      <c r="B1822" s="204">
        <f>EDATE($B1821,1)</f>
        <v/>
      </c>
      <c r="C1822" s="205">
        <f>EOMONTH($B1822,0)</f>
        <v/>
      </c>
      <c r="D1822" s="201">
        <f>$C1822-$B1822+1</f>
        <v/>
      </c>
      <c r="E1822" s="201">
        <f>MONTH($B1822)</f>
        <v/>
      </c>
      <c r="F1822" s="235">
        <f>($B1822+$C1822+1)/2</f>
        <v/>
      </c>
      <c r="G1822" s="201">
        <f>YEAR($B1822)*12+MONTH($B1822)-1</f>
        <v/>
      </c>
      <c r="H1822" s="207">
        <f>IF(OR(nr_SeasonOn="OFF",$D$1804=0,$E$1804=0),1,12*INDEX(se_block,$D$1804,$E1822)/$E$1804)</f>
        <v/>
      </c>
      <c r="I1822" s="208">
        <f>EXP(SUMPRODUCT((rl_eff&lt;$B1822)*(rl_key=$A$1804)*rl_ln1p))</f>
        <v/>
      </c>
      <c r="J1822" s="208">
        <f>EXP(SUMPRODUCT((rl_eff&lt;=$C1822)*(rl_key=$A$1804)*rl_ln1p))</f>
        <v/>
      </c>
      <c r="K1822" s="201">
        <f>COUNTIFS(rl_key,$A$1804,rl_eff,"&gt;="&amp;$B1822,rl_eff,"&lt;="&amp;$C1822)</f>
        <v/>
      </c>
      <c r="L1822" s="201">
        <f>SUMIFS(rl_daysafter,rl_key,$A$1804,rl_effmonth,$B1822,rl_first,1)</f>
        <v/>
      </c>
      <c r="M1822" s="209">
        <f>IF($K1822=0,0,MIN(1,$L1822/$D1822))</f>
        <v/>
      </c>
      <c r="N1822" s="208">
        <f>IF($K1822=0,$J1822,(1-$M1822)*$I1822+$M1822*$J1822)</f>
        <v/>
      </c>
      <c r="O1822" s="209">
        <f>IF($F1822&lt;$B$1805,$E$1805+$I$1805*($F1822-$A$1805),IF($F1822&lt;$C$1805,$F$1805+$J$1805*($F1822-$B$1805),$G$1805+$K$1805*($F1822-$C$1805)))</f>
        <v/>
      </c>
      <c r="P1822" s="208">
        <f>MIN(1,MAX(0,(nr_MEndPm1-$G1822+0.5)/$C$1804))-MIN(1,MAX(0,(nr_MStartPm1-1-$G1822+0.5)/$C$1804))</f>
        <v/>
      </c>
      <c r="Q1822" s="208">
        <f>MIN(1,MAX(0,(nr_MEndP-$G1822+0.5)/$C$1804))-MIN(1,MAX(0,(nr_MStartP-1-$G1822+0.5)/$C$1804))</f>
        <v/>
      </c>
      <c r="R1822" s="208">
        <f>MIN(1,MAX(0,(nr_MEndP1-$G1822+0.5)/$C$1804))-MIN(1,MAX(0,(nr_MStartP1-1-$G1822+0.5)/$C$1804))</f>
        <v/>
      </c>
      <c r="S1822" s="208">
        <f>IF($L$1804,$N1822*IF($O$1804=1,$O1822/$F$1804,1),"")</f>
        <v/>
      </c>
      <c r="T1822" s="208">
        <f>IF(NOT($L$1804),"",IF($G1822&lt;nr_MStartP,$S1822,$T1810*(1+IF($G1822&lt;nr_MStartP1,$M$1804,$N$1804))))</f>
        <v/>
      </c>
      <c r="U1822" s="208">
        <f>IF($L$1804,$T1822,$N1822)</f>
        <v/>
      </c>
    </row>
    <row r="1823">
      <c r="A1823" s="145" t="n">
        <v>17</v>
      </c>
      <c r="B1823" s="204">
        <f>EDATE($B1822,1)</f>
        <v/>
      </c>
      <c r="C1823" s="205">
        <f>EOMONTH($B1823,0)</f>
        <v/>
      </c>
      <c r="D1823" s="201">
        <f>$C1823-$B1823+1</f>
        <v/>
      </c>
      <c r="E1823" s="201">
        <f>MONTH($B1823)</f>
        <v/>
      </c>
      <c r="F1823" s="235">
        <f>($B1823+$C1823+1)/2</f>
        <v/>
      </c>
      <c r="G1823" s="201">
        <f>YEAR($B1823)*12+MONTH($B1823)-1</f>
        <v/>
      </c>
      <c r="H1823" s="207">
        <f>IF(OR(nr_SeasonOn="OFF",$D$1804=0,$E$1804=0),1,12*INDEX(se_block,$D$1804,$E1823)/$E$1804)</f>
        <v/>
      </c>
      <c r="I1823" s="208">
        <f>EXP(SUMPRODUCT((rl_eff&lt;$B1823)*(rl_key=$A$1804)*rl_ln1p))</f>
        <v/>
      </c>
      <c r="J1823" s="208">
        <f>EXP(SUMPRODUCT((rl_eff&lt;=$C1823)*(rl_key=$A$1804)*rl_ln1p))</f>
        <v/>
      </c>
      <c r="K1823" s="201">
        <f>COUNTIFS(rl_key,$A$1804,rl_eff,"&gt;="&amp;$B1823,rl_eff,"&lt;="&amp;$C1823)</f>
        <v/>
      </c>
      <c r="L1823" s="201">
        <f>SUMIFS(rl_daysafter,rl_key,$A$1804,rl_effmonth,$B1823,rl_first,1)</f>
        <v/>
      </c>
      <c r="M1823" s="209">
        <f>IF($K1823=0,0,MIN(1,$L1823/$D1823))</f>
        <v/>
      </c>
      <c r="N1823" s="208">
        <f>IF($K1823=0,$J1823,(1-$M1823)*$I1823+$M1823*$J1823)</f>
        <v/>
      </c>
      <c r="O1823" s="209">
        <f>IF($F1823&lt;$B$1805,$E$1805+$I$1805*($F1823-$A$1805),IF($F1823&lt;$C$1805,$F$1805+$J$1805*($F1823-$B$1805),$G$1805+$K$1805*($F1823-$C$1805)))</f>
        <v/>
      </c>
      <c r="P1823" s="208">
        <f>MIN(1,MAX(0,(nr_MEndPm1-$G1823+0.5)/$C$1804))-MIN(1,MAX(0,(nr_MStartPm1-1-$G1823+0.5)/$C$1804))</f>
        <v/>
      </c>
      <c r="Q1823" s="208">
        <f>MIN(1,MAX(0,(nr_MEndP-$G1823+0.5)/$C$1804))-MIN(1,MAX(0,(nr_MStartP-1-$G1823+0.5)/$C$1804))</f>
        <v/>
      </c>
      <c r="R1823" s="208">
        <f>MIN(1,MAX(0,(nr_MEndP1-$G1823+0.5)/$C$1804))-MIN(1,MAX(0,(nr_MStartP1-1-$G1823+0.5)/$C$1804))</f>
        <v/>
      </c>
      <c r="S1823" s="208">
        <f>IF($L$1804,$N1823*IF($O$1804=1,$O1823/$F$1804,1),"")</f>
        <v/>
      </c>
      <c r="T1823" s="208">
        <f>IF(NOT($L$1804),"",IF($G1823&lt;nr_MStartP,$S1823,$T1811*(1+IF($G1823&lt;nr_MStartP1,$M$1804,$N$1804))))</f>
        <v/>
      </c>
      <c r="U1823" s="208">
        <f>IF($L$1804,$T1823,$N1823)</f>
        <v/>
      </c>
    </row>
    <row r="1824">
      <c r="A1824" s="145" t="n">
        <v>18</v>
      </c>
      <c r="B1824" s="204">
        <f>EDATE($B1823,1)</f>
        <v/>
      </c>
      <c r="C1824" s="205">
        <f>EOMONTH($B1824,0)</f>
        <v/>
      </c>
      <c r="D1824" s="201">
        <f>$C1824-$B1824+1</f>
        <v/>
      </c>
      <c r="E1824" s="201">
        <f>MONTH($B1824)</f>
        <v/>
      </c>
      <c r="F1824" s="235">
        <f>($B1824+$C1824+1)/2</f>
        <v/>
      </c>
      <c r="G1824" s="201">
        <f>YEAR($B1824)*12+MONTH($B1824)-1</f>
        <v/>
      </c>
      <c r="H1824" s="207">
        <f>IF(OR(nr_SeasonOn="OFF",$D$1804=0,$E$1804=0),1,12*INDEX(se_block,$D$1804,$E1824)/$E$1804)</f>
        <v/>
      </c>
      <c r="I1824" s="208">
        <f>EXP(SUMPRODUCT((rl_eff&lt;$B1824)*(rl_key=$A$1804)*rl_ln1p))</f>
        <v/>
      </c>
      <c r="J1824" s="208">
        <f>EXP(SUMPRODUCT((rl_eff&lt;=$C1824)*(rl_key=$A$1804)*rl_ln1p))</f>
        <v/>
      </c>
      <c r="K1824" s="201">
        <f>COUNTIFS(rl_key,$A$1804,rl_eff,"&gt;="&amp;$B1824,rl_eff,"&lt;="&amp;$C1824)</f>
        <v/>
      </c>
      <c r="L1824" s="201">
        <f>SUMIFS(rl_daysafter,rl_key,$A$1804,rl_effmonth,$B1824,rl_first,1)</f>
        <v/>
      </c>
      <c r="M1824" s="209">
        <f>IF($K1824=0,0,MIN(1,$L1824/$D1824))</f>
        <v/>
      </c>
      <c r="N1824" s="208">
        <f>IF($K1824=0,$J1824,(1-$M1824)*$I1824+$M1824*$J1824)</f>
        <v/>
      </c>
      <c r="O1824" s="209">
        <f>IF($F1824&lt;$B$1805,$E$1805+$I$1805*($F1824-$A$1805),IF($F1824&lt;$C$1805,$F$1805+$J$1805*($F1824-$B$1805),$G$1805+$K$1805*($F1824-$C$1805)))</f>
        <v/>
      </c>
      <c r="P1824" s="208">
        <f>MIN(1,MAX(0,(nr_MEndPm1-$G1824+0.5)/$C$1804))-MIN(1,MAX(0,(nr_MStartPm1-1-$G1824+0.5)/$C$1804))</f>
        <v/>
      </c>
      <c r="Q1824" s="208">
        <f>MIN(1,MAX(0,(nr_MEndP-$G1824+0.5)/$C$1804))-MIN(1,MAX(0,(nr_MStartP-1-$G1824+0.5)/$C$1804))</f>
        <v/>
      </c>
      <c r="R1824" s="208">
        <f>MIN(1,MAX(0,(nr_MEndP1-$G1824+0.5)/$C$1804))-MIN(1,MAX(0,(nr_MStartP1-1-$G1824+0.5)/$C$1804))</f>
        <v/>
      </c>
      <c r="S1824" s="208">
        <f>IF($L$1804,$N1824*IF($O$1804=1,$O1824/$F$1804,1),"")</f>
        <v/>
      </c>
      <c r="T1824" s="208">
        <f>IF(NOT($L$1804),"",IF($G1824&lt;nr_MStartP,$S1824,$T1812*(1+IF($G1824&lt;nr_MStartP1,$M$1804,$N$1804))))</f>
        <v/>
      </c>
      <c r="U1824" s="208">
        <f>IF($L$1804,$T1824,$N1824)</f>
        <v/>
      </c>
    </row>
    <row r="1825">
      <c r="A1825" s="145" t="n">
        <v>19</v>
      </c>
      <c r="B1825" s="204">
        <f>EDATE($B1824,1)</f>
        <v/>
      </c>
      <c r="C1825" s="205">
        <f>EOMONTH($B1825,0)</f>
        <v/>
      </c>
      <c r="D1825" s="201">
        <f>$C1825-$B1825+1</f>
        <v/>
      </c>
      <c r="E1825" s="201">
        <f>MONTH($B1825)</f>
        <v/>
      </c>
      <c r="F1825" s="235">
        <f>($B1825+$C1825+1)/2</f>
        <v/>
      </c>
      <c r="G1825" s="201">
        <f>YEAR($B1825)*12+MONTH($B1825)-1</f>
        <v/>
      </c>
      <c r="H1825" s="207">
        <f>IF(OR(nr_SeasonOn="OFF",$D$1804=0,$E$1804=0),1,12*INDEX(se_block,$D$1804,$E1825)/$E$1804)</f>
        <v/>
      </c>
      <c r="I1825" s="208">
        <f>EXP(SUMPRODUCT((rl_eff&lt;$B1825)*(rl_key=$A$1804)*rl_ln1p))</f>
        <v/>
      </c>
      <c r="J1825" s="208">
        <f>EXP(SUMPRODUCT((rl_eff&lt;=$C1825)*(rl_key=$A$1804)*rl_ln1p))</f>
        <v/>
      </c>
      <c r="K1825" s="201">
        <f>COUNTIFS(rl_key,$A$1804,rl_eff,"&gt;="&amp;$B1825,rl_eff,"&lt;="&amp;$C1825)</f>
        <v/>
      </c>
      <c r="L1825" s="201">
        <f>SUMIFS(rl_daysafter,rl_key,$A$1804,rl_effmonth,$B1825,rl_first,1)</f>
        <v/>
      </c>
      <c r="M1825" s="209">
        <f>IF($K1825=0,0,MIN(1,$L1825/$D1825))</f>
        <v/>
      </c>
      <c r="N1825" s="208">
        <f>IF($K1825=0,$J1825,(1-$M1825)*$I1825+$M1825*$J1825)</f>
        <v/>
      </c>
      <c r="O1825" s="209">
        <f>IF($F1825&lt;$B$1805,$E$1805+$I$1805*($F1825-$A$1805),IF($F1825&lt;$C$1805,$F$1805+$J$1805*($F1825-$B$1805),$G$1805+$K$1805*($F1825-$C$1805)))</f>
        <v/>
      </c>
      <c r="P1825" s="208">
        <f>MIN(1,MAX(0,(nr_MEndPm1-$G1825+0.5)/$C$1804))-MIN(1,MAX(0,(nr_MStartPm1-1-$G1825+0.5)/$C$1804))</f>
        <v/>
      </c>
      <c r="Q1825" s="208">
        <f>MIN(1,MAX(0,(nr_MEndP-$G1825+0.5)/$C$1804))-MIN(1,MAX(0,(nr_MStartP-1-$G1825+0.5)/$C$1804))</f>
        <v/>
      </c>
      <c r="R1825" s="208">
        <f>MIN(1,MAX(0,(nr_MEndP1-$G1825+0.5)/$C$1804))-MIN(1,MAX(0,(nr_MStartP1-1-$G1825+0.5)/$C$1804))</f>
        <v/>
      </c>
      <c r="S1825" s="208">
        <f>IF($L$1804,$N1825*IF($O$1804=1,$O1825/$F$1804,1),"")</f>
        <v/>
      </c>
      <c r="T1825" s="208">
        <f>IF(NOT($L$1804),"",IF($G1825&lt;nr_MStartP,$S1825,$T1813*(1+IF($G1825&lt;nr_MStartP1,$M$1804,$N$1804))))</f>
        <v/>
      </c>
      <c r="U1825" s="208">
        <f>IF($L$1804,$T1825,$N1825)</f>
        <v/>
      </c>
    </row>
    <row r="1826">
      <c r="A1826" s="145" t="n">
        <v>20</v>
      </c>
      <c r="B1826" s="204">
        <f>EDATE($B1825,1)</f>
        <v/>
      </c>
      <c r="C1826" s="205">
        <f>EOMONTH($B1826,0)</f>
        <v/>
      </c>
      <c r="D1826" s="201">
        <f>$C1826-$B1826+1</f>
        <v/>
      </c>
      <c r="E1826" s="201">
        <f>MONTH($B1826)</f>
        <v/>
      </c>
      <c r="F1826" s="235">
        <f>($B1826+$C1826+1)/2</f>
        <v/>
      </c>
      <c r="G1826" s="201">
        <f>YEAR($B1826)*12+MONTH($B1826)-1</f>
        <v/>
      </c>
      <c r="H1826" s="207">
        <f>IF(OR(nr_SeasonOn="OFF",$D$1804=0,$E$1804=0),1,12*INDEX(se_block,$D$1804,$E1826)/$E$1804)</f>
        <v/>
      </c>
      <c r="I1826" s="208">
        <f>EXP(SUMPRODUCT((rl_eff&lt;$B1826)*(rl_key=$A$1804)*rl_ln1p))</f>
        <v/>
      </c>
      <c r="J1826" s="208">
        <f>EXP(SUMPRODUCT((rl_eff&lt;=$C1826)*(rl_key=$A$1804)*rl_ln1p))</f>
        <v/>
      </c>
      <c r="K1826" s="201">
        <f>COUNTIFS(rl_key,$A$1804,rl_eff,"&gt;="&amp;$B1826,rl_eff,"&lt;="&amp;$C1826)</f>
        <v/>
      </c>
      <c r="L1826" s="201">
        <f>SUMIFS(rl_daysafter,rl_key,$A$1804,rl_effmonth,$B1826,rl_first,1)</f>
        <v/>
      </c>
      <c r="M1826" s="209">
        <f>IF($K1826=0,0,MIN(1,$L1826/$D1826))</f>
        <v/>
      </c>
      <c r="N1826" s="208">
        <f>IF($K1826=0,$J1826,(1-$M1826)*$I1826+$M1826*$J1826)</f>
        <v/>
      </c>
      <c r="O1826" s="209">
        <f>IF($F1826&lt;$B$1805,$E$1805+$I$1805*($F1826-$A$1805),IF($F1826&lt;$C$1805,$F$1805+$J$1805*($F1826-$B$1805),$G$1805+$K$1805*($F1826-$C$1805)))</f>
        <v/>
      </c>
      <c r="P1826" s="208">
        <f>MIN(1,MAX(0,(nr_MEndPm1-$G1826+0.5)/$C$1804))-MIN(1,MAX(0,(nr_MStartPm1-1-$G1826+0.5)/$C$1804))</f>
        <v/>
      </c>
      <c r="Q1826" s="208">
        <f>MIN(1,MAX(0,(nr_MEndP-$G1826+0.5)/$C$1804))-MIN(1,MAX(0,(nr_MStartP-1-$G1826+0.5)/$C$1804))</f>
        <v/>
      </c>
      <c r="R1826" s="208">
        <f>MIN(1,MAX(0,(nr_MEndP1-$G1826+0.5)/$C$1804))-MIN(1,MAX(0,(nr_MStartP1-1-$G1826+0.5)/$C$1804))</f>
        <v/>
      </c>
      <c r="S1826" s="208">
        <f>IF($L$1804,$N1826*IF($O$1804=1,$O1826/$F$1804,1),"")</f>
        <v/>
      </c>
      <c r="T1826" s="208">
        <f>IF(NOT($L$1804),"",IF($G1826&lt;nr_MStartP,$S1826,$T1814*(1+IF($G1826&lt;nr_MStartP1,$M$1804,$N$1804))))</f>
        <v/>
      </c>
      <c r="U1826" s="208">
        <f>IF($L$1804,$T1826,$N1826)</f>
        <v/>
      </c>
    </row>
    <row r="1827">
      <c r="A1827" s="145" t="n">
        <v>21</v>
      </c>
      <c r="B1827" s="204">
        <f>EDATE($B1826,1)</f>
        <v/>
      </c>
      <c r="C1827" s="205">
        <f>EOMONTH($B1827,0)</f>
        <v/>
      </c>
      <c r="D1827" s="201">
        <f>$C1827-$B1827+1</f>
        <v/>
      </c>
      <c r="E1827" s="201">
        <f>MONTH($B1827)</f>
        <v/>
      </c>
      <c r="F1827" s="235">
        <f>($B1827+$C1827+1)/2</f>
        <v/>
      </c>
      <c r="G1827" s="201">
        <f>YEAR($B1827)*12+MONTH($B1827)-1</f>
        <v/>
      </c>
      <c r="H1827" s="207">
        <f>IF(OR(nr_SeasonOn="OFF",$D$1804=0,$E$1804=0),1,12*INDEX(se_block,$D$1804,$E1827)/$E$1804)</f>
        <v/>
      </c>
      <c r="I1827" s="208">
        <f>EXP(SUMPRODUCT((rl_eff&lt;$B1827)*(rl_key=$A$1804)*rl_ln1p))</f>
        <v/>
      </c>
      <c r="J1827" s="208">
        <f>EXP(SUMPRODUCT((rl_eff&lt;=$C1827)*(rl_key=$A$1804)*rl_ln1p))</f>
        <v/>
      </c>
      <c r="K1827" s="201">
        <f>COUNTIFS(rl_key,$A$1804,rl_eff,"&gt;="&amp;$B1827,rl_eff,"&lt;="&amp;$C1827)</f>
        <v/>
      </c>
      <c r="L1827" s="201">
        <f>SUMIFS(rl_daysafter,rl_key,$A$1804,rl_effmonth,$B1827,rl_first,1)</f>
        <v/>
      </c>
      <c r="M1827" s="209">
        <f>IF($K1827=0,0,MIN(1,$L1827/$D1827))</f>
        <v/>
      </c>
      <c r="N1827" s="208">
        <f>IF($K1827=0,$J1827,(1-$M1827)*$I1827+$M1827*$J1827)</f>
        <v/>
      </c>
      <c r="O1827" s="209">
        <f>IF($F1827&lt;$B$1805,$E$1805+$I$1805*($F1827-$A$1805),IF($F1827&lt;$C$1805,$F$1805+$J$1805*($F1827-$B$1805),$G$1805+$K$1805*($F1827-$C$1805)))</f>
        <v/>
      </c>
      <c r="P1827" s="208">
        <f>MIN(1,MAX(0,(nr_MEndPm1-$G1827+0.5)/$C$1804))-MIN(1,MAX(0,(nr_MStartPm1-1-$G1827+0.5)/$C$1804))</f>
        <v/>
      </c>
      <c r="Q1827" s="208">
        <f>MIN(1,MAX(0,(nr_MEndP-$G1827+0.5)/$C$1804))-MIN(1,MAX(0,(nr_MStartP-1-$G1827+0.5)/$C$1804))</f>
        <v/>
      </c>
      <c r="R1827" s="208">
        <f>MIN(1,MAX(0,(nr_MEndP1-$G1827+0.5)/$C$1804))-MIN(1,MAX(0,(nr_MStartP1-1-$G1827+0.5)/$C$1804))</f>
        <v/>
      </c>
      <c r="S1827" s="208">
        <f>IF($L$1804,$N1827*IF($O$1804=1,$O1827/$F$1804,1),"")</f>
        <v/>
      </c>
      <c r="T1827" s="208">
        <f>IF(NOT($L$1804),"",IF($G1827&lt;nr_MStartP,$S1827,$T1815*(1+IF($G1827&lt;nr_MStartP1,$M$1804,$N$1804))))</f>
        <v/>
      </c>
      <c r="U1827" s="208">
        <f>IF($L$1804,$T1827,$N1827)</f>
        <v/>
      </c>
    </row>
    <row r="1828">
      <c r="A1828" s="145" t="n">
        <v>22</v>
      </c>
      <c r="B1828" s="204">
        <f>EDATE($B1827,1)</f>
        <v/>
      </c>
      <c r="C1828" s="205">
        <f>EOMONTH($B1828,0)</f>
        <v/>
      </c>
      <c r="D1828" s="201">
        <f>$C1828-$B1828+1</f>
        <v/>
      </c>
      <c r="E1828" s="201">
        <f>MONTH($B1828)</f>
        <v/>
      </c>
      <c r="F1828" s="235">
        <f>($B1828+$C1828+1)/2</f>
        <v/>
      </c>
      <c r="G1828" s="201">
        <f>YEAR($B1828)*12+MONTH($B1828)-1</f>
        <v/>
      </c>
      <c r="H1828" s="207">
        <f>IF(OR(nr_SeasonOn="OFF",$D$1804=0,$E$1804=0),1,12*INDEX(se_block,$D$1804,$E1828)/$E$1804)</f>
        <v/>
      </c>
      <c r="I1828" s="208">
        <f>EXP(SUMPRODUCT((rl_eff&lt;$B1828)*(rl_key=$A$1804)*rl_ln1p))</f>
        <v/>
      </c>
      <c r="J1828" s="208">
        <f>EXP(SUMPRODUCT((rl_eff&lt;=$C1828)*(rl_key=$A$1804)*rl_ln1p))</f>
        <v/>
      </c>
      <c r="K1828" s="201">
        <f>COUNTIFS(rl_key,$A$1804,rl_eff,"&gt;="&amp;$B1828,rl_eff,"&lt;="&amp;$C1828)</f>
        <v/>
      </c>
      <c r="L1828" s="201">
        <f>SUMIFS(rl_daysafter,rl_key,$A$1804,rl_effmonth,$B1828,rl_first,1)</f>
        <v/>
      </c>
      <c r="M1828" s="209">
        <f>IF($K1828=0,0,MIN(1,$L1828/$D1828))</f>
        <v/>
      </c>
      <c r="N1828" s="208">
        <f>IF($K1828=0,$J1828,(1-$M1828)*$I1828+$M1828*$J1828)</f>
        <v/>
      </c>
      <c r="O1828" s="209">
        <f>IF($F1828&lt;$B$1805,$E$1805+$I$1805*($F1828-$A$1805),IF($F1828&lt;$C$1805,$F$1805+$J$1805*($F1828-$B$1805),$G$1805+$K$1805*($F1828-$C$1805)))</f>
        <v/>
      </c>
      <c r="P1828" s="208">
        <f>MIN(1,MAX(0,(nr_MEndPm1-$G1828+0.5)/$C$1804))-MIN(1,MAX(0,(nr_MStartPm1-1-$G1828+0.5)/$C$1804))</f>
        <v/>
      </c>
      <c r="Q1828" s="208">
        <f>MIN(1,MAX(0,(nr_MEndP-$G1828+0.5)/$C$1804))-MIN(1,MAX(0,(nr_MStartP-1-$G1828+0.5)/$C$1804))</f>
        <v/>
      </c>
      <c r="R1828" s="208">
        <f>MIN(1,MAX(0,(nr_MEndP1-$G1828+0.5)/$C$1804))-MIN(1,MAX(0,(nr_MStartP1-1-$G1828+0.5)/$C$1804))</f>
        <v/>
      </c>
      <c r="S1828" s="208">
        <f>IF($L$1804,$N1828*IF($O$1804=1,$O1828/$F$1804,1),"")</f>
        <v/>
      </c>
      <c r="T1828" s="208">
        <f>IF(NOT($L$1804),"",IF($G1828&lt;nr_MStartP,$S1828,$T1816*(1+IF($G1828&lt;nr_MStartP1,$M$1804,$N$1804))))</f>
        <v/>
      </c>
      <c r="U1828" s="208">
        <f>IF($L$1804,$T1828,$N1828)</f>
        <v/>
      </c>
    </row>
    <row r="1829">
      <c r="A1829" s="145" t="n">
        <v>23</v>
      </c>
      <c r="B1829" s="204">
        <f>EDATE($B1828,1)</f>
        <v/>
      </c>
      <c r="C1829" s="205">
        <f>EOMONTH($B1829,0)</f>
        <v/>
      </c>
      <c r="D1829" s="201">
        <f>$C1829-$B1829+1</f>
        <v/>
      </c>
      <c r="E1829" s="201">
        <f>MONTH($B1829)</f>
        <v/>
      </c>
      <c r="F1829" s="235">
        <f>($B1829+$C1829+1)/2</f>
        <v/>
      </c>
      <c r="G1829" s="201">
        <f>YEAR($B1829)*12+MONTH($B1829)-1</f>
        <v/>
      </c>
      <c r="H1829" s="207">
        <f>IF(OR(nr_SeasonOn="OFF",$D$1804=0,$E$1804=0),1,12*INDEX(se_block,$D$1804,$E1829)/$E$1804)</f>
        <v/>
      </c>
      <c r="I1829" s="208">
        <f>EXP(SUMPRODUCT((rl_eff&lt;$B1829)*(rl_key=$A$1804)*rl_ln1p))</f>
        <v/>
      </c>
      <c r="J1829" s="208">
        <f>EXP(SUMPRODUCT((rl_eff&lt;=$C1829)*(rl_key=$A$1804)*rl_ln1p))</f>
        <v/>
      </c>
      <c r="K1829" s="201">
        <f>COUNTIFS(rl_key,$A$1804,rl_eff,"&gt;="&amp;$B1829,rl_eff,"&lt;="&amp;$C1829)</f>
        <v/>
      </c>
      <c r="L1829" s="201">
        <f>SUMIFS(rl_daysafter,rl_key,$A$1804,rl_effmonth,$B1829,rl_first,1)</f>
        <v/>
      </c>
      <c r="M1829" s="209">
        <f>IF($K1829=0,0,MIN(1,$L1829/$D1829))</f>
        <v/>
      </c>
      <c r="N1829" s="208">
        <f>IF($K1829=0,$J1829,(1-$M1829)*$I1829+$M1829*$J1829)</f>
        <v/>
      </c>
      <c r="O1829" s="209">
        <f>IF($F1829&lt;$B$1805,$E$1805+$I$1805*($F1829-$A$1805),IF($F1829&lt;$C$1805,$F$1805+$J$1805*($F1829-$B$1805),$G$1805+$K$1805*($F1829-$C$1805)))</f>
        <v/>
      </c>
      <c r="P1829" s="208">
        <f>MIN(1,MAX(0,(nr_MEndPm1-$G1829+0.5)/$C$1804))-MIN(1,MAX(0,(nr_MStartPm1-1-$G1829+0.5)/$C$1804))</f>
        <v/>
      </c>
      <c r="Q1829" s="208">
        <f>MIN(1,MAX(0,(nr_MEndP-$G1829+0.5)/$C$1804))-MIN(1,MAX(0,(nr_MStartP-1-$G1829+0.5)/$C$1804))</f>
        <v/>
      </c>
      <c r="R1829" s="208">
        <f>MIN(1,MAX(0,(nr_MEndP1-$G1829+0.5)/$C$1804))-MIN(1,MAX(0,(nr_MStartP1-1-$G1829+0.5)/$C$1804))</f>
        <v/>
      </c>
      <c r="S1829" s="208">
        <f>IF($L$1804,$N1829*IF($O$1804=1,$O1829/$F$1804,1),"")</f>
        <v/>
      </c>
      <c r="T1829" s="208">
        <f>IF(NOT($L$1804),"",IF($G1829&lt;nr_MStartP,$S1829,$T1817*(1+IF($G1829&lt;nr_MStartP1,$M$1804,$N$1804))))</f>
        <v/>
      </c>
      <c r="U1829" s="208">
        <f>IF($L$1804,$T1829,$N1829)</f>
        <v/>
      </c>
    </row>
    <row r="1830">
      <c r="A1830" s="145" t="n">
        <v>24</v>
      </c>
      <c r="B1830" s="204">
        <f>EDATE($B1829,1)</f>
        <v/>
      </c>
      <c r="C1830" s="205">
        <f>EOMONTH($B1830,0)</f>
        <v/>
      </c>
      <c r="D1830" s="201">
        <f>$C1830-$B1830+1</f>
        <v/>
      </c>
      <c r="E1830" s="201">
        <f>MONTH($B1830)</f>
        <v/>
      </c>
      <c r="F1830" s="235">
        <f>($B1830+$C1830+1)/2</f>
        <v/>
      </c>
      <c r="G1830" s="201">
        <f>YEAR($B1830)*12+MONTH($B1830)-1</f>
        <v/>
      </c>
      <c r="H1830" s="207">
        <f>IF(OR(nr_SeasonOn="OFF",$D$1804=0,$E$1804=0),1,12*INDEX(se_block,$D$1804,$E1830)/$E$1804)</f>
        <v/>
      </c>
      <c r="I1830" s="208">
        <f>EXP(SUMPRODUCT((rl_eff&lt;$B1830)*(rl_key=$A$1804)*rl_ln1p))</f>
        <v/>
      </c>
      <c r="J1830" s="208">
        <f>EXP(SUMPRODUCT((rl_eff&lt;=$C1830)*(rl_key=$A$1804)*rl_ln1p))</f>
        <v/>
      </c>
      <c r="K1830" s="201">
        <f>COUNTIFS(rl_key,$A$1804,rl_eff,"&gt;="&amp;$B1830,rl_eff,"&lt;="&amp;$C1830)</f>
        <v/>
      </c>
      <c r="L1830" s="201">
        <f>SUMIFS(rl_daysafter,rl_key,$A$1804,rl_effmonth,$B1830,rl_first,1)</f>
        <v/>
      </c>
      <c r="M1830" s="209">
        <f>IF($K1830=0,0,MIN(1,$L1830/$D1830))</f>
        <v/>
      </c>
      <c r="N1830" s="208">
        <f>IF($K1830=0,$J1830,(1-$M1830)*$I1830+$M1830*$J1830)</f>
        <v/>
      </c>
      <c r="O1830" s="209">
        <f>IF($F1830&lt;$B$1805,$E$1805+$I$1805*($F1830-$A$1805),IF($F1830&lt;$C$1805,$F$1805+$J$1805*($F1830-$B$1805),$G$1805+$K$1805*($F1830-$C$1805)))</f>
        <v/>
      </c>
      <c r="P1830" s="208">
        <f>MIN(1,MAX(0,(nr_MEndPm1-$G1830+0.5)/$C$1804))-MIN(1,MAX(0,(nr_MStartPm1-1-$G1830+0.5)/$C$1804))</f>
        <v/>
      </c>
      <c r="Q1830" s="208">
        <f>MIN(1,MAX(0,(nr_MEndP-$G1830+0.5)/$C$1804))-MIN(1,MAX(0,(nr_MStartP-1-$G1830+0.5)/$C$1804))</f>
        <v/>
      </c>
      <c r="R1830" s="208">
        <f>MIN(1,MAX(0,(nr_MEndP1-$G1830+0.5)/$C$1804))-MIN(1,MAX(0,(nr_MStartP1-1-$G1830+0.5)/$C$1804))</f>
        <v/>
      </c>
      <c r="S1830" s="208">
        <f>IF($L$1804,$N1830*IF($O$1804=1,$O1830/$F$1804,1),"")</f>
        <v/>
      </c>
      <c r="T1830" s="208">
        <f>IF(NOT($L$1804),"",IF($G1830&lt;nr_MStartP,$S1830,$T1818*(1+IF($G1830&lt;nr_MStartP1,$M$1804,$N$1804))))</f>
        <v/>
      </c>
      <c r="U1830" s="208">
        <f>IF($L$1804,$T1830,$N1830)</f>
        <v/>
      </c>
    </row>
    <row r="1831">
      <c r="A1831" s="145" t="n">
        <v>25</v>
      </c>
      <c r="B1831" s="204">
        <f>EDATE($B1830,1)</f>
        <v/>
      </c>
      <c r="C1831" s="205">
        <f>EOMONTH($B1831,0)</f>
        <v/>
      </c>
      <c r="D1831" s="201">
        <f>$C1831-$B1831+1</f>
        <v/>
      </c>
      <c r="E1831" s="201">
        <f>MONTH($B1831)</f>
        <v/>
      </c>
      <c r="F1831" s="235">
        <f>($B1831+$C1831+1)/2</f>
        <v/>
      </c>
      <c r="G1831" s="201">
        <f>YEAR($B1831)*12+MONTH($B1831)-1</f>
        <v/>
      </c>
      <c r="H1831" s="207">
        <f>IF(OR(nr_SeasonOn="OFF",$D$1804=0,$E$1804=0),1,12*INDEX(se_block,$D$1804,$E1831)/$E$1804)</f>
        <v/>
      </c>
      <c r="I1831" s="208">
        <f>EXP(SUMPRODUCT((rl_eff&lt;$B1831)*(rl_key=$A$1804)*rl_ln1p))</f>
        <v/>
      </c>
      <c r="J1831" s="208">
        <f>EXP(SUMPRODUCT((rl_eff&lt;=$C1831)*(rl_key=$A$1804)*rl_ln1p))</f>
        <v/>
      </c>
      <c r="K1831" s="201">
        <f>COUNTIFS(rl_key,$A$1804,rl_eff,"&gt;="&amp;$B1831,rl_eff,"&lt;="&amp;$C1831)</f>
        <v/>
      </c>
      <c r="L1831" s="201">
        <f>SUMIFS(rl_daysafter,rl_key,$A$1804,rl_effmonth,$B1831,rl_first,1)</f>
        <v/>
      </c>
      <c r="M1831" s="209">
        <f>IF($K1831=0,0,MIN(1,$L1831/$D1831))</f>
        <v/>
      </c>
      <c r="N1831" s="208">
        <f>IF($K1831=0,$J1831,(1-$M1831)*$I1831+$M1831*$J1831)</f>
        <v/>
      </c>
      <c r="O1831" s="209">
        <f>IF($F1831&lt;$B$1805,$E$1805+$I$1805*($F1831-$A$1805),IF($F1831&lt;$C$1805,$F$1805+$J$1805*($F1831-$B$1805),$G$1805+$K$1805*($F1831-$C$1805)))</f>
        <v/>
      </c>
      <c r="P1831" s="208">
        <f>MIN(1,MAX(0,(nr_MEndPm1-$G1831+0.5)/$C$1804))-MIN(1,MAX(0,(nr_MStartPm1-1-$G1831+0.5)/$C$1804))</f>
        <v/>
      </c>
      <c r="Q1831" s="208">
        <f>MIN(1,MAX(0,(nr_MEndP-$G1831+0.5)/$C$1804))-MIN(1,MAX(0,(nr_MStartP-1-$G1831+0.5)/$C$1804))</f>
        <v/>
      </c>
      <c r="R1831" s="208">
        <f>MIN(1,MAX(0,(nr_MEndP1-$G1831+0.5)/$C$1804))-MIN(1,MAX(0,(nr_MStartP1-1-$G1831+0.5)/$C$1804))</f>
        <v/>
      </c>
      <c r="S1831" s="208">
        <f>IF($L$1804,$N1831*IF($O$1804=1,$O1831/$F$1804,1),"")</f>
        <v/>
      </c>
      <c r="T1831" s="208">
        <f>IF(NOT($L$1804),"",IF($G1831&lt;nr_MStartP,$S1831,$T1819*(1+IF($G1831&lt;nr_MStartP1,$M$1804,$N$1804))))</f>
        <v/>
      </c>
      <c r="U1831" s="208">
        <f>IF($L$1804,$T1831,$N1831)</f>
        <v/>
      </c>
    </row>
    <row r="1832">
      <c r="A1832" s="145" t="n">
        <v>26</v>
      </c>
      <c r="B1832" s="204">
        <f>EDATE($B1831,1)</f>
        <v/>
      </c>
      <c r="C1832" s="205">
        <f>EOMONTH($B1832,0)</f>
        <v/>
      </c>
      <c r="D1832" s="201">
        <f>$C1832-$B1832+1</f>
        <v/>
      </c>
      <c r="E1832" s="201">
        <f>MONTH($B1832)</f>
        <v/>
      </c>
      <c r="F1832" s="235">
        <f>($B1832+$C1832+1)/2</f>
        <v/>
      </c>
      <c r="G1832" s="201">
        <f>YEAR($B1832)*12+MONTH($B1832)-1</f>
        <v/>
      </c>
      <c r="H1832" s="207">
        <f>IF(OR(nr_SeasonOn="OFF",$D$1804=0,$E$1804=0),1,12*INDEX(se_block,$D$1804,$E1832)/$E$1804)</f>
        <v/>
      </c>
      <c r="I1832" s="208">
        <f>EXP(SUMPRODUCT((rl_eff&lt;$B1832)*(rl_key=$A$1804)*rl_ln1p))</f>
        <v/>
      </c>
      <c r="J1832" s="208">
        <f>EXP(SUMPRODUCT((rl_eff&lt;=$C1832)*(rl_key=$A$1804)*rl_ln1p))</f>
        <v/>
      </c>
      <c r="K1832" s="201">
        <f>COUNTIFS(rl_key,$A$1804,rl_eff,"&gt;="&amp;$B1832,rl_eff,"&lt;="&amp;$C1832)</f>
        <v/>
      </c>
      <c r="L1832" s="201">
        <f>SUMIFS(rl_daysafter,rl_key,$A$1804,rl_effmonth,$B1832,rl_first,1)</f>
        <v/>
      </c>
      <c r="M1832" s="209">
        <f>IF($K1832=0,0,MIN(1,$L1832/$D1832))</f>
        <v/>
      </c>
      <c r="N1832" s="208">
        <f>IF($K1832=0,$J1832,(1-$M1832)*$I1832+$M1832*$J1832)</f>
        <v/>
      </c>
      <c r="O1832" s="209">
        <f>IF($F1832&lt;$B$1805,$E$1805+$I$1805*($F1832-$A$1805),IF($F1832&lt;$C$1805,$F$1805+$J$1805*($F1832-$B$1805),$G$1805+$K$1805*($F1832-$C$1805)))</f>
        <v/>
      </c>
      <c r="P1832" s="208">
        <f>MIN(1,MAX(0,(nr_MEndPm1-$G1832+0.5)/$C$1804))-MIN(1,MAX(0,(nr_MStartPm1-1-$G1832+0.5)/$C$1804))</f>
        <v/>
      </c>
      <c r="Q1832" s="208">
        <f>MIN(1,MAX(0,(nr_MEndP-$G1832+0.5)/$C$1804))-MIN(1,MAX(0,(nr_MStartP-1-$G1832+0.5)/$C$1804))</f>
        <v/>
      </c>
      <c r="R1832" s="208">
        <f>MIN(1,MAX(0,(nr_MEndP1-$G1832+0.5)/$C$1804))-MIN(1,MAX(0,(nr_MStartP1-1-$G1832+0.5)/$C$1804))</f>
        <v/>
      </c>
      <c r="S1832" s="208">
        <f>IF($L$1804,$N1832*IF($O$1804=1,$O1832/$F$1804,1),"")</f>
        <v/>
      </c>
      <c r="T1832" s="208">
        <f>IF(NOT($L$1804),"",IF($G1832&lt;nr_MStartP,$S1832,$T1820*(1+IF($G1832&lt;nr_MStartP1,$M$1804,$N$1804))))</f>
        <v/>
      </c>
      <c r="U1832" s="208">
        <f>IF($L$1804,$T1832,$N1832)</f>
        <v/>
      </c>
    </row>
    <row r="1833">
      <c r="A1833" s="145" t="n">
        <v>27</v>
      </c>
      <c r="B1833" s="204">
        <f>EDATE($B1832,1)</f>
        <v/>
      </c>
      <c r="C1833" s="205">
        <f>EOMONTH($B1833,0)</f>
        <v/>
      </c>
      <c r="D1833" s="201">
        <f>$C1833-$B1833+1</f>
        <v/>
      </c>
      <c r="E1833" s="201">
        <f>MONTH($B1833)</f>
        <v/>
      </c>
      <c r="F1833" s="235">
        <f>($B1833+$C1833+1)/2</f>
        <v/>
      </c>
      <c r="G1833" s="201">
        <f>YEAR($B1833)*12+MONTH($B1833)-1</f>
        <v/>
      </c>
      <c r="H1833" s="207">
        <f>IF(OR(nr_SeasonOn="OFF",$D$1804=0,$E$1804=0),1,12*INDEX(se_block,$D$1804,$E1833)/$E$1804)</f>
        <v/>
      </c>
      <c r="I1833" s="208">
        <f>EXP(SUMPRODUCT((rl_eff&lt;$B1833)*(rl_key=$A$1804)*rl_ln1p))</f>
        <v/>
      </c>
      <c r="J1833" s="208">
        <f>EXP(SUMPRODUCT((rl_eff&lt;=$C1833)*(rl_key=$A$1804)*rl_ln1p))</f>
        <v/>
      </c>
      <c r="K1833" s="201">
        <f>COUNTIFS(rl_key,$A$1804,rl_eff,"&gt;="&amp;$B1833,rl_eff,"&lt;="&amp;$C1833)</f>
        <v/>
      </c>
      <c r="L1833" s="201">
        <f>SUMIFS(rl_daysafter,rl_key,$A$1804,rl_effmonth,$B1833,rl_first,1)</f>
        <v/>
      </c>
      <c r="M1833" s="209">
        <f>IF($K1833=0,0,MIN(1,$L1833/$D1833))</f>
        <v/>
      </c>
      <c r="N1833" s="208">
        <f>IF($K1833=0,$J1833,(1-$M1833)*$I1833+$M1833*$J1833)</f>
        <v/>
      </c>
      <c r="O1833" s="209">
        <f>IF($F1833&lt;$B$1805,$E$1805+$I$1805*($F1833-$A$1805),IF($F1833&lt;$C$1805,$F$1805+$J$1805*($F1833-$B$1805),$G$1805+$K$1805*($F1833-$C$1805)))</f>
        <v/>
      </c>
      <c r="P1833" s="208">
        <f>MIN(1,MAX(0,(nr_MEndPm1-$G1833+0.5)/$C$1804))-MIN(1,MAX(0,(nr_MStartPm1-1-$G1833+0.5)/$C$1804))</f>
        <v/>
      </c>
      <c r="Q1833" s="208">
        <f>MIN(1,MAX(0,(nr_MEndP-$G1833+0.5)/$C$1804))-MIN(1,MAX(0,(nr_MStartP-1-$G1833+0.5)/$C$1804))</f>
        <v/>
      </c>
      <c r="R1833" s="208">
        <f>MIN(1,MAX(0,(nr_MEndP1-$G1833+0.5)/$C$1804))-MIN(1,MAX(0,(nr_MStartP1-1-$G1833+0.5)/$C$1804))</f>
        <v/>
      </c>
      <c r="S1833" s="208">
        <f>IF($L$1804,$N1833*IF($O$1804=1,$O1833/$F$1804,1),"")</f>
        <v/>
      </c>
      <c r="T1833" s="208">
        <f>IF(NOT($L$1804),"",IF($G1833&lt;nr_MStartP,$S1833,$T1821*(1+IF($G1833&lt;nr_MStartP1,$M$1804,$N$1804))))</f>
        <v/>
      </c>
      <c r="U1833" s="208">
        <f>IF($L$1804,$T1833,$N1833)</f>
        <v/>
      </c>
    </row>
    <row r="1834">
      <c r="A1834" s="145" t="n">
        <v>28</v>
      </c>
      <c r="B1834" s="204">
        <f>EDATE($B1833,1)</f>
        <v/>
      </c>
      <c r="C1834" s="205">
        <f>EOMONTH($B1834,0)</f>
        <v/>
      </c>
      <c r="D1834" s="201">
        <f>$C1834-$B1834+1</f>
        <v/>
      </c>
      <c r="E1834" s="201">
        <f>MONTH($B1834)</f>
        <v/>
      </c>
      <c r="F1834" s="235">
        <f>($B1834+$C1834+1)/2</f>
        <v/>
      </c>
      <c r="G1834" s="201">
        <f>YEAR($B1834)*12+MONTH($B1834)-1</f>
        <v/>
      </c>
      <c r="H1834" s="207">
        <f>IF(OR(nr_SeasonOn="OFF",$D$1804=0,$E$1804=0),1,12*INDEX(se_block,$D$1804,$E1834)/$E$1804)</f>
        <v/>
      </c>
      <c r="I1834" s="208">
        <f>EXP(SUMPRODUCT((rl_eff&lt;$B1834)*(rl_key=$A$1804)*rl_ln1p))</f>
        <v/>
      </c>
      <c r="J1834" s="208">
        <f>EXP(SUMPRODUCT((rl_eff&lt;=$C1834)*(rl_key=$A$1804)*rl_ln1p))</f>
        <v/>
      </c>
      <c r="K1834" s="201">
        <f>COUNTIFS(rl_key,$A$1804,rl_eff,"&gt;="&amp;$B1834,rl_eff,"&lt;="&amp;$C1834)</f>
        <v/>
      </c>
      <c r="L1834" s="201">
        <f>SUMIFS(rl_daysafter,rl_key,$A$1804,rl_effmonth,$B1834,rl_first,1)</f>
        <v/>
      </c>
      <c r="M1834" s="209">
        <f>IF($K1834=0,0,MIN(1,$L1834/$D1834))</f>
        <v/>
      </c>
      <c r="N1834" s="208">
        <f>IF($K1834=0,$J1834,(1-$M1834)*$I1834+$M1834*$J1834)</f>
        <v/>
      </c>
      <c r="O1834" s="209">
        <f>IF($F1834&lt;$B$1805,$E$1805+$I$1805*($F1834-$A$1805),IF($F1834&lt;$C$1805,$F$1805+$J$1805*($F1834-$B$1805),$G$1805+$K$1805*($F1834-$C$1805)))</f>
        <v/>
      </c>
      <c r="P1834" s="208">
        <f>MIN(1,MAX(0,(nr_MEndPm1-$G1834+0.5)/$C$1804))-MIN(1,MAX(0,(nr_MStartPm1-1-$G1834+0.5)/$C$1804))</f>
        <v/>
      </c>
      <c r="Q1834" s="208">
        <f>MIN(1,MAX(0,(nr_MEndP-$G1834+0.5)/$C$1804))-MIN(1,MAX(0,(nr_MStartP-1-$G1834+0.5)/$C$1804))</f>
        <v/>
      </c>
      <c r="R1834" s="208">
        <f>MIN(1,MAX(0,(nr_MEndP1-$G1834+0.5)/$C$1804))-MIN(1,MAX(0,(nr_MStartP1-1-$G1834+0.5)/$C$1804))</f>
        <v/>
      </c>
      <c r="S1834" s="208">
        <f>IF($L$1804,$N1834*IF($O$1804=1,$O1834/$F$1804,1),"")</f>
        <v/>
      </c>
      <c r="T1834" s="208">
        <f>IF(NOT($L$1804),"",IF($G1834&lt;nr_MStartP,$S1834,$T1822*(1+IF($G1834&lt;nr_MStartP1,$M$1804,$N$1804))))</f>
        <v/>
      </c>
      <c r="U1834" s="208">
        <f>IF($L$1804,$T1834,$N1834)</f>
        <v/>
      </c>
    </row>
    <row r="1835">
      <c r="A1835" s="145" t="n">
        <v>29</v>
      </c>
      <c r="B1835" s="204">
        <f>EDATE($B1834,1)</f>
        <v/>
      </c>
      <c r="C1835" s="205">
        <f>EOMONTH($B1835,0)</f>
        <v/>
      </c>
      <c r="D1835" s="201">
        <f>$C1835-$B1835+1</f>
        <v/>
      </c>
      <c r="E1835" s="201">
        <f>MONTH($B1835)</f>
        <v/>
      </c>
      <c r="F1835" s="235">
        <f>($B1835+$C1835+1)/2</f>
        <v/>
      </c>
      <c r="G1835" s="201">
        <f>YEAR($B1835)*12+MONTH($B1835)-1</f>
        <v/>
      </c>
      <c r="H1835" s="207">
        <f>IF(OR(nr_SeasonOn="OFF",$D$1804=0,$E$1804=0),1,12*INDEX(se_block,$D$1804,$E1835)/$E$1804)</f>
        <v/>
      </c>
      <c r="I1835" s="208">
        <f>EXP(SUMPRODUCT((rl_eff&lt;$B1835)*(rl_key=$A$1804)*rl_ln1p))</f>
        <v/>
      </c>
      <c r="J1835" s="208">
        <f>EXP(SUMPRODUCT((rl_eff&lt;=$C1835)*(rl_key=$A$1804)*rl_ln1p))</f>
        <v/>
      </c>
      <c r="K1835" s="201">
        <f>COUNTIFS(rl_key,$A$1804,rl_eff,"&gt;="&amp;$B1835,rl_eff,"&lt;="&amp;$C1835)</f>
        <v/>
      </c>
      <c r="L1835" s="201">
        <f>SUMIFS(rl_daysafter,rl_key,$A$1804,rl_effmonth,$B1835,rl_first,1)</f>
        <v/>
      </c>
      <c r="M1835" s="209">
        <f>IF($K1835=0,0,MIN(1,$L1835/$D1835))</f>
        <v/>
      </c>
      <c r="N1835" s="208">
        <f>IF($K1835=0,$J1835,(1-$M1835)*$I1835+$M1835*$J1835)</f>
        <v/>
      </c>
      <c r="O1835" s="209">
        <f>IF($F1835&lt;$B$1805,$E$1805+$I$1805*($F1835-$A$1805),IF($F1835&lt;$C$1805,$F$1805+$J$1805*($F1835-$B$1805),$G$1805+$K$1805*($F1835-$C$1805)))</f>
        <v/>
      </c>
      <c r="P1835" s="208">
        <f>MIN(1,MAX(0,(nr_MEndPm1-$G1835+0.5)/$C$1804))-MIN(1,MAX(0,(nr_MStartPm1-1-$G1835+0.5)/$C$1804))</f>
        <v/>
      </c>
      <c r="Q1835" s="208">
        <f>MIN(1,MAX(0,(nr_MEndP-$G1835+0.5)/$C$1804))-MIN(1,MAX(0,(nr_MStartP-1-$G1835+0.5)/$C$1804))</f>
        <v/>
      </c>
      <c r="R1835" s="208">
        <f>MIN(1,MAX(0,(nr_MEndP1-$G1835+0.5)/$C$1804))-MIN(1,MAX(0,(nr_MStartP1-1-$G1835+0.5)/$C$1804))</f>
        <v/>
      </c>
      <c r="S1835" s="208">
        <f>IF($L$1804,$N1835*IF($O$1804=1,$O1835/$F$1804,1),"")</f>
        <v/>
      </c>
      <c r="T1835" s="208">
        <f>IF(NOT($L$1804),"",IF($G1835&lt;nr_MStartP,$S1835,$T1823*(1+IF($G1835&lt;nr_MStartP1,$M$1804,$N$1804))))</f>
        <v/>
      </c>
      <c r="U1835" s="208">
        <f>IF($L$1804,$T1835,$N1835)</f>
        <v/>
      </c>
    </row>
    <row r="1836">
      <c r="A1836" s="145" t="n">
        <v>30</v>
      </c>
      <c r="B1836" s="204">
        <f>EDATE($B1835,1)</f>
        <v/>
      </c>
      <c r="C1836" s="205">
        <f>EOMONTH($B1836,0)</f>
        <v/>
      </c>
      <c r="D1836" s="201">
        <f>$C1836-$B1836+1</f>
        <v/>
      </c>
      <c r="E1836" s="201">
        <f>MONTH($B1836)</f>
        <v/>
      </c>
      <c r="F1836" s="235">
        <f>($B1836+$C1836+1)/2</f>
        <v/>
      </c>
      <c r="G1836" s="201">
        <f>YEAR($B1836)*12+MONTH($B1836)-1</f>
        <v/>
      </c>
      <c r="H1836" s="207">
        <f>IF(OR(nr_SeasonOn="OFF",$D$1804=0,$E$1804=0),1,12*INDEX(se_block,$D$1804,$E1836)/$E$1804)</f>
        <v/>
      </c>
      <c r="I1836" s="208">
        <f>EXP(SUMPRODUCT((rl_eff&lt;$B1836)*(rl_key=$A$1804)*rl_ln1p))</f>
        <v/>
      </c>
      <c r="J1836" s="208">
        <f>EXP(SUMPRODUCT((rl_eff&lt;=$C1836)*(rl_key=$A$1804)*rl_ln1p))</f>
        <v/>
      </c>
      <c r="K1836" s="201">
        <f>COUNTIFS(rl_key,$A$1804,rl_eff,"&gt;="&amp;$B1836,rl_eff,"&lt;="&amp;$C1836)</f>
        <v/>
      </c>
      <c r="L1836" s="201">
        <f>SUMIFS(rl_daysafter,rl_key,$A$1804,rl_effmonth,$B1836,rl_first,1)</f>
        <v/>
      </c>
      <c r="M1836" s="209">
        <f>IF($K1836=0,0,MIN(1,$L1836/$D1836))</f>
        <v/>
      </c>
      <c r="N1836" s="208">
        <f>IF($K1836=0,$J1836,(1-$M1836)*$I1836+$M1836*$J1836)</f>
        <v/>
      </c>
      <c r="O1836" s="209">
        <f>IF($F1836&lt;$B$1805,$E$1805+$I$1805*($F1836-$A$1805),IF($F1836&lt;$C$1805,$F$1805+$J$1805*($F1836-$B$1805),$G$1805+$K$1805*($F1836-$C$1805)))</f>
        <v/>
      </c>
      <c r="P1836" s="208">
        <f>MIN(1,MAX(0,(nr_MEndPm1-$G1836+0.5)/$C$1804))-MIN(1,MAX(0,(nr_MStartPm1-1-$G1836+0.5)/$C$1804))</f>
        <v/>
      </c>
      <c r="Q1836" s="208">
        <f>MIN(1,MAX(0,(nr_MEndP-$G1836+0.5)/$C$1804))-MIN(1,MAX(0,(nr_MStartP-1-$G1836+0.5)/$C$1804))</f>
        <v/>
      </c>
      <c r="R1836" s="208">
        <f>MIN(1,MAX(0,(nr_MEndP1-$G1836+0.5)/$C$1804))-MIN(1,MAX(0,(nr_MStartP1-1-$G1836+0.5)/$C$1804))</f>
        <v/>
      </c>
      <c r="S1836" s="208">
        <f>IF($L$1804,$N1836*IF($O$1804=1,$O1836/$F$1804,1),"")</f>
        <v/>
      </c>
      <c r="T1836" s="208">
        <f>IF(NOT($L$1804),"",IF($G1836&lt;nr_MStartP,$S1836,$T1824*(1+IF($G1836&lt;nr_MStartP1,$M$1804,$N$1804))))</f>
        <v/>
      </c>
      <c r="U1836" s="208">
        <f>IF($L$1804,$T1836,$N1836)</f>
        <v/>
      </c>
    </row>
    <row r="1837">
      <c r="A1837" s="145" t="n">
        <v>31</v>
      </c>
      <c r="B1837" s="204">
        <f>EDATE($B1836,1)</f>
        <v/>
      </c>
      <c r="C1837" s="205">
        <f>EOMONTH($B1837,0)</f>
        <v/>
      </c>
      <c r="D1837" s="201">
        <f>$C1837-$B1837+1</f>
        <v/>
      </c>
      <c r="E1837" s="201">
        <f>MONTH($B1837)</f>
        <v/>
      </c>
      <c r="F1837" s="235">
        <f>($B1837+$C1837+1)/2</f>
        <v/>
      </c>
      <c r="G1837" s="201">
        <f>YEAR($B1837)*12+MONTH($B1837)-1</f>
        <v/>
      </c>
      <c r="H1837" s="207">
        <f>IF(OR(nr_SeasonOn="OFF",$D$1804=0,$E$1804=0),1,12*INDEX(se_block,$D$1804,$E1837)/$E$1804)</f>
        <v/>
      </c>
      <c r="I1837" s="208">
        <f>EXP(SUMPRODUCT((rl_eff&lt;$B1837)*(rl_key=$A$1804)*rl_ln1p))</f>
        <v/>
      </c>
      <c r="J1837" s="208">
        <f>EXP(SUMPRODUCT((rl_eff&lt;=$C1837)*(rl_key=$A$1804)*rl_ln1p))</f>
        <v/>
      </c>
      <c r="K1837" s="201">
        <f>COUNTIFS(rl_key,$A$1804,rl_eff,"&gt;="&amp;$B1837,rl_eff,"&lt;="&amp;$C1837)</f>
        <v/>
      </c>
      <c r="L1837" s="201">
        <f>SUMIFS(rl_daysafter,rl_key,$A$1804,rl_effmonth,$B1837,rl_first,1)</f>
        <v/>
      </c>
      <c r="M1837" s="209">
        <f>IF($K1837=0,0,MIN(1,$L1837/$D1837))</f>
        <v/>
      </c>
      <c r="N1837" s="208">
        <f>IF($K1837=0,$J1837,(1-$M1837)*$I1837+$M1837*$J1837)</f>
        <v/>
      </c>
      <c r="O1837" s="209">
        <f>IF($F1837&lt;$B$1805,$E$1805+$I$1805*($F1837-$A$1805),IF($F1837&lt;$C$1805,$F$1805+$J$1805*($F1837-$B$1805),$G$1805+$K$1805*($F1837-$C$1805)))</f>
        <v/>
      </c>
      <c r="P1837" s="208">
        <f>MIN(1,MAX(0,(nr_MEndPm1-$G1837+0.5)/$C$1804))-MIN(1,MAX(0,(nr_MStartPm1-1-$G1837+0.5)/$C$1804))</f>
        <v/>
      </c>
      <c r="Q1837" s="208">
        <f>MIN(1,MAX(0,(nr_MEndP-$G1837+0.5)/$C$1804))-MIN(1,MAX(0,(nr_MStartP-1-$G1837+0.5)/$C$1804))</f>
        <v/>
      </c>
      <c r="R1837" s="208">
        <f>MIN(1,MAX(0,(nr_MEndP1-$G1837+0.5)/$C$1804))-MIN(1,MAX(0,(nr_MStartP1-1-$G1837+0.5)/$C$1804))</f>
        <v/>
      </c>
      <c r="S1837" s="208">
        <f>IF($L$1804,$N1837*IF($O$1804=1,$O1837/$F$1804,1),"")</f>
        <v/>
      </c>
      <c r="T1837" s="208">
        <f>IF(NOT($L$1804),"",IF($G1837&lt;nr_MStartP,$S1837,$T1825*(1+IF($G1837&lt;nr_MStartP1,$M$1804,$N$1804))))</f>
        <v/>
      </c>
      <c r="U1837" s="208">
        <f>IF($L$1804,$T1837,$N1837)</f>
        <v/>
      </c>
    </row>
    <row r="1838">
      <c r="A1838" s="145" t="n">
        <v>32</v>
      </c>
      <c r="B1838" s="204">
        <f>EDATE($B1837,1)</f>
        <v/>
      </c>
      <c r="C1838" s="205">
        <f>EOMONTH($B1838,0)</f>
        <v/>
      </c>
      <c r="D1838" s="201">
        <f>$C1838-$B1838+1</f>
        <v/>
      </c>
      <c r="E1838" s="201">
        <f>MONTH($B1838)</f>
        <v/>
      </c>
      <c r="F1838" s="235">
        <f>($B1838+$C1838+1)/2</f>
        <v/>
      </c>
      <c r="G1838" s="201">
        <f>YEAR($B1838)*12+MONTH($B1838)-1</f>
        <v/>
      </c>
      <c r="H1838" s="207">
        <f>IF(OR(nr_SeasonOn="OFF",$D$1804=0,$E$1804=0),1,12*INDEX(se_block,$D$1804,$E1838)/$E$1804)</f>
        <v/>
      </c>
      <c r="I1838" s="208">
        <f>EXP(SUMPRODUCT((rl_eff&lt;$B1838)*(rl_key=$A$1804)*rl_ln1p))</f>
        <v/>
      </c>
      <c r="J1838" s="208">
        <f>EXP(SUMPRODUCT((rl_eff&lt;=$C1838)*(rl_key=$A$1804)*rl_ln1p))</f>
        <v/>
      </c>
      <c r="K1838" s="201">
        <f>COUNTIFS(rl_key,$A$1804,rl_eff,"&gt;="&amp;$B1838,rl_eff,"&lt;="&amp;$C1838)</f>
        <v/>
      </c>
      <c r="L1838" s="201">
        <f>SUMIFS(rl_daysafter,rl_key,$A$1804,rl_effmonth,$B1838,rl_first,1)</f>
        <v/>
      </c>
      <c r="M1838" s="209">
        <f>IF($K1838=0,0,MIN(1,$L1838/$D1838))</f>
        <v/>
      </c>
      <c r="N1838" s="208">
        <f>IF($K1838=0,$J1838,(1-$M1838)*$I1838+$M1838*$J1838)</f>
        <v/>
      </c>
      <c r="O1838" s="209">
        <f>IF($F1838&lt;$B$1805,$E$1805+$I$1805*($F1838-$A$1805),IF($F1838&lt;$C$1805,$F$1805+$J$1805*($F1838-$B$1805),$G$1805+$K$1805*($F1838-$C$1805)))</f>
        <v/>
      </c>
      <c r="P1838" s="208">
        <f>MIN(1,MAX(0,(nr_MEndPm1-$G1838+0.5)/$C$1804))-MIN(1,MAX(0,(nr_MStartPm1-1-$G1838+0.5)/$C$1804))</f>
        <v/>
      </c>
      <c r="Q1838" s="208">
        <f>MIN(1,MAX(0,(nr_MEndP-$G1838+0.5)/$C$1804))-MIN(1,MAX(0,(nr_MStartP-1-$G1838+0.5)/$C$1804))</f>
        <v/>
      </c>
      <c r="R1838" s="208">
        <f>MIN(1,MAX(0,(nr_MEndP1-$G1838+0.5)/$C$1804))-MIN(1,MAX(0,(nr_MStartP1-1-$G1838+0.5)/$C$1804))</f>
        <v/>
      </c>
      <c r="S1838" s="208">
        <f>IF($L$1804,$N1838*IF($O$1804=1,$O1838/$F$1804,1),"")</f>
        <v/>
      </c>
      <c r="T1838" s="208">
        <f>IF(NOT($L$1804),"",IF($G1838&lt;nr_MStartP,$S1838,$T1826*(1+IF($G1838&lt;nr_MStartP1,$M$1804,$N$1804))))</f>
        <v/>
      </c>
      <c r="U1838" s="208">
        <f>IF($L$1804,$T1838,$N1838)</f>
        <v/>
      </c>
    </row>
    <row r="1839">
      <c r="A1839" s="145" t="n">
        <v>33</v>
      </c>
      <c r="B1839" s="204">
        <f>EDATE($B1838,1)</f>
        <v/>
      </c>
      <c r="C1839" s="205">
        <f>EOMONTH($B1839,0)</f>
        <v/>
      </c>
      <c r="D1839" s="201">
        <f>$C1839-$B1839+1</f>
        <v/>
      </c>
      <c r="E1839" s="201">
        <f>MONTH($B1839)</f>
        <v/>
      </c>
      <c r="F1839" s="235">
        <f>($B1839+$C1839+1)/2</f>
        <v/>
      </c>
      <c r="G1839" s="201">
        <f>YEAR($B1839)*12+MONTH($B1839)-1</f>
        <v/>
      </c>
      <c r="H1839" s="207">
        <f>IF(OR(nr_SeasonOn="OFF",$D$1804=0,$E$1804=0),1,12*INDEX(se_block,$D$1804,$E1839)/$E$1804)</f>
        <v/>
      </c>
      <c r="I1839" s="208">
        <f>EXP(SUMPRODUCT((rl_eff&lt;$B1839)*(rl_key=$A$1804)*rl_ln1p))</f>
        <v/>
      </c>
      <c r="J1839" s="208">
        <f>EXP(SUMPRODUCT((rl_eff&lt;=$C1839)*(rl_key=$A$1804)*rl_ln1p))</f>
        <v/>
      </c>
      <c r="K1839" s="201">
        <f>COUNTIFS(rl_key,$A$1804,rl_eff,"&gt;="&amp;$B1839,rl_eff,"&lt;="&amp;$C1839)</f>
        <v/>
      </c>
      <c r="L1839" s="201">
        <f>SUMIFS(rl_daysafter,rl_key,$A$1804,rl_effmonth,$B1839,rl_first,1)</f>
        <v/>
      </c>
      <c r="M1839" s="209">
        <f>IF($K1839=0,0,MIN(1,$L1839/$D1839))</f>
        <v/>
      </c>
      <c r="N1839" s="208">
        <f>IF($K1839=0,$J1839,(1-$M1839)*$I1839+$M1839*$J1839)</f>
        <v/>
      </c>
      <c r="O1839" s="209">
        <f>IF($F1839&lt;$B$1805,$E$1805+$I$1805*($F1839-$A$1805),IF($F1839&lt;$C$1805,$F$1805+$J$1805*($F1839-$B$1805),$G$1805+$K$1805*($F1839-$C$1805)))</f>
        <v/>
      </c>
      <c r="P1839" s="208">
        <f>MIN(1,MAX(0,(nr_MEndPm1-$G1839+0.5)/$C$1804))-MIN(1,MAX(0,(nr_MStartPm1-1-$G1839+0.5)/$C$1804))</f>
        <v/>
      </c>
      <c r="Q1839" s="208">
        <f>MIN(1,MAX(0,(nr_MEndP-$G1839+0.5)/$C$1804))-MIN(1,MAX(0,(nr_MStartP-1-$G1839+0.5)/$C$1804))</f>
        <v/>
      </c>
      <c r="R1839" s="208">
        <f>MIN(1,MAX(0,(nr_MEndP1-$G1839+0.5)/$C$1804))-MIN(1,MAX(0,(nr_MStartP1-1-$G1839+0.5)/$C$1804))</f>
        <v/>
      </c>
      <c r="S1839" s="208">
        <f>IF($L$1804,$N1839*IF($O$1804=1,$O1839/$F$1804,1),"")</f>
        <v/>
      </c>
      <c r="T1839" s="208">
        <f>IF(NOT($L$1804),"",IF($G1839&lt;nr_MStartP,$S1839,$T1827*(1+IF($G1839&lt;nr_MStartP1,$M$1804,$N$1804))))</f>
        <v/>
      </c>
      <c r="U1839" s="208">
        <f>IF($L$1804,$T1839,$N1839)</f>
        <v/>
      </c>
    </row>
    <row r="1840">
      <c r="A1840" s="145" t="n">
        <v>34</v>
      </c>
      <c r="B1840" s="204">
        <f>EDATE($B1839,1)</f>
        <v/>
      </c>
      <c r="C1840" s="205">
        <f>EOMONTH($B1840,0)</f>
        <v/>
      </c>
      <c r="D1840" s="201">
        <f>$C1840-$B1840+1</f>
        <v/>
      </c>
      <c r="E1840" s="201">
        <f>MONTH($B1840)</f>
        <v/>
      </c>
      <c r="F1840" s="235">
        <f>($B1840+$C1840+1)/2</f>
        <v/>
      </c>
      <c r="G1840" s="201">
        <f>YEAR($B1840)*12+MONTH($B1840)-1</f>
        <v/>
      </c>
      <c r="H1840" s="207">
        <f>IF(OR(nr_SeasonOn="OFF",$D$1804=0,$E$1804=0),1,12*INDEX(se_block,$D$1804,$E1840)/$E$1804)</f>
        <v/>
      </c>
      <c r="I1840" s="208">
        <f>EXP(SUMPRODUCT((rl_eff&lt;$B1840)*(rl_key=$A$1804)*rl_ln1p))</f>
        <v/>
      </c>
      <c r="J1840" s="208">
        <f>EXP(SUMPRODUCT((rl_eff&lt;=$C1840)*(rl_key=$A$1804)*rl_ln1p))</f>
        <v/>
      </c>
      <c r="K1840" s="201">
        <f>COUNTIFS(rl_key,$A$1804,rl_eff,"&gt;="&amp;$B1840,rl_eff,"&lt;="&amp;$C1840)</f>
        <v/>
      </c>
      <c r="L1840" s="201">
        <f>SUMIFS(rl_daysafter,rl_key,$A$1804,rl_effmonth,$B1840,rl_first,1)</f>
        <v/>
      </c>
      <c r="M1840" s="209">
        <f>IF($K1840=0,0,MIN(1,$L1840/$D1840))</f>
        <v/>
      </c>
      <c r="N1840" s="208">
        <f>IF($K1840=0,$J1840,(1-$M1840)*$I1840+$M1840*$J1840)</f>
        <v/>
      </c>
      <c r="O1840" s="209">
        <f>IF($F1840&lt;$B$1805,$E$1805+$I$1805*($F1840-$A$1805),IF($F1840&lt;$C$1805,$F$1805+$J$1805*($F1840-$B$1805),$G$1805+$K$1805*($F1840-$C$1805)))</f>
        <v/>
      </c>
      <c r="P1840" s="208">
        <f>MIN(1,MAX(0,(nr_MEndPm1-$G1840+0.5)/$C$1804))-MIN(1,MAX(0,(nr_MStartPm1-1-$G1840+0.5)/$C$1804))</f>
        <v/>
      </c>
      <c r="Q1840" s="208">
        <f>MIN(1,MAX(0,(nr_MEndP-$G1840+0.5)/$C$1804))-MIN(1,MAX(0,(nr_MStartP-1-$G1840+0.5)/$C$1804))</f>
        <v/>
      </c>
      <c r="R1840" s="208">
        <f>MIN(1,MAX(0,(nr_MEndP1-$G1840+0.5)/$C$1804))-MIN(1,MAX(0,(nr_MStartP1-1-$G1840+0.5)/$C$1804))</f>
        <v/>
      </c>
      <c r="S1840" s="208">
        <f>IF($L$1804,$N1840*IF($O$1804=1,$O1840/$F$1804,1),"")</f>
        <v/>
      </c>
      <c r="T1840" s="208">
        <f>IF(NOT($L$1804),"",IF($G1840&lt;nr_MStartP,$S1840,$T1828*(1+IF($G1840&lt;nr_MStartP1,$M$1804,$N$1804))))</f>
        <v/>
      </c>
      <c r="U1840" s="208">
        <f>IF($L$1804,$T1840,$N1840)</f>
        <v/>
      </c>
    </row>
    <row r="1841">
      <c r="A1841" s="145" t="n">
        <v>35</v>
      </c>
      <c r="B1841" s="204">
        <f>EDATE($B1840,1)</f>
        <v/>
      </c>
      <c r="C1841" s="205">
        <f>EOMONTH($B1841,0)</f>
        <v/>
      </c>
      <c r="D1841" s="201">
        <f>$C1841-$B1841+1</f>
        <v/>
      </c>
      <c r="E1841" s="201">
        <f>MONTH($B1841)</f>
        <v/>
      </c>
      <c r="F1841" s="235">
        <f>($B1841+$C1841+1)/2</f>
        <v/>
      </c>
      <c r="G1841" s="201">
        <f>YEAR($B1841)*12+MONTH($B1841)-1</f>
        <v/>
      </c>
      <c r="H1841" s="207">
        <f>IF(OR(nr_SeasonOn="OFF",$D$1804=0,$E$1804=0),1,12*INDEX(se_block,$D$1804,$E1841)/$E$1804)</f>
        <v/>
      </c>
      <c r="I1841" s="208">
        <f>EXP(SUMPRODUCT((rl_eff&lt;$B1841)*(rl_key=$A$1804)*rl_ln1p))</f>
        <v/>
      </c>
      <c r="J1841" s="208">
        <f>EXP(SUMPRODUCT((rl_eff&lt;=$C1841)*(rl_key=$A$1804)*rl_ln1p))</f>
        <v/>
      </c>
      <c r="K1841" s="201">
        <f>COUNTIFS(rl_key,$A$1804,rl_eff,"&gt;="&amp;$B1841,rl_eff,"&lt;="&amp;$C1841)</f>
        <v/>
      </c>
      <c r="L1841" s="201">
        <f>SUMIFS(rl_daysafter,rl_key,$A$1804,rl_effmonth,$B1841,rl_first,1)</f>
        <v/>
      </c>
      <c r="M1841" s="209">
        <f>IF($K1841=0,0,MIN(1,$L1841/$D1841))</f>
        <v/>
      </c>
      <c r="N1841" s="208">
        <f>IF($K1841=0,$J1841,(1-$M1841)*$I1841+$M1841*$J1841)</f>
        <v/>
      </c>
      <c r="O1841" s="209">
        <f>IF($F1841&lt;$B$1805,$E$1805+$I$1805*($F1841-$A$1805),IF($F1841&lt;$C$1805,$F$1805+$J$1805*($F1841-$B$1805),$G$1805+$K$1805*($F1841-$C$1805)))</f>
        <v/>
      </c>
      <c r="P1841" s="208">
        <f>MIN(1,MAX(0,(nr_MEndPm1-$G1841+0.5)/$C$1804))-MIN(1,MAX(0,(nr_MStartPm1-1-$G1841+0.5)/$C$1804))</f>
        <v/>
      </c>
      <c r="Q1841" s="208">
        <f>MIN(1,MAX(0,(nr_MEndP-$G1841+0.5)/$C$1804))-MIN(1,MAX(0,(nr_MStartP-1-$G1841+0.5)/$C$1804))</f>
        <v/>
      </c>
      <c r="R1841" s="208">
        <f>MIN(1,MAX(0,(nr_MEndP1-$G1841+0.5)/$C$1804))-MIN(1,MAX(0,(nr_MStartP1-1-$G1841+0.5)/$C$1804))</f>
        <v/>
      </c>
      <c r="S1841" s="208">
        <f>IF($L$1804,$N1841*IF($O$1804=1,$O1841/$F$1804,1),"")</f>
        <v/>
      </c>
      <c r="T1841" s="208">
        <f>IF(NOT($L$1804),"",IF($G1841&lt;nr_MStartP,$S1841,$T1829*(1+IF($G1841&lt;nr_MStartP1,$M$1804,$N$1804))))</f>
        <v/>
      </c>
      <c r="U1841" s="208">
        <f>IF($L$1804,$T1841,$N1841)</f>
        <v/>
      </c>
    </row>
    <row r="1842">
      <c r="A1842" s="145" t="n">
        <v>36</v>
      </c>
      <c r="B1842" s="204">
        <f>EDATE($B1841,1)</f>
        <v/>
      </c>
      <c r="C1842" s="205">
        <f>EOMONTH($B1842,0)</f>
        <v/>
      </c>
      <c r="D1842" s="201">
        <f>$C1842-$B1842+1</f>
        <v/>
      </c>
      <c r="E1842" s="201">
        <f>MONTH($B1842)</f>
        <v/>
      </c>
      <c r="F1842" s="235">
        <f>($B1842+$C1842+1)/2</f>
        <v/>
      </c>
      <c r="G1842" s="201">
        <f>YEAR($B1842)*12+MONTH($B1842)-1</f>
        <v/>
      </c>
      <c r="H1842" s="207">
        <f>IF(OR(nr_SeasonOn="OFF",$D$1804=0,$E$1804=0),1,12*INDEX(se_block,$D$1804,$E1842)/$E$1804)</f>
        <v/>
      </c>
      <c r="I1842" s="208">
        <f>EXP(SUMPRODUCT((rl_eff&lt;$B1842)*(rl_key=$A$1804)*rl_ln1p))</f>
        <v/>
      </c>
      <c r="J1842" s="208">
        <f>EXP(SUMPRODUCT((rl_eff&lt;=$C1842)*(rl_key=$A$1804)*rl_ln1p))</f>
        <v/>
      </c>
      <c r="K1842" s="201">
        <f>COUNTIFS(rl_key,$A$1804,rl_eff,"&gt;="&amp;$B1842,rl_eff,"&lt;="&amp;$C1842)</f>
        <v/>
      </c>
      <c r="L1842" s="201">
        <f>SUMIFS(rl_daysafter,rl_key,$A$1804,rl_effmonth,$B1842,rl_first,1)</f>
        <v/>
      </c>
      <c r="M1842" s="209">
        <f>IF($K1842=0,0,MIN(1,$L1842/$D1842))</f>
        <v/>
      </c>
      <c r="N1842" s="208">
        <f>IF($K1842=0,$J1842,(1-$M1842)*$I1842+$M1842*$J1842)</f>
        <v/>
      </c>
      <c r="O1842" s="209">
        <f>IF($F1842&lt;$B$1805,$E$1805+$I$1805*($F1842-$A$1805),IF($F1842&lt;$C$1805,$F$1805+$J$1805*($F1842-$B$1805),$G$1805+$K$1805*($F1842-$C$1805)))</f>
        <v/>
      </c>
      <c r="P1842" s="208">
        <f>MIN(1,MAX(0,(nr_MEndPm1-$G1842+0.5)/$C$1804))-MIN(1,MAX(0,(nr_MStartPm1-1-$G1842+0.5)/$C$1804))</f>
        <v/>
      </c>
      <c r="Q1842" s="208">
        <f>MIN(1,MAX(0,(nr_MEndP-$G1842+0.5)/$C$1804))-MIN(1,MAX(0,(nr_MStartP-1-$G1842+0.5)/$C$1804))</f>
        <v/>
      </c>
      <c r="R1842" s="208">
        <f>MIN(1,MAX(0,(nr_MEndP1-$G1842+0.5)/$C$1804))-MIN(1,MAX(0,(nr_MStartP1-1-$G1842+0.5)/$C$1804))</f>
        <v/>
      </c>
      <c r="S1842" s="208">
        <f>IF($L$1804,$N1842*IF($O$1804=1,$O1842/$F$1804,1),"")</f>
        <v/>
      </c>
      <c r="T1842" s="208">
        <f>IF(NOT($L$1804),"",IF($G1842&lt;nr_MStartP,$S1842,$T1830*(1+IF($G1842&lt;nr_MStartP1,$M$1804,$N$1804))))</f>
        <v/>
      </c>
      <c r="U1842" s="208">
        <f>IF($L$1804,$T1842,$N1842)</f>
        <v/>
      </c>
    </row>
    <row r="1843">
      <c r="A1843" s="145" t="n">
        <v>37</v>
      </c>
      <c r="B1843" s="204">
        <f>EDATE($B1842,1)</f>
        <v/>
      </c>
      <c r="C1843" s="205">
        <f>EOMONTH($B1843,0)</f>
        <v/>
      </c>
      <c r="D1843" s="201">
        <f>$C1843-$B1843+1</f>
        <v/>
      </c>
      <c r="E1843" s="201">
        <f>MONTH($B1843)</f>
        <v/>
      </c>
      <c r="F1843" s="235">
        <f>($B1843+$C1843+1)/2</f>
        <v/>
      </c>
      <c r="G1843" s="201">
        <f>YEAR($B1843)*12+MONTH($B1843)-1</f>
        <v/>
      </c>
      <c r="H1843" s="207">
        <f>IF(OR(nr_SeasonOn="OFF",$D$1804=0,$E$1804=0),1,12*INDEX(se_block,$D$1804,$E1843)/$E$1804)</f>
        <v/>
      </c>
      <c r="I1843" s="208">
        <f>EXP(SUMPRODUCT((rl_eff&lt;$B1843)*(rl_key=$A$1804)*rl_ln1p))</f>
        <v/>
      </c>
      <c r="J1843" s="208">
        <f>EXP(SUMPRODUCT((rl_eff&lt;=$C1843)*(rl_key=$A$1804)*rl_ln1p))</f>
        <v/>
      </c>
      <c r="K1843" s="201">
        <f>COUNTIFS(rl_key,$A$1804,rl_eff,"&gt;="&amp;$B1843,rl_eff,"&lt;="&amp;$C1843)</f>
        <v/>
      </c>
      <c r="L1843" s="201">
        <f>SUMIFS(rl_daysafter,rl_key,$A$1804,rl_effmonth,$B1843,rl_first,1)</f>
        <v/>
      </c>
      <c r="M1843" s="209">
        <f>IF($K1843=0,0,MIN(1,$L1843/$D1843))</f>
        <v/>
      </c>
      <c r="N1843" s="208">
        <f>IF($K1843=0,$J1843,(1-$M1843)*$I1843+$M1843*$J1843)</f>
        <v/>
      </c>
      <c r="O1843" s="209">
        <f>IF($F1843&lt;$B$1805,$E$1805+$I$1805*($F1843-$A$1805),IF($F1843&lt;$C$1805,$F$1805+$J$1805*($F1843-$B$1805),$G$1805+$K$1805*($F1843-$C$1805)))</f>
        <v/>
      </c>
      <c r="P1843" s="208">
        <f>MIN(1,MAX(0,(nr_MEndPm1-$G1843+0.5)/$C$1804))-MIN(1,MAX(0,(nr_MStartPm1-1-$G1843+0.5)/$C$1804))</f>
        <v/>
      </c>
      <c r="Q1843" s="208">
        <f>MIN(1,MAX(0,(nr_MEndP-$G1843+0.5)/$C$1804))-MIN(1,MAX(0,(nr_MStartP-1-$G1843+0.5)/$C$1804))</f>
        <v/>
      </c>
      <c r="R1843" s="208">
        <f>MIN(1,MAX(0,(nr_MEndP1-$G1843+0.5)/$C$1804))-MIN(1,MAX(0,(nr_MStartP1-1-$G1843+0.5)/$C$1804))</f>
        <v/>
      </c>
      <c r="S1843" s="208">
        <f>IF($L$1804,$N1843*IF($O$1804=1,$O1843/$F$1804,1),"")</f>
        <v/>
      </c>
      <c r="T1843" s="208">
        <f>IF(NOT($L$1804),"",IF($G1843&lt;nr_MStartP,$S1843,$T1831*(1+IF($G1843&lt;nr_MStartP1,$M$1804,$N$1804))))</f>
        <v/>
      </c>
      <c r="U1843" s="208">
        <f>IF($L$1804,$T1843,$N1843)</f>
        <v/>
      </c>
    </row>
    <row r="1844">
      <c r="A1844" s="145" t="n">
        <v>38</v>
      </c>
      <c r="B1844" s="204">
        <f>EDATE($B1843,1)</f>
        <v/>
      </c>
      <c r="C1844" s="205">
        <f>EOMONTH($B1844,0)</f>
        <v/>
      </c>
      <c r="D1844" s="201">
        <f>$C1844-$B1844+1</f>
        <v/>
      </c>
      <c r="E1844" s="201">
        <f>MONTH($B1844)</f>
        <v/>
      </c>
      <c r="F1844" s="235">
        <f>($B1844+$C1844+1)/2</f>
        <v/>
      </c>
      <c r="G1844" s="201">
        <f>YEAR($B1844)*12+MONTH($B1844)-1</f>
        <v/>
      </c>
      <c r="H1844" s="207">
        <f>IF(OR(nr_SeasonOn="OFF",$D$1804=0,$E$1804=0),1,12*INDEX(se_block,$D$1804,$E1844)/$E$1804)</f>
        <v/>
      </c>
      <c r="I1844" s="208">
        <f>EXP(SUMPRODUCT((rl_eff&lt;$B1844)*(rl_key=$A$1804)*rl_ln1p))</f>
        <v/>
      </c>
      <c r="J1844" s="208">
        <f>EXP(SUMPRODUCT((rl_eff&lt;=$C1844)*(rl_key=$A$1804)*rl_ln1p))</f>
        <v/>
      </c>
      <c r="K1844" s="201">
        <f>COUNTIFS(rl_key,$A$1804,rl_eff,"&gt;="&amp;$B1844,rl_eff,"&lt;="&amp;$C1844)</f>
        <v/>
      </c>
      <c r="L1844" s="201">
        <f>SUMIFS(rl_daysafter,rl_key,$A$1804,rl_effmonth,$B1844,rl_first,1)</f>
        <v/>
      </c>
      <c r="M1844" s="209">
        <f>IF($K1844=0,0,MIN(1,$L1844/$D1844))</f>
        <v/>
      </c>
      <c r="N1844" s="208">
        <f>IF($K1844=0,$J1844,(1-$M1844)*$I1844+$M1844*$J1844)</f>
        <v/>
      </c>
      <c r="O1844" s="209">
        <f>IF($F1844&lt;$B$1805,$E$1805+$I$1805*($F1844-$A$1805),IF($F1844&lt;$C$1805,$F$1805+$J$1805*($F1844-$B$1805),$G$1805+$K$1805*($F1844-$C$1805)))</f>
        <v/>
      </c>
      <c r="P1844" s="208">
        <f>MIN(1,MAX(0,(nr_MEndPm1-$G1844+0.5)/$C$1804))-MIN(1,MAX(0,(nr_MStartPm1-1-$G1844+0.5)/$C$1804))</f>
        <v/>
      </c>
      <c r="Q1844" s="208">
        <f>MIN(1,MAX(0,(nr_MEndP-$G1844+0.5)/$C$1804))-MIN(1,MAX(0,(nr_MStartP-1-$G1844+0.5)/$C$1804))</f>
        <v/>
      </c>
      <c r="R1844" s="208">
        <f>MIN(1,MAX(0,(nr_MEndP1-$G1844+0.5)/$C$1804))-MIN(1,MAX(0,(nr_MStartP1-1-$G1844+0.5)/$C$1804))</f>
        <v/>
      </c>
      <c r="S1844" s="208">
        <f>IF($L$1804,$N1844*IF($O$1804=1,$O1844/$F$1804,1),"")</f>
        <v/>
      </c>
      <c r="T1844" s="208">
        <f>IF(NOT($L$1804),"",IF($G1844&lt;nr_MStartP,$S1844,$T1832*(1+IF($G1844&lt;nr_MStartP1,$M$1804,$N$1804))))</f>
        <v/>
      </c>
      <c r="U1844" s="208">
        <f>IF($L$1804,$T1844,$N1844)</f>
        <v/>
      </c>
    </row>
    <row r="1845">
      <c r="A1845" s="145" t="n">
        <v>39</v>
      </c>
      <c r="B1845" s="204">
        <f>EDATE($B1844,1)</f>
        <v/>
      </c>
      <c r="C1845" s="205">
        <f>EOMONTH($B1845,0)</f>
        <v/>
      </c>
      <c r="D1845" s="201">
        <f>$C1845-$B1845+1</f>
        <v/>
      </c>
      <c r="E1845" s="201">
        <f>MONTH($B1845)</f>
        <v/>
      </c>
      <c r="F1845" s="235">
        <f>($B1845+$C1845+1)/2</f>
        <v/>
      </c>
      <c r="G1845" s="201">
        <f>YEAR($B1845)*12+MONTH($B1845)-1</f>
        <v/>
      </c>
      <c r="H1845" s="207">
        <f>IF(OR(nr_SeasonOn="OFF",$D$1804=0,$E$1804=0),1,12*INDEX(se_block,$D$1804,$E1845)/$E$1804)</f>
        <v/>
      </c>
      <c r="I1845" s="208">
        <f>EXP(SUMPRODUCT((rl_eff&lt;$B1845)*(rl_key=$A$1804)*rl_ln1p))</f>
        <v/>
      </c>
      <c r="J1845" s="208">
        <f>EXP(SUMPRODUCT((rl_eff&lt;=$C1845)*(rl_key=$A$1804)*rl_ln1p))</f>
        <v/>
      </c>
      <c r="K1845" s="201">
        <f>COUNTIFS(rl_key,$A$1804,rl_eff,"&gt;="&amp;$B1845,rl_eff,"&lt;="&amp;$C1845)</f>
        <v/>
      </c>
      <c r="L1845" s="201">
        <f>SUMIFS(rl_daysafter,rl_key,$A$1804,rl_effmonth,$B1845,rl_first,1)</f>
        <v/>
      </c>
      <c r="M1845" s="209">
        <f>IF($K1845=0,0,MIN(1,$L1845/$D1845))</f>
        <v/>
      </c>
      <c r="N1845" s="208">
        <f>IF($K1845=0,$J1845,(1-$M1845)*$I1845+$M1845*$J1845)</f>
        <v/>
      </c>
      <c r="O1845" s="209">
        <f>IF($F1845&lt;$B$1805,$E$1805+$I$1805*($F1845-$A$1805),IF($F1845&lt;$C$1805,$F$1805+$J$1805*($F1845-$B$1805),$G$1805+$K$1805*($F1845-$C$1805)))</f>
        <v/>
      </c>
      <c r="P1845" s="208">
        <f>MIN(1,MAX(0,(nr_MEndPm1-$G1845+0.5)/$C$1804))-MIN(1,MAX(0,(nr_MStartPm1-1-$G1845+0.5)/$C$1804))</f>
        <v/>
      </c>
      <c r="Q1845" s="208">
        <f>MIN(1,MAX(0,(nr_MEndP-$G1845+0.5)/$C$1804))-MIN(1,MAX(0,(nr_MStartP-1-$G1845+0.5)/$C$1804))</f>
        <v/>
      </c>
      <c r="R1845" s="208">
        <f>MIN(1,MAX(0,(nr_MEndP1-$G1845+0.5)/$C$1804))-MIN(1,MAX(0,(nr_MStartP1-1-$G1845+0.5)/$C$1804))</f>
        <v/>
      </c>
      <c r="S1845" s="208">
        <f>IF($L$1804,$N1845*IF($O$1804=1,$O1845/$F$1804,1),"")</f>
        <v/>
      </c>
      <c r="T1845" s="208">
        <f>IF(NOT($L$1804),"",IF($G1845&lt;nr_MStartP,$S1845,$T1833*(1+IF($G1845&lt;nr_MStartP1,$M$1804,$N$1804))))</f>
        <v/>
      </c>
      <c r="U1845" s="208">
        <f>IF($L$1804,$T1845,$N1845)</f>
        <v/>
      </c>
    </row>
    <row r="1846">
      <c r="A1846" s="145" t="n">
        <v>40</v>
      </c>
      <c r="B1846" s="204">
        <f>EDATE($B1845,1)</f>
        <v/>
      </c>
      <c r="C1846" s="205">
        <f>EOMONTH($B1846,0)</f>
        <v/>
      </c>
      <c r="D1846" s="201">
        <f>$C1846-$B1846+1</f>
        <v/>
      </c>
      <c r="E1846" s="201">
        <f>MONTH($B1846)</f>
        <v/>
      </c>
      <c r="F1846" s="235">
        <f>($B1846+$C1846+1)/2</f>
        <v/>
      </c>
      <c r="G1846" s="201">
        <f>YEAR($B1846)*12+MONTH($B1846)-1</f>
        <v/>
      </c>
      <c r="H1846" s="207">
        <f>IF(OR(nr_SeasonOn="OFF",$D$1804=0,$E$1804=0),1,12*INDEX(se_block,$D$1804,$E1846)/$E$1804)</f>
        <v/>
      </c>
      <c r="I1846" s="208">
        <f>EXP(SUMPRODUCT((rl_eff&lt;$B1846)*(rl_key=$A$1804)*rl_ln1p))</f>
        <v/>
      </c>
      <c r="J1846" s="208">
        <f>EXP(SUMPRODUCT((rl_eff&lt;=$C1846)*(rl_key=$A$1804)*rl_ln1p))</f>
        <v/>
      </c>
      <c r="K1846" s="201">
        <f>COUNTIFS(rl_key,$A$1804,rl_eff,"&gt;="&amp;$B1846,rl_eff,"&lt;="&amp;$C1846)</f>
        <v/>
      </c>
      <c r="L1846" s="201">
        <f>SUMIFS(rl_daysafter,rl_key,$A$1804,rl_effmonth,$B1846,rl_first,1)</f>
        <v/>
      </c>
      <c r="M1846" s="209">
        <f>IF($K1846=0,0,MIN(1,$L1846/$D1846))</f>
        <v/>
      </c>
      <c r="N1846" s="208">
        <f>IF($K1846=0,$J1846,(1-$M1846)*$I1846+$M1846*$J1846)</f>
        <v/>
      </c>
      <c r="O1846" s="209">
        <f>IF($F1846&lt;$B$1805,$E$1805+$I$1805*($F1846-$A$1805),IF($F1846&lt;$C$1805,$F$1805+$J$1805*($F1846-$B$1805),$G$1805+$K$1805*($F1846-$C$1805)))</f>
        <v/>
      </c>
      <c r="P1846" s="208">
        <f>MIN(1,MAX(0,(nr_MEndPm1-$G1846+0.5)/$C$1804))-MIN(1,MAX(0,(nr_MStartPm1-1-$G1846+0.5)/$C$1804))</f>
        <v/>
      </c>
      <c r="Q1846" s="208">
        <f>MIN(1,MAX(0,(nr_MEndP-$G1846+0.5)/$C$1804))-MIN(1,MAX(0,(nr_MStartP-1-$G1846+0.5)/$C$1804))</f>
        <v/>
      </c>
      <c r="R1846" s="208">
        <f>MIN(1,MAX(0,(nr_MEndP1-$G1846+0.5)/$C$1804))-MIN(1,MAX(0,(nr_MStartP1-1-$G1846+0.5)/$C$1804))</f>
        <v/>
      </c>
      <c r="S1846" s="208">
        <f>IF($L$1804,$N1846*IF($O$1804=1,$O1846/$F$1804,1),"")</f>
        <v/>
      </c>
      <c r="T1846" s="208">
        <f>IF(NOT($L$1804),"",IF($G1846&lt;nr_MStartP,$S1846,$T1834*(1+IF($G1846&lt;nr_MStartP1,$M$1804,$N$1804))))</f>
        <v/>
      </c>
      <c r="U1846" s="208">
        <f>IF($L$1804,$T1846,$N1846)</f>
        <v/>
      </c>
    </row>
    <row r="1847">
      <c r="A1847" s="145" t="n">
        <v>41</v>
      </c>
      <c r="B1847" s="204">
        <f>EDATE($B1846,1)</f>
        <v/>
      </c>
      <c r="C1847" s="205">
        <f>EOMONTH($B1847,0)</f>
        <v/>
      </c>
      <c r="D1847" s="201">
        <f>$C1847-$B1847+1</f>
        <v/>
      </c>
      <c r="E1847" s="201">
        <f>MONTH($B1847)</f>
        <v/>
      </c>
      <c r="F1847" s="235">
        <f>($B1847+$C1847+1)/2</f>
        <v/>
      </c>
      <c r="G1847" s="201">
        <f>YEAR($B1847)*12+MONTH($B1847)-1</f>
        <v/>
      </c>
      <c r="H1847" s="207">
        <f>IF(OR(nr_SeasonOn="OFF",$D$1804=0,$E$1804=0),1,12*INDEX(se_block,$D$1804,$E1847)/$E$1804)</f>
        <v/>
      </c>
      <c r="I1847" s="208">
        <f>EXP(SUMPRODUCT((rl_eff&lt;$B1847)*(rl_key=$A$1804)*rl_ln1p))</f>
        <v/>
      </c>
      <c r="J1847" s="208">
        <f>EXP(SUMPRODUCT((rl_eff&lt;=$C1847)*(rl_key=$A$1804)*rl_ln1p))</f>
        <v/>
      </c>
      <c r="K1847" s="201">
        <f>COUNTIFS(rl_key,$A$1804,rl_eff,"&gt;="&amp;$B1847,rl_eff,"&lt;="&amp;$C1847)</f>
        <v/>
      </c>
      <c r="L1847" s="201">
        <f>SUMIFS(rl_daysafter,rl_key,$A$1804,rl_effmonth,$B1847,rl_first,1)</f>
        <v/>
      </c>
      <c r="M1847" s="209">
        <f>IF($K1847=0,0,MIN(1,$L1847/$D1847))</f>
        <v/>
      </c>
      <c r="N1847" s="208">
        <f>IF($K1847=0,$J1847,(1-$M1847)*$I1847+$M1847*$J1847)</f>
        <v/>
      </c>
      <c r="O1847" s="209">
        <f>IF($F1847&lt;$B$1805,$E$1805+$I$1805*($F1847-$A$1805),IF($F1847&lt;$C$1805,$F$1805+$J$1805*($F1847-$B$1805),$G$1805+$K$1805*($F1847-$C$1805)))</f>
        <v/>
      </c>
      <c r="P1847" s="208">
        <f>MIN(1,MAX(0,(nr_MEndPm1-$G1847+0.5)/$C$1804))-MIN(1,MAX(0,(nr_MStartPm1-1-$G1847+0.5)/$C$1804))</f>
        <v/>
      </c>
      <c r="Q1847" s="208">
        <f>MIN(1,MAX(0,(nr_MEndP-$G1847+0.5)/$C$1804))-MIN(1,MAX(0,(nr_MStartP-1-$G1847+0.5)/$C$1804))</f>
        <v/>
      </c>
      <c r="R1847" s="208">
        <f>MIN(1,MAX(0,(nr_MEndP1-$G1847+0.5)/$C$1804))-MIN(1,MAX(0,(nr_MStartP1-1-$G1847+0.5)/$C$1804))</f>
        <v/>
      </c>
      <c r="S1847" s="208">
        <f>IF($L$1804,$N1847*IF($O$1804=1,$O1847/$F$1804,1),"")</f>
        <v/>
      </c>
      <c r="T1847" s="208">
        <f>IF(NOT($L$1804),"",IF($G1847&lt;nr_MStartP,$S1847,$T1835*(1+IF($G1847&lt;nr_MStartP1,$M$1804,$N$1804))))</f>
        <v/>
      </c>
      <c r="U1847" s="208">
        <f>IF($L$1804,$T1847,$N1847)</f>
        <v/>
      </c>
    </row>
    <row r="1848">
      <c r="A1848" s="145" t="n">
        <v>42</v>
      </c>
      <c r="B1848" s="204">
        <f>EDATE($B1847,1)</f>
        <v/>
      </c>
      <c r="C1848" s="205">
        <f>EOMONTH($B1848,0)</f>
        <v/>
      </c>
      <c r="D1848" s="201">
        <f>$C1848-$B1848+1</f>
        <v/>
      </c>
      <c r="E1848" s="201">
        <f>MONTH($B1848)</f>
        <v/>
      </c>
      <c r="F1848" s="235">
        <f>($B1848+$C1848+1)/2</f>
        <v/>
      </c>
      <c r="G1848" s="201">
        <f>YEAR($B1848)*12+MONTH($B1848)-1</f>
        <v/>
      </c>
      <c r="H1848" s="207">
        <f>IF(OR(nr_SeasonOn="OFF",$D$1804=0,$E$1804=0),1,12*INDEX(se_block,$D$1804,$E1848)/$E$1804)</f>
        <v/>
      </c>
      <c r="I1848" s="208">
        <f>EXP(SUMPRODUCT((rl_eff&lt;$B1848)*(rl_key=$A$1804)*rl_ln1p))</f>
        <v/>
      </c>
      <c r="J1848" s="208">
        <f>EXP(SUMPRODUCT((rl_eff&lt;=$C1848)*(rl_key=$A$1804)*rl_ln1p))</f>
        <v/>
      </c>
      <c r="K1848" s="201">
        <f>COUNTIFS(rl_key,$A$1804,rl_eff,"&gt;="&amp;$B1848,rl_eff,"&lt;="&amp;$C1848)</f>
        <v/>
      </c>
      <c r="L1848" s="201">
        <f>SUMIFS(rl_daysafter,rl_key,$A$1804,rl_effmonth,$B1848,rl_first,1)</f>
        <v/>
      </c>
      <c r="M1848" s="209">
        <f>IF($K1848=0,0,MIN(1,$L1848/$D1848))</f>
        <v/>
      </c>
      <c r="N1848" s="208">
        <f>IF($K1848=0,$J1848,(1-$M1848)*$I1848+$M1848*$J1848)</f>
        <v/>
      </c>
      <c r="O1848" s="209">
        <f>IF($F1848&lt;$B$1805,$E$1805+$I$1805*($F1848-$A$1805),IF($F1848&lt;$C$1805,$F$1805+$J$1805*($F1848-$B$1805),$G$1805+$K$1805*($F1848-$C$1805)))</f>
        <v/>
      </c>
      <c r="P1848" s="208">
        <f>MIN(1,MAX(0,(nr_MEndPm1-$G1848+0.5)/$C$1804))-MIN(1,MAX(0,(nr_MStartPm1-1-$G1848+0.5)/$C$1804))</f>
        <v/>
      </c>
      <c r="Q1848" s="208">
        <f>MIN(1,MAX(0,(nr_MEndP-$G1848+0.5)/$C$1804))-MIN(1,MAX(0,(nr_MStartP-1-$G1848+0.5)/$C$1804))</f>
        <v/>
      </c>
      <c r="R1848" s="208">
        <f>MIN(1,MAX(0,(nr_MEndP1-$G1848+0.5)/$C$1804))-MIN(1,MAX(0,(nr_MStartP1-1-$G1848+0.5)/$C$1804))</f>
        <v/>
      </c>
      <c r="S1848" s="208">
        <f>IF($L$1804,$N1848*IF($O$1804=1,$O1848/$F$1804,1),"")</f>
        <v/>
      </c>
      <c r="T1848" s="208">
        <f>IF(NOT($L$1804),"",IF($G1848&lt;nr_MStartP,$S1848,$T1836*(1+IF($G1848&lt;nr_MStartP1,$M$1804,$N$1804))))</f>
        <v/>
      </c>
      <c r="U1848" s="208">
        <f>IF($L$1804,$T1848,$N1848)</f>
        <v/>
      </c>
    </row>
    <row r="1849">
      <c r="A1849" s="145" t="n">
        <v>43</v>
      </c>
      <c r="B1849" s="204">
        <f>EDATE($B1848,1)</f>
        <v/>
      </c>
      <c r="C1849" s="205">
        <f>EOMONTH($B1849,0)</f>
        <v/>
      </c>
      <c r="D1849" s="201">
        <f>$C1849-$B1849+1</f>
        <v/>
      </c>
      <c r="E1849" s="201">
        <f>MONTH($B1849)</f>
        <v/>
      </c>
      <c r="F1849" s="235">
        <f>($B1849+$C1849+1)/2</f>
        <v/>
      </c>
      <c r="G1849" s="201">
        <f>YEAR($B1849)*12+MONTH($B1849)-1</f>
        <v/>
      </c>
      <c r="H1849" s="207">
        <f>IF(OR(nr_SeasonOn="OFF",$D$1804=0,$E$1804=0),1,12*INDEX(se_block,$D$1804,$E1849)/$E$1804)</f>
        <v/>
      </c>
      <c r="I1849" s="208">
        <f>EXP(SUMPRODUCT((rl_eff&lt;$B1849)*(rl_key=$A$1804)*rl_ln1p))</f>
        <v/>
      </c>
      <c r="J1849" s="208">
        <f>EXP(SUMPRODUCT((rl_eff&lt;=$C1849)*(rl_key=$A$1804)*rl_ln1p))</f>
        <v/>
      </c>
      <c r="K1849" s="201">
        <f>COUNTIFS(rl_key,$A$1804,rl_eff,"&gt;="&amp;$B1849,rl_eff,"&lt;="&amp;$C1849)</f>
        <v/>
      </c>
      <c r="L1849" s="201">
        <f>SUMIFS(rl_daysafter,rl_key,$A$1804,rl_effmonth,$B1849,rl_first,1)</f>
        <v/>
      </c>
      <c r="M1849" s="209">
        <f>IF($K1849=0,0,MIN(1,$L1849/$D1849))</f>
        <v/>
      </c>
      <c r="N1849" s="208">
        <f>IF($K1849=0,$J1849,(1-$M1849)*$I1849+$M1849*$J1849)</f>
        <v/>
      </c>
      <c r="O1849" s="209">
        <f>IF($F1849&lt;$B$1805,$E$1805+$I$1805*($F1849-$A$1805),IF($F1849&lt;$C$1805,$F$1805+$J$1805*($F1849-$B$1805),$G$1805+$K$1805*($F1849-$C$1805)))</f>
        <v/>
      </c>
      <c r="P1849" s="208">
        <f>MIN(1,MAX(0,(nr_MEndPm1-$G1849+0.5)/$C$1804))-MIN(1,MAX(0,(nr_MStartPm1-1-$G1849+0.5)/$C$1804))</f>
        <v/>
      </c>
      <c r="Q1849" s="208">
        <f>MIN(1,MAX(0,(nr_MEndP-$G1849+0.5)/$C$1804))-MIN(1,MAX(0,(nr_MStartP-1-$G1849+0.5)/$C$1804))</f>
        <v/>
      </c>
      <c r="R1849" s="208">
        <f>MIN(1,MAX(0,(nr_MEndP1-$G1849+0.5)/$C$1804))-MIN(1,MAX(0,(nr_MStartP1-1-$G1849+0.5)/$C$1804))</f>
        <v/>
      </c>
      <c r="S1849" s="208">
        <f>IF($L$1804,$N1849*IF($O$1804=1,$O1849/$F$1804,1),"")</f>
        <v/>
      </c>
      <c r="T1849" s="208">
        <f>IF(NOT($L$1804),"",IF($G1849&lt;nr_MStartP,$S1849,$T1837*(1+IF($G1849&lt;nr_MStartP1,$M$1804,$N$1804))))</f>
        <v/>
      </c>
      <c r="U1849" s="208">
        <f>IF($L$1804,$T1849,$N1849)</f>
        <v/>
      </c>
    </row>
    <row r="1850">
      <c r="A1850" s="145" t="n">
        <v>44</v>
      </c>
      <c r="B1850" s="204">
        <f>EDATE($B1849,1)</f>
        <v/>
      </c>
      <c r="C1850" s="205">
        <f>EOMONTH($B1850,0)</f>
        <v/>
      </c>
      <c r="D1850" s="201">
        <f>$C1850-$B1850+1</f>
        <v/>
      </c>
      <c r="E1850" s="201">
        <f>MONTH($B1850)</f>
        <v/>
      </c>
      <c r="F1850" s="235">
        <f>($B1850+$C1850+1)/2</f>
        <v/>
      </c>
      <c r="G1850" s="201">
        <f>YEAR($B1850)*12+MONTH($B1850)-1</f>
        <v/>
      </c>
      <c r="H1850" s="207">
        <f>IF(OR(nr_SeasonOn="OFF",$D$1804=0,$E$1804=0),1,12*INDEX(se_block,$D$1804,$E1850)/$E$1804)</f>
        <v/>
      </c>
      <c r="I1850" s="208">
        <f>EXP(SUMPRODUCT((rl_eff&lt;$B1850)*(rl_key=$A$1804)*rl_ln1p))</f>
        <v/>
      </c>
      <c r="J1850" s="208">
        <f>EXP(SUMPRODUCT((rl_eff&lt;=$C1850)*(rl_key=$A$1804)*rl_ln1p))</f>
        <v/>
      </c>
      <c r="K1850" s="201">
        <f>COUNTIFS(rl_key,$A$1804,rl_eff,"&gt;="&amp;$B1850,rl_eff,"&lt;="&amp;$C1850)</f>
        <v/>
      </c>
      <c r="L1850" s="201">
        <f>SUMIFS(rl_daysafter,rl_key,$A$1804,rl_effmonth,$B1850,rl_first,1)</f>
        <v/>
      </c>
      <c r="M1850" s="209">
        <f>IF($K1850=0,0,MIN(1,$L1850/$D1850))</f>
        <v/>
      </c>
      <c r="N1850" s="208">
        <f>IF($K1850=0,$J1850,(1-$M1850)*$I1850+$M1850*$J1850)</f>
        <v/>
      </c>
      <c r="O1850" s="209">
        <f>IF($F1850&lt;$B$1805,$E$1805+$I$1805*($F1850-$A$1805),IF($F1850&lt;$C$1805,$F$1805+$J$1805*($F1850-$B$1805),$G$1805+$K$1805*($F1850-$C$1805)))</f>
        <v/>
      </c>
      <c r="P1850" s="208">
        <f>MIN(1,MAX(0,(nr_MEndPm1-$G1850+0.5)/$C$1804))-MIN(1,MAX(0,(nr_MStartPm1-1-$G1850+0.5)/$C$1804))</f>
        <v/>
      </c>
      <c r="Q1850" s="208">
        <f>MIN(1,MAX(0,(nr_MEndP-$G1850+0.5)/$C$1804))-MIN(1,MAX(0,(nr_MStartP-1-$G1850+0.5)/$C$1804))</f>
        <v/>
      </c>
      <c r="R1850" s="208">
        <f>MIN(1,MAX(0,(nr_MEndP1-$G1850+0.5)/$C$1804))-MIN(1,MAX(0,(nr_MStartP1-1-$G1850+0.5)/$C$1804))</f>
        <v/>
      </c>
      <c r="S1850" s="208">
        <f>IF($L$1804,$N1850*IF($O$1804=1,$O1850/$F$1804,1),"")</f>
        <v/>
      </c>
      <c r="T1850" s="208">
        <f>IF(NOT($L$1804),"",IF($G1850&lt;nr_MStartP,$S1850,$T1838*(1+IF($G1850&lt;nr_MStartP1,$M$1804,$N$1804))))</f>
        <v/>
      </c>
      <c r="U1850" s="208">
        <f>IF($L$1804,$T1850,$N1850)</f>
        <v/>
      </c>
    </row>
    <row r="1851">
      <c r="A1851" s="145" t="n">
        <v>45</v>
      </c>
      <c r="B1851" s="204">
        <f>EDATE($B1850,1)</f>
        <v/>
      </c>
      <c r="C1851" s="205">
        <f>EOMONTH($B1851,0)</f>
        <v/>
      </c>
      <c r="D1851" s="201">
        <f>$C1851-$B1851+1</f>
        <v/>
      </c>
      <c r="E1851" s="201">
        <f>MONTH($B1851)</f>
        <v/>
      </c>
      <c r="F1851" s="235">
        <f>($B1851+$C1851+1)/2</f>
        <v/>
      </c>
      <c r="G1851" s="201">
        <f>YEAR($B1851)*12+MONTH($B1851)-1</f>
        <v/>
      </c>
      <c r="H1851" s="207">
        <f>IF(OR(nr_SeasonOn="OFF",$D$1804=0,$E$1804=0),1,12*INDEX(se_block,$D$1804,$E1851)/$E$1804)</f>
        <v/>
      </c>
      <c r="I1851" s="208">
        <f>EXP(SUMPRODUCT((rl_eff&lt;$B1851)*(rl_key=$A$1804)*rl_ln1p))</f>
        <v/>
      </c>
      <c r="J1851" s="208">
        <f>EXP(SUMPRODUCT((rl_eff&lt;=$C1851)*(rl_key=$A$1804)*rl_ln1p))</f>
        <v/>
      </c>
      <c r="K1851" s="201">
        <f>COUNTIFS(rl_key,$A$1804,rl_eff,"&gt;="&amp;$B1851,rl_eff,"&lt;="&amp;$C1851)</f>
        <v/>
      </c>
      <c r="L1851" s="201">
        <f>SUMIFS(rl_daysafter,rl_key,$A$1804,rl_effmonth,$B1851,rl_first,1)</f>
        <v/>
      </c>
      <c r="M1851" s="209">
        <f>IF($K1851=0,0,MIN(1,$L1851/$D1851))</f>
        <v/>
      </c>
      <c r="N1851" s="208">
        <f>IF($K1851=0,$J1851,(1-$M1851)*$I1851+$M1851*$J1851)</f>
        <v/>
      </c>
      <c r="O1851" s="209">
        <f>IF($F1851&lt;$B$1805,$E$1805+$I$1805*($F1851-$A$1805),IF($F1851&lt;$C$1805,$F$1805+$J$1805*($F1851-$B$1805),$G$1805+$K$1805*($F1851-$C$1805)))</f>
        <v/>
      </c>
      <c r="P1851" s="208">
        <f>MIN(1,MAX(0,(nr_MEndPm1-$G1851+0.5)/$C$1804))-MIN(1,MAX(0,(nr_MStartPm1-1-$G1851+0.5)/$C$1804))</f>
        <v/>
      </c>
      <c r="Q1851" s="208">
        <f>MIN(1,MAX(0,(nr_MEndP-$G1851+0.5)/$C$1804))-MIN(1,MAX(0,(nr_MStartP-1-$G1851+0.5)/$C$1804))</f>
        <v/>
      </c>
      <c r="R1851" s="208">
        <f>MIN(1,MAX(0,(nr_MEndP1-$G1851+0.5)/$C$1804))-MIN(1,MAX(0,(nr_MStartP1-1-$G1851+0.5)/$C$1804))</f>
        <v/>
      </c>
      <c r="S1851" s="208">
        <f>IF($L$1804,$N1851*IF($O$1804=1,$O1851/$F$1804,1),"")</f>
        <v/>
      </c>
      <c r="T1851" s="208">
        <f>IF(NOT($L$1804),"",IF($G1851&lt;nr_MStartP,$S1851,$T1839*(1+IF($G1851&lt;nr_MStartP1,$M$1804,$N$1804))))</f>
        <v/>
      </c>
      <c r="U1851" s="208">
        <f>IF($L$1804,$T1851,$N1851)</f>
        <v/>
      </c>
    </row>
    <row r="1852">
      <c r="A1852" s="145" t="n">
        <v>46</v>
      </c>
      <c r="B1852" s="204">
        <f>EDATE($B1851,1)</f>
        <v/>
      </c>
      <c r="C1852" s="205">
        <f>EOMONTH($B1852,0)</f>
        <v/>
      </c>
      <c r="D1852" s="201">
        <f>$C1852-$B1852+1</f>
        <v/>
      </c>
      <c r="E1852" s="201">
        <f>MONTH($B1852)</f>
        <v/>
      </c>
      <c r="F1852" s="235">
        <f>($B1852+$C1852+1)/2</f>
        <v/>
      </c>
      <c r="G1852" s="201">
        <f>YEAR($B1852)*12+MONTH($B1852)-1</f>
        <v/>
      </c>
      <c r="H1852" s="207">
        <f>IF(OR(nr_SeasonOn="OFF",$D$1804=0,$E$1804=0),1,12*INDEX(se_block,$D$1804,$E1852)/$E$1804)</f>
        <v/>
      </c>
      <c r="I1852" s="208">
        <f>EXP(SUMPRODUCT((rl_eff&lt;$B1852)*(rl_key=$A$1804)*rl_ln1p))</f>
        <v/>
      </c>
      <c r="J1852" s="208">
        <f>EXP(SUMPRODUCT((rl_eff&lt;=$C1852)*(rl_key=$A$1804)*rl_ln1p))</f>
        <v/>
      </c>
      <c r="K1852" s="201">
        <f>COUNTIFS(rl_key,$A$1804,rl_eff,"&gt;="&amp;$B1852,rl_eff,"&lt;="&amp;$C1852)</f>
        <v/>
      </c>
      <c r="L1852" s="201">
        <f>SUMIFS(rl_daysafter,rl_key,$A$1804,rl_effmonth,$B1852,rl_first,1)</f>
        <v/>
      </c>
      <c r="M1852" s="209">
        <f>IF($K1852=0,0,MIN(1,$L1852/$D1852))</f>
        <v/>
      </c>
      <c r="N1852" s="208">
        <f>IF($K1852=0,$J1852,(1-$M1852)*$I1852+$M1852*$J1852)</f>
        <v/>
      </c>
      <c r="O1852" s="209">
        <f>IF($F1852&lt;$B$1805,$E$1805+$I$1805*($F1852-$A$1805),IF($F1852&lt;$C$1805,$F$1805+$J$1805*($F1852-$B$1805),$G$1805+$K$1805*($F1852-$C$1805)))</f>
        <v/>
      </c>
      <c r="P1852" s="208">
        <f>MIN(1,MAX(0,(nr_MEndPm1-$G1852+0.5)/$C$1804))-MIN(1,MAX(0,(nr_MStartPm1-1-$G1852+0.5)/$C$1804))</f>
        <v/>
      </c>
      <c r="Q1852" s="208">
        <f>MIN(1,MAX(0,(nr_MEndP-$G1852+0.5)/$C$1804))-MIN(1,MAX(0,(nr_MStartP-1-$G1852+0.5)/$C$1804))</f>
        <v/>
      </c>
      <c r="R1852" s="208">
        <f>MIN(1,MAX(0,(nr_MEndP1-$G1852+0.5)/$C$1804))-MIN(1,MAX(0,(nr_MStartP1-1-$G1852+0.5)/$C$1804))</f>
        <v/>
      </c>
      <c r="S1852" s="208">
        <f>IF($L$1804,$N1852*IF($O$1804=1,$O1852/$F$1804,1),"")</f>
        <v/>
      </c>
      <c r="T1852" s="208">
        <f>IF(NOT($L$1804),"",IF($G1852&lt;nr_MStartP,$S1852,$T1840*(1+IF($G1852&lt;nr_MStartP1,$M$1804,$N$1804))))</f>
        <v/>
      </c>
      <c r="U1852" s="208">
        <f>IF($L$1804,$T1852,$N1852)</f>
        <v/>
      </c>
    </row>
    <row r="1853">
      <c r="A1853" s="145" t="n">
        <v>47</v>
      </c>
      <c r="B1853" s="204">
        <f>EDATE($B1852,1)</f>
        <v/>
      </c>
      <c r="C1853" s="205">
        <f>EOMONTH($B1853,0)</f>
        <v/>
      </c>
      <c r="D1853" s="201">
        <f>$C1853-$B1853+1</f>
        <v/>
      </c>
      <c r="E1853" s="201">
        <f>MONTH($B1853)</f>
        <v/>
      </c>
      <c r="F1853" s="235">
        <f>($B1853+$C1853+1)/2</f>
        <v/>
      </c>
      <c r="G1853" s="201">
        <f>YEAR($B1853)*12+MONTH($B1853)-1</f>
        <v/>
      </c>
      <c r="H1853" s="207">
        <f>IF(OR(nr_SeasonOn="OFF",$D$1804=0,$E$1804=0),1,12*INDEX(se_block,$D$1804,$E1853)/$E$1804)</f>
        <v/>
      </c>
      <c r="I1853" s="208">
        <f>EXP(SUMPRODUCT((rl_eff&lt;$B1853)*(rl_key=$A$1804)*rl_ln1p))</f>
        <v/>
      </c>
      <c r="J1853" s="208">
        <f>EXP(SUMPRODUCT((rl_eff&lt;=$C1853)*(rl_key=$A$1804)*rl_ln1p))</f>
        <v/>
      </c>
      <c r="K1853" s="201">
        <f>COUNTIFS(rl_key,$A$1804,rl_eff,"&gt;="&amp;$B1853,rl_eff,"&lt;="&amp;$C1853)</f>
        <v/>
      </c>
      <c r="L1853" s="201">
        <f>SUMIFS(rl_daysafter,rl_key,$A$1804,rl_effmonth,$B1853,rl_first,1)</f>
        <v/>
      </c>
      <c r="M1853" s="209">
        <f>IF($K1853=0,0,MIN(1,$L1853/$D1853))</f>
        <v/>
      </c>
      <c r="N1853" s="208">
        <f>IF($K1853=0,$J1853,(1-$M1853)*$I1853+$M1853*$J1853)</f>
        <v/>
      </c>
      <c r="O1853" s="209">
        <f>IF($F1853&lt;$B$1805,$E$1805+$I$1805*($F1853-$A$1805),IF($F1853&lt;$C$1805,$F$1805+$J$1805*($F1853-$B$1805),$G$1805+$K$1805*($F1853-$C$1805)))</f>
        <v/>
      </c>
      <c r="P1853" s="208">
        <f>MIN(1,MAX(0,(nr_MEndPm1-$G1853+0.5)/$C$1804))-MIN(1,MAX(0,(nr_MStartPm1-1-$G1853+0.5)/$C$1804))</f>
        <v/>
      </c>
      <c r="Q1853" s="208">
        <f>MIN(1,MAX(0,(nr_MEndP-$G1853+0.5)/$C$1804))-MIN(1,MAX(0,(nr_MStartP-1-$G1853+0.5)/$C$1804))</f>
        <v/>
      </c>
      <c r="R1853" s="208">
        <f>MIN(1,MAX(0,(nr_MEndP1-$G1853+0.5)/$C$1804))-MIN(1,MAX(0,(nr_MStartP1-1-$G1853+0.5)/$C$1804))</f>
        <v/>
      </c>
      <c r="S1853" s="208">
        <f>IF($L$1804,$N1853*IF($O$1804=1,$O1853/$F$1804,1),"")</f>
        <v/>
      </c>
      <c r="T1853" s="208">
        <f>IF(NOT($L$1804),"",IF($G1853&lt;nr_MStartP,$S1853,$T1841*(1+IF($G1853&lt;nr_MStartP1,$M$1804,$N$1804))))</f>
        <v/>
      </c>
      <c r="U1853" s="208">
        <f>IF($L$1804,$T1853,$N1853)</f>
        <v/>
      </c>
    </row>
    <row r="1854">
      <c r="A1854" s="145" t="n">
        <v>48</v>
      </c>
      <c r="B1854" s="204">
        <f>EDATE($B1853,1)</f>
        <v/>
      </c>
      <c r="C1854" s="205">
        <f>EOMONTH($B1854,0)</f>
        <v/>
      </c>
      <c r="D1854" s="201">
        <f>$C1854-$B1854+1</f>
        <v/>
      </c>
      <c r="E1854" s="201">
        <f>MONTH($B1854)</f>
        <v/>
      </c>
      <c r="F1854" s="235">
        <f>($B1854+$C1854+1)/2</f>
        <v/>
      </c>
      <c r="G1854" s="201">
        <f>YEAR($B1854)*12+MONTH($B1854)-1</f>
        <v/>
      </c>
      <c r="H1854" s="207">
        <f>IF(OR(nr_SeasonOn="OFF",$D$1804=0,$E$1804=0),1,12*INDEX(se_block,$D$1804,$E1854)/$E$1804)</f>
        <v/>
      </c>
      <c r="I1854" s="208">
        <f>EXP(SUMPRODUCT((rl_eff&lt;$B1854)*(rl_key=$A$1804)*rl_ln1p))</f>
        <v/>
      </c>
      <c r="J1854" s="208">
        <f>EXP(SUMPRODUCT((rl_eff&lt;=$C1854)*(rl_key=$A$1804)*rl_ln1p))</f>
        <v/>
      </c>
      <c r="K1854" s="201">
        <f>COUNTIFS(rl_key,$A$1804,rl_eff,"&gt;="&amp;$B1854,rl_eff,"&lt;="&amp;$C1854)</f>
        <v/>
      </c>
      <c r="L1854" s="201">
        <f>SUMIFS(rl_daysafter,rl_key,$A$1804,rl_effmonth,$B1854,rl_first,1)</f>
        <v/>
      </c>
      <c r="M1854" s="209">
        <f>IF($K1854=0,0,MIN(1,$L1854/$D1854))</f>
        <v/>
      </c>
      <c r="N1854" s="208">
        <f>IF($K1854=0,$J1854,(1-$M1854)*$I1854+$M1854*$J1854)</f>
        <v/>
      </c>
      <c r="O1854" s="209">
        <f>IF($F1854&lt;$B$1805,$E$1805+$I$1805*($F1854-$A$1805),IF($F1854&lt;$C$1805,$F$1805+$J$1805*($F1854-$B$1805),$G$1805+$K$1805*($F1854-$C$1805)))</f>
        <v/>
      </c>
      <c r="P1854" s="208">
        <f>MIN(1,MAX(0,(nr_MEndPm1-$G1854+0.5)/$C$1804))-MIN(1,MAX(0,(nr_MStartPm1-1-$G1854+0.5)/$C$1804))</f>
        <v/>
      </c>
      <c r="Q1854" s="208">
        <f>MIN(1,MAX(0,(nr_MEndP-$G1854+0.5)/$C$1804))-MIN(1,MAX(0,(nr_MStartP-1-$G1854+0.5)/$C$1804))</f>
        <v/>
      </c>
      <c r="R1854" s="208">
        <f>MIN(1,MAX(0,(nr_MEndP1-$G1854+0.5)/$C$1804))-MIN(1,MAX(0,(nr_MStartP1-1-$G1854+0.5)/$C$1804))</f>
        <v/>
      </c>
      <c r="S1854" s="208">
        <f>IF($L$1804,$N1854*IF($O$1804=1,$O1854/$F$1804,1),"")</f>
        <v/>
      </c>
      <c r="T1854" s="208">
        <f>IF(NOT($L$1804),"",IF($G1854&lt;nr_MStartP,$S1854,$T1842*(1+IF($G1854&lt;nr_MStartP1,$M$1804,$N$1804))))</f>
        <v/>
      </c>
      <c r="U1854" s="208">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184">
        <f>SUMPRODUCT($H$1807:$H$1854,$Q$1807:$Q$1854,$O$1807:$O$1854)/SUMPRODUCT($H$1807:$H$1854,$Q$1807:$Q$1854)</f>
        <v/>
      </c>
      <c r="G1855" s="184">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184">
        <f>IF(N(INDEX(lr_mind,34))=0,1,INDEX(lr_mind,34))</f>
        <v/>
      </c>
      <c r="G1858" s="184">
        <f>IF(N(INDEX(lr_m0,34))=0,1,INDEX(lr_m0,34))</f>
        <v/>
      </c>
      <c r="H1858" s="73">
        <f>IF(N(INDEX(lr_m0asof,34))=0,DATE(nr_PlanYear-1,10,1),INDEX(lr_m0asof,34))</f>
        <v/>
      </c>
      <c r="I1858" s="184">
        <f>IF(N(INDEX(lr_m1,34))=0,1,INDEX(lr_m1,34))</f>
        <v/>
      </c>
      <c r="J1858" s="184">
        <f>INDEX(lr_mprior,34)</f>
        <v/>
      </c>
      <c r="K1858" s="184">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145" t="n">
        <v>1</v>
      </c>
      <c r="B1861" s="204">
        <f>DATE(nr_PlanYear-2,1,1)</f>
        <v/>
      </c>
      <c r="C1861" s="205">
        <f>EOMONTH($B1861,0)</f>
        <v/>
      </c>
      <c r="D1861" s="201">
        <f>$C1861-$B1861+1</f>
        <v/>
      </c>
      <c r="E1861" s="201">
        <f>MONTH($B1861)</f>
        <v/>
      </c>
      <c r="F1861" s="235">
        <f>($B1861+$C1861+1)/2</f>
        <v/>
      </c>
      <c r="G1861" s="201">
        <f>YEAR($B1861)*12+MONTH($B1861)-1</f>
        <v/>
      </c>
      <c r="H1861" s="207">
        <f>IF(OR(nr_SeasonOn="OFF",$D$1858=0,$E$1858=0),1,12*INDEX(se_block,$D$1858,$E1861)/$E$1858)</f>
        <v/>
      </c>
      <c r="I1861" s="208">
        <f>EXP(SUMPRODUCT((rl_eff&lt;$B1861)*(rl_key=$A$1858)*rl_ln1p))</f>
        <v/>
      </c>
      <c r="J1861" s="208">
        <f>EXP(SUMPRODUCT((rl_eff&lt;=$C1861)*(rl_key=$A$1858)*rl_ln1p))</f>
        <v/>
      </c>
      <c r="K1861" s="201">
        <f>COUNTIFS(rl_key,$A$1858,rl_eff,"&gt;="&amp;$B1861,rl_eff,"&lt;="&amp;$C1861)</f>
        <v/>
      </c>
      <c r="L1861" s="201">
        <f>SUMIFS(rl_daysafter,rl_key,$A$1858,rl_effmonth,$B1861,rl_first,1)</f>
        <v/>
      </c>
      <c r="M1861" s="209">
        <f>IF($K1861=0,0,MIN(1,$L1861/$D1861))</f>
        <v/>
      </c>
      <c r="N1861" s="208">
        <f>IF($K1861=0,$J1861,(1-$M1861)*$I1861+$M1861*$J1861)</f>
        <v/>
      </c>
      <c r="O1861" s="209">
        <f>IF($F1861&lt;$B$1859,$E$1859+$I$1859*($F1861-$A$1859),IF($F1861&lt;$C$1859,$F$1859+$J$1859*($F1861-$B$1859),$G$1859+$K$1859*($F1861-$C$1859)))</f>
        <v/>
      </c>
      <c r="P1861" s="208">
        <f>MIN(1,MAX(0,(nr_MEndPm1-$G1861+0.5)/$C$1858))-MIN(1,MAX(0,(nr_MStartPm1-1-$G1861+0.5)/$C$1858))</f>
        <v/>
      </c>
      <c r="Q1861" s="208">
        <f>MIN(1,MAX(0,(nr_MEndP-$G1861+0.5)/$C$1858))-MIN(1,MAX(0,(nr_MStartP-1-$G1861+0.5)/$C$1858))</f>
        <v/>
      </c>
      <c r="R1861" s="208">
        <f>MIN(1,MAX(0,(nr_MEndP1-$G1861+0.5)/$C$1858))-MIN(1,MAX(0,(nr_MStartP1-1-$G1861+0.5)/$C$1858))</f>
        <v/>
      </c>
      <c r="S1861" s="208">
        <f>IF($L$1858,$N1861*IF($O$1858=1,$O1861/$F$1858,1),"")</f>
        <v/>
      </c>
      <c r="T1861" s="208">
        <f>IF(NOT($L$1858),"",IF($G1861&lt;nr_MStartP,$S1861,$T1849*(1+IF($G1861&lt;nr_MStartP1,$M$1858,$N$1858))))</f>
        <v/>
      </c>
      <c r="U1861" s="208">
        <f>IF($L$1858,$T1861,$N1861)</f>
        <v/>
      </c>
    </row>
    <row r="1862">
      <c r="A1862" s="145" t="n">
        <v>2</v>
      </c>
      <c r="B1862" s="204">
        <f>EDATE($B1861,1)</f>
        <v/>
      </c>
      <c r="C1862" s="205">
        <f>EOMONTH($B1862,0)</f>
        <v/>
      </c>
      <c r="D1862" s="201">
        <f>$C1862-$B1862+1</f>
        <v/>
      </c>
      <c r="E1862" s="201">
        <f>MONTH($B1862)</f>
        <v/>
      </c>
      <c r="F1862" s="235">
        <f>($B1862+$C1862+1)/2</f>
        <v/>
      </c>
      <c r="G1862" s="201">
        <f>YEAR($B1862)*12+MONTH($B1862)-1</f>
        <v/>
      </c>
      <c r="H1862" s="207">
        <f>IF(OR(nr_SeasonOn="OFF",$D$1858=0,$E$1858=0),1,12*INDEX(se_block,$D$1858,$E1862)/$E$1858)</f>
        <v/>
      </c>
      <c r="I1862" s="208">
        <f>EXP(SUMPRODUCT((rl_eff&lt;$B1862)*(rl_key=$A$1858)*rl_ln1p))</f>
        <v/>
      </c>
      <c r="J1862" s="208">
        <f>EXP(SUMPRODUCT((rl_eff&lt;=$C1862)*(rl_key=$A$1858)*rl_ln1p))</f>
        <v/>
      </c>
      <c r="K1862" s="201">
        <f>COUNTIFS(rl_key,$A$1858,rl_eff,"&gt;="&amp;$B1862,rl_eff,"&lt;="&amp;$C1862)</f>
        <v/>
      </c>
      <c r="L1862" s="201">
        <f>SUMIFS(rl_daysafter,rl_key,$A$1858,rl_effmonth,$B1862,rl_first,1)</f>
        <v/>
      </c>
      <c r="M1862" s="209">
        <f>IF($K1862=0,0,MIN(1,$L1862/$D1862))</f>
        <v/>
      </c>
      <c r="N1862" s="208">
        <f>IF($K1862=0,$J1862,(1-$M1862)*$I1862+$M1862*$J1862)</f>
        <v/>
      </c>
      <c r="O1862" s="209">
        <f>IF($F1862&lt;$B$1859,$E$1859+$I$1859*($F1862-$A$1859),IF($F1862&lt;$C$1859,$F$1859+$J$1859*($F1862-$B$1859),$G$1859+$K$1859*($F1862-$C$1859)))</f>
        <v/>
      </c>
      <c r="P1862" s="208">
        <f>MIN(1,MAX(0,(nr_MEndPm1-$G1862+0.5)/$C$1858))-MIN(1,MAX(0,(nr_MStartPm1-1-$G1862+0.5)/$C$1858))</f>
        <v/>
      </c>
      <c r="Q1862" s="208">
        <f>MIN(1,MAX(0,(nr_MEndP-$G1862+0.5)/$C$1858))-MIN(1,MAX(0,(nr_MStartP-1-$G1862+0.5)/$C$1858))</f>
        <v/>
      </c>
      <c r="R1862" s="208">
        <f>MIN(1,MAX(0,(nr_MEndP1-$G1862+0.5)/$C$1858))-MIN(1,MAX(0,(nr_MStartP1-1-$G1862+0.5)/$C$1858))</f>
        <v/>
      </c>
      <c r="S1862" s="208">
        <f>IF($L$1858,$N1862*IF($O$1858=1,$O1862/$F$1858,1),"")</f>
        <v/>
      </c>
      <c r="T1862" s="208">
        <f>IF(NOT($L$1858),"",IF($G1862&lt;nr_MStartP,$S1862,$T1850*(1+IF($G1862&lt;nr_MStartP1,$M$1858,$N$1858))))</f>
        <v/>
      </c>
      <c r="U1862" s="208">
        <f>IF($L$1858,$T1862,$N1862)</f>
        <v/>
      </c>
    </row>
    <row r="1863">
      <c r="A1863" s="145" t="n">
        <v>3</v>
      </c>
      <c r="B1863" s="204">
        <f>EDATE($B1862,1)</f>
        <v/>
      </c>
      <c r="C1863" s="205">
        <f>EOMONTH($B1863,0)</f>
        <v/>
      </c>
      <c r="D1863" s="201">
        <f>$C1863-$B1863+1</f>
        <v/>
      </c>
      <c r="E1863" s="201">
        <f>MONTH($B1863)</f>
        <v/>
      </c>
      <c r="F1863" s="235">
        <f>($B1863+$C1863+1)/2</f>
        <v/>
      </c>
      <c r="G1863" s="201">
        <f>YEAR($B1863)*12+MONTH($B1863)-1</f>
        <v/>
      </c>
      <c r="H1863" s="207">
        <f>IF(OR(nr_SeasonOn="OFF",$D$1858=0,$E$1858=0),1,12*INDEX(se_block,$D$1858,$E1863)/$E$1858)</f>
        <v/>
      </c>
      <c r="I1863" s="208">
        <f>EXP(SUMPRODUCT((rl_eff&lt;$B1863)*(rl_key=$A$1858)*rl_ln1p))</f>
        <v/>
      </c>
      <c r="J1863" s="208">
        <f>EXP(SUMPRODUCT((rl_eff&lt;=$C1863)*(rl_key=$A$1858)*rl_ln1p))</f>
        <v/>
      </c>
      <c r="K1863" s="201">
        <f>COUNTIFS(rl_key,$A$1858,rl_eff,"&gt;="&amp;$B1863,rl_eff,"&lt;="&amp;$C1863)</f>
        <v/>
      </c>
      <c r="L1863" s="201">
        <f>SUMIFS(rl_daysafter,rl_key,$A$1858,rl_effmonth,$B1863,rl_first,1)</f>
        <v/>
      </c>
      <c r="M1863" s="209">
        <f>IF($K1863=0,0,MIN(1,$L1863/$D1863))</f>
        <v/>
      </c>
      <c r="N1863" s="208">
        <f>IF($K1863=0,$J1863,(1-$M1863)*$I1863+$M1863*$J1863)</f>
        <v/>
      </c>
      <c r="O1863" s="209">
        <f>IF($F1863&lt;$B$1859,$E$1859+$I$1859*($F1863-$A$1859),IF($F1863&lt;$C$1859,$F$1859+$J$1859*($F1863-$B$1859),$G$1859+$K$1859*($F1863-$C$1859)))</f>
        <v/>
      </c>
      <c r="P1863" s="208">
        <f>MIN(1,MAX(0,(nr_MEndPm1-$G1863+0.5)/$C$1858))-MIN(1,MAX(0,(nr_MStartPm1-1-$G1863+0.5)/$C$1858))</f>
        <v/>
      </c>
      <c r="Q1863" s="208">
        <f>MIN(1,MAX(0,(nr_MEndP-$G1863+0.5)/$C$1858))-MIN(1,MAX(0,(nr_MStartP-1-$G1863+0.5)/$C$1858))</f>
        <v/>
      </c>
      <c r="R1863" s="208">
        <f>MIN(1,MAX(0,(nr_MEndP1-$G1863+0.5)/$C$1858))-MIN(1,MAX(0,(nr_MStartP1-1-$G1863+0.5)/$C$1858))</f>
        <v/>
      </c>
      <c r="S1863" s="208">
        <f>IF($L$1858,$N1863*IF($O$1858=1,$O1863/$F$1858,1),"")</f>
        <v/>
      </c>
      <c r="T1863" s="208">
        <f>IF(NOT($L$1858),"",IF($G1863&lt;nr_MStartP,$S1863,$T1851*(1+IF($G1863&lt;nr_MStartP1,$M$1858,$N$1858))))</f>
        <v/>
      </c>
      <c r="U1863" s="208">
        <f>IF($L$1858,$T1863,$N1863)</f>
        <v/>
      </c>
    </row>
    <row r="1864">
      <c r="A1864" s="145" t="n">
        <v>4</v>
      </c>
      <c r="B1864" s="204">
        <f>EDATE($B1863,1)</f>
        <v/>
      </c>
      <c r="C1864" s="205">
        <f>EOMONTH($B1864,0)</f>
        <v/>
      </c>
      <c r="D1864" s="201">
        <f>$C1864-$B1864+1</f>
        <v/>
      </c>
      <c r="E1864" s="201">
        <f>MONTH($B1864)</f>
        <v/>
      </c>
      <c r="F1864" s="235">
        <f>($B1864+$C1864+1)/2</f>
        <v/>
      </c>
      <c r="G1864" s="201">
        <f>YEAR($B1864)*12+MONTH($B1864)-1</f>
        <v/>
      </c>
      <c r="H1864" s="207">
        <f>IF(OR(nr_SeasonOn="OFF",$D$1858=0,$E$1858=0),1,12*INDEX(se_block,$D$1858,$E1864)/$E$1858)</f>
        <v/>
      </c>
      <c r="I1864" s="208">
        <f>EXP(SUMPRODUCT((rl_eff&lt;$B1864)*(rl_key=$A$1858)*rl_ln1p))</f>
        <v/>
      </c>
      <c r="J1864" s="208">
        <f>EXP(SUMPRODUCT((rl_eff&lt;=$C1864)*(rl_key=$A$1858)*rl_ln1p))</f>
        <v/>
      </c>
      <c r="K1864" s="201">
        <f>COUNTIFS(rl_key,$A$1858,rl_eff,"&gt;="&amp;$B1864,rl_eff,"&lt;="&amp;$C1864)</f>
        <v/>
      </c>
      <c r="L1864" s="201">
        <f>SUMIFS(rl_daysafter,rl_key,$A$1858,rl_effmonth,$B1864,rl_first,1)</f>
        <v/>
      </c>
      <c r="M1864" s="209">
        <f>IF($K1864=0,0,MIN(1,$L1864/$D1864))</f>
        <v/>
      </c>
      <c r="N1864" s="208">
        <f>IF($K1864=0,$J1864,(1-$M1864)*$I1864+$M1864*$J1864)</f>
        <v/>
      </c>
      <c r="O1864" s="209">
        <f>IF($F1864&lt;$B$1859,$E$1859+$I$1859*($F1864-$A$1859),IF($F1864&lt;$C$1859,$F$1859+$J$1859*($F1864-$B$1859),$G$1859+$K$1859*($F1864-$C$1859)))</f>
        <v/>
      </c>
      <c r="P1864" s="208">
        <f>MIN(1,MAX(0,(nr_MEndPm1-$G1864+0.5)/$C$1858))-MIN(1,MAX(0,(nr_MStartPm1-1-$G1864+0.5)/$C$1858))</f>
        <v/>
      </c>
      <c r="Q1864" s="208">
        <f>MIN(1,MAX(0,(nr_MEndP-$G1864+0.5)/$C$1858))-MIN(1,MAX(0,(nr_MStartP-1-$G1864+0.5)/$C$1858))</f>
        <v/>
      </c>
      <c r="R1864" s="208">
        <f>MIN(1,MAX(0,(nr_MEndP1-$G1864+0.5)/$C$1858))-MIN(1,MAX(0,(nr_MStartP1-1-$G1864+0.5)/$C$1858))</f>
        <v/>
      </c>
      <c r="S1864" s="208">
        <f>IF($L$1858,$N1864*IF($O$1858=1,$O1864/$F$1858,1),"")</f>
        <v/>
      </c>
      <c r="T1864" s="208">
        <f>IF(NOT($L$1858),"",IF($G1864&lt;nr_MStartP,$S1864,$T1852*(1+IF($G1864&lt;nr_MStartP1,$M$1858,$N$1858))))</f>
        <v/>
      </c>
      <c r="U1864" s="208">
        <f>IF($L$1858,$T1864,$N1864)</f>
        <v/>
      </c>
    </row>
    <row r="1865">
      <c r="A1865" s="145" t="n">
        <v>5</v>
      </c>
      <c r="B1865" s="204">
        <f>EDATE($B1864,1)</f>
        <v/>
      </c>
      <c r="C1865" s="205">
        <f>EOMONTH($B1865,0)</f>
        <v/>
      </c>
      <c r="D1865" s="201">
        <f>$C1865-$B1865+1</f>
        <v/>
      </c>
      <c r="E1865" s="201">
        <f>MONTH($B1865)</f>
        <v/>
      </c>
      <c r="F1865" s="235">
        <f>($B1865+$C1865+1)/2</f>
        <v/>
      </c>
      <c r="G1865" s="201">
        <f>YEAR($B1865)*12+MONTH($B1865)-1</f>
        <v/>
      </c>
      <c r="H1865" s="207">
        <f>IF(OR(nr_SeasonOn="OFF",$D$1858=0,$E$1858=0),1,12*INDEX(se_block,$D$1858,$E1865)/$E$1858)</f>
        <v/>
      </c>
      <c r="I1865" s="208">
        <f>EXP(SUMPRODUCT((rl_eff&lt;$B1865)*(rl_key=$A$1858)*rl_ln1p))</f>
        <v/>
      </c>
      <c r="J1865" s="208">
        <f>EXP(SUMPRODUCT((rl_eff&lt;=$C1865)*(rl_key=$A$1858)*rl_ln1p))</f>
        <v/>
      </c>
      <c r="K1865" s="201">
        <f>COUNTIFS(rl_key,$A$1858,rl_eff,"&gt;="&amp;$B1865,rl_eff,"&lt;="&amp;$C1865)</f>
        <v/>
      </c>
      <c r="L1865" s="201">
        <f>SUMIFS(rl_daysafter,rl_key,$A$1858,rl_effmonth,$B1865,rl_first,1)</f>
        <v/>
      </c>
      <c r="M1865" s="209">
        <f>IF($K1865=0,0,MIN(1,$L1865/$D1865))</f>
        <v/>
      </c>
      <c r="N1865" s="208">
        <f>IF($K1865=0,$J1865,(1-$M1865)*$I1865+$M1865*$J1865)</f>
        <v/>
      </c>
      <c r="O1865" s="209">
        <f>IF($F1865&lt;$B$1859,$E$1859+$I$1859*($F1865-$A$1859),IF($F1865&lt;$C$1859,$F$1859+$J$1859*($F1865-$B$1859),$G$1859+$K$1859*($F1865-$C$1859)))</f>
        <v/>
      </c>
      <c r="P1865" s="208">
        <f>MIN(1,MAX(0,(nr_MEndPm1-$G1865+0.5)/$C$1858))-MIN(1,MAX(0,(nr_MStartPm1-1-$G1865+0.5)/$C$1858))</f>
        <v/>
      </c>
      <c r="Q1865" s="208">
        <f>MIN(1,MAX(0,(nr_MEndP-$G1865+0.5)/$C$1858))-MIN(1,MAX(0,(nr_MStartP-1-$G1865+0.5)/$C$1858))</f>
        <v/>
      </c>
      <c r="R1865" s="208">
        <f>MIN(1,MAX(0,(nr_MEndP1-$G1865+0.5)/$C$1858))-MIN(1,MAX(0,(nr_MStartP1-1-$G1865+0.5)/$C$1858))</f>
        <v/>
      </c>
      <c r="S1865" s="208">
        <f>IF($L$1858,$N1865*IF($O$1858=1,$O1865/$F$1858,1),"")</f>
        <v/>
      </c>
      <c r="T1865" s="208">
        <f>IF(NOT($L$1858),"",IF($G1865&lt;nr_MStartP,$S1865,$T1853*(1+IF($G1865&lt;nr_MStartP1,$M$1858,$N$1858))))</f>
        <v/>
      </c>
      <c r="U1865" s="208">
        <f>IF($L$1858,$T1865,$N1865)</f>
        <v/>
      </c>
    </row>
    <row r="1866">
      <c r="A1866" s="145" t="n">
        <v>6</v>
      </c>
      <c r="B1866" s="204">
        <f>EDATE($B1865,1)</f>
        <v/>
      </c>
      <c r="C1866" s="205">
        <f>EOMONTH($B1866,0)</f>
        <v/>
      </c>
      <c r="D1866" s="201">
        <f>$C1866-$B1866+1</f>
        <v/>
      </c>
      <c r="E1866" s="201">
        <f>MONTH($B1866)</f>
        <v/>
      </c>
      <c r="F1866" s="235">
        <f>($B1866+$C1866+1)/2</f>
        <v/>
      </c>
      <c r="G1866" s="201">
        <f>YEAR($B1866)*12+MONTH($B1866)-1</f>
        <v/>
      </c>
      <c r="H1866" s="207">
        <f>IF(OR(nr_SeasonOn="OFF",$D$1858=0,$E$1858=0),1,12*INDEX(se_block,$D$1858,$E1866)/$E$1858)</f>
        <v/>
      </c>
      <c r="I1866" s="208">
        <f>EXP(SUMPRODUCT((rl_eff&lt;$B1866)*(rl_key=$A$1858)*rl_ln1p))</f>
        <v/>
      </c>
      <c r="J1866" s="208">
        <f>EXP(SUMPRODUCT((rl_eff&lt;=$C1866)*(rl_key=$A$1858)*rl_ln1p))</f>
        <v/>
      </c>
      <c r="K1866" s="201">
        <f>COUNTIFS(rl_key,$A$1858,rl_eff,"&gt;="&amp;$B1866,rl_eff,"&lt;="&amp;$C1866)</f>
        <v/>
      </c>
      <c r="L1866" s="201">
        <f>SUMIFS(rl_daysafter,rl_key,$A$1858,rl_effmonth,$B1866,rl_first,1)</f>
        <v/>
      </c>
      <c r="M1866" s="209">
        <f>IF($K1866=0,0,MIN(1,$L1866/$D1866))</f>
        <v/>
      </c>
      <c r="N1866" s="208">
        <f>IF($K1866=0,$J1866,(1-$M1866)*$I1866+$M1866*$J1866)</f>
        <v/>
      </c>
      <c r="O1866" s="209">
        <f>IF($F1866&lt;$B$1859,$E$1859+$I$1859*($F1866-$A$1859),IF($F1866&lt;$C$1859,$F$1859+$J$1859*($F1866-$B$1859),$G$1859+$K$1859*($F1866-$C$1859)))</f>
        <v/>
      </c>
      <c r="P1866" s="208">
        <f>MIN(1,MAX(0,(nr_MEndPm1-$G1866+0.5)/$C$1858))-MIN(1,MAX(0,(nr_MStartPm1-1-$G1866+0.5)/$C$1858))</f>
        <v/>
      </c>
      <c r="Q1866" s="208">
        <f>MIN(1,MAX(0,(nr_MEndP-$G1866+0.5)/$C$1858))-MIN(1,MAX(0,(nr_MStartP-1-$G1866+0.5)/$C$1858))</f>
        <v/>
      </c>
      <c r="R1866" s="208">
        <f>MIN(1,MAX(0,(nr_MEndP1-$G1866+0.5)/$C$1858))-MIN(1,MAX(0,(nr_MStartP1-1-$G1866+0.5)/$C$1858))</f>
        <v/>
      </c>
      <c r="S1866" s="208">
        <f>IF($L$1858,$N1866*IF($O$1858=1,$O1866/$F$1858,1),"")</f>
        <v/>
      </c>
      <c r="T1866" s="208">
        <f>IF(NOT($L$1858),"",IF($G1866&lt;nr_MStartP,$S1866,$T1854*(1+IF($G1866&lt;nr_MStartP1,$M$1858,$N$1858))))</f>
        <v/>
      </c>
      <c r="U1866" s="208">
        <f>IF($L$1858,$T1866,$N1866)</f>
        <v/>
      </c>
    </row>
    <row r="1867">
      <c r="A1867" s="145" t="n">
        <v>7</v>
      </c>
      <c r="B1867" s="204">
        <f>EDATE($B1866,1)</f>
        <v/>
      </c>
      <c r="C1867" s="205">
        <f>EOMONTH($B1867,0)</f>
        <v/>
      </c>
      <c r="D1867" s="201">
        <f>$C1867-$B1867+1</f>
        <v/>
      </c>
      <c r="E1867" s="201">
        <f>MONTH($B1867)</f>
        <v/>
      </c>
      <c r="F1867" s="235">
        <f>($B1867+$C1867+1)/2</f>
        <v/>
      </c>
      <c r="G1867" s="201">
        <f>YEAR($B1867)*12+MONTH($B1867)-1</f>
        <v/>
      </c>
      <c r="H1867" s="207">
        <f>IF(OR(nr_SeasonOn="OFF",$D$1858=0,$E$1858=0),1,12*INDEX(se_block,$D$1858,$E1867)/$E$1858)</f>
        <v/>
      </c>
      <c r="I1867" s="208">
        <f>EXP(SUMPRODUCT((rl_eff&lt;$B1867)*(rl_key=$A$1858)*rl_ln1p))</f>
        <v/>
      </c>
      <c r="J1867" s="208">
        <f>EXP(SUMPRODUCT((rl_eff&lt;=$C1867)*(rl_key=$A$1858)*rl_ln1p))</f>
        <v/>
      </c>
      <c r="K1867" s="201">
        <f>COUNTIFS(rl_key,$A$1858,rl_eff,"&gt;="&amp;$B1867,rl_eff,"&lt;="&amp;$C1867)</f>
        <v/>
      </c>
      <c r="L1867" s="201">
        <f>SUMIFS(rl_daysafter,rl_key,$A$1858,rl_effmonth,$B1867,rl_first,1)</f>
        <v/>
      </c>
      <c r="M1867" s="209">
        <f>IF($K1867=0,0,MIN(1,$L1867/$D1867))</f>
        <v/>
      </c>
      <c r="N1867" s="208">
        <f>IF($K1867=0,$J1867,(1-$M1867)*$I1867+$M1867*$J1867)</f>
        <v/>
      </c>
      <c r="O1867" s="209">
        <f>IF($F1867&lt;$B$1859,$E$1859+$I$1859*($F1867-$A$1859),IF($F1867&lt;$C$1859,$F$1859+$J$1859*($F1867-$B$1859),$G$1859+$K$1859*($F1867-$C$1859)))</f>
        <v/>
      </c>
      <c r="P1867" s="208">
        <f>MIN(1,MAX(0,(nr_MEndPm1-$G1867+0.5)/$C$1858))-MIN(1,MAX(0,(nr_MStartPm1-1-$G1867+0.5)/$C$1858))</f>
        <v/>
      </c>
      <c r="Q1867" s="208">
        <f>MIN(1,MAX(0,(nr_MEndP-$G1867+0.5)/$C$1858))-MIN(1,MAX(0,(nr_MStartP-1-$G1867+0.5)/$C$1858))</f>
        <v/>
      </c>
      <c r="R1867" s="208">
        <f>MIN(1,MAX(0,(nr_MEndP1-$G1867+0.5)/$C$1858))-MIN(1,MAX(0,(nr_MStartP1-1-$G1867+0.5)/$C$1858))</f>
        <v/>
      </c>
      <c r="S1867" s="208">
        <f>IF($L$1858,$N1867*IF($O$1858=1,$O1867/$F$1858,1),"")</f>
        <v/>
      </c>
      <c r="T1867" s="208">
        <f>IF(NOT($L$1858),"",IF($G1867&lt;nr_MStartP,$S1867,$T1855*(1+IF($G1867&lt;nr_MStartP1,$M$1858,$N$1858))))</f>
        <v/>
      </c>
      <c r="U1867" s="208">
        <f>IF($L$1858,$T1867,$N1867)</f>
        <v/>
      </c>
    </row>
    <row r="1868">
      <c r="A1868" s="145" t="n">
        <v>8</v>
      </c>
      <c r="B1868" s="204">
        <f>EDATE($B1867,1)</f>
        <v/>
      </c>
      <c r="C1868" s="205">
        <f>EOMONTH($B1868,0)</f>
        <v/>
      </c>
      <c r="D1868" s="201">
        <f>$C1868-$B1868+1</f>
        <v/>
      </c>
      <c r="E1868" s="201">
        <f>MONTH($B1868)</f>
        <v/>
      </c>
      <c r="F1868" s="235">
        <f>($B1868+$C1868+1)/2</f>
        <v/>
      </c>
      <c r="G1868" s="201">
        <f>YEAR($B1868)*12+MONTH($B1868)-1</f>
        <v/>
      </c>
      <c r="H1868" s="207">
        <f>IF(OR(nr_SeasonOn="OFF",$D$1858=0,$E$1858=0),1,12*INDEX(se_block,$D$1858,$E1868)/$E$1858)</f>
        <v/>
      </c>
      <c r="I1868" s="208">
        <f>EXP(SUMPRODUCT((rl_eff&lt;$B1868)*(rl_key=$A$1858)*rl_ln1p))</f>
        <v/>
      </c>
      <c r="J1868" s="208">
        <f>EXP(SUMPRODUCT((rl_eff&lt;=$C1868)*(rl_key=$A$1858)*rl_ln1p))</f>
        <v/>
      </c>
      <c r="K1868" s="201">
        <f>COUNTIFS(rl_key,$A$1858,rl_eff,"&gt;="&amp;$B1868,rl_eff,"&lt;="&amp;$C1868)</f>
        <v/>
      </c>
      <c r="L1868" s="201">
        <f>SUMIFS(rl_daysafter,rl_key,$A$1858,rl_effmonth,$B1868,rl_first,1)</f>
        <v/>
      </c>
      <c r="M1868" s="209">
        <f>IF($K1868=0,0,MIN(1,$L1868/$D1868))</f>
        <v/>
      </c>
      <c r="N1868" s="208">
        <f>IF($K1868=0,$J1868,(1-$M1868)*$I1868+$M1868*$J1868)</f>
        <v/>
      </c>
      <c r="O1868" s="209">
        <f>IF($F1868&lt;$B$1859,$E$1859+$I$1859*($F1868-$A$1859),IF($F1868&lt;$C$1859,$F$1859+$J$1859*($F1868-$B$1859),$G$1859+$K$1859*($F1868-$C$1859)))</f>
        <v/>
      </c>
      <c r="P1868" s="208">
        <f>MIN(1,MAX(0,(nr_MEndPm1-$G1868+0.5)/$C$1858))-MIN(1,MAX(0,(nr_MStartPm1-1-$G1868+0.5)/$C$1858))</f>
        <v/>
      </c>
      <c r="Q1868" s="208">
        <f>MIN(1,MAX(0,(nr_MEndP-$G1868+0.5)/$C$1858))-MIN(1,MAX(0,(nr_MStartP-1-$G1868+0.5)/$C$1858))</f>
        <v/>
      </c>
      <c r="R1868" s="208">
        <f>MIN(1,MAX(0,(nr_MEndP1-$G1868+0.5)/$C$1858))-MIN(1,MAX(0,(nr_MStartP1-1-$G1868+0.5)/$C$1858))</f>
        <v/>
      </c>
      <c r="S1868" s="208">
        <f>IF($L$1858,$N1868*IF($O$1858=1,$O1868/$F$1858,1),"")</f>
        <v/>
      </c>
      <c r="T1868" s="208">
        <f>IF(NOT($L$1858),"",IF($G1868&lt;nr_MStartP,$S1868,$T1856*(1+IF($G1868&lt;nr_MStartP1,$M$1858,$N$1858))))</f>
        <v/>
      </c>
      <c r="U1868" s="208">
        <f>IF($L$1858,$T1868,$N1868)</f>
        <v/>
      </c>
    </row>
    <row r="1869">
      <c r="A1869" s="145" t="n">
        <v>9</v>
      </c>
      <c r="B1869" s="204">
        <f>EDATE($B1868,1)</f>
        <v/>
      </c>
      <c r="C1869" s="205">
        <f>EOMONTH($B1869,0)</f>
        <v/>
      </c>
      <c r="D1869" s="201">
        <f>$C1869-$B1869+1</f>
        <v/>
      </c>
      <c r="E1869" s="201">
        <f>MONTH($B1869)</f>
        <v/>
      </c>
      <c r="F1869" s="235">
        <f>($B1869+$C1869+1)/2</f>
        <v/>
      </c>
      <c r="G1869" s="201">
        <f>YEAR($B1869)*12+MONTH($B1869)-1</f>
        <v/>
      </c>
      <c r="H1869" s="207">
        <f>IF(OR(nr_SeasonOn="OFF",$D$1858=0,$E$1858=0),1,12*INDEX(se_block,$D$1858,$E1869)/$E$1858)</f>
        <v/>
      </c>
      <c r="I1869" s="208">
        <f>EXP(SUMPRODUCT((rl_eff&lt;$B1869)*(rl_key=$A$1858)*rl_ln1p))</f>
        <v/>
      </c>
      <c r="J1869" s="208">
        <f>EXP(SUMPRODUCT((rl_eff&lt;=$C1869)*(rl_key=$A$1858)*rl_ln1p))</f>
        <v/>
      </c>
      <c r="K1869" s="201">
        <f>COUNTIFS(rl_key,$A$1858,rl_eff,"&gt;="&amp;$B1869,rl_eff,"&lt;="&amp;$C1869)</f>
        <v/>
      </c>
      <c r="L1869" s="201">
        <f>SUMIFS(rl_daysafter,rl_key,$A$1858,rl_effmonth,$B1869,rl_first,1)</f>
        <v/>
      </c>
      <c r="M1869" s="209">
        <f>IF($K1869=0,0,MIN(1,$L1869/$D1869))</f>
        <v/>
      </c>
      <c r="N1869" s="208">
        <f>IF($K1869=0,$J1869,(1-$M1869)*$I1869+$M1869*$J1869)</f>
        <v/>
      </c>
      <c r="O1869" s="209">
        <f>IF($F1869&lt;$B$1859,$E$1859+$I$1859*($F1869-$A$1859),IF($F1869&lt;$C$1859,$F$1859+$J$1859*($F1869-$B$1859),$G$1859+$K$1859*($F1869-$C$1859)))</f>
        <v/>
      </c>
      <c r="P1869" s="208">
        <f>MIN(1,MAX(0,(nr_MEndPm1-$G1869+0.5)/$C$1858))-MIN(1,MAX(0,(nr_MStartPm1-1-$G1869+0.5)/$C$1858))</f>
        <v/>
      </c>
      <c r="Q1869" s="208">
        <f>MIN(1,MAX(0,(nr_MEndP-$G1869+0.5)/$C$1858))-MIN(1,MAX(0,(nr_MStartP-1-$G1869+0.5)/$C$1858))</f>
        <v/>
      </c>
      <c r="R1869" s="208">
        <f>MIN(1,MAX(0,(nr_MEndP1-$G1869+0.5)/$C$1858))-MIN(1,MAX(0,(nr_MStartP1-1-$G1869+0.5)/$C$1858))</f>
        <v/>
      </c>
      <c r="S1869" s="208">
        <f>IF($L$1858,$N1869*IF($O$1858=1,$O1869/$F$1858,1),"")</f>
        <v/>
      </c>
      <c r="T1869" s="208">
        <f>IF(NOT($L$1858),"",IF($G1869&lt;nr_MStartP,$S1869,$T1857*(1+IF($G1869&lt;nr_MStartP1,$M$1858,$N$1858))))</f>
        <v/>
      </c>
      <c r="U1869" s="208">
        <f>IF($L$1858,$T1869,$N1869)</f>
        <v/>
      </c>
    </row>
    <row r="1870">
      <c r="A1870" s="145" t="n">
        <v>10</v>
      </c>
      <c r="B1870" s="204">
        <f>EDATE($B1869,1)</f>
        <v/>
      </c>
      <c r="C1870" s="205">
        <f>EOMONTH($B1870,0)</f>
        <v/>
      </c>
      <c r="D1870" s="201">
        <f>$C1870-$B1870+1</f>
        <v/>
      </c>
      <c r="E1870" s="201">
        <f>MONTH($B1870)</f>
        <v/>
      </c>
      <c r="F1870" s="235">
        <f>($B1870+$C1870+1)/2</f>
        <v/>
      </c>
      <c r="G1870" s="201">
        <f>YEAR($B1870)*12+MONTH($B1870)-1</f>
        <v/>
      </c>
      <c r="H1870" s="207">
        <f>IF(OR(nr_SeasonOn="OFF",$D$1858=0,$E$1858=0),1,12*INDEX(se_block,$D$1858,$E1870)/$E$1858)</f>
        <v/>
      </c>
      <c r="I1870" s="208">
        <f>EXP(SUMPRODUCT((rl_eff&lt;$B1870)*(rl_key=$A$1858)*rl_ln1p))</f>
        <v/>
      </c>
      <c r="J1870" s="208">
        <f>EXP(SUMPRODUCT((rl_eff&lt;=$C1870)*(rl_key=$A$1858)*rl_ln1p))</f>
        <v/>
      </c>
      <c r="K1870" s="201">
        <f>COUNTIFS(rl_key,$A$1858,rl_eff,"&gt;="&amp;$B1870,rl_eff,"&lt;="&amp;$C1870)</f>
        <v/>
      </c>
      <c r="L1870" s="201">
        <f>SUMIFS(rl_daysafter,rl_key,$A$1858,rl_effmonth,$B1870,rl_first,1)</f>
        <v/>
      </c>
      <c r="M1870" s="209">
        <f>IF($K1870=0,0,MIN(1,$L1870/$D1870))</f>
        <v/>
      </c>
      <c r="N1870" s="208">
        <f>IF($K1870=0,$J1870,(1-$M1870)*$I1870+$M1870*$J1870)</f>
        <v/>
      </c>
      <c r="O1870" s="209">
        <f>IF($F1870&lt;$B$1859,$E$1859+$I$1859*($F1870-$A$1859),IF($F1870&lt;$C$1859,$F$1859+$J$1859*($F1870-$B$1859),$G$1859+$K$1859*($F1870-$C$1859)))</f>
        <v/>
      </c>
      <c r="P1870" s="208">
        <f>MIN(1,MAX(0,(nr_MEndPm1-$G1870+0.5)/$C$1858))-MIN(1,MAX(0,(nr_MStartPm1-1-$G1870+0.5)/$C$1858))</f>
        <v/>
      </c>
      <c r="Q1870" s="208">
        <f>MIN(1,MAX(0,(nr_MEndP-$G1870+0.5)/$C$1858))-MIN(1,MAX(0,(nr_MStartP-1-$G1870+0.5)/$C$1858))</f>
        <v/>
      </c>
      <c r="R1870" s="208">
        <f>MIN(1,MAX(0,(nr_MEndP1-$G1870+0.5)/$C$1858))-MIN(1,MAX(0,(nr_MStartP1-1-$G1870+0.5)/$C$1858))</f>
        <v/>
      </c>
      <c r="S1870" s="208">
        <f>IF($L$1858,$N1870*IF($O$1858=1,$O1870/$F$1858,1),"")</f>
        <v/>
      </c>
      <c r="T1870" s="208">
        <f>IF(NOT($L$1858),"",IF($G1870&lt;nr_MStartP,$S1870,$T1858*(1+IF($G1870&lt;nr_MStartP1,$M$1858,$N$1858))))</f>
        <v/>
      </c>
      <c r="U1870" s="208">
        <f>IF($L$1858,$T1870,$N1870)</f>
        <v/>
      </c>
    </row>
    <row r="1871">
      <c r="A1871" s="145" t="n">
        <v>11</v>
      </c>
      <c r="B1871" s="204">
        <f>EDATE($B1870,1)</f>
        <v/>
      </c>
      <c r="C1871" s="205">
        <f>EOMONTH($B1871,0)</f>
        <v/>
      </c>
      <c r="D1871" s="201">
        <f>$C1871-$B1871+1</f>
        <v/>
      </c>
      <c r="E1871" s="201">
        <f>MONTH($B1871)</f>
        <v/>
      </c>
      <c r="F1871" s="235">
        <f>($B1871+$C1871+1)/2</f>
        <v/>
      </c>
      <c r="G1871" s="201">
        <f>YEAR($B1871)*12+MONTH($B1871)-1</f>
        <v/>
      </c>
      <c r="H1871" s="207">
        <f>IF(OR(nr_SeasonOn="OFF",$D$1858=0,$E$1858=0),1,12*INDEX(se_block,$D$1858,$E1871)/$E$1858)</f>
        <v/>
      </c>
      <c r="I1871" s="208">
        <f>EXP(SUMPRODUCT((rl_eff&lt;$B1871)*(rl_key=$A$1858)*rl_ln1p))</f>
        <v/>
      </c>
      <c r="J1871" s="208">
        <f>EXP(SUMPRODUCT((rl_eff&lt;=$C1871)*(rl_key=$A$1858)*rl_ln1p))</f>
        <v/>
      </c>
      <c r="K1871" s="201">
        <f>COUNTIFS(rl_key,$A$1858,rl_eff,"&gt;="&amp;$B1871,rl_eff,"&lt;="&amp;$C1871)</f>
        <v/>
      </c>
      <c r="L1871" s="201">
        <f>SUMIFS(rl_daysafter,rl_key,$A$1858,rl_effmonth,$B1871,rl_first,1)</f>
        <v/>
      </c>
      <c r="M1871" s="209">
        <f>IF($K1871=0,0,MIN(1,$L1871/$D1871))</f>
        <v/>
      </c>
      <c r="N1871" s="208">
        <f>IF($K1871=0,$J1871,(1-$M1871)*$I1871+$M1871*$J1871)</f>
        <v/>
      </c>
      <c r="O1871" s="209">
        <f>IF($F1871&lt;$B$1859,$E$1859+$I$1859*($F1871-$A$1859),IF($F1871&lt;$C$1859,$F$1859+$J$1859*($F1871-$B$1859),$G$1859+$K$1859*($F1871-$C$1859)))</f>
        <v/>
      </c>
      <c r="P1871" s="208">
        <f>MIN(1,MAX(0,(nr_MEndPm1-$G1871+0.5)/$C$1858))-MIN(1,MAX(0,(nr_MStartPm1-1-$G1871+0.5)/$C$1858))</f>
        <v/>
      </c>
      <c r="Q1871" s="208">
        <f>MIN(1,MAX(0,(nr_MEndP-$G1871+0.5)/$C$1858))-MIN(1,MAX(0,(nr_MStartP-1-$G1871+0.5)/$C$1858))</f>
        <v/>
      </c>
      <c r="R1871" s="208">
        <f>MIN(1,MAX(0,(nr_MEndP1-$G1871+0.5)/$C$1858))-MIN(1,MAX(0,(nr_MStartP1-1-$G1871+0.5)/$C$1858))</f>
        <v/>
      </c>
      <c r="S1871" s="208">
        <f>IF($L$1858,$N1871*IF($O$1858=1,$O1871/$F$1858,1),"")</f>
        <v/>
      </c>
      <c r="T1871" s="208">
        <f>IF(NOT($L$1858),"",IF($G1871&lt;nr_MStartP,$S1871,$T1859*(1+IF($G1871&lt;nr_MStartP1,$M$1858,$N$1858))))</f>
        <v/>
      </c>
      <c r="U1871" s="208">
        <f>IF($L$1858,$T1871,$N1871)</f>
        <v/>
      </c>
    </row>
    <row r="1872">
      <c r="A1872" s="145" t="n">
        <v>12</v>
      </c>
      <c r="B1872" s="204">
        <f>EDATE($B1871,1)</f>
        <v/>
      </c>
      <c r="C1872" s="205">
        <f>EOMONTH($B1872,0)</f>
        <v/>
      </c>
      <c r="D1872" s="201">
        <f>$C1872-$B1872+1</f>
        <v/>
      </c>
      <c r="E1872" s="201">
        <f>MONTH($B1872)</f>
        <v/>
      </c>
      <c r="F1872" s="235">
        <f>($B1872+$C1872+1)/2</f>
        <v/>
      </c>
      <c r="G1872" s="201">
        <f>YEAR($B1872)*12+MONTH($B1872)-1</f>
        <v/>
      </c>
      <c r="H1872" s="207">
        <f>IF(OR(nr_SeasonOn="OFF",$D$1858=0,$E$1858=0),1,12*INDEX(se_block,$D$1858,$E1872)/$E$1858)</f>
        <v/>
      </c>
      <c r="I1872" s="208">
        <f>EXP(SUMPRODUCT((rl_eff&lt;$B1872)*(rl_key=$A$1858)*rl_ln1p))</f>
        <v/>
      </c>
      <c r="J1872" s="208">
        <f>EXP(SUMPRODUCT((rl_eff&lt;=$C1872)*(rl_key=$A$1858)*rl_ln1p))</f>
        <v/>
      </c>
      <c r="K1872" s="201">
        <f>COUNTIFS(rl_key,$A$1858,rl_eff,"&gt;="&amp;$B1872,rl_eff,"&lt;="&amp;$C1872)</f>
        <v/>
      </c>
      <c r="L1872" s="201">
        <f>SUMIFS(rl_daysafter,rl_key,$A$1858,rl_effmonth,$B1872,rl_first,1)</f>
        <v/>
      </c>
      <c r="M1872" s="209">
        <f>IF($K1872=0,0,MIN(1,$L1872/$D1872))</f>
        <v/>
      </c>
      <c r="N1872" s="208">
        <f>IF($K1872=0,$J1872,(1-$M1872)*$I1872+$M1872*$J1872)</f>
        <v/>
      </c>
      <c r="O1872" s="209">
        <f>IF($F1872&lt;$B$1859,$E$1859+$I$1859*($F1872-$A$1859),IF($F1872&lt;$C$1859,$F$1859+$J$1859*($F1872-$B$1859),$G$1859+$K$1859*($F1872-$C$1859)))</f>
        <v/>
      </c>
      <c r="P1872" s="208">
        <f>MIN(1,MAX(0,(nr_MEndPm1-$G1872+0.5)/$C$1858))-MIN(1,MAX(0,(nr_MStartPm1-1-$G1872+0.5)/$C$1858))</f>
        <v/>
      </c>
      <c r="Q1872" s="208">
        <f>MIN(1,MAX(0,(nr_MEndP-$G1872+0.5)/$C$1858))-MIN(1,MAX(0,(nr_MStartP-1-$G1872+0.5)/$C$1858))</f>
        <v/>
      </c>
      <c r="R1872" s="208">
        <f>MIN(1,MAX(0,(nr_MEndP1-$G1872+0.5)/$C$1858))-MIN(1,MAX(0,(nr_MStartP1-1-$G1872+0.5)/$C$1858))</f>
        <v/>
      </c>
      <c r="S1872" s="208">
        <f>IF($L$1858,$N1872*IF($O$1858=1,$O1872/$F$1858,1),"")</f>
        <v/>
      </c>
      <c r="T1872" s="208">
        <f>IF(NOT($L$1858),"",IF($G1872&lt;nr_MStartP,$S1872,$T1860*(1+IF($G1872&lt;nr_MStartP1,$M$1858,$N$1858))))</f>
        <v/>
      </c>
      <c r="U1872" s="208">
        <f>IF($L$1858,$T1872,$N1872)</f>
        <v/>
      </c>
    </row>
    <row r="1873">
      <c r="A1873" s="145" t="n">
        <v>13</v>
      </c>
      <c r="B1873" s="204">
        <f>EDATE($B1872,1)</f>
        <v/>
      </c>
      <c r="C1873" s="205">
        <f>EOMONTH($B1873,0)</f>
        <v/>
      </c>
      <c r="D1873" s="201">
        <f>$C1873-$B1873+1</f>
        <v/>
      </c>
      <c r="E1873" s="201">
        <f>MONTH($B1873)</f>
        <v/>
      </c>
      <c r="F1873" s="235">
        <f>($B1873+$C1873+1)/2</f>
        <v/>
      </c>
      <c r="G1873" s="201">
        <f>YEAR($B1873)*12+MONTH($B1873)-1</f>
        <v/>
      </c>
      <c r="H1873" s="207">
        <f>IF(OR(nr_SeasonOn="OFF",$D$1858=0,$E$1858=0),1,12*INDEX(se_block,$D$1858,$E1873)/$E$1858)</f>
        <v/>
      </c>
      <c r="I1873" s="208">
        <f>EXP(SUMPRODUCT((rl_eff&lt;$B1873)*(rl_key=$A$1858)*rl_ln1p))</f>
        <v/>
      </c>
      <c r="J1873" s="208">
        <f>EXP(SUMPRODUCT((rl_eff&lt;=$C1873)*(rl_key=$A$1858)*rl_ln1p))</f>
        <v/>
      </c>
      <c r="K1873" s="201">
        <f>COUNTIFS(rl_key,$A$1858,rl_eff,"&gt;="&amp;$B1873,rl_eff,"&lt;="&amp;$C1873)</f>
        <v/>
      </c>
      <c r="L1873" s="201">
        <f>SUMIFS(rl_daysafter,rl_key,$A$1858,rl_effmonth,$B1873,rl_first,1)</f>
        <v/>
      </c>
      <c r="M1873" s="209">
        <f>IF($K1873=0,0,MIN(1,$L1873/$D1873))</f>
        <v/>
      </c>
      <c r="N1873" s="208">
        <f>IF($K1873=0,$J1873,(1-$M1873)*$I1873+$M1873*$J1873)</f>
        <v/>
      </c>
      <c r="O1873" s="209">
        <f>IF($F1873&lt;$B$1859,$E$1859+$I$1859*($F1873-$A$1859),IF($F1873&lt;$C$1859,$F$1859+$J$1859*($F1873-$B$1859),$G$1859+$K$1859*($F1873-$C$1859)))</f>
        <v/>
      </c>
      <c r="P1873" s="208">
        <f>MIN(1,MAX(0,(nr_MEndPm1-$G1873+0.5)/$C$1858))-MIN(1,MAX(0,(nr_MStartPm1-1-$G1873+0.5)/$C$1858))</f>
        <v/>
      </c>
      <c r="Q1873" s="208">
        <f>MIN(1,MAX(0,(nr_MEndP-$G1873+0.5)/$C$1858))-MIN(1,MAX(0,(nr_MStartP-1-$G1873+0.5)/$C$1858))</f>
        <v/>
      </c>
      <c r="R1873" s="208">
        <f>MIN(1,MAX(0,(nr_MEndP1-$G1873+0.5)/$C$1858))-MIN(1,MAX(0,(nr_MStartP1-1-$G1873+0.5)/$C$1858))</f>
        <v/>
      </c>
      <c r="S1873" s="208">
        <f>IF($L$1858,$N1873*IF($O$1858=1,$O1873/$F$1858,1),"")</f>
        <v/>
      </c>
      <c r="T1873" s="208">
        <f>IF(NOT($L$1858),"",IF($G1873&lt;nr_MStartP,$S1873,$T1861*(1+IF($G1873&lt;nr_MStartP1,$M$1858,$N$1858))))</f>
        <v/>
      </c>
      <c r="U1873" s="208">
        <f>IF($L$1858,$T1873,$N1873)</f>
        <v/>
      </c>
    </row>
    <row r="1874">
      <c r="A1874" s="145" t="n">
        <v>14</v>
      </c>
      <c r="B1874" s="204">
        <f>EDATE($B1873,1)</f>
        <v/>
      </c>
      <c r="C1874" s="205">
        <f>EOMONTH($B1874,0)</f>
        <v/>
      </c>
      <c r="D1874" s="201">
        <f>$C1874-$B1874+1</f>
        <v/>
      </c>
      <c r="E1874" s="201">
        <f>MONTH($B1874)</f>
        <v/>
      </c>
      <c r="F1874" s="235">
        <f>($B1874+$C1874+1)/2</f>
        <v/>
      </c>
      <c r="G1874" s="201">
        <f>YEAR($B1874)*12+MONTH($B1874)-1</f>
        <v/>
      </c>
      <c r="H1874" s="207">
        <f>IF(OR(nr_SeasonOn="OFF",$D$1858=0,$E$1858=0),1,12*INDEX(se_block,$D$1858,$E1874)/$E$1858)</f>
        <v/>
      </c>
      <c r="I1874" s="208">
        <f>EXP(SUMPRODUCT((rl_eff&lt;$B1874)*(rl_key=$A$1858)*rl_ln1p))</f>
        <v/>
      </c>
      <c r="J1874" s="208">
        <f>EXP(SUMPRODUCT((rl_eff&lt;=$C1874)*(rl_key=$A$1858)*rl_ln1p))</f>
        <v/>
      </c>
      <c r="K1874" s="201">
        <f>COUNTIFS(rl_key,$A$1858,rl_eff,"&gt;="&amp;$B1874,rl_eff,"&lt;="&amp;$C1874)</f>
        <v/>
      </c>
      <c r="L1874" s="201">
        <f>SUMIFS(rl_daysafter,rl_key,$A$1858,rl_effmonth,$B1874,rl_first,1)</f>
        <v/>
      </c>
      <c r="M1874" s="209">
        <f>IF($K1874=0,0,MIN(1,$L1874/$D1874))</f>
        <v/>
      </c>
      <c r="N1874" s="208">
        <f>IF($K1874=0,$J1874,(1-$M1874)*$I1874+$M1874*$J1874)</f>
        <v/>
      </c>
      <c r="O1874" s="209">
        <f>IF($F1874&lt;$B$1859,$E$1859+$I$1859*($F1874-$A$1859),IF($F1874&lt;$C$1859,$F$1859+$J$1859*($F1874-$B$1859),$G$1859+$K$1859*($F1874-$C$1859)))</f>
        <v/>
      </c>
      <c r="P1874" s="208">
        <f>MIN(1,MAX(0,(nr_MEndPm1-$G1874+0.5)/$C$1858))-MIN(1,MAX(0,(nr_MStartPm1-1-$G1874+0.5)/$C$1858))</f>
        <v/>
      </c>
      <c r="Q1874" s="208">
        <f>MIN(1,MAX(0,(nr_MEndP-$G1874+0.5)/$C$1858))-MIN(1,MAX(0,(nr_MStartP-1-$G1874+0.5)/$C$1858))</f>
        <v/>
      </c>
      <c r="R1874" s="208">
        <f>MIN(1,MAX(0,(nr_MEndP1-$G1874+0.5)/$C$1858))-MIN(1,MAX(0,(nr_MStartP1-1-$G1874+0.5)/$C$1858))</f>
        <v/>
      </c>
      <c r="S1874" s="208">
        <f>IF($L$1858,$N1874*IF($O$1858=1,$O1874/$F$1858,1),"")</f>
        <v/>
      </c>
      <c r="T1874" s="208">
        <f>IF(NOT($L$1858),"",IF($G1874&lt;nr_MStartP,$S1874,$T1862*(1+IF($G1874&lt;nr_MStartP1,$M$1858,$N$1858))))</f>
        <v/>
      </c>
      <c r="U1874" s="208">
        <f>IF($L$1858,$T1874,$N1874)</f>
        <v/>
      </c>
    </row>
    <row r="1875">
      <c r="A1875" s="145" t="n">
        <v>15</v>
      </c>
      <c r="B1875" s="204">
        <f>EDATE($B1874,1)</f>
        <v/>
      </c>
      <c r="C1875" s="205">
        <f>EOMONTH($B1875,0)</f>
        <v/>
      </c>
      <c r="D1875" s="201">
        <f>$C1875-$B1875+1</f>
        <v/>
      </c>
      <c r="E1875" s="201">
        <f>MONTH($B1875)</f>
        <v/>
      </c>
      <c r="F1875" s="235">
        <f>($B1875+$C1875+1)/2</f>
        <v/>
      </c>
      <c r="G1875" s="201">
        <f>YEAR($B1875)*12+MONTH($B1875)-1</f>
        <v/>
      </c>
      <c r="H1875" s="207">
        <f>IF(OR(nr_SeasonOn="OFF",$D$1858=0,$E$1858=0),1,12*INDEX(se_block,$D$1858,$E1875)/$E$1858)</f>
        <v/>
      </c>
      <c r="I1875" s="208">
        <f>EXP(SUMPRODUCT((rl_eff&lt;$B1875)*(rl_key=$A$1858)*rl_ln1p))</f>
        <v/>
      </c>
      <c r="J1875" s="208">
        <f>EXP(SUMPRODUCT((rl_eff&lt;=$C1875)*(rl_key=$A$1858)*rl_ln1p))</f>
        <v/>
      </c>
      <c r="K1875" s="201">
        <f>COUNTIFS(rl_key,$A$1858,rl_eff,"&gt;="&amp;$B1875,rl_eff,"&lt;="&amp;$C1875)</f>
        <v/>
      </c>
      <c r="L1875" s="201">
        <f>SUMIFS(rl_daysafter,rl_key,$A$1858,rl_effmonth,$B1875,rl_first,1)</f>
        <v/>
      </c>
      <c r="M1875" s="209">
        <f>IF($K1875=0,0,MIN(1,$L1875/$D1875))</f>
        <v/>
      </c>
      <c r="N1875" s="208">
        <f>IF($K1875=0,$J1875,(1-$M1875)*$I1875+$M1875*$J1875)</f>
        <v/>
      </c>
      <c r="O1875" s="209">
        <f>IF($F1875&lt;$B$1859,$E$1859+$I$1859*($F1875-$A$1859),IF($F1875&lt;$C$1859,$F$1859+$J$1859*($F1875-$B$1859),$G$1859+$K$1859*($F1875-$C$1859)))</f>
        <v/>
      </c>
      <c r="P1875" s="208">
        <f>MIN(1,MAX(0,(nr_MEndPm1-$G1875+0.5)/$C$1858))-MIN(1,MAX(0,(nr_MStartPm1-1-$G1875+0.5)/$C$1858))</f>
        <v/>
      </c>
      <c r="Q1875" s="208">
        <f>MIN(1,MAX(0,(nr_MEndP-$G1875+0.5)/$C$1858))-MIN(1,MAX(0,(nr_MStartP-1-$G1875+0.5)/$C$1858))</f>
        <v/>
      </c>
      <c r="R1875" s="208">
        <f>MIN(1,MAX(0,(nr_MEndP1-$G1875+0.5)/$C$1858))-MIN(1,MAX(0,(nr_MStartP1-1-$G1875+0.5)/$C$1858))</f>
        <v/>
      </c>
      <c r="S1875" s="208">
        <f>IF($L$1858,$N1875*IF($O$1858=1,$O1875/$F$1858,1),"")</f>
        <v/>
      </c>
      <c r="T1875" s="208">
        <f>IF(NOT($L$1858),"",IF($G1875&lt;nr_MStartP,$S1875,$T1863*(1+IF($G1875&lt;nr_MStartP1,$M$1858,$N$1858))))</f>
        <v/>
      </c>
      <c r="U1875" s="208">
        <f>IF($L$1858,$T1875,$N1875)</f>
        <v/>
      </c>
    </row>
    <row r="1876">
      <c r="A1876" s="145" t="n">
        <v>16</v>
      </c>
      <c r="B1876" s="204">
        <f>EDATE($B1875,1)</f>
        <v/>
      </c>
      <c r="C1876" s="205">
        <f>EOMONTH($B1876,0)</f>
        <v/>
      </c>
      <c r="D1876" s="201">
        <f>$C1876-$B1876+1</f>
        <v/>
      </c>
      <c r="E1876" s="201">
        <f>MONTH($B1876)</f>
        <v/>
      </c>
      <c r="F1876" s="235">
        <f>($B1876+$C1876+1)/2</f>
        <v/>
      </c>
      <c r="G1876" s="201">
        <f>YEAR($B1876)*12+MONTH($B1876)-1</f>
        <v/>
      </c>
      <c r="H1876" s="207">
        <f>IF(OR(nr_SeasonOn="OFF",$D$1858=0,$E$1858=0),1,12*INDEX(se_block,$D$1858,$E1876)/$E$1858)</f>
        <v/>
      </c>
      <c r="I1876" s="208">
        <f>EXP(SUMPRODUCT((rl_eff&lt;$B1876)*(rl_key=$A$1858)*rl_ln1p))</f>
        <v/>
      </c>
      <c r="J1876" s="208">
        <f>EXP(SUMPRODUCT((rl_eff&lt;=$C1876)*(rl_key=$A$1858)*rl_ln1p))</f>
        <v/>
      </c>
      <c r="K1876" s="201">
        <f>COUNTIFS(rl_key,$A$1858,rl_eff,"&gt;="&amp;$B1876,rl_eff,"&lt;="&amp;$C1876)</f>
        <v/>
      </c>
      <c r="L1876" s="201">
        <f>SUMIFS(rl_daysafter,rl_key,$A$1858,rl_effmonth,$B1876,rl_first,1)</f>
        <v/>
      </c>
      <c r="M1876" s="209">
        <f>IF($K1876=0,0,MIN(1,$L1876/$D1876))</f>
        <v/>
      </c>
      <c r="N1876" s="208">
        <f>IF($K1876=0,$J1876,(1-$M1876)*$I1876+$M1876*$J1876)</f>
        <v/>
      </c>
      <c r="O1876" s="209">
        <f>IF($F1876&lt;$B$1859,$E$1859+$I$1859*($F1876-$A$1859),IF($F1876&lt;$C$1859,$F$1859+$J$1859*($F1876-$B$1859),$G$1859+$K$1859*($F1876-$C$1859)))</f>
        <v/>
      </c>
      <c r="P1876" s="208">
        <f>MIN(1,MAX(0,(nr_MEndPm1-$G1876+0.5)/$C$1858))-MIN(1,MAX(0,(nr_MStartPm1-1-$G1876+0.5)/$C$1858))</f>
        <v/>
      </c>
      <c r="Q1876" s="208">
        <f>MIN(1,MAX(0,(nr_MEndP-$G1876+0.5)/$C$1858))-MIN(1,MAX(0,(nr_MStartP-1-$G1876+0.5)/$C$1858))</f>
        <v/>
      </c>
      <c r="R1876" s="208">
        <f>MIN(1,MAX(0,(nr_MEndP1-$G1876+0.5)/$C$1858))-MIN(1,MAX(0,(nr_MStartP1-1-$G1876+0.5)/$C$1858))</f>
        <v/>
      </c>
      <c r="S1876" s="208">
        <f>IF($L$1858,$N1876*IF($O$1858=1,$O1876/$F$1858,1),"")</f>
        <v/>
      </c>
      <c r="T1876" s="208">
        <f>IF(NOT($L$1858),"",IF($G1876&lt;nr_MStartP,$S1876,$T1864*(1+IF($G1876&lt;nr_MStartP1,$M$1858,$N$1858))))</f>
        <v/>
      </c>
      <c r="U1876" s="208">
        <f>IF($L$1858,$T1876,$N1876)</f>
        <v/>
      </c>
    </row>
    <row r="1877">
      <c r="A1877" s="145" t="n">
        <v>17</v>
      </c>
      <c r="B1877" s="204">
        <f>EDATE($B1876,1)</f>
        <v/>
      </c>
      <c r="C1877" s="205">
        <f>EOMONTH($B1877,0)</f>
        <v/>
      </c>
      <c r="D1877" s="201">
        <f>$C1877-$B1877+1</f>
        <v/>
      </c>
      <c r="E1877" s="201">
        <f>MONTH($B1877)</f>
        <v/>
      </c>
      <c r="F1877" s="235">
        <f>($B1877+$C1877+1)/2</f>
        <v/>
      </c>
      <c r="G1877" s="201">
        <f>YEAR($B1877)*12+MONTH($B1877)-1</f>
        <v/>
      </c>
      <c r="H1877" s="207">
        <f>IF(OR(nr_SeasonOn="OFF",$D$1858=0,$E$1858=0),1,12*INDEX(se_block,$D$1858,$E1877)/$E$1858)</f>
        <v/>
      </c>
      <c r="I1877" s="208">
        <f>EXP(SUMPRODUCT((rl_eff&lt;$B1877)*(rl_key=$A$1858)*rl_ln1p))</f>
        <v/>
      </c>
      <c r="J1877" s="208">
        <f>EXP(SUMPRODUCT((rl_eff&lt;=$C1877)*(rl_key=$A$1858)*rl_ln1p))</f>
        <v/>
      </c>
      <c r="K1877" s="201">
        <f>COUNTIFS(rl_key,$A$1858,rl_eff,"&gt;="&amp;$B1877,rl_eff,"&lt;="&amp;$C1877)</f>
        <v/>
      </c>
      <c r="L1877" s="201">
        <f>SUMIFS(rl_daysafter,rl_key,$A$1858,rl_effmonth,$B1877,rl_first,1)</f>
        <v/>
      </c>
      <c r="M1877" s="209">
        <f>IF($K1877=0,0,MIN(1,$L1877/$D1877))</f>
        <v/>
      </c>
      <c r="N1877" s="208">
        <f>IF($K1877=0,$J1877,(1-$M1877)*$I1877+$M1877*$J1877)</f>
        <v/>
      </c>
      <c r="O1877" s="209">
        <f>IF($F1877&lt;$B$1859,$E$1859+$I$1859*($F1877-$A$1859),IF($F1877&lt;$C$1859,$F$1859+$J$1859*($F1877-$B$1859),$G$1859+$K$1859*($F1877-$C$1859)))</f>
        <v/>
      </c>
      <c r="P1877" s="208">
        <f>MIN(1,MAX(0,(nr_MEndPm1-$G1877+0.5)/$C$1858))-MIN(1,MAX(0,(nr_MStartPm1-1-$G1877+0.5)/$C$1858))</f>
        <v/>
      </c>
      <c r="Q1877" s="208">
        <f>MIN(1,MAX(0,(nr_MEndP-$G1877+0.5)/$C$1858))-MIN(1,MAX(0,(nr_MStartP-1-$G1877+0.5)/$C$1858))</f>
        <v/>
      </c>
      <c r="R1877" s="208">
        <f>MIN(1,MAX(0,(nr_MEndP1-$G1877+0.5)/$C$1858))-MIN(1,MAX(0,(nr_MStartP1-1-$G1877+0.5)/$C$1858))</f>
        <v/>
      </c>
      <c r="S1877" s="208">
        <f>IF($L$1858,$N1877*IF($O$1858=1,$O1877/$F$1858,1),"")</f>
        <v/>
      </c>
      <c r="T1877" s="208">
        <f>IF(NOT($L$1858),"",IF($G1877&lt;nr_MStartP,$S1877,$T1865*(1+IF($G1877&lt;nr_MStartP1,$M$1858,$N$1858))))</f>
        <v/>
      </c>
      <c r="U1877" s="208">
        <f>IF($L$1858,$T1877,$N1877)</f>
        <v/>
      </c>
    </row>
    <row r="1878">
      <c r="A1878" s="145" t="n">
        <v>18</v>
      </c>
      <c r="B1878" s="204">
        <f>EDATE($B1877,1)</f>
        <v/>
      </c>
      <c r="C1878" s="205">
        <f>EOMONTH($B1878,0)</f>
        <v/>
      </c>
      <c r="D1878" s="201">
        <f>$C1878-$B1878+1</f>
        <v/>
      </c>
      <c r="E1878" s="201">
        <f>MONTH($B1878)</f>
        <v/>
      </c>
      <c r="F1878" s="235">
        <f>($B1878+$C1878+1)/2</f>
        <v/>
      </c>
      <c r="G1878" s="201">
        <f>YEAR($B1878)*12+MONTH($B1878)-1</f>
        <v/>
      </c>
      <c r="H1878" s="207">
        <f>IF(OR(nr_SeasonOn="OFF",$D$1858=0,$E$1858=0),1,12*INDEX(se_block,$D$1858,$E1878)/$E$1858)</f>
        <v/>
      </c>
      <c r="I1878" s="208">
        <f>EXP(SUMPRODUCT((rl_eff&lt;$B1878)*(rl_key=$A$1858)*rl_ln1p))</f>
        <v/>
      </c>
      <c r="J1878" s="208">
        <f>EXP(SUMPRODUCT((rl_eff&lt;=$C1878)*(rl_key=$A$1858)*rl_ln1p))</f>
        <v/>
      </c>
      <c r="K1878" s="201">
        <f>COUNTIFS(rl_key,$A$1858,rl_eff,"&gt;="&amp;$B1878,rl_eff,"&lt;="&amp;$C1878)</f>
        <v/>
      </c>
      <c r="L1878" s="201">
        <f>SUMIFS(rl_daysafter,rl_key,$A$1858,rl_effmonth,$B1878,rl_first,1)</f>
        <v/>
      </c>
      <c r="M1878" s="209">
        <f>IF($K1878=0,0,MIN(1,$L1878/$D1878))</f>
        <v/>
      </c>
      <c r="N1878" s="208">
        <f>IF($K1878=0,$J1878,(1-$M1878)*$I1878+$M1878*$J1878)</f>
        <v/>
      </c>
      <c r="O1878" s="209">
        <f>IF($F1878&lt;$B$1859,$E$1859+$I$1859*($F1878-$A$1859),IF($F1878&lt;$C$1859,$F$1859+$J$1859*($F1878-$B$1859),$G$1859+$K$1859*($F1878-$C$1859)))</f>
        <v/>
      </c>
      <c r="P1878" s="208">
        <f>MIN(1,MAX(0,(nr_MEndPm1-$G1878+0.5)/$C$1858))-MIN(1,MAX(0,(nr_MStartPm1-1-$G1878+0.5)/$C$1858))</f>
        <v/>
      </c>
      <c r="Q1878" s="208">
        <f>MIN(1,MAX(0,(nr_MEndP-$G1878+0.5)/$C$1858))-MIN(1,MAX(0,(nr_MStartP-1-$G1878+0.5)/$C$1858))</f>
        <v/>
      </c>
      <c r="R1878" s="208">
        <f>MIN(1,MAX(0,(nr_MEndP1-$G1878+0.5)/$C$1858))-MIN(1,MAX(0,(nr_MStartP1-1-$G1878+0.5)/$C$1858))</f>
        <v/>
      </c>
      <c r="S1878" s="208">
        <f>IF($L$1858,$N1878*IF($O$1858=1,$O1878/$F$1858,1),"")</f>
        <v/>
      </c>
      <c r="T1878" s="208">
        <f>IF(NOT($L$1858),"",IF($G1878&lt;nr_MStartP,$S1878,$T1866*(1+IF($G1878&lt;nr_MStartP1,$M$1858,$N$1858))))</f>
        <v/>
      </c>
      <c r="U1878" s="208">
        <f>IF($L$1858,$T1878,$N1878)</f>
        <v/>
      </c>
    </row>
    <row r="1879">
      <c r="A1879" s="145" t="n">
        <v>19</v>
      </c>
      <c r="B1879" s="204">
        <f>EDATE($B1878,1)</f>
        <v/>
      </c>
      <c r="C1879" s="205">
        <f>EOMONTH($B1879,0)</f>
        <v/>
      </c>
      <c r="D1879" s="201">
        <f>$C1879-$B1879+1</f>
        <v/>
      </c>
      <c r="E1879" s="201">
        <f>MONTH($B1879)</f>
        <v/>
      </c>
      <c r="F1879" s="235">
        <f>($B1879+$C1879+1)/2</f>
        <v/>
      </c>
      <c r="G1879" s="201">
        <f>YEAR($B1879)*12+MONTH($B1879)-1</f>
        <v/>
      </c>
      <c r="H1879" s="207">
        <f>IF(OR(nr_SeasonOn="OFF",$D$1858=0,$E$1858=0),1,12*INDEX(se_block,$D$1858,$E1879)/$E$1858)</f>
        <v/>
      </c>
      <c r="I1879" s="208">
        <f>EXP(SUMPRODUCT((rl_eff&lt;$B1879)*(rl_key=$A$1858)*rl_ln1p))</f>
        <v/>
      </c>
      <c r="J1879" s="208">
        <f>EXP(SUMPRODUCT((rl_eff&lt;=$C1879)*(rl_key=$A$1858)*rl_ln1p))</f>
        <v/>
      </c>
      <c r="K1879" s="201">
        <f>COUNTIFS(rl_key,$A$1858,rl_eff,"&gt;="&amp;$B1879,rl_eff,"&lt;="&amp;$C1879)</f>
        <v/>
      </c>
      <c r="L1879" s="201">
        <f>SUMIFS(rl_daysafter,rl_key,$A$1858,rl_effmonth,$B1879,rl_first,1)</f>
        <v/>
      </c>
      <c r="M1879" s="209">
        <f>IF($K1879=0,0,MIN(1,$L1879/$D1879))</f>
        <v/>
      </c>
      <c r="N1879" s="208">
        <f>IF($K1879=0,$J1879,(1-$M1879)*$I1879+$M1879*$J1879)</f>
        <v/>
      </c>
      <c r="O1879" s="209">
        <f>IF($F1879&lt;$B$1859,$E$1859+$I$1859*($F1879-$A$1859),IF($F1879&lt;$C$1859,$F$1859+$J$1859*($F1879-$B$1859),$G$1859+$K$1859*($F1879-$C$1859)))</f>
        <v/>
      </c>
      <c r="P1879" s="208">
        <f>MIN(1,MAX(0,(nr_MEndPm1-$G1879+0.5)/$C$1858))-MIN(1,MAX(0,(nr_MStartPm1-1-$G1879+0.5)/$C$1858))</f>
        <v/>
      </c>
      <c r="Q1879" s="208">
        <f>MIN(1,MAX(0,(nr_MEndP-$G1879+0.5)/$C$1858))-MIN(1,MAX(0,(nr_MStartP-1-$G1879+0.5)/$C$1858))</f>
        <v/>
      </c>
      <c r="R1879" s="208">
        <f>MIN(1,MAX(0,(nr_MEndP1-$G1879+0.5)/$C$1858))-MIN(1,MAX(0,(nr_MStartP1-1-$G1879+0.5)/$C$1858))</f>
        <v/>
      </c>
      <c r="S1879" s="208">
        <f>IF($L$1858,$N1879*IF($O$1858=1,$O1879/$F$1858,1),"")</f>
        <v/>
      </c>
      <c r="T1879" s="208">
        <f>IF(NOT($L$1858),"",IF($G1879&lt;nr_MStartP,$S1879,$T1867*(1+IF($G1879&lt;nr_MStartP1,$M$1858,$N$1858))))</f>
        <v/>
      </c>
      <c r="U1879" s="208">
        <f>IF($L$1858,$T1879,$N1879)</f>
        <v/>
      </c>
    </row>
    <row r="1880">
      <c r="A1880" s="145" t="n">
        <v>20</v>
      </c>
      <c r="B1880" s="204">
        <f>EDATE($B1879,1)</f>
        <v/>
      </c>
      <c r="C1880" s="205">
        <f>EOMONTH($B1880,0)</f>
        <v/>
      </c>
      <c r="D1880" s="201">
        <f>$C1880-$B1880+1</f>
        <v/>
      </c>
      <c r="E1880" s="201">
        <f>MONTH($B1880)</f>
        <v/>
      </c>
      <c r="F1880" s="235">
        <f>($B1880+$C1880+1)/2</f>
        <v/>
      </c>
      <c r="G1880" s="201">
        <f>YEAR($B1880)*12+MONTH($B1880)-1</f>
        <v/>
      </c>
      <c r="H1880" s="207">
        <f>IF(OR(nr_SeasonOn="OFF",$D$1858=0,$E$1858=0),1,12*INDEX(se_block,$D$1858,$E1880)/$E$1858)</f>
        <v/>
      </c>
      <c r="I1880" s="208">
        <f>EXP(SUMPRODUCT((rl_eff&lt;$B1880)*(rl_key=$A$1858)*rl_ln1p))</f>
        <v/>
      </c>
      <c r="J1880" s="208">
        <f>EXP(SUMPRODUCT((rl_eff&lt;=$C1880)*(rl_key=$A$1858)*rl_ln1p))</f>
        <v/>
      </c>
      <c r="K1880" s="201">
        <f>COUNTIFS(rl_key,$A$1858,rl_eff,"&gt;="&amp;$B1880,rl_eff,"&lt;="&amp;$C1880)</f>
        <v/>
      </c>
      <c r="L1880" s="201">
        <f>SUMIFS(rl_daysafter,rl_key,$A$1858,rl_effmonth,$B1880,rl_first,1)</f>
        <v/>
      </c>
      <c r="M1880" s="209">
        <f>IF($K1880=0,0,MIN(1,$L1880/$D1880))</f>
        <v/>
      </c>
      <c r="N1880" s="208">
        <f>IF($K1880=0,$J1880,(1-$M1880)*$I1880+$M1880*$J1880)</f>
        <v/>
      </c>
      <c r="O1880" s="209">
        <f>IF($F1880&lt;$B$1859,$E$1859+$I$1859*($F1880-$A$1859),IF($F1880&lt;$C$1859,$F$1859+$J$1859*($F1880-$B$1859),$G$1859+$K$1859*($F1880-$C$1859)))</f>
        <v/>
      </c>
      <c r="P1880" s="208">
        <f>MIN(1,MAX(0,(nr_MEndPm1-$G1880+0.5)/$C$1858))-MIN(1,MAX(0,(nr_MStartPm1-1-$G1880+0.5)/$C$1858))</f>
        <v/>
      </c>
      <c r="Q1880" s="208">
        <f>MIN(1,MAX(0,(nr_MEndP-$G1880+0.5)/$C$1858))-MIN(1,MAX(0,(nr_MStartP-1-$G1880+0.5)/$C$1858))</f>
        <v/>
      </c>
      <c r="R1880" s="208">
        <f>MIN(1,MAX(0,(nr_MEndP1-$G1880+0.5)/$C$1858))-MIN(1,MAX(0,(nr_MStartP1-1-$G1880+0.5)/$C$1858))</f>
        <v/>
      </c>
      <c r="S1880" s="208">
        <f>IF($L$1858,$N1880*IF($O$1858=1,$O1880/$F$1858,1),"")</f>
        <v/>
      </c>
      <c r="T1880" s="208">
        <f>IF(NOT($L$1858),"",IF($G1880&lt;nr_MStartP,$S1880,$T1868*(1+IF($G1880&lt;nr_MStartP1,$M$1858,$N$1858))))</f>
        <v/>
      </c>
      <c r="U1880" s="208">
        <f>IF($L$1858,$T1880,$N1880)</f>
        <v/>
      </c>
    </row>
    <row r="1881">
      <c r="A1881" s="145" t="n">
        <v>21</v>
      </c>
      <c r="B1881" s="204">
        <f>EDATE($B1880,1)</f>
        <v/>
      </c>
      <c r="C1881" s="205">
        <f>EOMONTH($B1881,0)</f>
        <v/>
      </c>
      <c r="D1881" s="201">
        <f>$C1881-$B1881+1</f>
        <v/>
      </c>
      <c r="E1881" s="201">
        <f>MONTH($B1881)</f>
        <v/>
      </c>
      <c r="F1881" s="235">
        <f>($B1881+$C1881+1)/2</f>
        <v/>
      </c>
      <c r="G1881" s="201">
        <f>YEAR($B1881)*12+MONTH($B1881)-1</f>
        <v/>
      </c>
      <c r="H1881" s="207">
        <f>IF(OR(nr_SeasonOn="OFF",$D$1858=0,$E$1858=0),1,12*INDEX(se_block,$D$1858,$E1881)/$E$1858)</f>
        <v/>
      </c>
      <c r="I1881" s="208">
        <f>EXP(SUMPRODUCT((rl_eff&lt;$B1881)*(rl_key=$A$1858)*rl_ln1p))</f>
        <v/>
      </c>
      <c r="J1881" s="208">
        <f>EXP(SUMPRODUCT((rl_eff&lt;=$C1881)*(rl_key=$A$1858)*rl_ln1p))</f>
        <v/>
      </c>
      <c r="K1881" s="201">
        <f>COUNTIFS(rl_key,$A$1858,rl_eff,"&gt;="&amp;$B1881,rl_eff,"&lt;="&amp;$C1881)</f>
        <v/>
      </c>
      <c r="L1881" s="201">
        <f>SUMIFS(rl_daysafter,rl_key,$A$1858,rl_effmonth,$B1881,rl_first,1)</f>
        <v/>
      </c>
      <c r="M1881" s="209">
        <f>IF($K1881=0,0,MIN(1,$L1881/$D1881))</f>
        <v/>
      </c>
      <c r="N1881" s="208">
        <f>IF($K1881=0,$J1881,(1-$M1881)*$I1881+$M1881*$J1881)</f>
        <v/>
      </c>
      <c r="O1881" s="209">
        <f>IF($F1881&lt;$B$1859,$E$1859+$I$1859*($F1881-$A$1859),IF($F1881&lt;$C$1859,$F$1859+$J$1859*($F1881-$B$1859),$G$1859+$K$1859*($F1881-$C$1859)))</f>
        <v/>
      </c>
      <c r="P1881" s="208">
        <f>MIN(1,MAX(0,(nr_MEndPm1-$G1881+0.5)/$C$1858))-MIN(1,MAX(0,(nr_MStartPm1-1-$G1881+0.5)/$C$1858))</f>
        <v/>
      </c>
      <c r="Q1881" s="208">
        <f>MIN(1,MAX(0,(nr_MEndP-$G1881+0.5)/$C$1858))-MIN(1,MAX(0,(nr_MStartP-1-$G1881+0.5)/$C$1858))</f>
        <v/>
      </c>
      <c r="R1881" s="208">
        <f>MIN(1,MAX(0,(nr_MEndP1-$G1881+0.5)/$C$1858))-MIN(1,MAX(0,(nr_MStartP1-1-$G1881+0.5)/$C$1858))</f>
        <v/>
      </c>
      <c r="S1881" s="208">
        <f>IF($L$1858,$N1881*IF($O$1858=1,$O1881/$F$1858,1),"")</f>
        <v/>
      </c>
      <c r="T1881" s="208">
        <f>IF(NOT($L$1858),"",IF($G1881&lt;nr_MStartP,$S1881,$T1869*(1+IF($G1881&lt;nr_MStartP1,$M$1858,$N$1858))))</f>
        <v/>
      </c>
      <c r="U1881" s="208">
        <f>IF($L$1858,$T1881,$N1881)</f>
        <v/>
      </c>
    </row>
    <row r="1882">
      <c r="A1882" s="145" t="n">
        <v>22</v>
      </c>
      <c r="B1882" s="204">
        <f>EDATE($B1881,1)</f>
        <v/>
      </c>
      <c r="C1882" s="205">
        <f>EOMONTH($B1882,0)</f>
        <v/>
      </c>
      <c r="D1882" s="201">
        <f>$C1882-$B1882+1</f>
        <v/>
      </c>
      <c r="E1882" s="201">
        <f>MONTH($B1882)</f>
        <v/>
      </c>
      <c r="F1882" s="235">
        <f>($B1882+$C1882+1)/2</f>
        <v/>
      </c>
      <c r="G1882" s="201">
        <f>YEAR($B1882)*12+MONTH($B1882)-1</f>
        <v/>
      </c>
      <c r="H1882" s="207">
        <f>IF(OR(nr_SeasonOn="OFF",$D$1858=0,$E$1858=0),1,12*INDEX(se_block,$D$1858,$E1882)/$E$1858)</f>
        <v/>
      </c>
      <c r="I1882" s="208">
        <f>EXP(SUMPRODUCT((rl_eff&lt;$B1882)*(rl_key=$A$1858)*rl_ln1p))</f>
        <v/>
      </c>
      <c r="J1882" s="208">
        <f>EXP(SUMPRODUCT((rl_eff&lt;=$C1882)*(rl_key=$A$1858)*rl_ln1p))</f>
        <v/>
      </c>
      <c r="K1882" s="201">
        <f>COUNTIFS(rl_key,$A$1858,rl_eff,"&gt;="&amp;$B1882,rl_eff,"&lt;="&amp;$C1882)</f>
        <v/>
      </c>
      <c r="L1882" s="201">
        <f>SUMIFS(rl_daysafter,rl_key,$A$1858,rl_effmonth,$B1882,rl_first,1)</f>
        <v/>
      </c>
      <c r="M1882" s="209">
        <f>IF($K1882=0,0,MIN(1,$L1882/$D1882))</f>
        <v/>
      </c>
      <c r="N1882" s="208">
        <f>IF($K1882=0,$J1882,(1-$M1882)*$I1882+$M1882*$J1882)</f>
        <v/>
      </c>
      <c r="O1882" s="209">
        <f>IF($F1882&lt;$B$1859,$E$1859+$I$1859*($F1882-$A$1859),IF($F1882&lt;$C$1859,$F$1859+$J$1859*($F1882-$B$1859),$G$1859+$K$1859*($F1882-$C$1859)))</f>
        <v/>
      </c>
      <c r="P1882" s="208">
        <f>MIN(1,MAX(0,(nr_MEndPm1-$G1882+0.5)/$C$1858))-MIN(1,MAX(0,(nr_MStartPm1-1-$G1882+0.5)/$C$1858))</f>
        <v/>
      </c>
      <c r="Q1882" s="208">
        <f>MIN(1,MAX(0,(nr_MEndP-$G1882+0.5)/$C$1858))-MIN(1,MAX(0,(nr_MStartP-1-$G1882+0.5)/$C$1858))</f>
        <v/>
      </c>
      <c r="R1882" s="208">
        <f>MIN(1,MAX(0,(nr_MEndP1-$G1882+0.5)/$C$1858))-MIN(1,MAX(0,(nr_MStartP1-1-$G1882+0.5)/$C$1858))</f>
        <v/>
      </c>
      <c r="S1882" s="208">
        <f>IF($L$1858,$N1882*IF($O$1858=1,$O1882/$F$1858,1),"")</f>
        <v/>
      </c>
      <c r="T1882" s="208">
        <f>IF(NOT($L$1858),"",IF($G1882&lt;nr_MStartP,$S1882,$T1870*(1+IF($G1882&lt;nr_MStartP1,$M$1858,$N$1858))))</f>
        <v/>
      </c>
      <c r="U1882" s="208">
        <f>IF($L$1858,$T1882,$N1882)</f>
        <v/>
      </c>
    </row>
    <row r="1883">
      <c r="A1883" s="145" t="n">
        <v>23</v>
      </c>
      <c r="B1883" s="204">
        <f>EDATE($B1882,1)</f>
        <v/>
      </c>
      <c r="C1883" s="205">
        <f>EOMONTH($B1883,0)</f>
        <v/>
      </c>
      <c r="D1883" s="201">
        <f>$C1883-$B1883+1</f>
        <v/>
      </c>
      <c r="E1883" s="201">
        <f>MONTH($B1883)</f>
        <v/>
      </c>
      <c r="F1883" s="235">
        <f>($B1883+$C1883+1)/2</f>
        <v/>
      </c>
      <c r="G1883" s="201">
        <f>YEAR($B1883)*12+MONTH($B1883)-1</f>
        <v/>
      </c>
      <c r="H1883" s="207">
        <f>IF(OR(nr_SeasonOn="OFF",$D$1858=0,$E$1858=0),1,12*INDEX(se_block,$D$1858,$E1883)/$E$1858)</f>
        <v/>
      </c>
      <c r="I1883" s="208">
        <f>EXP(SUMPRODUCT((rl_eff&lt;$B1883)*(rl_key=$A$1858)*rl_ln1p))</f>
        <v/>
      </c>
      <c r="J1883" s="208">
        <f>EXP(SUMPRODUCT((rl_eff&lt;=$C1883)*(rl_key=$A$1858)*rl_ln1p))</f>
        <v/>
      </c>
      <c r="K1883" s="201">
        <f>COUNTIFS(rl_key,$A$1858,rl_eff,"&gt;="&amp;$B1883,rl_eff,"&lt;="&amp;$C1883)</f>
        <v/>
      </c>
      <c r="L1883" s="201">
        <f>SUMIFS(rl_daysafter,rl_key,$A$1858,rl_effmonth,$B1883,rl_first,1)</f>
        <v/>
      </c>
      <c r="M1883" s="209">
        <f>IF($K1883=0,0,MIN(1,$L1883/$D1883))</f>
        <v/>
      </c>
      <c r="N1883" s="208">
        <f>IF($K1883=0,$J1883,(1-$M1883)*$I1883+$M1883*$J1883)</f>
        <v/>
      </c>
      <c r="O1883" s="209">
        <f>IF($F1883&lt;$B$1859,$E$1859+$I$1859*($F1883-$A$1859),IF($F1883&lt;$C$1859,$F$1859+$J$1859*($F1883-$B$1859),$G$1859+$K$1859*($F1883-$C$1859)))</f>
        <v/>
      </c>
      <c r="P1883" s="208">
        <f>MIN(1,MAX(0,(nr_MEndPm1-$G1883+0.5)/$C$1858))-MIN(1,MAX(0,(nr_MStartPm1-1-$G1883+0.5)/$C$1858))</f>
        <v/>
      </c>
      <c r="Q1883" s="208">
        <f>MIN(1,MAX(0,(nr_MEndP-$G1883+0.5)/$C$1858))-MIN(1,MAX(0,(nr_MStartP-1-$G1883+0.5)/$C$1858))</f>
        <v/>
      </c>
      <c r="R1883" s="208">
        <f>MIN(1,MAX(0,(nr_MEndP1-$G1883+0.5)/$C$1858))-MIN(1,MAX(0,(nr_MStartP1-1-$G1883+0.5)/$C$1858))</f>
        <v/>
      </c>
      <c r="S1883" s="208">
        <f>IF($L$1858,$N1883*IF($O$1858=1,$O1883/$F$1858,1),"")</f>
        <v/>
      </c>
      <c r="T1883" s="208">
        <f>IF(NOT($L$1858),"",IF($G1883&lt;nr_MStartP,$S1883,$T1871*(1+IF($G1883&lt;nr_MStartP1,$M$1858,$N$1858))))</f>
        <v/>
      </c>
      <c r="U1883" s="208">
        <f>IF($L$1858,$T1883,$N1883)</f>
        <v/>
      </c>
    </row>
    <row r="1884">
      <c r="A1884" s="145" t="n">
        <v>24</v>
      </c>
      <c r="B1884" s="204">
        <f>EDATE($B1883,1)</f>
        <v/>
      </c>
      <c r="C1884" s="205">
        <f>EOMONTH($B1884,0)</f>
        <v/>
      </c>
      <c r="D1884" s="201">
        <f>$C1884-$B1884+1</f>
        <v/>
      </c>
      <c r="E1884" s="201">
        <f>MONTH($B1884)</f>
        <v/>
      </c>
      <c r="F1884" s="235">
        <f>($B1884+$C1884+1)/2</f>
        <v/>
      </c>
      <c r="G1884" s="201">
        <f>YEAR($B1884)*12+MONTH($B1884)-1</f>
        <v/>
      </c>
      <c r="H1884" s="207">
        <f>IF(OR(nr_SeasonOn="OFF",$D$1858=0,$E$1858=0),1,12*INDEX(se_block,$D$1858,$E1884)/$E$1858)</f>
        <v/>
      </c>
      <c r="I1884" s="208">
        <f>EXP(SUMPRODUCT((rl_eff&lt;$B1884)*(rl_key=$A$1858)*rl_ln1p))</f>
        <v/>
      </c>
      <c r="J1884" s="208">
        <f>EXP(SUMPRODUCT((rl_eff&lt;=$C1884)*(rl_key=$A$1858)*rl_ln1p))</f>
        <v/>
      </c>
      <c r="K1884" s="201">
        <f>COUNTIFS(rl_key,$A$1858,rl_eff,"&gt;="&amp;$B1884,rl_eff,"&lt;="&amp;$C1884)</f>
        <v/>
      </c>
      <c r="L1884" s="201">
        <f>SUMIFS(rl_daysafter,rl_key,$A$1858,rl_effmonth,$B1884,rl_first,1)</f>
        <v/>
      </c>
      <c r="M1884" s="209">
        <f>IF($K1884=0,0,MIN(1,$L1884/$D1884))</f>
        <v/>
      </c>
      <c r="N1884" s="208">
        <f>IF($K1884=0,$J1884,(1-$M1884)*$I1884+$M1884*$J1884)</f>
        <v/>
      </c>
      <c r="O1884" s="209">
        <f>IF($F1884&lt;$B$1859,$E$1859+$I$1859*($F1884-$A$1859),IF($F1884&lt;$C$1859,$F$1859+$J$1859*($F1884-$B$1859),$G$1859+$K$1859*($F1884-$C$1859)))</f>
        <v/>
      </c>
      <c r="P1884" s="208">
        <f>MIN(1,MAX(0,(nr_MEndPm1-$G1884+0.5)/$C$1858))-MIN(1,MAX(0,(nr_MStartPm1-1-$G1884+0.5)/$C$1858))</f>
        <v/>
      </c>
      <c r="Q1884" s="208">
        <f>MIN(1,MAX(0,(nr_MEndP-$G1884+0.5)/$C$1858))-MIN(1,MAX(0,(nr_MStartP-1-$G1884+0.5)/$C$1858))</f>
        <v/>
      </c>
      <c r="R1884" s="208">
        <f>MIN(1,MAX(0,(nr_MEndP1-$G1884+0.5)/$C$1858))-MIN(1,MAX(0,(nr_MStartP1-1-$G1884+0.5)/$C$1858))</f>
        <v/>
      </c>
      <c r="S1884" s="208">
        <f>IF($L$1858,$N1884*IF($O$1858=1,$O1884/$F$1858,1),"")</f>
        <v/>
      </c>
      <c r="T1884" s="208">
        <f>IF(NOT($L$1858),"",IF($G1884&lt;nr_MStartP,$S1884,$T1872*(1+IF($G1884&lt;nr_MStartP1,$M$1858,$N$1858))))</f>
        <v/>
      </c>
      <c r="U1884" s="208">
        <f>IF($L$1858,$T1884,$N1884)</f>
        <v/>
      </c>
    </row>
    <row r="1885">
      <c r="A1885" s="145" t="n">
        <v>25</v>
      </c>
      <c r="B1885" s="204">
        <f>EDATE($B1884,1)</f>
        <v/>
      </c>
      <c r="C1885" s="205">
        <f>EOMONTH($B1885,0)</f>
        <v/>
      </c>
      <c r="D1885" s="201">
        <f>$C1885-$B1885+1</f>
        <v/>
      </c>
      <c r="E1885" s="201">
        <f>MONTH($B1885)</f>
        <v/>
      </c>
      <c r="F1885" s="235">
        <f>($B1885+$C1885+1)/2</f>
        <v/>
      </c>
      <c r="G1885" s="201">
        <f>YEAR($B1885)*12+MONTH($B1885)-1</f>
        <v/>
      </c>
      <c r="H1885" s="207">
        <f>IF(OR(nr_SeasonOn="OFF",$D$1858=0,$E$1858=0),1,12*INDEX(se_block,$D$1858,$E1885)/$E$1858)</f>
        <v/>
      </c>
      <c r="I1885" s="208">
        <f>EXP(SUMPRODUCT((rl_eff&lt;$B1885)*(rl_key=$A$1858)*rl_ln1p))</f>
        <v/>
      </c>
      <c r="J1885" s="208">
        <f>EXP(SUMPRODUCT((rl_eff&lt;=$C1885)*(rl_key=$A$1858)*rl_ln1p))</f>
        <v/>
      </c>
      <c r="K1885" s="201">
        <f>COUNTIFS(rl_key,$A$1858,rl_eff,"&gt;="&amp;$B1885,rl_eff,"&lt;="&amp;$C1885)</f>
        <v/>
      </c>
      <c r="L1885" s="201">
        <f>SUMIFS(rl_daysafter,rl_key,$A$1858,rl_effmonth,$B1885,rl_first,1)</f>
        <v/>
      </c>
      <c r="M1885" s="209">
        <f>IF($K1885=0,0,MIN(1,$L1885/$D1885))</f>
        <v/>
      </c>
      <c r="N1885" s="208">
        <f>IF($K1885=0,$J1885,(1-$M1885)*$I1885+$M1885*$J1885)</f>
        <v/>
      </c>
      <c r="O1885" s="209">
        <f>IF($F1885&lt;$B$1859,$E$1859+$I$1859*($F1885-$A$1859),IF($F1885&lt;$C$1859,$F$1859+$J$1859*($F1885-$B$1859),$G$1859+$K$1859*($F1885-$C$1859)))</f>
        <v/>
      </c>
      <c r="P1885" s="208">
        <f>MIN(1,MAX(0,(nr_MEndPm1-$G1885+0.5)/$C$1858))-MIN(1,MAX(0,(nr_MStartPm1-1-$G1885+0.5)/$C$1858))</f>
        <v/>
      </c>
      <c r="Q1885" s="208">
        <f>MIN(1,MAX(0,(nr_MEndP-$G1885+0.5)/$C$1858))-MIN(1,MAX(0,(nr_MStartP-1-$G1885+0.5)/$C$1858))</f>
        <v/>
      </c>
      <c r="R1885" s="208">
        <f>MIN(1,MAX(0,(nr_MEndP1-$G1885+0.5)/$C$1858))-MIN(1,MAX(0,(nr_MStartP1-1-$G1885+0.5)/$C$1858))</f>
        <v/>
      </c>
      <c r="S1885" s="208">
        <f>IF($L$1858,$N1885*IF($O$1858=1,$O1885/$F$1858,1),"")</f>
        <v/>
      </c>
      <c r="T1885" s="208">
        <f>IF(NOT($L$1858),"",IF($G1885&lt;nr_MStartP,$S1885,$T1873*(1+IF($G1885&lt;nr_MStartP1,$M$1858,$N$1858))))</f>
        <v/>
      </c>
      <c r="U1885" s="208">
        <f>IF($L$1858,$T1885,$N1885)</f>
        <v/>
      </c>
    </row>
    <row r="1886">
      <c r="A1886" s="145" t="n">
        <v>26</v>
      </c>
      <c r="B1886" s="204">
        <f>EDATE($B1885,1)</f>
        <v/>
      </c>
      <c r="C1886" s="205">
        <f>EOMONTH($B1886,0)</f>
        <v/>
      </c>
      <c r="D1886" s="201">
        <f>$C1886-$B1886+1</f>
        <v/>
      </c>
      <c r="E1886" s="201">
        <f>MONTH($B1886)</f>
        <v/>
      </c>
      <c r="F1886" s="235">
        <f>($B1886+$C1886+1)/2</f>
        <v/>
      </c>
      <c r="G1886" s="201">
        <f>YEAR($B1886)*12+MONTH($B1886)-1</f>
        <v/>
      </c>
      <c r="H1886" s="207">
        <f>IF(OR(nr_SeasonOn="OFF",$D$1858=0,$E$1858=0),1,12*INDEX(se_block,$D$1858,$E1886)/$E$1858)</f>
        <v/>
      </c>
      <c r="I1886" s="208">
        <f>EXP(SUMPRODUCT((rl_eff&lt;$B1886)*(rl_key=$A$1858)*rl_ln1p))</f>
        <v/>
      </c>
      <c r="J1886" s="208">
        <f>EXP(SUMPRODUCT((rl_eff&lt;=$C1886)*(rl_key=$A$1858)*rl_ln1p))</f>
        <v/>
      </c>
      <c r="K1886" s="201">
        <f>COUNTIFS(rl_key,$A$1858,rl_eff,"&gt;="&amp;$B1886,rl_eff,"&lt;="&amp;$C1886)</f>
        <v/>
      </c>
      <c r="L1886" s="201">
        <f>SUMIFS(rl_daysafter,rl_key,$A$1858,rl_effmonth,$B1886,rl_first,1)</f>
        <v/>
      </c>
      <c r="M1886" s="209">
        <f>IF($K1886=0,0,MIN(1,$L1886/$D1886))</f>
        <v/>
      </c>
      <c r="N1886" s="208">
        <f>IF($K1886=0,$J1886,(1-$M1886)*$I1886+$M1886*$J1886)</f>
        <v/>
      </c>
      <c r="O1886" s="209">
        <f>IF($F1886&lt;$B$1859,$E$1859+$I$1859*($F1886-$A$1859),IF($F1886&lt;$C$1859,$F$1859+$J$1859*($F1886-$B$1859),$G$1859+$K$1859*($F1886-$C$1859)))</f>
        <v/>
      </c>
      <c r="P1886" s="208">
        <f>MIN(1,MAX(0,(nr_MEndPm1-$G1886+0.5)/$C$1858))-MIN(1,MAX(0,(nr_MStartPm1-1-$G1886+0.5)/$C$1858))</f>
        <v/>
      </c>
      <c r="Q1886" s="208">
        <f>MIN(1,MAX(0,(nr_MEndP-$G1886+0.5)/$C$1858))-MIN(1,MAX(0,(nr_MStartP-1-$G1886+0.5)/$C$1858))</f>
        <v/>
      </c>
      <c r="R1886" s="208">
        <f>MIN(1,MAX(0,(nr_MEndP1-$G1886+0.5)/$C$1858))-MIN(1,MAX(0,(nr_MStartP1-1-$G1886+0.5)/$C$1858))</f>
        <v/>
      </c>
      <c r="S1886" s="208">
        <f>IF($L$1858,$N1886*IF($O$1858=1,$O1886/$F$1858,1),"")</f>
        <v/>
      </c>
      <c r="T1886" s="208">
        <f>IF(NOT($L$1858),"",IF($G1886&lt;nr_MStartP,$S1886,$T1874*(1+IF($G1886&lt;nr_MStartP1,$M$1858,$N$1858))))</f>
        <v/>
      </c>
      <c r="U1886" s="208">
        <f>IF($L$1858,$T1886,$N1886)</f>
        <v/>
      </c>
    </row>
    <row r="1887">
      <c r="A1887" s="145" t="n">
        <v>27</v>
      </c>
      <c r="B1887" s="204">
        <f>EDATE($B1886,1)</f>
        <v/>
      </c>
      <c r="C1887" s="205">
        <f>EOMONTH($B1887,0)</f>
        <v/>
      </c>
      <c r="D1887" s="201">
        <f>$C1887-$B1887+1</f>
        <v/>
      </c>
      <c r="E1887" s="201">
        <f>MONTH($B1887)</f>
        <v/>
      </c>
      <c r="F1887" s="235">
        <f>($B1887+$C1887+1)/2</f>
        <v/>
      </c>
      <c r="G1887" s="201">
        <f>YEAR($B1887)*12+MONTH($B1887)-1</f>
        <v/>
      </c>
      <c r="H1887" s="207">
        <f>IF(OR(nr_SeasonOn="OFF",$D$1858=0,$E$1858=0),1,12*INDEX(se_block,$D$1858,$E1887)/$E$1858)</f>
        <v/>
      </c>
      <c r="I1887" s="208">
        <f>EXP(SUMPRODUCT((rl_eff&lt;$B1887)*(rl_key=$A$1858)*rl_ln1p))</f>
        <v/>
      </c>
      <c r="J1887" s="208">
        <f>EXP(SUMPRODUCT((rl_eff&lt;=$C1887)*(rl_key=$A$1858)*rl_ln1p))</f>
        <v/>
      </c>
      <c r="K1887" s="201">
        <f>COUNTIFS(rl_key,$A$1858,rl_eff,"&gt;="&amp;$B1887,rl_eff,"&lt;="&amp;$C1887)</f>
        <v/>
      </c>
      <c r="L1887" s="201">
        <f>SUMIFS(rl_daysafter,rl_key,$A$1858,rl_effmonth,$B1887,rl_first,1)</f>
        <v/>
      </c>
      <c r="M1887" s="209">
        <f>IF($K1887=0,0,MIN(1,$L1887/$D1887))</f>
        <v/>
      </c>
      <c r="N1887" s="208">
        <f>IF($K1887=0,$J1887,(1-$M1887)*$I1887+$M1887*$J1887)</f>
        <v/>
      </c>
      <c r="O1887" s="209">
        <f>IF($F1887&lt;$B$1859,$E$1859+$I$1859*($F1887-$A$1859),IF($F1887&lt;$C$1859,$F$1859+$J$1859*($F1887-$B$1859),$G$1859+$K$1859*($F1887-$C$1859)))</f>
        <v/>
      </c>
      <c r="P1887" s="208">
        <f>MIN(1,MAX(0,(nr_MEndPm1-$G1887+0.5)/$C$1858))-MIN(1,MAX(0,(nr_MStartPm1-1-$G1887+0.5)/$C$1858))</f>
        <v/>
      </c>
      <c r="Q1887" s="208">
        <f>MIN(1,MAX(0,(nr_MEndP-$G1887+0.5)/$C$1858))-MIN(1,MAX(0,(nr_MStartP-1-$G1887+0.5)/$C$1858))</f>
        <v/>
      </c>
      <c r="R1887" s="208">
        <f>MIN(1,MAX(0,(nr_MEndP1-$G1887+0.5)/$C$1858))-MIN(1,MAX(0,(nr_MStartP1-1-$G1887+0.5)/$C$1858))</f>
        <v/>
      </c>
      <c r="S1887" s="208">
        <f>IF($L$1858,$N1887*IF($O$1858=1,$O1887/$F$1858,1),"")</f>
        <v/>
      </c>
      <c r="T1887" s="208">
        <f>IF(NOT($L$1858),"",IF($G1887&lt;nr_MStartP,$S1887,$T1875*(1+IF($G1887&lt;nr_MStartP1,$M$1858,$N$1858))))</f>
        <v/>
      </c>
      <c r="U1887" s="208">
        <f>IF($L$1858,$T1887,$N1887)</f>
        <v/>
      </c>
    </row>
    <row r="1888">
      <c r="A1888" s="145" t="n">
        <v>28</v>
      </c>
      <c r="B1888" s="204">
        <f>EDATE($B1887,1)</f>
        <v/>
      </c>
      <c r="C1888" s="205">
        <f>EOMONTH($B1888,0)</f>
        <v/>
      </c>
      <c r="D1888" s="201">
        <f>$C1888-$B1888+1</f>
        <v/>
      </c>
      <c r="E1888" s="201">
        <f>MONTH($B1888)</f>
        <v/>
      </c>
      <c r="F1888" s="235">
        <f>($B1888+$C1888+1)/2</f>
        <v/>
      </c>
      <c r="G1888" s="201">
        <f>YEAR($B1888)*12+MONTH($B1888)-1</f>
        <v/>
      </c>
      <c r="H1888" s="207">
        <f>IF(OR(nr_SeasonOn="OFF",$D$1858=0,$E$1858=0),1,12*INDEX(se_block,$D$1858,$E1888)/$E$1858)</f>
        <v/>
      </c>
      <c r="I1888" s="208">
        <f>EXP(SUMPRODUCT((rl_eff&lt;$B1888)*(rl_key=$A$1858)*rl_ln1p))</f>
        <v/>
      </c>
      <c r="J1888" s="208">
        <f>EXP(SUMPRODUCT((rl_eff&lt;=$C1888)*(rl_key=$A$1858)*rl_ln1p))</f>
        <v/>
      </c>
      <c r="K1888" s="201">
        <f>COUNTIFS(rl_key,$A$1858,rl_eff,"&gt;="&amp;$B1888,rl_eff,"&lt;="&amp;$C1888)</f>
        <v/>
      </c>
      <c r="L1888" s="201">
        <f>SUMIFS(rl_daysafter,rl_key,$A$1858,rl_effmonth,$B1888,rl_first,1)</f>
        <v/>
      </c>
      <c r="M1888" s="209">
        <f>IF($K1888=0,0,MIN(1,$L1888/$D1888))</f>
        <v/>
      </c>
      <c r="N1888" s="208">
        <f>IF($K1888=0,$J1888,(1-$M1888)*$I1888+$M1888*$J1888)</f>
        <v/>
      </c>
      <c r="O1888" s="209">
        <f>IF($F1888&lt;$B$1859,$E$1859+$I$1859*($F1888-$A$1859),IF($F1888&lt;$C$1859,$F$1859+$J$1859*($F1888-$B$1859),$G$1859+$K$1859*($F1888-$C$1859)))</f>
        <v/>
      </c>
      <c r="P1888" s="208">
        <f>MIN(1,MAX(0,(nr_MEndPm1-$G1888+0.5)/$C$1858))-MIN(1,MAX(0,(nr_MStartPm1-1-$G1888+0.5)/$C$1858))</f>
        <v/>
      </c>
      <c r="Q1888" s="208">
        <f>MIN(1,MAX(0,(nr_MEndP-$G1888+0.5)/$C$1858))-MIN(1,MAX(0,(nr_MStartP-1-$G1888+0.5)/$C$1858))</f>
        <v/>
      </c>
      <c r="R1888" s="208">
        <f>MIN(1,MAX(0,(nr_MEndP1-$G1888+0.5)/$C$1858))-MIN(1,MAX(0,(nr_MStartP1-1-$G1888+0.5)/$C$1858))</f>
        <v/>
      </c>
      <c r="S1888" s="208">
        <f>IF($L$1858,$N1888*IF($O$1858=1,$O1888/$F$1858,1),"")</f>
        <v/>
      </c>
      <c r="T1888" s="208">
        <f>IF(NOT($L$1858),"",IF($G1888&lt;nr_MStartP,$S1888,$T1876*(1+IF($G1888&lt;nr_MStartP1,$M$1858,$N$1858))))</f>
        <v/>
      </c>
      <c r="U1888" s="208">
        <f>IF($L$1858,$T1888,$N1888)</f>
        <v/>
      </c>
    </row>
    <row r="1889">
      <c r="A1889" s="145" t="n">
        <v>29</v>
      </c>
      <c r="B1889" s="204">
        <f>EDATE($B1888,1)</f>
        <v/>
      </c>
      <c r="C1889" s="205">
        <f>EOMONTH($B1889,0)</f>
        <v/>
      </c>
      <c r="D1889" s="201">
        <f>$C1889-$B1889+1</f>
        <v/>
      </c>
      <c r="E1889" s="201">
        <f>MONTH($B1889)</f>
        <v/>
      </c>
      <c r="F1889" s="235">
        <f>($B1889+$C1889+1)/2</f>
        <v/>
      </c>
      <c r="G1889" s="201">
        <f>YEAR($B1889)*12+MONTH($B1889)-1</f>
        <v/>
      </c>
      <c r="H1889" s="207">
        <f>IF(OR(nr_SeasonOn="OFF",$D$1858=0,$E$1858=0),1,12*INDEX(se_block,$D$1858,$E1889)/$E$1858)</f>
        <v/>
      </c>
      <c r="I1889" s="208">
        <f>EXP(SUMPRODUCT((rl_eff&lt;$B1889)*(rl_key=$A$1858)*rl_ln1p))</f>
        <v/>
      </c>
      <c r="J1889" s="208">
        <f>EXP(SUMPRODUCT((rl_eff&lt;=$C1889)*(rl_key=$A$1858)*rl_ln1p))</f>
        <v/>
      </c>
      <c r="K1889" s="201">
        <f>COUNTIFS(rl_key,$A$1858,rl_eff,"&gt;="&amp;$B1889,rl_eff,"&lt;="&amp;$C1889)</f>
        <v/>
      </c>
      <c r="L1889" s="201">
        <f>SUMIFS(rl_daysafter,rl_key,$A$1858,rl_effmonth,$B1889,rl_first,1)</f>
        <v/>
      </c>
      <c r="M1889" s="209">
        <f>IF($K1889=0,0,MIN(1,$L1889/$D1889))</f>
        <v/>
      </c>
      <c r="N1889" s="208">
        <f>IF($K1889=0,$J1889,(1-$M1889)*$I1889+$M1889*$J1889)</f>
        <v/>
      </c>
      <c r="O1889" s="209">
        <f>IF($F1889&lt;$B$1859,$E$1859+$I$1859*($F1889-$A$1859),IF($F1889&lt;$C$1859,$F$1859+$J$1859*($F1889-$B$1859),$G$1859+$K$1859*($F1889-$C$1859)))</f>
        <v/>
      </c>
      <c r="P1889" s="208">
        <f>MIN(1,MAX(0,(nr_MEndPm1-$G1889+0.5)/$C$1858))-MIN(1,MAX(0,(nr_MStartPm1-1-$G1889+0.5)/$C$1858))</f>
        <v/>
      </c>
      <c r="Q1889" s="208">
        <f>MIN(1,MAX(0,(nr_MEndP-$G1889+0.5)/$C$1858))-MIN(1,MAX(0,(nr_MStartP-1-$G1889+0.5)/$C$1858))</f>
        <v/>
      </c>
      <c r="R1889" s="208">
        <f>MIN(1,MAX(0,(nr_MEndP1-$G1889+0.5)/$C$1858))-MIN(1,MAX(0,(nr_MStartP1-1-$G1889+0.5)/$C$1858))</f>
        <v/>
      </c>
      <c r="S1889" s="208">
        <f>IF($L$1858,$N1889*IF($O$1858=1,$O1889/$F$1858,1),"")</f>
        <v/>
      </c>
      <c r="T1889" s="208">
        <f>IF(NOT($L$1858),"",IF($G1889&lt;nr_MStartP,$S1889,$T1877*(1+IF($G1889&lt;nr_MStartP1,$M$1858,$N$1858))))</f>
        <v/>
      </c>
      <c r="U1889" s="208">
        <f>IF($L$1858,$T1889,$N1889)</f>
        <v/>
      </c>
    </row>
    <row r="1890">
      <c r="A1890" s="145" t="n">
        <v>30</v>
      </c>
      <c r="B1890" s="204">
        <f>EDATE($B1889,1)</f>
        <v/>
      </c>
      <c r="C1890" s="205">
        <f>EOMONTH($B1890,0)</f>
        <v/>
      </c>
      <c r="D1890" s="201">
        <f>$C1890-$B1890+1</f>
        <v/>
      </c>
      <c r="E1890" s="201">
        <f>MONTH($B1890)</f>
        <v/>
      </c>
      <c r="F1890" s="235">
        <f>($B1890+$C1890+1)/2</f>
        <v/>
      </c>
      <c r="G1890" s="201">
        <f>YEAR($B1890)*12+MONTH($B1890)-1</f>
        <v/>
      </c>
      <c r="H1890" s="207">
        <f>IF(OR(nr_SeasonOn="OFF",$D$1858=0,$E$1858=0),1,12*INDEX(se_block,$D$1858,$E1890)/$E$1858)</f>
        <v/>
      </c>
      <c r="I1890" s="208">
        <f>EXP(SUMPRODUCT((rl_eff&lt;$B1890)*(rl_key=$A$1858)*rl_ln1p))</f>
        <v/>
      </c>
      <c r="J1890" s="208">
        <f>EXP(SUMPRODUCT((rl_eff&lt;=$C1890)*(rl_key=$A$1858)*rl_ln1p))</f>
        <v/>
      </c>
      <c r="K1890" s="201">
        <f>COUNTIFS(rl_key,$A$1858,rl_eff,"&gt;="&amp;$B1890,rl_eff,"&lt;="&amp;$C1890)</f>
        <v/>
      </c>
      <c r="L1890" s="201">
        <f>SUMIFS(rl_daysafter,rl_key,$A$1858,rl_effmonth,$B1890,rl_first,1)</f>
        <v/>
      </c>
      <c r="M1890" s="209">
        <f>IF($K1890=0,0,MIN(1,$L1890/$D1890))</f>
        <v/>
      </c>
      <c r="N1890" s="208">
        <f>IF($K1890=0,$J1890,(1-$M1890)*$I1890+$M1890*$J1890)</f>
        <v/>
      </c>
      <c r="O1890" s="209">
        <f>IF($F1890&lt;$B$1859,$E$1859+$I$1859*($F1890-$A$1859),IF($F1890&lt;$C$1859,$F$1859+$J$1859*($F1890-$B$1859),$G$1859+$K$1859*($F1890-$C$1859)))</f>
        <v/>
      </c>
      <c r="P1890" s="208">
        <f>MIN(1,MAX(0,(nr_MEndPm1-$G1890+0.5)/$C$1858))-MIN(1,MAX(0,(nr_MStartPm1-1-$G1890+0.5)/$C$1858))</f>
        <v/>
      </c>
      <c r="Q1890" s="208">
        <f>MIN(1,MAX(0,(nr_MEndP-$G1890+0.5)/$C$1858))-MIN(1,MAX(0,(nr_MStartP-1-$G1890+0.5)/$C$1858))</f>
        <v/>
      </c>
      <c r="R1890" s="208">
        <f>MIN(1,MAX(0,(nr_MEndP1-$G1890+0.5)/$C$1858))-MIN(1,MAX(0,(nr_MStartP1-1-$G1890+0.5)/$C$1858))</f>
        <v/>
      </c>
      <c r="S1890" s="208">
        <f>IF($L$1858,$N1890*IF($O$1858=1,$O1890/$F$1858,1),"")</f>
        <v/>
      </c>
      <c r="T1890" s="208">
        <f>IF(NOT($L$1858),"",IF($G1890&lt;nr_MStartP,$S1890,$T1878*(1+IF($G1890&lt;nr_MStartP1,$M$1858,$N$1858))))</f>
        <v/>
      </c>
      <c r="U1890" s="208">
        <f>IF($L$1858,$T1890,$N1890)</f>
        <v/>
      </c>
    </row>
    <row r="1891">
      <c r="A1891" s="145" t="n">
        <v>31</v>
      </c>
      <c r="B1891" s="204">
        <f>EDATE($B1890,1)</f>
        <v/>
      </c>
      <c r="C1891" s="205">
        <f>EOMONTH($B1891,0)</f>
        <v/>
      </c>
      <c r="D1891" s="201">
        <f>$C1891-$B1891+1</f>
        <v/>
      </c>
      <c r="E1891" s="201">
        <f>MONTH($B1891)</f>
        <v/>
      </c>
      <c r="F1891" s="235">
        <f>($B1891+$C1891+1)/2</f>
        <v/>
      </c>
      <c r="G1891" s="201">
        <f>YEAR($B1891)*12+MONTH($B1891)-1</f>
        <v/>
      </c>
      <c r="H1891" s="207">
        <f>IF(OR(nr_SeasonOn="OFF",$D$1858=0,$E$1858=0),1,12*INDEX(se_block,$D$1858,$E1891)/$E$1858)</f>
        <v/>
      </c>
      <c r="I1891" s="208">
        <f>EXP(SUMPRODUCT((rl_eff&lt;$B1891)*(rl_key=$A$1858)*rl_ln1p))</f>
        <v/>
      </c>
      <c r="J1891" s="208">
        <f>EXP(SUMPRODUCT((rl_eff&lt;=$C1891)*(rl_key=$A$1858)*rl_ln1p))</f>
        <v/>
      </c>
      <c r="K1891" s="201">
        <f>COUNTIFS(rl_key,$A$1858,rl_eff,"&gt;="&amp;$B1891,rl_eff,"&lt;="&amp;$C1891)</f>
        <v/>
      </c>
      <c r="L1891" s="201">
        <f>SUMIFS(rl_daysafter,rl_key,$A$1858,rl_effmonth,$B1891,rl_first,1)</f>
        <v/>
      </c>
      <c r="M1891" s="209">
        <f>IF($K1891=0,0,MIN(1,$L1891/$D1891))</f>
        <v/>
      </c>
      <c r="N1891" s="208">
        <f>IF($K1891=0,$J1891,(1-$M1891)*$I1891+$M1891*$J1891)</f>
        <v/>
      </c>
      <c r="O1891" s="209">
        <f>IF($F1891&lt;$B$1859,$E$1859+$I$1859*($F1891-$A$1859),IF($F1891&lt;$C$1859,$F$1859+$J$1859*($F1891-$B$1859),$G$1859+$K$1859*($F1891-$C$1859)))</f>
        <v/>
      </c>
      <c r="P1891" s="208">
        <f>MIN(1,MAX(0,(nr_MEndPm1-$G1891+0.5)/$C$1858))-MIN(1,MAX(0,(nr_MStartPm1-1-$G1891+0.5)/$C$1858))</f>
        <v/>
      </c>
      <c r="Q1891" s="208">
        <f>MIN(1,MAX(0,(nr_MEndP-$G1891+0.5)/$C$1858))-MIN(1,MAX(0,(nr_MStartP-1-$G1891+0.5)/$C$1858))</f>
        <v/>
      </c>
      <c r="R1891" s="208">
        <f>MIN(1,MAX(0,(nr_MEndP1-$G1891+0.5)/$C$1858))-MIN(1,MAX(0,(nr_MStartP1-1-$G1891+0.5)/$C$1858))</f>
        <v/>
      </c>
      <c r="S1891" s="208">
        <f>IF($L$1858,$N1891*IF($O$1858=1,$O1891/$F$1858,1),"")</f>
        <v/>
      </c>
      <c r="T1891" s="208">
        <f>IF(NOT($L$1858),"",IF($G1891&lt;nr_MStartP,$S1891,$T1879*(1+IF($G1891&lt;nr_MStartP1,$M$1858,$N$1858))))</f>
        <v/>
      </c>
      <c r="U1891" s="208">
        <f>IF($L$1858,$T1891,$N1891)</f>
        <v/>
      </c>
    </row>
    <row r="1892">
      <c r="A1892" s="145" t="n">
        <v>32</v>
      </c>
      <c r="B1892" s="204">
        <f>EDATE($B1891,1)</f>
        <v/>
      </c>
      <c r="C1892" s="205">
        <f>EOMONTH($B1892,0)</f>
        <v/>
      </c>
      <c r="D1892" s="201">
        <f>$C1892-$B1892+1</f>
        <v/>
      </c>
      <c r="E1892" s="201">
        <f>MONTH($B1892)</f>
        <v/>
      </c>
      <c r="F1892" s="235">
        <f>($B1892+$C1892+1)/2</f>
        <v/>
      </c>
      <c r="G1892" s="201">
        <f>YEAR($B1892)*12+MONTH($B1892)-1</f>
        <v/>
      </c>
      <c r="H1892" s="207">
        <f>IF(OR(nr_SeasonOn="OFF",$D$1858=0,$E$1858=0),1,12*INDEX(se_block,$D$1858,$E1892)/$E$1858)</f>
        <v/>
      </c>
      <c r="I1892" s="208">
        <f>EXP(SUMPRODUCT((rl_eff&lt;$B1892)*(rl_key=$A$1858)*rl_ln1p))</f>
        <v/>
      </c>
      <c r="J1892" s="208">
        <f>EXP(SUMPRODUCT((rl_eff&lt;=$C1892)*(rl_key=$A$1858)*rl_ln1p))</f>
        <v/>
      </c>
      <c r="K1892" s="201">
        <f>COUNTIFS(rl_key,$A$1858,rl_eff,"&gt;="&amp;$B1892,rl_eff,"&lt;="&amp;$C1892)</f>
        <v/>
      </c>
      <c r="L1892" s="201">
        <f>SUMIFS(rl_daysafter,rl_key,$A$1858,rl_effmonth,$B1892,rl_first,1)</f>
        <v/>
      </c>
      <c r="M1892" s="209">
        <f>IF($K1892=0,0,MIN(1,$L1892/$D1892))</f>
        <v/>
      </c>
      <c r="N1892" s="208">
        <f>IF($K1892=0,$J1892,(1-$M1892)*$I1892+$M1892*$J1892)</f>
        <v/>
      </c>
      <c r="O1892" s="209">
        <f>IF($F1892&lt;$B$1859,$E$1859+$I$1859*($F1892-$A$1859),IF($F1892&lt;$C$1859,$F$1859+$J$1859*($F1892-$B$1859),$G$1859+$K$1859*($F1892-$C$1859)))</f>
        <v/>
      </c>
      <c r="P1892" s="208">
        <f>MIN(1,MAX(0,(nr_MEndPm1-$G1892+0.5)/$C$1858))-MIN(1,MAX(0,(nr_MStartPm1-1-$G1892+0.5)/$C$1858))</f>
        <v/>
      </c>
      <c r="Q1892" s="208">
        <f>MIN(1,MAX(0,(nr_MEndP-$G1892+0.5)/$C$1858))-MIN(1,MAX(0,(nr_MStartP-1-$G1892+0.5)/$C$1858))</f>
        <v/>
      </c>
      <c r="R1892" s="208">
        <f>MIN(1,MAX(0,(nr_MEndP1-$G1892+0.5)/$C$1858))-MIN(1,MAX(0,(nr_MStartP1-1-$G1892+0.5)/$C$1858))</f>
        <v/>
      </c>
      <c r="S1892" s="208">
        <f>IF($L$1858,$N1892*IF($O$1858=1,$O1892/$F$1858,1),"")</f>
        <v/>
      </c>
      <c r="T1892" s="208">
        <f>IF(NOT($L$1858),"",IF($G1892&lt;nr_MStartP,$S1892,$T1880*(1+IF($G1892&lt;nr_MStartP1,$M$1858,$N$1858))))</f>
        <v/>
      </c>
      <c r="U1892" s="208">
        <f>IF($L$1858,$T1892,$N1892)</f>
        <v/>
      </c>
    </row>
    <row r="1893">
      <c r="A1893" s="145" t="n">
        <v>33</v>
      </c>
      <c r="B1893" s="204">
        <f>EDATE($B1892,1)</f>
        <v/>
      </c>
      <c r="C1893" s="205">
        <f>EOMONTH($B1893,0)</f>
        <v/>
      </c>
      <c r="D1893" s="201">
        <f>$C1893-$B1893+1</f>
        <v/>
      </c>
      <c r="E1893" s="201">
        <f>MONTH($B1893)</f>
        <v/>
      </c>
      <c r="F1893" s="235">
        <f>($B1893+$C1893+1)/2</f>
        <v/>
      </c>
      <c r="G1893" s="201">
        <f>YEAR($B1893)*12+MONTH($B1893)-1</f>
        <v/>
      </c>
      <c r="H1893" s="207">
        <f>IF(OR(nr_SeasonOn="OFF",$D$1858=0,$E$1858=0),1,12*INDEX(se_block,$D$1858,$E1893)/$E$1858)</f>
        <v/>
      </c>
      <c r="I1893" s="208">
        <f>EXP(SUMPRODUCT((rl_eff&lt;$B1893)*(rl_key=$A$1858)*rl_ln1p))</f>
        <v/>
      </c>
      <c r="J1893" s="208">
        <f>EXP(SUMPRODUCT((rl_eff&lt;=$C1893)*(rl_key=$A$1858)*rl_ln1p))</f>
        <v/>
      </c>
      <c r="K1893" s="201">
        <f>COUNTIFS(rl_key,$A$1858,rl_eff,"&gt;="&amp;$B1893,rl_eff,"&lt;="&amp;$C1893)</f>
        <v/>
      </c>
      <c r="L1893" s="201">
        <f>SUMIFS(rl_daysafter,rl_key,$A$1858,rl_effmonth,$B1893,rl_first,1)</f>
        <v/>
      </c>
      <c r="M1893" s="209">
        <f>IF($K1893=0,0,MIN(1,$L1893/$D1893))</f>
        <v/>
      </c>
      <c r="N1893" s="208">
        <f>IF($K1893=0,$J1893,(1-$M1893)*$I1893+$M1893*$J1893)</f>
        <v/>
      </c>
      <c r="O1893" s="209">
        <f>IF($F1893&lt;$B$1859,$E$1859+$I$1859*($F1893-$A$1859),IF($F1893&lt;$C$1859,$F$1859+$J$1859*($F1893-$B$1859),$G$1859+$K$1859*($F1893-$C$1859)))</f>
        <v/>
      </c>
      <c r="P1893" s="208">
        <f>MIN(1,MAX(0,(nr_MEndPm1-$G1893+0.5)/$C$1858))-MIN(1,MAX(0,(nr_MStartPm1-1-$G1893+0.5)/$C$1858))</f>
        <v/>
      </c>
      <c r="Q1893" s="208">
        <f>MIN(1,MAX(0,(nr_MEndP-$G1893+0.5)/$C$1858))-MIN(1,MAX(0,(nr_MStartP-1-$G1893+0.5)/$C$1858))</f>
        <v/>
      </c>
      <c r="R1893" s="208">
        <f>MIN(1,MAX(0,(nr_MEndP1-$G1893+0.5)/$C$1858))-MIN(1,MAX(0,(nr_MStartP1-1-$G1893+0.5)/$C$1858))</f>
        <v/>
      </c>
      <c r="S1893" s="208">
        <f>IF($L$1858,$N1893*IF($O$1858=1,$O1893/$F$1858,1),"")</f>
        <v/>
      </c>
      <c r="T1893" s="208">
        <f>IF(NOT($L$1858),"",IF($G1893&lt;nr_MStartP,$S1893,$T1881*(1+IF($G1893&lt;nr_MStartP1,$M$1858,$N$1858))))</f>
        <v/>
      </c>
      <c r="U1893" s="208">
        <f>IF($L$1858,$T1893,$N1893)</f>
        <v/>
      </c>
    </row>
    <row r="1894">
      <c r="A1894" s="145" t="n">
        <v>34</v>
      </c>
      <c r="B1894" s="204">
        <f>EDATE($B1893,1)</f>
        <v/>
      </c>
      <c r="C1894" s="205">
        <f>EOMONTH($B1894,0)</f>
        <v/>
      </c>
      <c r="D1894" s="201">
        <f>$C1894-$B1894+1</f>
        <v/>
      </c>
      <c r="E1894" s="201">
        <f>MONTH($B1894)</f>
        <v/>
      </c>
      <c r="F1894" s="235">
        <f>($B1894+$C1894+1)/2</f>
        <v/>
      </c>
      <c r="G1894" s="201">
        <f>YEAR($B1894)*12+MONTH($B1894)-1</f>
        <v/>
      </c>
      <c r="H1894" s="207">
        <f>IF(OR(nr_SeasonOn="OFF",$D$1858=0,$E$1858=0),1,12*INDEX(se_block,$D$1858,$E1894)/$E$1858)</f>
        <v/>
      </c>
      <c r="I1894" s="208">
        <f>EXP(SUMPRODUCT((rl_eff&lt;$B1894)*(rl_key=$A$1858)*rl_ln1p))</f>
        <v/>
      </c>
      <c r="J1894" s="208">
        <f>EXP(SUMPRODUCT((rl_eff&lt;=$C1894)*(rl_key=$A$1858)*rl_ln1p))</f>
        <v/>
      </c>
      <c r="K1894" s="201">
        <f>COUNTIFS(rl_key,$A$1858,rl_eff,"&gt;="&amp;$B1894,rl_eff,"&lt;="&amp;$C1894)</f>
        <v/>
      </c>
      <c r="L1894" s="201">
        <f>SUMIFS(rl_daysafter,rl_key,$A$1858,rl_effmonth,$B1894,rl_first,1)</f>
        <v/>
      </c>
      <c r="M1894" s="209">
        <f>IF($K1894=0,0,MIN(1,$L1894/$D1894))</f>
        <v/>
      </c>
      <c r="N1894" s="208">
        <f>IF($K1894=0,$J1894,(1-$M1894)*$I1894+$M1894*$J1894)</f>
        <v/>
      </c>
      <c r="O1894" s="209">
        <f>IF($F1894&lt;$B$1859,$E$1859+$I$1859*($F1894-$A$1859),IF($F1894&lt;$C$1859,$F$1859+$J$1859*($F1894-$B$1859),$G$1859+$K$1859*($F1894-$C$1859)))</f>
        <v/>
      </c>
      <c r="P1894" s="208">
        <f>MIN(1,MAX(0,(nr_MEndPm1-$G1894+0.5)/$C$1858))-MIN(1,MAX(0,(nr_MStartPm1-1-$G1894+0.5)/$C$1858))</f>
        <v/>
      </c>
      <c r="Q1894" s="208">
        <f>MIN(1,MAX(0,(nr_MEndP-$G1894+0.5)/$C$1858))-MIN(1,MAX(0,(nr_MStartP-1-$G1894+0.5)/$C$1858))</f>
        <v/>
      </c>
      <c r="R1894" s="208">
        <f>MIN(1,MAX(0,(nr_MEndP1-$G1894+0.5)/$C$1858))-MIN(1,MAX(0,(nr_MStartP1-1-$G1894+0.5)/$C$1858))</f>
        <v/>
      </c>
      <c r="S1894" s="208">
        <f>IF($L$1858,$N1894*IF($O$1858=1,$O1894/$F$1858,1),"")</f>
        <v/>
      </c>
      <c r="T1894" s="208">
        <f>IF(NOT($L$1858),"",IF($G1894&lt;nr_MStartP,$S1894,$T1882*(1+IF($G1894&lt;nr_MStartP1,$M$1858,$N$1858))))</f>
        <v/>
      </c>
      <c r="U1894" s="208">
        <f>IF($L$1858,$T1894,$N1894)</f>
        <v/>
      </c>
    </row>
    <row r="1895">
      <c r="A1895" s="145" t="n">
        <v>35</v>
      </c>
      <c r="B1895" s="204">
        <f>EDATE($B1894,1)</f>
        <v/>
      </c>
      <c r="C1895" s="205">
        <f>EOMONTH($B1895,0)</f>
        <v/>
      </c>
      <c r="D1895" s="201">
        <f>$C1895-$B1895+1</f>
        <v/>
      </c>
      <c r="E1895" s="201">
        <f>MONTH($B1895)</f>
        <v/>
      </c>
      <c r="F1895" s="235">
        <f>($B1895+$C1895+1)/2</f>
        <v/>
      </c>
      <c r="G1895" s="201">
        <f>YEAR($B1895)*12+MONTH($B1895)-1</f>
        <v/>
      </c>
      <c r="H1895" s="207">
        <f>IF(OR(nr_SeasonOn="OFF",$D$1858=0,$E$1858=0),1,12*INDEX(se_block,$D$1858,$E1895)/$E$1858)</f>
        <v/>
      </c>
      <c r="I1895" s="208">
        <f>EXP(SUMPRODUCT((rl_eff&lt;$B1895)*(rl_key=$A$1858)*rl_ln1p))</f>
        <v/>
      </c>
      <c r="J1895" s="208">
        <f>EXP(SUMPRODUCT((rl_eff&lt;=$C1895)*(rl_key=$A$1858)*rl_ln1p))</f>
        <v/>
      </c>
      <c r="K1895" s="201">
        <f>COUNTIFS(rl_key,$A$1858,rl_eff,"&gt;="&amp;$B1895,rl_eff,"&lt;="&amp;$C1895)</f>
        <v/>
      </c>
      <c r="L1895" s="201">
        <f>SUMIFS(rl_daysafter,rl_key,$A$1858,rl_effmonth,$B1895,rl_first,1)</f>
        <v/>
      </c>
      <c r="M1895" s="209">
        <f>IF($K1895=0,0,MIN(1,$L1895/$D1895))</f>
        <v/>
      </c>
      <c r="N1895" s="208">
        <f>IF($K1895=0,$J1895,(1-$M1895)*$I1895+$M1895*$J1895)</f>
        <v/>
      </c>
      <c r="O1895" s="209">
        <f>IF($F1895&lt;$B$1859,$E$1859+$I$1859*($F1895-$A$1859),IF($F1895&lt;$C$1859,$F$1859+$J$1859*($F1895-$B$1859),$G$1859+$K$1859*($F1895-$C$1859)))</f>
        <v/>
      </c>
      <c r="P1895" s="208">
        <f>MIN(1,MAX(0,(nr_MEndPm1-$G1895+0.5)/$C$1858))-MIN(1,MAX(0,(nr_MStartPm1-1-$G1895+0.5)/$C$1858))</f>
        <v/>
      </c>
      <c r="Q1895" s="208">
        <f>MIN(1,MAX(0,(nr_MEndP-$G1895+0.5)/$C$1858))-MIN(1,MAX(0,(nr_MStartP-1-$G1895+0.5)/$C$1858))</f>
        <v/>
      </c>
      <c r="R1895" s="208">
        <f>MIN(1,MAX(0,(nr_MEndP1-$G1895+0.5)/$C$1858))-MIN(1,MAX(0,(nr_MStartP1-1-$G1895+0.5)/$C$1858))</f>
        <v/>
      </c>
      <c r="S1895" s="208">
        <f>IF($L$1858,$N1895*IF($O$1858=1,$O1895/$F$1858,1),"")</f>
        <v/>
      </c>
      <c r="T1895" s="208">
        <f>IF(NOT($L$1858),"",IF($G1895&lt;nr_MStartP,$S1895,$T1883*(1+IF($G1895&lt;nr_MStartP1,$M$1858,$N$1858))))</f>
        <v/>
      </c>
      <c r="U1895" s="208">
        <f>IF($L$1858,$T1895,$N1895)</f>
        <v/>
      </c>
    </row>
    <row r="1896">
      <c r="A1896" s="145" t="n">
        <v>36</v>
      </c>
      <c r="B1896" s="204">
        <f>EDATE($B1895,1)</f>
        <v/>
      </c>
      <c r="C1896" s="205">
        <f>EOMONTH($B1896,0)</f>
        <v/>
      </c>
      <c r="D1896" s="201">
        <f>$C1896-$B1896+1</f>
        <v/>
      </c>
      <c r="E1896" s="201">
        <f>MONTH($B1896)</f>
        <v/>
      </c>
      <c r="F1896" s="235">
        <f>($B1896+$C1896+1)/2</f>
        <v/>
      </c>
      <c r="G1896" s="201">
        <f>YEAR($B1896)*12+MONTH($B1896)-1</f>
        <v/>
      </c>
      <c r="H1896" s="207">
        <f>IF(OR(nr_SeasonOn="OFF",$D$1858=0,$E$1858=0),1,12*INDEX(se_block,$D$1858,$E1896)/$E$1858)</f>
        <v/>
      </c>
      <c r="I1896" s="208">
        <f>EXP(SUMPRODUCT((rl_eff&lt;$B1896)*(rl_key=$A$1858)*rl_ln1p))</f>
        <v/>
      </c>
      <c r="J1896" s="208">
        <f>EXP(SUMPRODUCT((rl_eff&lt;=$C1896)*(rl_key=$A$1858)*rl_ln1p))</f>
        <v/>
      </c>
      <c r="K1896" s="201">
        <f>COUNTIFS(rl_key,$A$1858,rl_eff,"&gt;="&amp;$B1896,rl_eff,"&lt;="&amp;$C1896)</f>
        <v/>
      </c>
      <c r="L1896" s="201">
        <f>SUMIFS(rl_daysafter,rl_key,$A$1858,rl_effmonth,$B1896,rl_first,1)</f>
        <v/>
      </c>
      <c r="M1896" s="209">
        <f>IF($K1896=0,0,MIN(1,$L1896/$D1896))</f>
        <v/>
      </c>
      <c r="N1896" s="208">
        <f>IF($K1896=0,$J1896,(1-$M1896)*$I1896+$M1896*$J1896)</f>
        <v/>
      </c>
      <c r="O1896" s="209">
        <f>IF($F1896&lt;$B$1859,$E$1859+$I$1859*($F1896-$A$1859),IF($F1896&lt;$C$1859,$F$1859+$J$1859*($F1896-$B$1859),$G$1859+$K$1859*($F1896-$C$1859)))</f>
        <v/>
      </c>
      <c r="P1896" s="208">
        <f>MIN(1,MAX(0,(nr_MEndPm1-$G1896+0.5)/$C$1858))-MIN(1,MAX(0,(nr_MStartPm1-1-$G1896+0.5)/$C$1858))</f>
        <v/>
      </c>
      <c r="Q1896" s="208">
        <f>MIN(1,MAX(0,(nr_MEndP-$G1896+0.5)/$C$1858))-MIN(1,MAX(0,(nr_MStartP-1-$G1896+0.5)/$C$1858))</f>
        <v/>
      </c>
      <c r="R1896" s="208">
        <f>MIN(1,MAX(0,(nr_MEndP1-$G1896+0.5)/$C$1858))-MIN(1,MAX(0,(nr_MStartP1-1-$G1896+0.5)/$C$1858))</f>
        <v/>
      </c>
      <c r="S1896" s="208">
        <f>IF($L$1858,$N1896*IF($O$1858=1,$O1896/$F$1858,1),"")</f>
        <v/>
      </c>
      <c r="T1896" s="208">
        <f>IF(NOT($L$1858),"",IF($G1896&lt;nr_MStartP,$S1896,$T1884*(1+IF($G1896&lt;nr_MStartP1,$M$1858,$N$1858))))</f>
        <v/>
      </c>
      <c r="U1896" s="208">
        <f>IF($L$1858,$T1896,$N1896)</f>
        <v/>
      </c>
    </row>
    <row r="1897">
      <c r="A1897" s="145" t="n">
        <v>37</v>
      </c>
      <c r="B1897" s="204">
        <f>EDATE($B1896,1)</f>
        <v/>
      </c>
      <c r="C1897" s="205">
        <f>EOMONTH($B1897,0)</f>
        <v/>
      </c>
      <c r="D1897" s="201">
        <f>$C1897-$B1897+1</f>
        <v/>
      </c>
      <c r="E1897" s="201">
        <f>MONTH($B1897)</f>
        <v/>
      </c>
      <c r="F1897" s="235">
        <f>($B1897+$C1897+1)/2</f>
        <v/>
      </c>
      <c r="G1897" s="201">
        <f>YEAR($B1897)*12+MONTH($B1897)-1</f>
        <v/>
      </c>
      <c r="H1897" s="207">
        <f>IF(OR(nr_SeasonOn="OFF",$D$1858=0,$E$1858=0),1,12*INDEX(se_block,$D$1858,$E1897)/$E$1858)</f>
        <v/>
      </c>
      <c r="I1897" s="208">
        <f>EXP(SUMPRODUCT((rl_eff&lt;$B1897)*(rl_key=$A$1858)*rl_ln1p))</f>
        <v/>
      </c>
      <c r="J1897" s="208">
        <f>EXP(SUMPRODUCT((rl_eff&lt;=$C1897)*(rl_key=$A$1858)*rl_ln1p))</f>
        <v/>
      </c>
      <c r="K1897" s="201">
        <f>COUNTIFS(rl_key,$A$1858,rl_eff,"&gt;="&amp;$B1897,rl_eff,"&lt;="&amp;$C1897)</f>
        <v/>
      </c>
      <c r="L1897" s="201">
        <f>SUMIFS(rl_daysafter,rl_key,$A$1858,rl_effmonth,$B1897,rl_first,1)</f>
        <v/>
      </c>
      <c r="M1897" s="209">
        <f>IF($K1897=0,0,MIN(1,$L1897/$D1897))</f>
        <v/>
      </c>
      <c r="N1897" s="208">
        <f>IF($K1897=0,$J1897,(1-$M1897)*$I1897+$M1897*$J1897)</f>
        <v/>
      </c>
      <c r="O1897" s="209">
        <f>IF($F1897&lt;$B$1859,$E$1859+$I$1859*($F1897-$A$1859),IF($F1897&lt;$C$1859,$F$1859+$J$1859*($F1897-$B$1859),$G$1859+$K$1859*($F1897-$C$1859)))</f>
        <v/>
      </c>
      <c r="P1897" s="208">
        <f>MIN(1,MAX(0,(nr_MEndPm1-$G1897+0.5)/$C$1858))-MIN(1,MAX(0,(nr_MStartPm1-1-$G1897+0.5)/$C$1858))</f>
        <v/>
      </c>
      <c r="Q1897" s="208">
        <f>MIN(1,MAX(0,(nr_MEndP-$G1897+0.5)/$C$1858))-MIN(1,MAX(0,(nr_MStartP-1-$G1897+0.5)/$C$1858))</f>
        <v/>
      </c>
      <c r="R1897" s="208">
        <f>MIN(1,MAX(0,(nr_MEndP1-$G1897+0.5)/$C$1858))-MIN(1,MAX(0,(nr_MStartP1-1-$G1897+0.5)/$C$1858))</f>
        <v/>
      </c>
      <c r="S1897" s="208">
        <f>IF($L$1858,$N1897*IF($O$1858=1,$O1897/$F$1858,1),"")</f>
        <v/>
      </c>
      <c r="T1897" s="208">
        <f>IF(NOT($L$1858),"",IF($G1897&lt;nr_MStartP,$S1897,$T1885*(1+IF($G1897&lt;nr_MStartP1,$M$1858,$N$1858))))</f>
        <v/>
      </c>
      <c r="U1897" s="208">
        <f>IF($L$1858,$T1897,$N1897)</f>
        <v/>
      </c>
    </row>
    <row r="1898">
      <c r="A1898" s="145" t="n">
        <v>38</v>
      </c>
      <c r="B1898" s="204">
        <f>EDATE($B1897,1)</f>
        <v/>
      </c>
      <c r="C1898" s="205">
        <f>EOMONTH($B1898,0)</f>
        <v/>
      </c>
      <c r="D1898" s="201">
        <f>$C1898-$B1898+1</f>
        <v/>
      </c>
      <c r="E1898" s="201">
        <f>MONTH($B1898)</f>
        <v/>
      </c>
      <c r="F1898" s="235">
        <f>($B1898+$C1898+1)/2</f>
        <v/>
      </c>
      <c r="G1898" s="201">
        <f>YEAR($B1898)*12+MONTH($B1898)-1</f>
        <v/>
      </c>
      <c r="H1898" s="207">
        <f>IF(OR(nr_SeasonOn="OFF",$D$1858=0,$E$1858=0),1,12*INDEX(se_block,$D$1858,$E1898)/$E$1858)</f>
        <v/>
      </c>
      <c r="I1898" s="208">
        <f>EXP(SUMPRODUCT((rl_eff&lt;$B1898)*(rl_key=$A$1858)*rl_ln1p))</f>
        <v/>
      </c>
      <c r="J1898" s="208">
        <f>EXP(SUMPRODUCT((rl_eff&lt;=$C1898)*(rl_key=$A$1858)*rl_ln1p))</f>
        <v/>
      </c>
      <c r="K1898" s="201">
        <f>COUNTIFS(rl_key,$A$1858,rl_eff,"&gt;="&amp;$B1898,rl_eff,"&lt;="&amp;$C1898)</f>
        <v/>
      </c>
      <c r="L1898" s="201">
        <f>SUMIFS(rl_daysafter,rl_key,$A$1858,rl_effmonth,$B1898,rl_first,1)</f>
        <v/>
      </c>
      <c r="M1898" s="209">
        <f>IF($K1898=0,0,MIN(1,$L1898/$D1898))</f>
        <v/>
      </c>
      <c r="N1898" s="208">
        <f>IF($K1898=0,$J1898,(1-$M1898)*$I1898+$M1898*$J1898)</f>
        <v/>
      </c>
      <c r="O1898" s="209">
        <f>IF($F1898&lt;$B$1859,$E$1859+$I$1859*($F1898-$A$1859),IF($F1898&lt;$C$1859,$F$1859+$J$1859*($F1898-$B$1859),$G$1859+$K$1859*($F1898-$C$1859)))</f>
        <v/>
      </c>
      <c r="P1898" s="208">
        <f>MIN(1,MAX(0,(nr_MEndPm1-$G1898+0.5)/$C$1858))-MIN(1,MAX(0,(nr_MStartPm1-1-$G1898+0.5)/$C$1858))</f>
        <v/>
      </c>
      <c r="Q1898" s="208">
        <f>MIN(1,MAX(0,(nr_MEndP-$G1898+0.5)/$C$1858))-MIN(1,MAX(0,(nr_MStartP-1-$G1898+0.5)/$C$1858))</f>
        <v/>
      </c>
      <c r="R1898" s="208">
        <f>MIN(1,MAX(0,(nr_MEndP1-$G1898+0.5)/$C$1858))-MIN(1,MAX(0,(nr_MStartP1-1-$G1898+0.5)/$C$1858))</f>
        <v/>
      </c>
      <c r="S1898" s="208">
        <f>IF($L$1858,$N1898*IF($O$1858=1,$O1898/$F$1858,1),"")</f>
        <v/>
      </c>
      <c r="T1898" s="208">
        <f>IF(NOT($L$1858),"",IF($G1898&lt;nr_MStartP,$S1898,$T1886*(1+IF($G1898&lt;nr_MStartP1,$M$1858,$N$1858))))</f>
        <v/>
      </c>
      <c r="U1898" s="208">
        <f>IF($L$1858,$T1898,$N1898)</f>
        <v/>
      </c>
    </row>
    <row r="1899">
      <c r="A1899" s="145" t="n">
        <v>39</v>
      </c>
      <c r="B1899" s="204">
        <f>EDATE($B1898,1)</f>
        <v/>
      </c>
      <c r="C1899" s="205">
        <f>EOMONTH($B1899,0)</f>
        <v/>
      </c>
      <c r="D1899" s="201">
        <f>$C1899-$B1899+1</f>
        <v/>
      </c>
      <c r="E1899" s="201">
        <f>MONTH($B1899)</f>
        <v/>
      </c>
      <c r="F1899" s="235">
        <f>($B1899+$C1899+1)/2</f>
        <v/>
      </c>
      <c r="G1899" s="201">
        <f>YEAR($B1899)*12+MONTH($B1899)-1</f>
        <v/>
      </c>
      <c r="H1899" s="207">
        <f>IF(OR(nr_SeasonOn="OFF",$D$1858=0,$E$1858=0),1,12*INDEX(se_block,$D$1858,$E1899)/$E$1858)</f>
        <v/>
      </c>
      <c r="I1899" s="208">
        <f>EXP(SUMPRODUCT((rl_eff&lt;$B1899)*(rl_key=$A$1858)*rl_ln1p))</f>
        <v/>
      </c>
      <c r="J1899" s="208">
        <f>EXP(SUMPRODUCT((rl_eff&lt;=$C1899)*(rl_key=$A$1858)*rl_ln1p))</f>
        <v/>
      </c>
      <c r="K1899" s="201">
        <f>COUNTIFS(rl_key,$A$1858,rl_eff,"&gt;="&amp;$B1899,rl_eff,"&lt;="&amp;$C1899)</f>
        <v/>
      </c>
      <c r="L1899" s="201">
        <f>SUMIFS(rl_daysafter,rl_key,$A$1858,rl_effmonth,$B1899,rl_first,1)</f>
        <v/>
      </c>
      <c r="M1899" s="209">
        <f>IF($K1899=0,0,MIN(1,$L1899/$D1899))</f>
        <v/>
      </c>
      <c r="N1899" s="208">
        <f>IF($K1899=0,$J1899,(1-$M1899)*$I1899+$M1899*$J1899)</f>
        <v/>
      </c>
      <c r="O1899" s="209">
        <f>IF($F1899&lt;$B$1859,$E$1859+$I$1859*($F1899-$A$1859),IF($F1899&lt;$C$1859,$F$1859+$J$1859*($F1899-$B$1859),$G$1859+$K$1859*($F1899-$C$1859)))</f>
        <v/>
      </c>
      <c r="P1899" s="208">
        <f>MIN(1,MAX(0,(nr_MEndPm1-$G1899+0.5)/$C$1858))-MIN(1,MAX(0,(nr_MStartPm1-1-$G1899+0.5)/$C$1858))</f>
        <v/>
      </c>
      <c r="Q1899" s="208">
        <f>MIN(1,MAX(0,(nr_MEndP-$G1899+0.5)/$C$1858))-MIN(1,MAX(0,(nr_MStartP-1-$G1899+0.5)/$C$1858))</f>
        <v/>
      </c>
      <c r="R1899" s="208">
        <f>MIN(1,MAX(0,(nr_MEndP1-$G1899+0.5)/$C$1858))-MIN(1,MAX(0,(nr_MStartP1-1-$G1899+0.5)/$C$1858))</f>
        <v/>
      </c>
      <c r="S1899" s="208">
        <f>IF($L$1858,$N1899*IF($O$1858=1,$O1899/$F$1858,1),"")</f>
        <v/>
      </c>
      <c r="T1899" s="208">
        <f>IF(NOT($L$1858),"",IF($G1899&lt;nr_MStartP,$S1899,$T1887*(1+IF($G1899&lt;nr_MStartP1,$M$1858,$N$1858))))</f>
        <v/>
      </c>
      <c r="U1899" s="208">
        <f>IF($L$1858,$T1899,$N1899)</f>
        <v/>
      </c>
    </row>
    <row r="1900">
      <c r="A1900" s="145" t="n">
        <v>40</v>
      </c>
      <c r="B1900" s="204">
        <f>EDATE($B1899,1)</f>
        <v/>
      </c>
      <c r="C1900" s="205">
        <f>EOMONTH($B1900,0)</f>
        <v/>
      </c>
      <c r="D1900" s="201">
        <f>$C1900-$B1900+1</f>
        <v/>
      </c>
      <c r="E1900" s="201">
        <f>MONTH($B1900)</f>
        <v/>
      </c>
      <c r="F1900" s="235">
        <f>($B1900+$C1900+1)/2</f>
        <v/>
      </c>
      <c r="G1900" s="201">
        <f>YEAR($B1900)*12+MONTH($B1900)-1</f>
        <v/>
      </c>
      <c r="H1900" s="207">
        <f>IF(OR(nr_SeasonOn="OFF",$D$1858=0,$E$1858=0),1,12*INDEX(se_block,$D$1858,$E1900)/$E$1858)</f>
        <v/>
      </c>
      <c r="I1900" s="208">
        <f>EXP(SUMPRODUCT((rl_eff&lt;$B1900)*(rl_key=$A$1858)*rl_ln1p))</f>
        <v/>
      </c>
      <c r="J1900" s="208">
        <f>EXP(SUMPRODUCT((rl_eff&lt;=$C1900)*(rl_key=$A$1858)*rl_ln1p))</f>
        <v/>
      </c>
      <c r="K1900" s="201">
        <f>COUNTIFS(rl_key,$A$1858,rl_eff,"&gt;="&amp;$B1900,rl_eff,"&lt;="&amp;$C1900)</f>
        <v/>
      </c>
      <c r="L1900" s="201">
        <f>SUMIFS(rl_daysafter,rl_key,$A$1858,rl_effmonth,$B1900,rl_first,1)</f>
        <v/>
      </c>
      <c r="M1900" s="209">
        <f>IF($K1900=0,0,MIN(1,$L1900/$D1900))</f>
        <v/>
      </c>
      <c r="N1900" s="208">
        <f>IF($K1900=0,$J1900,(1-$M1900)*$I1900+$M1900*$J1900)</f>
        <v/>
      </c>
      <c r="O1900" s="209">
        <f>IF($F1900&lt;$B$1859,$E$1859+$I$1859*($F1900-$A$1859),IF($F1900&lt;$C$1859,$F$1859+$J$1859*($F1900-$B$1859),$G$1859+$K$1859*($F1900-$C$1859)))</f>
        <v/>
      </c>
      <c r="P1900" s="208">
        <f>MIN(1,MAX(0,(nr_MEndPm1-$G1900+0.5)/$C$1858))-MIN(1,MAX(0,(nr_MStartPm1-1-$G1900+0.5)/$C$1858))</f>
        <v/>
      </c>
      <c r="Q1900" s="208">
        <f>MIN(1,MAX(0,(nr_MEndP-$G1900+0.5)/$C$1858))-MIN(1,MAX(0,(nr_MStartP-1-$G1900+0.5)/$C$1858))</f>
        <v/>
      </c>
      <c r="R1900" s="208">
        <f>MIN(1,MAX(0,(nr_MEndP1-$G1900+0.5)/$C$1858))-MIN(1,MAX(0,(nr_MStartP1-1-$G1900+0.5)/$C$1858))</f>
        <v/>
      </c>
      <c r="S1900" s="208">
        <f>IF($L$1858,$N1900*IF($O$1858=1,$O1900/$F$1858,1),"")</f>
        <v/>
      </c>
      <c r="T1900" s="208">
        <f>IF(NOT($L$1858),"",IF($G1900&lt;nr_MStartP,$S1900,$T1888*(1+IF($G1900&lt;nr_MStartP1,$M$1858,$N$1858))))</f>
        <v/>
      </c>
      <c r="U1900" s="208">
        <f>IF($L$1858,$T1900,$N1900)</f>
        <v/>
      </c>
    </row>
    <row r="1901">
      <c r="A1901" s="145" t="n">
        <v>41</v>
      </c>
      <c r="B1901" s="204">
        <f>EDATE($B1900,1)</f>
        <v/>
      </c>
      <c r="C1901" s="205">
        <f>EOMONTH($B1901,0)</f>
        <v/>
      </c>
      <c r="D1901" s="201">
        <f>$C1901-$B1901+1</f>
        <v/>
      </c>
      <c r="E1901" s="201">
        <f>MONTH($B1901)</f>
        <v/>
      </c>
      <c r="F1901" s="235">
        <f>($B1901+$C1901+1)/2</f>
        <v/>
      </c>
      <c r="G1901" s="201">
        <f>YEAR($B1901)*12+MONTH($B1901)-1</f>
        <v/>
      </c>
      <c r="H1901" s="207">
        <f>IF(OR(nr_SeasonOn="OFF",$D$1858=0,$E$1858=0),1,12*INDEX(se_block,$D$1858,$E1901)/$E$1858)</f>
        <v/>
      </c>
      <c r="I1901" s="208">
        <f>EXP(SUMPRODUCT((rl_eff&lt;$B1901)*(rl_key=$A$1858)*rl_ln1p))</f>
        <v/>
      </c>
      <c r="J1901" s="208">
        <f>EXP(SUMPRODUCT((rl_eff&lt;=$C1901)*(rl_key=$A$1858)*rl_ln1p))</f>
        <v/>
      </c>
      <c r="K1901" s="201">
        <f>COUNTIFS(rl_key,$A$1858,rl_eff,"&gt;="&amp;$B1901,rl_eff,"&lt;="&amp;$C1901)</f>
        <v/>
      </c>
      <c r="L1901" s="201">
        <f>SUMIFS(rl_daysafter,rl_key,$A$1858,rl_effmonth,$B1901,rl_first,1)</f>
        <v/>
      </c>
      <c r="M1901" s="209">
        <f>IF($K1901=0,0,MIN(1,$L1901/$D1901))</f>
        <v/>
      </c>
      <c r="N1901" s="208">
        <f>IF($K1901=0,$J1901,(1-$M1901)*$I1901+$M1901*$J1901)</f>
        <v/>
      </c>
      <c r="O1901" s="209">
        <f>IF($F1901&lt;$B$1859,$E$1859+$I$1859*($F1901-$A$1859),IF($F1901&lt;$C$1859,$F$1859+$J$1859*($F1901-$B$1859),$G$1859+$K$1859*($F1901-$C$1859)))</f>
        <v/>
      </c>
      <c r="P1901" s="208">
        <f>MIN(1,MAX(0,(nr_MEndPm1-$G1901+0.5)/$C$1858))-MIN(1,MAX(0,(nr_MStartPm1-1-$G1901+0.5)/$C$1858))</f>
        <v/>
      </c>
      <c r="Q1901" s="208">
        <f>MIN(1,MAX(0,(nr_MEndP-$G1901+0.5)/$C$1858))-MIN(1,MAX(0,(nr_MStartP-1-$G1901+0.5)/$C$1858))</f>
        <v/>
      </c>
      <c r="R1901" s="208">
        <f>MIN(1,MAX(0,(nr_MEndP1-$G1901+0.5)/$C$1858))-MIN(1,MAX(0,(nr_MStartP1-1-$G1901+0.5)/$C$1858))</f>
        <v/>
      </c>
      <c r="S1901" s="208">
        <f>IF($L$1858,$N1901*IF($O$1858=1,$O1901/$F$1858,1),"")</f>
        <v/>
      </c>
      <c r="T1901" s="208">
        <f>IF(NOT($L$1858),"",IF($G1901&lt;nr_MStartP,$S1901,$T1889*(1+IF($G1901&lt;nr_MStartP1,$M$1858,$N$1858))))</f>
        <v/>
      </c>
      <c r="U1901" s="208">
        <f>IF($L$1858,$T1901,$N1901)</f>
        <v/>
      </c>
    </row>
    <row r="1902">
      <c r="A1902" s="145" t="n">
        <v>42</v>
      </c>
      <c r="B1902" s="204">
        <f>EDATE($B1901,1)</f>
        <v/>
      </c>
      <c r="C1902" s="205">
        <f>EOMONTH($B1902,0)</f>
        <v/>
      </c>
      <c r="D1902" s="201">
        <f>$C1902-$B1902+1</f>
        <v/>
      </c>
      <c r="E1902" s="201">
        <f>MONTH($B1902)</f>
        <v/>
      </c>
      <c r="F1902" s="235">
        <f>($B1902+$C1902+1)/2</f>
        <v/>
      </c>
      <c r="G1902" s="201">
        <f>YEAR($B1902)*12+MONTH($B1902)-1</f>
        <v/>
      </c>
      <c r="H1902" s="207">
        <f>IF(OR(nr_SeasonOn="OFF",$D$1858=0,$E$1858=0),1,12*INDEX(se_block,$D$1858,$E1902)/$E$1858)</f>
        <v/>
      </c>
      <c r="I1902" s="208">
        <f>EXP(SUMPRODUCT((rl_eff&lt;$B1902)*(rl_key=$A$1858)*rl_ln1p))</f>
        <v/>
      </c>
      <c r="J1902" s="208">
        <f>EXP(SUMPRODUCT((rl_eff&lt;=$C1902)*(rl_key=$A$1858)*rl_ln1p))</f>
        <v/>
      </c>
      <c r="K1902" s="201">
        <f>COUNTIFS(rl_key,$A$1858,rl_eff,"&gt;="&amp;$B1902,rl_eff,"&lt;="&amp;$C1902)</f>
        <v/>
      </c>
      <c r="L1902" s="201">
        <f>SUMIFS(rl_daysafter,rl_key,$A$1858,rl_effmonth,$B1902,rl_first,1)</f>
        <v/>
      </c>
      <c r="M1902" s="209">
        <f>IF($K1902=0,0,MIN(1,$L1902/$D1902))</f>
        <v/>
      </c>
      <c r="N1902" s="208">
        <f>IF($K1902=0,$J1902,(1-$M1902)*$I1902+$M1902*$J1902)</f>
        <v/>
      </c>
      <c r="O1902" s="209">
        <f>IF($F1902&lt;$B$1859,$E$1859+$I$1859*($F1902-$A$1859),IF($F1902&lt;$C$1859,$F$1859+$J$1859*($F1902-$B$1859),$G$1859+$K$1859*($F1902-$C$1859)))</f>
        <v/>
      </c>
      <c r="P1902" s="208">
        <f>MIN(1,MAX(0,(nr_MEndPm1-$G1902+0.5)/$C$1858))-MIN(1,MAX(0,(nr_MStartPm1-1-$G1902+0.5)/$C$1858))</f>
        <v/>
      </c>
      <c r="Q1902" s="208">
        <f>MIN(1,MAX(0,(nr_MEndP-$G1902+0.5)/$C$1858))-MIN(1,MAX(0,(nr_MStartP-1-$G1902+0.5)/$C$1858))</f>
        <v/>
      </c>
      <c r="R1902" s="208">
        <f>MIN(1,MAX(0,(nr_MEndP1-$G1902+0.5)/$C$1858))-MIN(1,MAX(0,(nr_MStartP1-1-$G1902+0.5)/$C$1858))</f>
        <v/>
      </c>
      <c r="S1902" s="208">
        <f>IF($L$1858,$N1902*IF($O$1858=1,$O1902/$F$1858,1),"")</f>
        <v/>
      </c>
      <c r="T1902" s="208">
        <f>IF(NOT($L$1858),"",IF($G1902&lt;nr_MStartP,$S1902,$T1890*(1+IF($G1902&lt;nr_MStartP1,$M$1858,$N$1858))))</f>
        <v/>
      </c>
      <c r="U1902" s="208">
        <f>IF($L$1858,$T1902,$N1902)</f>
        <v/>
      </c>
    </row>
    <row r="1903">
      <c r="A1903" s="145" t="n">
        <v>43</v>
      </c>
      <c r="B1903" s="204">
        <f>EDATE($B1902,1)</f>
        <v/>
      </c>
      <c r="C1903" s="205">
        <f>EOMONTH($B1903,0)</f>
        <v/>
      </c>
      <c r="D1903" s="201">
        <f>$C1903-$B1903+1</f>
        <v/>
      </c>
      <c r="E1903" s="201">
        <f>MONTH($B1903)</f>
        <v/>
      </c>
      <c r="F1903" s="235">
        <f>($B1903+$C1903+1)/2</f>
        <v/>
      </c>
      <c r="G1903" s="201">
        <f>YEAR($B1903)*12+MONTH($B1903)-1</f>
        <v/>
      </c>
      <c r="H1903" s="207">
        <f>IF(OR(nr_SeasonOn="OFF",$D$1858=0,$E$1858=0),1,12*INDEX(se_block,$D$1858,$E1903)/$E$1858)</f>
        <v/>
      </c>
      <c r="I1903" s="208">
        <f>EXP(SUMPRODUCT((rl_eff&lt;$B1903)*(rl_key=$A$1858)*rl_ln1p))</f>
        <v/>
      </c>
      <c r="J1903" s="208">
        <f>EXP(SUMPRODUCT((rl_eff&lt;=$C1903)*(rl_key=$A$1858)*rl_ln1p))</f>
        <v/>
      </c>
      <c r="K1903" s="201">
        <f>COUNTIFS(rl_key,$A$1858,rl_eff,"&gt;="&amp;$B1903,rl_eff,"&lt;="&amp;$C1903)</f>
        <v/>
      </c>
      <c r="L1903" s="201">
        <f>SUMIFS(rl_daysafter,rl_key,$A$1858,rl_effmonth,$B1903,rl_first,1)</f>
        <v/>
      </c>
      <c r="M1903" s="209">
        <f>IF($K1903=0,0,MIN(1,$L1903/$D1903))</f>
        <v/>
      </c>
      <c r="N1903" s="208">
        <f>IF($K1903=0,$J1903,(1-$M1903)*$I1903+$M1903*$J1903)</f>
        <v/>
      </c>
      <c r="O1903" s="209">
        <f>IF($F1903&lt;$B$1859,$E$1859+$I$1859*($F1903-$A$1859),IF($F1903&lt;$C$1859,$F$1859+$J$1859*($F1903-$B$1859),$G$1859+$K$1859*($F1903-$C$1859)))</f>
        <v/>
      </c>
      <c r="P1903" s="208">
        <f>MIN(1,MAX(0,(nr_MEndPm1-$G1903+0.5)/$C$1858))-MIN(1,MAX(0,(nr_MStartPm1-1-$G1903+0.5)/$C$1858))</f>
        <v/>
      </c>
      <c r="Q1903" s="208">
        <f>MIN(1,MAX(0,(nr_MEndP-$G1903+0.5)/$C$1858))-MIN(1,MAX(0,(nr_MStartP-1-$G1903+0.5)/$C$1858))</f>
        <v/>
      </c>
      <c r="R1903" s="208">
        <f>MIN(1,MAX(0,(nr_MEndP1-$G1903+0.5)/$C$1858))-MIN(1,MAX(0,(nr_MStartP1-1-$G1903+0.5)/$C$1858))</f>
        <v/>
      </c>
      <c r="S1903" s="208">
        <f>IF($L$1858,$N1903*IF($O$1858=1,$O1903/$F$1858,1),"")</f>
        <v/>
      </c>
      <c r="T1903" s="208">
        <f>IF(NOT($L$1858),"",IF($G1903&lt;nr_MStartP,$S1903,$T1891*(1+IF($G1903&lt;nr_MStartP1,$M$1858,$N$1858))))</f>
        <v/>
      </c>
      <c r="U1903" s="208">
        <f>IF($L$1858,$T1903,$N1903)</f>
        <v/>
      </c>
    </row>
    <row r="1904">
      <c r="A1904" s="145" t="n">
        <v>44</v>
      </c>
      <c r="B1904" s="204">
        <f>EDATE($B1903,1)</f>
        <v/>
      </c>
      <c r="C1904" s="205">
        <f>EOMONTH($B1904,0)</f>
        <v/>
      </c>
      <c r="D1904" s="201">
        <f>$C1904-$B1904+1</f>
        <v/>
      </c>
      <c r="E1904" s="201">
        <f>MONTH($B1904)</f>
        <v/>
      </c>
      <c r="F1904" s="235">
        <f>($B1904+$C1904+1)/2</f>
        <v/>
      </c>
      <c r="G1904" s="201">
        <f>YEAR($B1904)*12+MONTH($B1904)-1</f>
        <v/>
      </c>
      <c r="H1904" s="207">
        <f>IF(OR(nr_SeasonOn="OFF",$D$1858=0,$E$1858=0),1,12*INDEX(se_block,$D$1858,$E1904)/$E$1858)</f>
        <v/>
      </c>
      <c r="I1904" s="208">
        <f>EXP(SUMPRODUCT((rl_eff&lt;$B1904)*(rl_key=$A$1858)*rl_ln1p))</f>
        <v/>
      </c>
      <c r="J1904" s="208">
        <f>EXP(SUMPRODUCT((rl_eff&lt;=$C1904)*(rl_key=$A$1858)*rl_ln1p))</f>
        <v/>
      </c>
      <c r="K1904" s="201">
        <f>COUNTIFS(rl_key,$A$1858,rl_eff,"&gt;="&amp;$B1904,rl_eff,"&lt;="&amp;$C1904)</f>
        <v/>
      </c>
      <c r="L1904" s="201">
        <f>SUMIFS(rl_daysafter,rl_key,$A$1858,rl_effmonth,$B1904,rl_first,1)</f>
        <v/>
      </c>
      <c r="M1904" s="209">
        <f>IF($K1904=0,0,MIN(1,$L1904/$D1904))</f>
        <v/>
      </c>
      <c r="N1904" s="208">
        <f>IF($K1904=0,$J1904,(1-$M1904)*$I1904+$M1904*$J1904)</f>
        <v/>
      </c>
      <c r="O1904" s="209">
        <f>IF($F1904&lt;$B$1859,$E$1859+$I$1859*($F1904-$A$1859),IF($F1904&lt;$C$1859,$F$1859+$J$1859*($F1904-$B$1859),$G$1859+$K$1859*($F1904-$C$1859)))</f>
        <v/>
      </c>
      <c r="P1904" s="208">
        <f>MIN(1,MAX(0,(nr_MEndPm1-$G1904+0.5)/$C$1858))-MIN(1,MAX(0,(nr_MStartPm1-1-$G1904+0.5)/$C$1858))</f>
        <v/>
      </c>
      <c r="Q1904" s="208">
        <f>MIN(1,MAX(0,(nr_MEndP-$G1904+0.5)/$C$1858))-MIN(1,MAX(0,(nr_MStartP-1-$G1904+0.5)/$C$1858))</f>
        <v/>
      </c>
      <c r="R1904" s="208">
        <f>MIN(1,MAX(0,(nr_MEndP1-$G1904+0.5)/$C$1858))-MIN(1,MAX(0,(nr_MStartP1-1-$G1904+0.5)/$C$1858))</f>
        <v/>
      </c>
      <c r="S1904" s="208">
        <f>IF($L$1858,$N1904*IF($O$1858=1,$O1904/$F$1858,1),"")</f>
        <v/>
      </c>
      <c r="T1904" s="208">
        <f>IF(NOT($L$1858),"",IF($G1904&lt;nr_MStartP,$S1904,$T1892*(1+IF($G1904&lt;nr_MStartP1,$M$1858,$N$1858))))</f>
        <v/>
      </c>
      <c r="U1904" s="208">
        <f>IF($L$1858,$T1904,$N1904)</f>
        <v/>
      </c>
    </row>
    <row r="1905">
      <c r="A1905" s="145" t="n">
        <v>45</v>
      </c>
      <c r="B1905" s="204">
        <f>EDATE($B1904,1)</f>
        <v/>
      </c>
      <c r="C1905" s="205">
        <f>EOMONTH($B1905,0)</f>
        <v/>
      </c>
      <c r="D1905" s="201">
        <f>$C1905-$B1905+1</f>
        <v/>
      </c>
      <c r="E1905" s="201">
        <f>MONTH($B1905)</f>
        <v/>
      </c>
      <c r="F1905" s="235">
        <f>($B1905+$C1905+1)/2</f>
        <v/>
      </c>
      <c r="G1905" s="201">
        <f>YEAR($B1905)*12+MONTH($B1905)-1</f>
        <v/>
      </c>
      <c r="H1905" s="207">
        <f>IF(OR(nr_SeasonOn="OFF",$D$1858=0,$E$1858=0),1,12*INDEX(se_block,$D$1858,$E1905)/$E$1858)</f>
        <v/>
      </c>
      <c r="I1905" s="208">
        <f>EXP(SUMPRODUCT((rl_eff&lt;$B1905)*(rl_key=$A$1858)*rl_ln1p))</f>
        <v/>
      </c>
      <c r="J1905" s="208">
        <f>EXP(SUMPRODUCT((rl_eff&lt;=$C1905)*(rl_key=$A$1858)*rl_ln1p))</f>
        <v/>
      </c>
      <c r="K1905" s="201">
        <f>COUNTIFS(rl_key,$A$1858,rl_eff,"&gt;="&amp;$B1905,rl_eff,"&lt;="&amp;$C1905)</f>
        <v/>
      </c>
      <c r="L1905" s="201">
        <f>SUMIFS(rl_daysafter,rl_key,$A$1858,rl_effmonth,$B1905,rl_first,1)</f>
        <v/>
      </c>
      <c r="M1905" s="209">
        <f>IF($K1905=0,0,MIN(1,$L1905/$D1905))</f>
        <v/>
      </c>
      <c r="N1905" s="208">
        <f>IF($K1905=0,$J1905,(1-$M1905)*$I1905+$M1905*$J1905)</f>
        <v/>
      </c>
      <c r="O1905" s="209">
        <f>IF($F1905&lt;$B$1859,$E$1859+$I$1859*($F1905-$A$1859),IF($F1905&lt;$C$1859,$F$1859+$J$1859*($F1905-$B$1859),$G$1859+$K$1859*($F1905-$C$1859)))</f>
        <v/>
      </c>
      <c r="P1905" s="208">
        <f>MIN(1,MAX(0,(nr_MEndPm1-$G1905+0.5)/$C$1858))-MIN(1,MAX(0,(nr_MStartPm1-1-$G1905+0.5)/$C$1858))</f>
        <v/>
      </c>
      <c r="Q1905" s="208">
        <f>MIN(1,MAX(0,(nr_MEndP-$G1905+0.5)/$C$1858))-MIN(1,MAX(0,(nr_MStartP-1-$G1905+0.5)/$C$1858))</f>
        <v/>
      </c>
      <c r="R1905" s="208">
        <f>MIN(1,MAX(0,(nr_MEndP1-$G1905+0.5)/$C$1858))-MIN(1,MAX(0,(nr_MStartP1-1-$G1905+0.5)/$C$1858))</f>
        <v/>
      </c>
      <c r="S1905" s="208">
        <f>IF($L$1858,$N1905*IF($O$1858=1,$O1905/$F$1858,1),"")</f>
        <v/>
      </c>
      <c r="T1905" s="208">
        <f>IF(NOT($L$1858),"",IF($G1905&lt;nr_MStartP,$S1905,$T1893*(1+IF($G1905&lt;nr_MStartP1,$M$1858,$N$1858))))</f>
        <v/>
      </c>
      <c r="U1905" s="208">
        <f>IF($L$1858,$T1905,$N1905)</f>
        <v/>
      </c>
    </row>
    <row r="1906">
      <c r="A1906" s="145" t="n">
        <v>46</v>
      </c>
      <c r="B1906" s="204">
        <f>EDATE($B1905,1)</f>
        <v/>
      </c>
      <c r="C1906" s="205">
        <f>EOMONTH($B1906,0)</f>
        <v/>
      </c>
      <c r="D1906" s="201">
        <f>$C1906-$B1906+1</f>
        <v/>
      </c>
      <c r="E1906" s="201">
        <f>MONTH($B1906)</f>
        <v/>
      </c>
      <c r="F1906" s="235">
        <f>($B1906+$C1906+1)/2</f>
        <v/>
      </c>
      <c r="G1906" s="201">
        <f>YEAR($B1906)*12+MONTH($B1906)-1</f>
        <v/>
      </c>
      <c r="H1906" s="207">
        <f>IF(OR(nr_SeasonOn="OFF",$D$1858=0,$E$1858=0),1,12*INDEX(se_block,$D$1858,$E1906)/$E$1858)</f>
        <v/>
      </c>
      <c r="I1906" s="208">
        <f>EXP(SUMPRODUCT((rl_eff&lt;$B1906)*(rl_key=$A$1858)*rl_ln1p))</f>
        <v/>
      </c>
      <c r="J1906" s="208">
        <f>EXP(SUMPRODUCT((rl_eff&lt;=$C1906)*(rl_key=$A$1858)*rl_ln1p))</f>
        <v/>
      </c>
      <c r="K1906" s="201">
        <f>COUNTIFS(rl_key,$A$1858,rl_eff,"&gt;="&amp;$B1906,rl_eff,"&lt;="&amp;$C1906)</f>
        <v/>
      </c>
      <c r="L1906" s="201">
        <f>SUMIFS(rl_daysafter,rl_key,$A$1858,rl_effmonth,$B1906,rl_first,1)</f>
        <v/>
      </c>
      <c r="M1906" s="209">
        <f>IF($K1906=0,0,MIN(1,$L1906/$D1906))</f>
        <v/>
      </c>
      <c r="N1906" s="208">
        <f>IF($K1906=0,$J1906,(1-$M1906)*$I1906+$M1906*$J1906)</f>
        <v/>
      </c>
      <c r="O1906" s="209">
        <f>IF($F1906&lt;$B$1859,$E$1859+$I$1859*($F1906-$A$1859),IF($F1906&lt;$C$1859,$F$1859+$J$1859*($F1906-$B$1859),$G$1859+$K$1859*($F1906-$C$1859)))</f>
        <v/>
      </c>
      <c r="P1906" s="208">
        <f>MIN(1,MAX(0,(nr_MEndPm1-$G1906+0.5)/$C$1858))-MIN(1,MAX(0,(nr_MStartPm1-1-$G1906+0.5)/$C$1858))</f>
        <v/>
      </c>
      <c r="Q1906" s="208">
        <f>MIN(1,MAX(0,(nr_MEndP-$G1906+0.5)/$C$1858))-MIN(1,MAX(0,(nr_MStartP-1-$G1906+0.5)/$C$1858))</f>
        <v/>
      </c>
      <c r="R1906" s="208">
        <f>MIN(1,MAX(0,(nr_MEndP1-$G1906+0.5)/$C$1858))-MIN(1,MAX(0,(nr_MStartP1-1-$G1906+0.5)/$C$1858))</f>
        <v/>
      </c>
      <c r="S1906" s="208">
        <f>IF($L$1858,$N1906*IF($O$1858=1,$O1906/$F$1858,1),"")</f>
        <v/>
      </c>
      <c r="T1906" s="208">
        <f>IF(NOT($L$1858),"",IF($G1906&lt;nr_MStartP,$S1906,$T1894*(1+IF($G1906&lt;nr_MStartP1,$M$1858,$N$1858))))</f>
        <v/>
      </c>
      <c r="U1906" s="208">
        <f>IF($L$1858,$T1906,$N1906)</f>
        <v/>
      </c>
    </row>
    <row r="1907">
      <c r="A1907" s="145" t="n">
        <v>47</v>
      </c>
      <c r="B1907" s="204">
        <f>EDATE($B1906,1)</f>
        <v/>
      </c>
      <c r="C1907" s="205">
        <f>EOMONTH($B1907,0)</f>
        <v/>
      </c>
      <c r="D1907" s="201">
        <f>$C1907-$B1907+1</f>
        <v/>
      </c>
      <c r="E1907" s="201">
        <f>MONTH($B1907)</f>
        <v/>
      </c>
      <c r="F1907" s="235">
        <f>($B1907+$C1907+1)/2</f>
        <v/>
      </c>
      <c r="G1907" s="201">
        <f>YEAR($B1907)*12+MONTH($B1907)-1</f>
        <v/>
      </c>
      <c r="H1907" s="207">
        <f>IF(OR(nr_SeasonOn="OFF",$D$1858=0,$E$1858=0),1,12*INDEX(se_block,$D$1858,$E1907)/$E$1858)</f>
        <v/>
      </c>
      <c r="I1907" s="208">
        <f>EXP(SUMPRODUCT((rl_eff&lt;$B1907)*(rl_key=$A$1858)*rl_ln1p))</f>
        <v/>
      </c>
      <c r="J1907" s="208">
        <f>EXP(SUMPRODUCT((rl_eff&lt;=$C1907)*(rl_key=$A$1858)*rl_ln1p))</f>
        <v/>
      </c>
      <c r="K1907" s="201">
        <f>COUNTIFS(rl_key,$A$1858,rl_eff,"&gt;="&amp;$B1907,rl_eff,"&lt;="&amp;$C1907)</f>
        <v/>
      </c>
      <c r="L1907" s="201">
        <f>SUMIFS(rl_daysafter,rl_key,$A$1858,rl_effmonth,$B1907,rl_first,1)</f>
        <v/>
      </c>
      <c r="M1907" s="209">
        <f>IF($K1907=0,0,MIN(1,$L1907/$D1907))</f>
        <v/>
      </c>
      <c r="N1907" s="208">
        <f>IF($K1907=0,$J1907,(1-$M1907)*$I1907+$M1907*$J1907)</f>
        <v/>
      </c>
      <c r="O1907" s="209">
        <f>IF($F1907&lt;$B$1859,$E$1859+$I$1859*($F1907-$A$1859),IF($F1907&lt;$C$1859,$F$1859+$J$1859*($F1907-$B$1859),$G$1859+$K$1859*($F1907-$C$1859)))</f>
        <v/>
      </c>
      <c r="P1907" s="208">
        <f>MIN(1,MAX(0,(nr_MEndPm1-$G1907+0.5)/$C$1858))-MIN(1,MAX(0,(nr_MStartPm1-1-$G1907+0.5)/$C$1858))</f>
        <v/>
      </c>
      <c r="Q1907" s="208">
        <f>MIN(1,MAX(0,(nr_MEndP-$G1907+0.5)/$C$1858))-MIN(1,MAX(0,(nr_MStartP-1-$G1907+0.5)/$C$1858))</f>
        <v/>
      </c>
      <c r="R1907" s="208">
        <f>MIN(1,MAX(0,(nr_MEndP1-$G1907+0.5)/$C$1858))-MIN(1,MAX(0,(nr_MStartP1-1-$G1907+0.5)/$C$1858))</f>
        <v/>
      </c>
      <c r="S1907" s="208">
        <f>IF($L$1858,$N1907*IF($O$1858=1,$O1907/$F$1858,1),"")</f>
        <v/>
      </c>
      <c r="T1907" s="208">
        <f>IF(NOT($L$1858),"",IF($G1907&lt;nr_MStartP,$S1907,$T1895*(1+IF($G1907&lt;nr_MStartP1,$M$1858,$N$1858))))</f>
        <v/>
      </c>
      <c r="U1907" s="208">
        <f>IF($L$1858,$T1907,$N1907)</f>
        <v/>
      </c>
    </row>
    <row r="1908">
      <c r="A1908" s="145" t="n">
        <v>48</v>
      </c>
      <c r="B1908" s="204">
        <f>EDATE($B1907,1)</f>
        <v/>
      </c>
      <c r="C1908" s="205">
        <f>EOMONTH($B1908,0)</f>
        <v/>
      </c>
      <c r="D1908" s="201">
        <f>$C1908-$B1908+1</f>
        <v/>
      </c>
      <c r="E1908" s="201">
        <f>MONTH($B1908)</f>
        <v/>
      </c>
      <c r="F1908" s="235">
        <f>($B1908+$C1908+1)/2</f>
        <v/>
      </c>
      <c r="G1908" s="201">
        <f>YEAR($B1908)*12+MONTH($B1908)-1</f>
        <v/>
      </c>
      <c r="H1908" s="207">
        <f>IF(OR(nr_SeasonOn="OFF",$D$1858=0,$E$1858=0),1,12*INDEX(se_block,$D$1858,$E1908)/$E$1858)</f>
        <v/>
      </c>
      <c r="I1908" s="208">
        <f>EXP(SUMPRODUCT((rl_eff&lt;$B1908)*(rl_key=$A$1858)*rl_ln1p))</f>
        <v/>
      </c>
      <c r="J1908" s="208">
        <f>EXP(SUMPRODUCT((rl_eff&lt;=$C1908)*(rl_key=$A$1858)*rl_ln1p))</f>
        <v/>
      </c>
      <c r="K1908" s="201">
        <f>COUNTIFS(rl_key,$A$1858,rl_eff,"&gt;="&amp;$B1908,rl_eff,"&lt;="&amp;$C1908)</f>
        <v/>
      </c>
      <c r="L1908" s="201">
        <f>SUMIFS(rl_daysafter,rl_key,$A$1858,rl_effmonth,$B1908,rl_first,1)</f>
        <v/>
      </c>
      <c r="M1908" s="209">
        <f>IF($K1908=0,0,MIN(1,$L1908/$D1908))</f>
        <v/>
      </c>
      <c r="N1908" s="208">
        <f>IF($K1908=0,$J1908,(1-$M1908)*$I1908+$M1908*$J1908)</f>
        <v/>
      </c>
      <c r="O1908" s="209">
        <f>IF($F1908&lt;$B$1859,$E$1859+$I$1859*($F1908-$A$1859),IF($F1908&lt;$C$1859,$F$1859+$J$1859*($F1908-$B$1859),$G$1859+$K$1859*($F1908-$C$1859)))</f>
        <v/>
      </c>
      <c r="P1908" s="208">
        <f>MIN(1,MAX(0,(nr_MEndPm1-$G1908+0.5)/$C$1858))-MIN(1,MAX(0,(nr_MStartPm1-1-$G1908+0.5)/$C$1858))</f>
        <v/>
      </c>
      <c r="Q1908" s="208">
        <f>MIN(1,MAX(0,(nr_MEndP-$G1908+0.5)/$C$1858))-MIN(1,MAX(0,(nr_MStartP-1-$G1908+0.5)/$C$1858))</f>
        <v/>
      </c>
      <c r="R1908" s="208">
        <f>MIN(1,MAX(0,(nr_MEndP1-$G1908+0.5)/$C$1858))-MIN(1,MAX(0,(nr_MStartP1-1-$G1908+0.5)/$C$1858))</f>
        <v/>
      </c>
      <c r="S1908" s="208">
        <f>IF($L$1858,$N1908*IF($O$1858=1,$O1908/$F$1858,1),"")</f>
        <v/>
      </c>
      <c r="T1908" s="208">
        <f>IF(NOT($L$1858),"",IF($G1908&lt;nr_MStartP,$S1908,$T1896*(1+IF($G1908&lt;nr_MStartP1,$M$1858,$N$1858))))</f>
        <v/>
      </c>
      <c r="U1908" s="208">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184">
        <f>SUMPRODUCT($H$1861:$H$1908,$Q$1861:$Q$1908,$O$1861:$O$1908)/SUMPRODUCT($H$1861:$H$1908,$Q$1861:$Q$1908)</f>
        <v/>
      </c>
      <c r="G1909" s="184">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184">
        <f>IF(N(INDEX(lr_mind,35))=0,1,INDEX(lr_mind,35))</f>
        <v/>
      </c>
      <c r="G1912" s="184">
        <f>IF(N(INDEX(lr_m0,35))=0,1,INDEX(lr_m0,35))</f>
        <v/>
      </c>
      <c r="H1912" s="73">
        <f>IF(N(INDEX(lr_m0asof,35))=0,DATE(nr_PlanYear-1,10,1),INDEX(lr_m0asof,35))</f>
        <v/>
      </c>
      <c r="I1912" s="184">
        <f>IF(N(INDEX(lr_m1,35))=0,1,INDEX(lr_m1,35))</f>
        <v/>
      </c>
      <c r="J1912" s="184">
        <f>INDEX(lr_mprior,35)</f>
        <v/>
      </c>
      <c r="K1912" s="184">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145" t="n">
        <v>1</v>
      </c>
      <c r="B1915" s="204">
        <f>DATE(nr_PlanYear-2,1,1)</f>
        <v/>
      </c>
      <c r="C1915" s="205">
        <f>EOMONTH($B1915,0)</f>
        <v/>
      </c>
      <c r="D1915" s="201">
        <f>$C1915-$B1915+1</f>
        <v/>
      </c>
      <c r="E1915" s="201">
        <f>MONTH($B1915)</f>
        <v/>
      </c>
      <c r="F1915" s="235">
        <f>($B1915+$C1915+1)/2</f>
        <v/>
      </c>
      <c r="G1915" s="201">
        <f>YEAR($B1915)*12+MONTH($B1915)-1</f>
        <v/>
      </c>
      <c r="H1915" s="207">
        <f>IF(OR(nr_SeasonOn="OFF",$D$1912=0,$E$1912=0),1,12*INDEX(se_block,$D$1912,$E1915)/$E$1912)</f>
        <v/>
      </c>
      <c r="I1915" s="208">
        <f>EXP(SUMPRODUCT((rl_eff&lt;$B1915)*(rl_key=$A$1912)*rl_ln1p))</f>
        <v/>
      </c>
      <c r="J1915" s="208">
        <f>EXP(SUMPRODUCT((rl_eff&lt;=$C1915)*(rl_key=$A$1912)*rl_ln1p))</f>
        <v/>
      </c>
      <c r="K1915" s="201">
        <f>COUNTIFS(rl_key,$A$1912,rl_eff,"&gt;="&amp;$B1915,rl_eff,"&lt;="&amp;$C1915)</f>
        <v/>
      </c>
      <c r="L1915" s="201">
        <f>SUMIFS(rl_daysafter,rl_key,$A$1912,rl_effmonth,$B1915,rl_first,1)</f>
        <v/>
      </c>
      <c r="M1915" s="209">
        <f>IF($K1915=0,0,MIN(1,$L1915/$D1915))</f>
        <v/>
      </c>
      <c r="N1915" s="208">
        <f>IF($K1915=0,$J1915,(1-$M1915)*$I1915+$M1915*$J1915)</f>
        <v/>
      </c>
      <c r="O1915" s="209">
        <f>IF($F1915&lt;$B$1913,$E$1913+$I$1913*($F1915-$A$1913),IF($F1915&lt;$C$1913,$F$1913+$J$1913*($F1915-$B$1913),$G$1913+$K$1913*($F1915-$C$1913)))</f>
        <v/>
      </c>
      <c r="P1915" s="208">
        <f>MIN(1,MAX(0,(nr_MEndPm1-$G1915+0.5)/$C$1912))-MIN(1,MAX(0,(nr_MStartPm1-1-$G1915+0.5)/$C$1912))</f>
        <v/>
      </c>
      <c r="Q1915" s="208">
        <f>MIN(1,MAX(0,(nr_MEndP-$G1915+0.5)/$C$1912))-MIN(1,MAX(0,(nr_MStartP-1-$G1915+0.5)/$C$1912))</f>
        <v/>
      </c>
      <c r="R1915" s="208">
        <f>MIN(1,MAX(0,(nr_MEndP1-$G1915+0.5)/$C$1912))-MIN(1,MAX(0,(nr_MStartP1-1-$G1915+0.5)/$C$1912))</f>
        <v/>
      </c>
      <c r="S1915" s="208">
        <f>IF($L$1912,$N1915*IF($O$1912=1,$O1915/$F$1912,1),"")</f>
        <v/>
      </c>
      <c r="T1915" s="208">
        <f>IF(NOT($L$1912),"",IF($G1915&lt;nr_MStartP,$S1915,$T1903*(1+IF($G1915&lt;nr_MStartP1,$M$1912,$N$1912))))</f>
        <v/>
      </c>
      <c r="U1915" s="208">
        <f>IF($L$1912,$T1915,$N1915)</f>
        <v/>
      </c>
    </row>
    <row r="1916">
      <c r="A1916" s="145" t="n">
        <v>2</v>
      </c>
      <c r="B1916" s="204">
        <f>EDATE($B1915,1)</f>
        <v/>
      </c>
      <c r="C1916" s="205">
        <f>EOMONTH($B1916,0)</f>
        <v/>
      </c>
      <c r="D1916" s="201">
        <f>$C1916-$B1916+1</f>
        <v/>
      </c>
      <c r="E1916" s="201">
        <f>MONTH($B1916)</f>
        <v/>
      </c>
      <c r="F1916" s="235">
        <f>($B1916+$C1916+1)/2</f>
        <v/>
      </c>
      <c r="G1916" s="201">
        <f>YEAR($B1916)*12+MONTH($B1916)-1</f>
        <v/>
      </c>
      <c r="H1916" s="207">
        <f>IF(OR(nr_SeasonOn="OFF",$D$1912=0,$E$1912=0),1,12*INDEX(se_block,$D$1912,$E1916)/$E$1912)</f>
        <v/>
      </c>
      <c r="I1916" s="208">
        <f>EXP(SUMPRODUCT((rl_eff&lt;$B1916)*(rl_key=$A$1912)*rl_ln1p))</f>
        <v/>
      </c>
      <c r="J1916" s="208">
        <f>EXP(SUMPRODUCT((rl_eff&lt;=$C1916)*(rl_key=$A$1912)*rl_ln1p))</f>
        <v/>
      </c>
      <c r="K1916" s="201">
        <f>COUNTIFS(rl_key,$A$1912,rl_eff,"&gt;="&amp;$B1916,rl_eff,"&lt;="&amp;$C1916)</f>
        <v/>
      </c>
      <c r="L1916" s="201">
        <f>SUMIFS(rl_daysafter,rl_key,$A$1912,rl_effmonth,$B1916,rl_first,1)</f>
        <v/>
      </c>
      <c r="M1916" s="209">
        <f>IF($K1916=0,0,MIN(1,$L1916/$D1916))</f>
        <v/>
      </c>
      <c r="N1916" s="208">
        <f>IF($K1916=0,$J1916,(1-$M1916)*$I1916+$M1916*$J1916)</f>
        <v/>
      </c>
      <c r="O1916" s="209">
        <f>IF($F1916&lt;$B$1913,$E$1913+$I$1913*($F1916-$A$1913),IF($F1916&lt;$C$1913,$F$1913+$J$1913*($F1916-$B$1913),$G$1913+$K$1913*($F1916-$C$1913)))</f>
        <v/>
      </c>
      <c r="P1916" s="208">
        <f>MIN(1,MAX(0,(nr_MEndPm1-$G1916+0.5)/$C$1912))-MIN(1,MAX(0,(nr_MStartPm1-1-$G1916+0.5)/$C$1912))</f>
        <v/>
      </c>
      <c r="Q1916" s="208">
        <f>MIN(1,MAX(0,(nr_MEndP-$G1916+0.5)/$C$1912))-MIN(1,MAX(0,(nr_MStartP-1-$G1916+0.5)/$C$1912))</f>
        <v/>
      </c>
      <c r="R1916" s="208">
        <f>MIN(1,MAX(0,(nr_MEndP1-$G1916+0.5)/$C$1912))-MIN(1,MAX(0,(nr_MStartP1-1-$G1916+0.5)/$C$1912))</f>
        <v/>
      </c>
      <c r="S1916" s="208">
        <f>IF($L$1912,$N1916*IF($O$1912=1,$O1916/$F$1912,1),"")</f>
        <v/>
      </c>
      <c r="T1916" s="208">
        <f>IF(NOT($L$1912),"",IF($G1916&lt;nr_MStartP,$S1916,$T1904*(1+IF($G1916&lt;nr_MStartP1,$M$1912,$N$1912))))</f>
        <v/>
      </c>
      <c r="U1916" s="208">
        <f>IF($L$1912,$T1916,$N1916)</f>
        <v/>
      </c>
    </row>
    <row r="1917">
      <c r="A1917" s="145" t="n">
        <v>3</v>
      </c>
      <c r="B1917" s="204">
        <f>EDATE($B1916,1)</f>
        <v/>
      </c>
      <c r="C1917" s="205">
        <f>EOMONTH($B1917,0)</f>
        <v/>
      </c>
      <c r="D1917" s="201">
        <f>$C1917-$B1917+1</f>
        <v/>
      </c>
      <c r="E1917" s="201">
        <f>MONTH($B1917)</f>
        <v/>
      </c>
      <c r="F1917" s="235">
        <f>($B1917+$C1917+1)/2</f>
        <v/>
      </c>
      <c r="G1917" s="201">
        <f>YEAR($B1917)*12+MONTH($B1917)-1</f>
        <v/>
      </c>
      <c r="H1917" s="207">
        <f>IF(OR(nr_SeasonOn="OFF",$D$1912=0,$E$1912=0),1,12*INDEX(se_block,$D$1912,$E1917)/$E$1912)</f>
        <v/>
      </c>
      <c r="I1917" s="208">
        <f>EXP(SUMPRODUCT((rl_eff&lt;$B1917)*(rl_key=$A$1912)*rl_ln1p))</f>
        <v/>
      </c>
      <c r="J1917" s="208">
        <f>EXP(SUMPRODUCT((rl_eff&lt;=$C1917)*(rl_key=$A$1912)*rl_ln1p))</f>
        <v/>
      </c>
      <c r="K1917" s="201">
        <f>COUNTIFS(rl_key,$A$1912,rl_eff,"&gt;="&amp;$B1917,rl_eff,"&lt;="&amp;$C1917)</f>
        <v/>
      </c>
      <c r="L1917" s="201">
        <f>SUMIFS(rl_daysafter,rl_key,$A$1912,rl_effmonth,$B1917,rl_first,1)</f>
        <v/>
      </c>
      <c r="M1917" s="209">
        <f>IF($K1917=0,0,MIN(1,$L1917/$D1917))</f>
        <v/>
      </c>
      <c r="N1917" s="208">
        <f>IF($K1917=0,$J1917,(1-$M1917)*$I1917+$M1917*$J1917)</f>
        <v/>
      </c>
      <c r="O1917" s="209">
        <f>IF($F1917&lt;$B$1913,$E$1913+$I$1913*($F1917-$A$1913),IF($F1917&lt;$C$1913,$F$1913+$J$1913*($F1917-$B$1913),$G$1913+$K$1913*($F1917-$C$1913)))</f>
        <v/>
      </c>
      <c r="P1917" s="208">
        <f>MIN(1,MAX(0,(nr_MEndPm1-$G1917+0.5)/$C$1912))-MIN(1,MAX(0,(nr_MStartPm1-1-$G1917+0.5)/$C$1912))</f>
        <v/>
      </c>
      <c r="Q1917" s="208">
        <f>MIN(1,MAX(0,(nr_MEndP-$G1917+0.5)/$C$1912))-MIN(1,MAX(0,(nr_MStartP-1-$G1917+0.5)/$C$1912))</f>
        <v/>
      </c>
      <c r="R1917" s="208">
        <f>MIN(1,MAX(0,(nr_MEndP1-$G1917+0.5)/$C$1912))-MIN(1,MAX(0,(nr_MStartP1-1-$G1917+0.5)/$C$1912))</f>
        <v/>
      </c>
      <c r="S1917" s="208">
        <f>IF($L$1912,$N1917*IF($O$1912=1,$O1917/$F$1912,1),"")</f>
        <v/>
      </c>
      <c r="T1917" s="208">
        <f>IF(NOT($L$1912),"",IF($G1917&lt;nr_MStartP,$S1917,$T1905*(1+IF($G1917&lt;nr_MStartP1,$M$1912,$N$1912))))</f>
        <v/>
      </c>
      <c r="U1917" s="208">
        <f>IF($L$1912,$T1917,$N1917)</f>
        <v/>
      </c>
    </row>
    <row r="1918">
      <c r="A1918" s="145" t="n">
        <v>4</v>
      </c>
      <c r="B1918" s="204">
        <f>EDATE($B1917,1)</f>
        <v/>
      </c>
      <c r="C1918" s="205">
        <f>EOMONTH($B1918,0)</f>
        <v/>
      </c>
      <c r="D1918" s="201">
        <f>$C1918-$B1918+1</f>
        <v/>
      </c>
      <c r="E1918" s="201">
        <f>MONTH($B1918)</f>
        <v/>
      </c>
      <c r="F1918" s="235">
        <f>($B1918+$C1918+1)/2</f>
        <v/>
      </c>
      <c r="G1918" s="201">
        <f>YEAR($B1918)*12+MONTH($B1918)-1</f>
        <v/>
      </c>
      <c r="H1918" s="207">
        <f>IF(OR(nr_SeasonOn="OFF",$D$1912=0,$E$1912=0),1,12*INDEX(se_block,$D$1912,$E1918)/$E$1912)</f>
        <v/>
      </c>
      <c r="I1918" s="208">
        <f>EXP(SUMPRODUCT((rl_eff&lt;$B1918)*(rl_key=$A$1912)*rl_ln1p))</f>
        <v/>
      </c>
      <c r="J1918" s="208">
        <f>EXP(SUMPRODUCT((rl_eff&lt;=$C1918)*(rl_key=$A$1912)*rl_ln1p))</f>
        <v/>
      </c>
      <c r="K1918" s="201">
        <f>COUNTIFS(rl_key,$A$1912,rl_eff,"&gt;="&amp;$B1918,rl_eff,"&lt;="&amp;$C1918)</f>
        <v/>
      </c>
      <c r="L1918" s="201">
        <f>SUMIFS(rl_daysafter,rl_key,$A$1912,rl_effmonth,$B1918,rl_first,1)</f>
        <v/>
      </c>
      <c r="M1918" s="209">
        <f>IF($K1918=0,0,MIN(1,$L1918/$D1918))</f>
        <v/>
      </c>
      <c r="N1918" s="208">
        <f>IF($K1918=0,$J1918,(1-$M1918)*$I1918+$M1918*$J1918)</f>
        <v/>
      </c>
      <c r="O1918" s="209">
        <f>IF($F1918&lt;$B$1913,$E$1913+$I$1913*($F1918-$A$1913),IF($F1918&lt;$C$1913,$F$1913+$J$1913*($F1918-$B$1913),$G$1913+$K$1913*($F1918-$C$1913)))</f>
        <v/>
      </c>
      <c r="P1918" s="208">
        <f>MIN(1,MAX(0,(nr_MEndPm1-$G1918+0.5)/$C$1912))-MIN(1,MAX(0,(nr_MStartPm1-1-$G1918+0.5)/$C$1912))</f>
        <v/>
      </c>
      <c r="Q1918" s="208">
        <f>MIN(1,MAX(0,(nr_MEndP-$G1918+0.5)/$C$1912))-MIN(1,MAX(0,(nr_MStartP-1-$G1918+0.5)/$C$1912))</f>
        <v/>
      </c>
      <c r="R1918" s="208">
        <f>MIN(1,MAX(0,(nr_MEndP1-$G1918+0.5)/$C$1912))-MIN(1,MAX(0,(nr_MStartP1-1-$G1918+0.5)/$C$1912))</f>
        <v/>
      </c>
      <c r="S1918" s="208">
        <f>IF($L$1912,$N1918*IF($O$1912=1,$O1918/$F$1912,1),"")</f>
        <v/>
      </c>
      <c r="T1918" s="208">
        <f>IF(NOT($L$1912),"",IF($G1918&lt;nr_MStartP,$S1918,$T1906*(1+IF($G1918&lt;nr_MStartP1,$M$1912,$N$1912))))</f>
        <v/>
      </c>
      <c r="U1918" s="208">
        <f>IF($L$1912,$T1918,$N1918)</f>
        <v/>
      </c>
    </row>
    <row r="1919">
      <c r="A1919" s="145" t="n">
        <v>5</v>
      </c>
      <c r="B1919" s="204">
        <f>EDATE($B1918,1)</f>
        <v/>
      </c>
      <c r="C1919" s="205">
        <f>EOMONTH($B1919,0)</f>
        <v/>
      </c>
      <c r="D1919" s="201">
        <f>$C1919-$B1919+1</f>
        <v/>
      </c>
      <c r="E1919" s="201">
        <f>MONTH($B1919)</f>
        <v/>
      </c>
      <c r="F1919" s="235">
        <f>($B1919+$C1919+1)/2</f>
        <v/>
      </c>
      <c r="G1919" s="201">
        <f>YEAR($B1919)*12+MONTH($B1919)-1</f>
        <v/>
      </c>
      <c r="H1919" s="207">
        <f>IF(OR(nr_SeasonOn="OFF",$D$1912=0,$E$1912=0),1,12*INDEX(se_block,$D$1912,$E1919)/$E$1912)</f>
        <v/>
      </c>
      <c r="I1919" s="208">
        <f>EXP(SUMPRODUCT((rl_eff&lt;$B1919)*(rl_key=$A$1912)*rl_ln1p))</f>
        <v/>
      </c>
      <c r="J1919" s="208">
        <f>EXP(SUMPRODUCT((rl_eff&lt;=$C1919)*(rl_key=$A$1912)*rl_ln1p))</f>
        <v/>
      </c>
      <c r="K1919" s="201">
        <f>COUNTIFS(rl_key,$A$1912,rl_eff,"&gt;="&amp;$B1919,rl_eff,"&lt;="&amp;$C1919)</f>
        <v/>
      </c>
      <c r="L1919" s="201">
        <f>SUMIFS(rl_daysafter,rl_key,$A$1912,rl_effmonth,$B1919,rl_first,1)</f>
        <v/>
      </c>
      <c r="M1919" s="209">
        <f>IF($K1919=0,0,MIN(1,$L1919/$D1919))</f>
        <v/>
      </c>
      <c r="N1919" s="208">
        <f>IF($K1919=0,$J1919,(1-$M1919)*$I1919+$M1919*$J1919)</f>
        <v/>
      </c>
      <c r="O1919" s="209">
        <f>IF($F1919&lt;$B$1913,$E$1913+$I$1913*($F1919-$A$1913),IF($F1919&lt;$C$1913,$F$1913+$J$1913*($F1919-$B$1913),$G$1913+$K$1913*($F1919-$C$1913)))</f>
        <v/>
      </c>
      <c r="P1919" s="208">
        <f>MIN(1,MAX(0,(nr_MEndPm1-$G1919+0.5)/$C$1912))-MIN(1,MAX(0,(nr_MStartPm1-1-$G1919+0.5)/$C$1912))</f>
        <v/>
      </c>
      <c r="Q1919" s="208">
        <f>MIN(1,MAX(0,(nr_MEndP-$G1919+0.5)/$C$1912))-MIN(1,MAX(0,(nr_MStartP-1-$G1919+0.5)/$C$1912))</f>
        <v/>
      </c>
      <c r="R1919" s="208">
        <f>MIN(1,MAX(0,(nr_MEndP1-$G1919+0.5)/$C$1912))-MIN(1,MAX(0,(nr_MStartP1-1-$G1919+0.5)/$C$1912))</f>
        <v/>
      </c>
      <c r="S1919" s="208">
        <f>IF($L$1912,$N1919*IF($O$1912=1,$O1919/$F$1912,1),"")</f>
        <v/>
      </c>
      <c r="T1919" s="208">
        <f>IF(NOT($L$1912),"",IF($G1919&lt;nr_MStartP,$S1919,$T1907*(1+IF($G1919&lt;nr_MStartP1,$M$1912,$N$1912))))</f>
        <v/>
      </c>
      <c r="U1919" s="208">
        <f>IF($L$1912,$T1919,$N1919)</f>
        <v/>
      </c>
    </row>
    <row r="1920">
      <c r="A1920" s="145" t="n">
        <v>6</v>
      </c>
      <c r="B1920" s="204">
        <f>EDATE($B1919,1)</f>
        <v/>
      </c>
      <c r="C1920" s="205">
        <f>EOMONTH($B1920,0)</f>
        <v/>
      </c>
      <c r="D1920" s="201">
        <f>$C1920-$B1920+1</f>
        <v/>
      </c>
      <c r="E1920" s="201">
        <f>MONTH($B1920)</f>
        <v/>
      </c>
      <c r="F1920" s="235">
        <f>($B1920+$C1920+1)/2</f>
        <v/>
      </c>
      <c r="G1920" s="201">
        <f>YEAR($B1920)*12+MONTH($B1920)-1</f>
        <v/>
      </c>
      <c r="H1920" s="207">
        <f>IF(OR(nr_SeasonOn="OFF",$D$1912=0,$E$1912=0),1,12*INDEX(se_block,$D$1912,$E1920)/$E$1912)</f>
        <v/>
      </c>
      <c r="I1920" s="208">
        <f>EXP(SUMPRODUCT((rl_eff&lt;$B1920)*(rl_key=$A$1912)*rl_ln1p))</f>
        <v/>
      </c>
      <c r="J1920" s="208">
        <f>EXP(SUMPRODUCT((rl_eff&lt;=$C1920)*(rl_key=$A$1912)*rl_ln1p))</f>
        <v/>
      </c>
      <c r="K1920" s="201">
        <f>COUNTIFS(rl_key,$A$1912,rl_eff,"&gt;="&amp;$B1920,rl_eff,"&lt;="&amp;$C1920)</f>
        <v/>
      </c>
      <c r="L1920" s="201">
        <f>SUMIFS(rl_daysafter,rl_key,$A$1912,rl_effmonth,$B1920,rl_first,1)</f>
        <v/>
      </c>
      <c r="M1920" s="209">
        <f>IF($K1920=0,0,MIN(1,$L1920/$D1920))</f>
        <v/>
      </c>
      <c r="N1920" s="208">
        <f>IF($K1920=0,$J1920,(1-$M1920)*$I1920+$M1920*$J1920)</f>
        <v/>
      </c>
      <c r="O1920" s="209">
        <f>IF($F1920&lt;$B$1913,$E$1913+$I$1913*($F1920-$A$1913),IF($F1920&lt;$C$1913,$F$1913+$J$1913*($F1920-$B$1913),$G$1913+$K$1913*($F1920-$C$1913)))</f>
        <v/>
      </c>
      <c r="P1920" s="208">
        <f>MIN(1,MAX(0,(nr_MEndPm1-$G1920+0.5)/$C$1912))-MIN(1,MAX(0,(nr_MStartPm1-1-$G1920+0.5)/$C$1912))</f>
        <v/>
      </c>
      <c r="Q1920" s="208">
        <f>MIN(1,MAX(0,(nr_MEndP-$G1920+0.5)/$C$1912))-MIN(1,MAX(0,(nr_MStartP-1-$G1920+0.5)/$C$1912))</f>
        <v/>
      </c>
      <c r="R1920" s="208">
        <f>MIN(1,MAX(0,(nr_MEndP1-$G1920+0.5)/$C$1912))-MIN(1,MAX(0,(nr_MStartP1-1-$G1920+0.5)/$C$1912))</f>
        <v/>
      </c>
      <c r="S1920" s="208">
        <f>IF($L$1912,$N1920*IF($O$1912=1,$O1920/$F$1912,1),"")</f>
        <v/>
      </c>
      <c r="T1920" s="208">
        <f>IF(NOT($L$1912),"",IF($G1920&lt;nr_MStartP,$S1920,$T1908*(1+IF($G1920&lt;nr_MStartP1,$M$1912,$N$1912))))</f>
        <v/>
      </c>
      <c r="U1920" s="208">
        <f>IF($L$1912,$T1920,$N1920)</f>
        <v/>
      </c>
    </row>
    <row r="1921">
      <c r="A1921" s="145" t="n">
        <v>7</v>
      </c>
      <c r="B1921" s="204">
        <f>EDATE($B1920,1)</f>
        <v/>
      </c>
      <c r="C1921" s="205">
        <f>EOMONTH($B1921,0)</f>
        <v/>
      </c>
      <c r="D1921" s="201">
        <f>$C1921-$B1921+1</f>
        <v/>
      </c>
      <c r="E1921" s="201">
        <f>MONTH($B1921)</f>
        <v/>
      </c>
      <c r="F1921" s="235">
        <f>($B1921+$C1921+1)/2</f>
        <v/>
      </c>
      <c r="G1921" s="201">
        <f>YEAR($B1921)*12+MONTH($B1921)-1</f>
        <v/>
      </c>
      <c r="H1921" s="207">
        <f>IF(OR(nr_SeasonOn="OFF",$D$1912=0,$E$1912=0),1,12*INDEX(se_block,$D$1912,$E1921)/$E$1912)</f>
        <v/>
      </c>
      <c r="I1921" s="208">
        <f>EXP(SUMPRODUCT((rl_eff&lt;$B1921)*(rl_key=$A$1912)*rl_ln1p))</f>
        <v/>
      </c>
      <c r="J1921" s="208">
        <f>EXP(SUMPRODUCT((rl_eff&lt;=$C1921)*(rl_key=$A$1912)*rl_ln1p))</f>
        <v/>
      </c>
      <c r="K1921" s="201">
        <f>COUNTIFS(rl_key,$A$1912,rl_eff,"&gt;="&amp;$B1921,rl_eff,"&lt;="&amp;$C1921)</f>
        <v/>
      </c>
      <c r="L1921" s="201">
        <f>SUMIFS(rl_daysafter,rl_key,$A$1912,rl_effmonth,$B1921,rl_first,1)</f>
        <v/>
      </c>
      <c r="M1921" s="209">
        <f>IF($K1921=0,0,MIN(1,$L1921/$D1921))</f>
        <v/>
      </c>
      <c r="N1921" s="208">
        <f>IF($K1921=0,$J1921,(1-$M1921)*$I1921+$M1921*$J1921)</f>
        <v/>
      </c>
      <c r="O1921" s="209">
        <f>IF($F1921&lt;$B$1913,$E$1913+$I$1913*($F1921-$A$1913),IF($F1921&lt;$C$1913,$F$1913+$J$1913*($F1921-$B$1913),$G$1913+$K$1913*($F1921-$C$1913)))</f>
        <v/>
      </c>
      <c r="P1921" s="208">
        <f>MIN(1,MAX(0,(nr_MEndPm1-$G1921+0.5)/$C$1912))-MIN(1,MAX(0,(nr_MStartPm1-1-$G1921+0.5)/$C$1912))</f>
        <v/>
      </c>
      <c r="Q1921" s="208">
        <f>MIN(1,MAX(0,(nr_MEndP-$G1921+0.5)/$C$1912))-MIN(1,MAX(0,(nr_MStartP-1-$G1921+0.5)/$C$1912))</f>
        <v/>
      </c>
      <c r="R1921" s="208">
        <f>MIN(1,MAX(0,(nr_MEndP1-$G1921+0.5)/$C$1912))-MIN(1,MAX(0,(nr_MStartP1-1-$G1921+0.5)/$C$1912))</f>
        <v/>
      </c>
      <c r="S1921" s="208">
        <f>IF($L$1912,$N1921*IF($O$1912=1,$O1921/$F$1912,1),"")</f>
        <v/>
      </c>
      <c r="T1921" s="208">
        <f>IF(NOT($L$1912),"",IF($G1921&lt;nr_MStartP,$S1921,$T1909*(1+IF($G1921&lt;nr_MStartP1,$M$1912,$N$1912))))</f>
        <v/>
      </c>
      <c r="U1921" s="208">
        <f>IF($L$1912,$T1921,$N1921)</f>
        <v/>
      </c>
    </row>
    <row r="1922">
      <c r="A1922" s="145" t="n">
        <v>8</v>
      </c>
      <c r="B1922" s="204">
        <f>EDATE($B1921,1)</f>
        <v/>
      </c>
      <c r="C1922" s="205">
        <f>EOMONTH($B1922,0)</f>
        <v/>
      </c>
      <c r="D1922" s="201">
        <f>$C1922-$B1922+1</f>
        <v/>
      </c>
      <c r="E1922" s="201">
        <f>MONTH($B1922)</f>
        <v/>
      </c>
      <c r="F1922" s="235">
        <f>($B1922+$C1922+1)/2</f>
        <v/>
      </c>
      <c r="G1922" s="201">
        <f>YEAR($B1922)*12+MONTH($B1922)-1</f>
        <v/>
      </c>
      <c r="H1922" s="207">
        <f>IF(OR(nr_SeasonOn="OFF",$D$1912=0,$E$1912=0),1,12*INDEX(se_block,$D$1912,$E1922)/$E$1912)</f>
        <v/>
      </c>
      <c r="I1922" s="208">
        <f>EXP(SUMPRODUCT((rl_eff&lt;$B1922)*(rl_key=$A$1912)*rl_ln1p))</f>
        <v/>
      </c>
      <c r="J1922" s="208">
        <f>EXP(SUMPRODUCT((rl_eff&lt;=$C1922)*(rl_key=$A$1912)*rl_ln1p))</f>
        <v/>
      </c>
      <c r="K1922" s="201">
        <f>COUNTIFS(rl_key,$A$1912,rl_eff,"&gt;="&amp;$B1922,rl_eff,"&lt;="&amp;$C1922)</f>
        <v/>
      </c>
      <c r="L1922" s="201">
        <f>SUMIFS(rl_daysafter,rl_key,$A$1912,rl_effmonth,$B1922,rl_first,1)</f>
        <v/>
      </c>
      <c r="M1922" s="209">
        <f>IF($K1922=0,0,MIN(1,$L1922/$D1922))</f>
        <v/>
      </c>
      <c r="N1922" s="208">
        <f>IF($K1922=0,$J1922,(1-$M1922)*$I1922+$M1922*$J1922)</f>
        <v/>
      </c>
      <c r="O1922" s="209">
        <f>IF($F1922&lt;$B$1913,$E$1913+$I$1913*($F1922-$A$1913),IF($F1922&lt;$C$1913,$F$1913+$J$1913*($F1922-$B$1913),$G$1913+$K$1913*($F1922-$C$1913)))</f>
        <v/>
      </c>
      <c r="P1922" s="208">
        <f>MIN(1,MAX(0,(nr_MEndPm1-$G1922+0.5)/$C$1912))-MIN(1,MAX(0,(nr_MStartPm1-1-$G1922+0.5)/$C$1912))</f>
        <v/>
      </c>
      <c r="Q1922" s="208">
        <f>MIN(1,MAX(0,(nr_MEndP-$G1922+0.5)/$C$1912))-MIN(1,MAX(0,(nr_MStartP-1-$G1922+0.5)/$C$1912))</f>
        <v/>
      </c>
      <c r="R1922" s="208">
        <f>MIN(1,MAX(0,(nr_MEndP1-$G1922+0.5)/$C$1912))-MIN(1,MAX(0,(nr_MStartP1-1-$G1922+0.5)/$C$1912))</f>
        <v/>
      </c>
      <c r="S1922" s="208">
        <f>IF($L$1912,$N1922*IF($O$1912=1,$O1922/$F$1912,1),"")</f>
        <v/>
      </c>
      <c r="T1922" s="208">
        <f>IF(NOT($L$1912),"",IF($G1922&lt;nr_MStartP,$S1922,$T1910*(1+IF($G1922&lt;nr_MStartP1,$M$1912,$N$1912))))</f>
        <v/>
      </c>
      <c r="U1922" s="208">
        <f>IF($L$1912,$T1922,$N1922)</f>
        <v/>
      </c>
    </row>
    <row r="1923">
      <c r="A1923" s="145" t="n">
        <v>9</v>
      </c>
      <c r="B1923" s="204">
        <f>EDATE($B1922,1)</f>
        <v/>
      </c>
      <c r="C1923" s="205">
        <f>EOMONTH($B1923,0)</f>
        <v/>
      </c>
      <c r="D1923" s="201">
        <f>$C1923-$B1923+1</f>
        <v/>
      </c>
      <c r="E1923" s="201">
        <f>MONTH($B1923)</f>
        <v/>
      </c>
      <c r="F1923" s="235">
        <f>($B1923+$C1923+1)/2</f>
        <v/>
      </c>
      <c r="G1923" s="201">
        <f>YEAR($B1923)*12+MONTH($B1923)-1</f>
        <v/>
      </c>
      <c r="H1923" s="207">
        <f>IF(OR(nr_SeasonOn="OFF",$D$1912=0,$E$1912=0),1,12*INDEX(se_block,$D$1912,$E1923)/$E$1912)</f>
        <v/>
      </c>
      <c r="I1923" s="208">
        <f>EXP(SUMPRODUCT((rl_eff&lt;$B1923)*(rl_key=$A$1912)*rl_ln1p))</f>
        <v/>
      </c>
      <c r="J1923" s="208">
        <f>EXP(SUMPRODUCT((rl_eff&lt;=$C1923)*(rl_key=$A$1912)*rl_ln1p))</f>
        <v/>
      </c>
      <c r="K1923" s="201">
        <f>COUNTIFS(rl_key,$A$1912,rl_eff,"&gt;="&amp;$B1923,rl_eff,"&lt;="&amp;$C1923)</f>
        <v/>
      </c>
      <c r="L1923" s="201">
        <f>SUMIFS(rl_daysafter,rl_key,$A$1912,rl_effmonth,$B1923,rl_first,1)</f>
        <v/>
      </c>
      <c r="M1923" s="209">
        <f>IF($K1923=0,0,MIN(1,$L1923/$D1923))</f>
        <v/>
      </c>
      <c r="N1923" s="208">
        <f>IF($K1923=0,$J1923,(1-$M1923)*$I1923+$M1923*$J1923)</f>
        <v/>
      </c>
      <c r="O1923" s="209">
        <f>IF($F1923&lt;$B$1913,$E$1913+$I$1913*($F1923-$A$1913),IF($F1923&lt;$C$1913,$F$1913+$J$1913*($F1923-$B$1913),$G$1913+$K$1913*($F1923-$C$1913)))</f>
        <v/>
      </c>
      <c r="P1923" s="208">
        <f>MIN(1,MAX(0,(nr_MEndPm1-$G1923+0.5)/$C$1912))-MIN(1,MAX(0,(nr_MStartPm1-1-$G1923+0.5)/$C$1912))</f>
        <v/>
      </c>
      <c r="Q1923" s="208">
        <f>MIN(1,MAX(0,(nr_MEndP-$G1923+0.5)/$C$1912))-MIN(1,MAX(0,(nr_MStartP-1-$G1923+0.5)/$C$1912))</f>
        <v/>
      </c>
      <c r="R1923" s="208">
        <f>MIN(1,MAX(0,(nr_MEndP1-$G1923+0.5)/$C$1912))-MIN(1,MAX(0,(nr_MStartP1-1-$G1923+0.5)/$C$1912))</f>
        <v/>
      </c>
      <c r="S1923" s="208">
        <f>IF($L$1912,$N1923*IF($O$1912=1,$O1923/$F$1912,1),"")</f>
        <v/>
      </c>
      <c r="T1923" s="208">
        <f>IF(NOT($L$1912),"",IF($G1923&lt;nr_MStartP,$S1923,$T1911*(1+IF($G1923&lt;nr_MStartP1,$M$1912,$N$1912))))</f>
        <v/>
      </c>
      <c r="U1923" s="208">
        <f>IF($L$1912,$T1923,$N1923)</f>
        <v/>
      </c>
    </row>
    <row r="1924">
      <c r="A1924" s="145" t="n">
        <v>10</v>
      </c>
      <c r="B1924" s="204">
        <f>EDATE($B1923,1)</f>
        <v/>
      </c>
      <c r="C1924" s="205">
        <f>EOMONTH($B1924,0)</f>
        <v/>
      </c>
      <c r="D1924" s="201">
        <f>$C1924-$B1924+1</f>
        <v/>
      </c>
      <c r="E1924" s="201">
        <f>MONTH($B1924)</f>
        <v/>
      </c>
      <c r="F1924" s="235">
        <f>($B1924+$C1924+1)/2</f>
        <v/>
      </c>
      <c r="G1924" s="201">
        <f>YEAR($B1924)*12+MONTH($B1924)-1</f>
        <v/>
      </c>
      <c r="H1924" s="207">
        <f>IF(OR(nr_SeasonOn="OFF",$D$1912=0,$E$1912=0),1,12*INDEX(se_block,$D$1912,$E1924)/$E$1912)</f>
        <v/>
      </c>
      <c r="I1924" s="208">
        <f>EXP(SUMPRODUCT((rl_eff&lt;$B1924)*(rl_key=$A$1912)*rl_ln1p))</f>
        <v/>
      </c>
      <c r="J1924" s="208">
        <f>EXP(SUMPRODUCT((rl_eff&lt;=$C1924)*(rl_key=$A$1912)*rl_ln1p))</f>
        <v/>
      </c>
      <c r="K1924" s="201">
        <f>COUNTIFS(rl_key,$A$1912,rl_eff,"&gt;="&amp;$B1924,rl_eff,"&lt;="&amp;$C1924)</f>
        <v/>
      </c>
      <c r="L1924" s="201">
        <f>SUMIFS(rl_daysafter,rl_key,$A$1912,rl_effmonth,$B1924,rl_first,1)</f>
        <v/>
      </c>
      <c r="M1924" s="209">
        <f>IF($K1924=0,0,MIN(1,$L1924/$D1924))</f>
        <v/>
      </c>
      <c r="N1924" s="208">
        <f>IF($K1924=0,$J1924,(1-$M1924)*$I1924+$M1924*$J1924)</f>
        <v/>
      </c>
      <c r="O1924" s="209">
        <f>IF($F1924&lt;$B$1913,$E$1913+$I$1913*($F1924-$A$1913),IF($F1924&lt;$C$1913,$F$1913+$J$1913*($F1924-$B$1913),$G$1913+$K$1913*($F1924-$C$1913)))</f>
        <v/>
      </c>
      <c r="P1924" s="208">
        <f>MIN(1,MAX(0,(nr_MEndPm1-$G1924+0.5)/$C$1912))-MIN(1,MAX(0,(nr_MStartPm1-1-$G1924+0.5)/$C$1912))</f>
        <v/>
      </c>
      <c r="Q1924" s="208">
        <f>MIN(1,MAX(0,(nr_MEndP-$G1924+0.5)/$C$1912))-MIN(1,MAX(0,(nr_MStartP-1-$G1924+0.5)/$C$1912))</f>
        <v/>
      </c>
      <c r="R1924" s="208">
        <f>MIN(1,MAX(0,(nr_MEndP1-$G1924+0.5)/$C$1912))-MIN(1,MAX(0,(nr_MStartP1-1-$G1924+0.5)/$C$1912))</f>
        <v/>
      </c>
      <c r="S1924" s="208">
        <f>IF($L$1912,$N1924*IF($O$1912=1,$O1924/$F$1912,1),"")</f>
        <v/>
      </c>
      <c r="T1924" s="208">
        <f>IF(NOT($L$1912),"",IF($G1924&lt;nr_MStartP,$S1924,$T1912*(1+IF($G1924&lt;nr_MStartP1,$M$1912,$N$1912))))</f>
        <v/>
      </c>
      <c r="U1924" s="208">
        <f>IF($L$1912,$T1924,$N1924)</f>
        <v/>
      </c>
    </row>
    <row r="1925">
      <c r="A1925" s="145" t="n">
        <v>11</v>
      </c>
      <c r="B1925" s="204">
        <f>EDATE($B1924,1)</f>
        <v/>
      </c>
      <c r="C1925" s="205">
        <f>EOMONTH($B1925,0)</f>
        <v/>
      </c>
      <c r="D1925" s="201">
        <f>$C1925-$B1925+1</f>
        <v/>
      </c>
      <c r="E1925" s="201">
        <f>MONTH($B1925)</f>
        <v/>
      </c>
      <c r="F1925" s="235">
        <f>($B1925+$C1925+1)/2</f>
        <v/>
      </c>
      <c r="G1925" s="201">
        <f>YEAR($B1925)*12+MONTH($B1925)-1</f>
        <v/>
      </c>
      <c r="H1925" s="207">
        <f>IF(OR(nr_SeasonOn="OFF",$D$1912=0,$E$1912=0),1,12*INDEX(se_block,$D$1912,$E1925)/$E$1912)</f>
        <v/>
      </c>
      <c r="I1925" s="208">
        <f>EXP(SUMPRODUCT((rl_eff&lt;$B1925)*(rl_key=$A$1912)*rl_ln1p))</f>
        <v/>
      </c>
      <c r="J1925" s="208">
        <f>EXP(SUMPRODUCT((rl_eff&lt;=$C1925)*(rl_key=$A$1912)*rl_ln1p))</f>
        <v/>
      </c>
      <c r="K1925" s="201">
        <f>COUNTIFS(rl_key,$A$1912,rl_eff,"&gt;="&amp;$B1925,rl_eff,"&lt;="&amp;$C1925)</f>
        <v/>
      </c>
      <c r="L1925" s="201">
        <f>SUMIFS(rl_daysafter,rl_key,$A$1912,rl_effmonth,$B1925,rl_first,1)</f>
        <v/>
      </c>
      <c r="M1925" s="209">
        <f>IF($K1925=0,0,MIN(1,$L1925/$D1925))</f>
        <v/>
      </c>
      <c r="N1925" s="208">
        <f>IF($K1925=0,$J1925,(1-$M1925)*$I1925+$M1925*$J1925)</f>
        <v/>
      </c>
      <c r="O1925" s="209">
        <f>IF($F1925&lt;$B$1913,$E$1913+$I$1913*($F1925-$A$1913),IF($F1925&lt;$C$1913,$F$1913+$J$1913*($F1925-$B$1913),$G$1913+$K$1913*($F1925-$C$1913)))</f>
        <v/>
      </c>
      <c r="P1925" s="208">
        <f>MIN(1,MAX(0,(nr_MEndPm1-$G1925+0.5)/$C$1912))-MIN(1,MAX(0,(nr_MStartPm1-1-$G1925+0.5)/$C$1912))</f>
        <v/>
      </c>
      <c r="Q1925" s="208">
        <f>MIN(1,MAX(0,(nr_MEndP-$G1925+0.5)/$C$1912))-MIN(1,MAX(0,(nr_MStartP-1-$G1925+0.5)/$C$1912))</f>
        <v/>
      </c>
      <c r="R1925" s="208">
        <f>MIN(1,MAX(0,(nr_MEndP1-$G1925+0.5)/$C$1912))-MIN(1,MAX(0,(nr_MStartP1-1-$G1925+0.5)/$C$1912))</f>
        <v/>
      </c>
      <c r="S1925" s="208">
        <f>IF($L$1912,$N1925*IF($O$1912=1,$O1925/$F$1912,1),"")</f>
        <v/>
      </c>
      <c r="T1925" s="208">
        <f>IF(NOT($L$1912),"",IF($G1925&lt;nr_MStartP,$S1925,$T1913*(1+IF($G1925&lt;nr_MStartP1,$M$1912,$N$1912))))</f>
        <v/>
      </c>
      <c r="U1925" s="208">
        <f>IF($L$1912,$T1925,$N1925)</f>
        <v/>
      </c>
    </row>
    <row r="1926">
      <c r="A1926" s="145" t="n">
        <v>12</v>
      </c>
      <c r="B1926" s="204">
        <f>EDATE($B1925,1)</f>
        <v/>
      </c>
      <c r="C1926" s="205">
        <f>EOMONTH($B1926,0)</f>
        <v/>
      </c>
      <c r="D1926" s="201">
        <f>$C1926-$B1926+1</f>
        <v/>
      </c>
      <c r="E1926" s="201">
        <f>MONTH($B1926)</f>
        <v/>
      </c>
      <c r="F1926" s="235">
        <f>($B1926+$C1926+1)/2</f>
        <v/>
      </c>
      <c r="G1926" s="201">
        <f>YEAR($B1926)*12+MONTH($B1926)-1</f>
        <v/>
      </c>
      <c r="H1926" s="207">
        <f>IF(OR(nr_SeasonOn="OFF",$D$1912=0,$E$1912=0),1,12*INDEX(se_block,$D$1912,$E1926)/$E$1912)</f>
        <v/>
      </c>
      <c r="I1926" s="208">
        <f>EXP(SUMPRODUCT((rl_eff&lt;$B1926)*(rl_key=$A$1912)*rl_ln1p))</f>
        <v/>
      </c>
      <c r="J1926" s="208">
        <f>EXP(SUMPRODUCT((rl_eff&lt;=$C1926)*(rl_key=$A$1912)*rl_ln1p))</f>
        <v/>
      </c>
      <c r="K1926" s="201">
        <f>COUNTIFS(rl_key,$A$1912,rl_eff,"&gt;="&amp;$B1926,rl_eff,"&lt;="&amp;$C1926)</f>
        <v/>
      </c>
      <c r="L1926" s="201">
        <f>SUMIFS(rl_daysafter,rl_key,$A$1912,rl_effmonth,$B1926,rl_first,1)</f>
        <v/>
      </c>
      <c r="M1926" s="209">
        <f>IF($K1926=0,0,MIN(1,$L1926/$D1926))</f>
        <v/>
      </c>
      <c r="N1926" s="208">
        <f>IF($K1926=0,$J1926,(1-$M1926)*$I1926+$M1926*$J1926)</f>
        <v/>
      </c>
      <c r="O1926" s="209">
        <f>IF($F1926&lt;$B$1913,$E$1913+$I$1913*($F1926-$A$1913),IF($F1926&lt;$C$1913,$F$1913+$J$1913*($F1926-$B$1913),$G$1913+$K$1913*($F1926-$C$1913)))</f>
        <v/>
      </c>
      <c r="P1926" s="208">
        <f>MIN(1,MAX(0,(nr_MEndPm1-$G1926+0.5)/$C$1912))-MIN(1,MAX(0,(nr_MStartPm1-1-$G1926+0.5)/$C$1912))</f>
        <v/>
      </c>
      <c r="Q1926" s="208">
        <f>MIN(1,MAX(0,(nr_MEndP-$G1926+0.5)/$C$1912))-MIN(1,MAX(0,(nr_MStartP-1-$G1926+0.5)/$C$1912))</f>
        <v/>
      </c>
      <c r="R1926" s="208">
        <f>MIN(1,MAX(0,(nr_MEndP1-$G1926+0.5)/$C$1912))-MIN(1,MAX(0,(nr_MStartP1-1-$G1926+0.5)/$C$1912))</f>
        <v/>
      </c>
      <c r="S1926" s="208">
        <f>IF($L$1912,$N1926*IF($O$1912=1,$O1926/$F$1912,1),"")</f>
        <v/>
      </c>
      <c r="T1926" s="208">
        <f>IF(NOT($L$1912),"",IF($G1926&lt;nr_MStartP,$S1926,$T1914*(1+IF($G1926&lt;nr_MStartP1,$M$1912,$N$1912))))</f>
        <v/>
      </c>
      <c r="U1926" s="208">
        <f>IF($L$1912,$T1926,$N1926)</f>
        <v/>
      </c>
    </row>
    <row r="1927">
      <c r="A1927" s="145" t="n">
        <v>13</v>
      </c>
      <c r="B1927" s="204">
        <f>EDATE($B1926,1)</f>
        <v/>
      </c>
      <c r="C1927" s="205">
        <f>EOMONTH($B1927,0)</f>
        <v/>
      </c>
      <c r="D1927" s="201">
        <f>$C1927-$B1927+1</f>
        <v/>
      </c>
      <c r="E1927" s="201">
        <f>MONTH($B1927)</f>
        <v/>
      </c>
      <c r="F1927" s="235">
        <f>($B1927+$C1927+1)/2</f>
        <v/>
      </c>
      <c r="G1927" s="201">
        <f>YEAR($B1927)*12+MONTH($B1927)-1</f>
        <v/>
      </c>
      <c r="H1927" s="207">
        <f>IF(OR(nr_SeasonOn="OFF",$D$1912=0,$E$1912=0),1,12*INDEX(se_block,$D$1912,$E1927)/$E$1912)</f>
        <v/>
      </c>
      <c r="I1927" s="208">
        <f>EXP(SUMPRODUCT((rl_eff&lt;$B1927)*(rl_key=$A$1912)*rl_ln1p))</f>
        <v/>
      </c>
      <c r="J1927" s="208">
        <f>EXP(SUMPRODUCT((rl_eff&lt;=$C1927)*(rl_key=$A$1912)*rl_ln1p))</f>
        <v/>
      </c>
      <c r="K1927" s="201">
        <f>COUNTIFS(rl_key,$A$1912,rl_eff,"&gt;="&amp;$B1927,rl_eff,"&lt;="&amp;$C1927)</f>
        <v/>
      </c>
      <c r="L1927" s="201">
        <f>SUMIFS(rl_daysafter,rl_key,$A$1912,rl_effmonth,$B1927,rl_first,1)</f>
        <v/>
      </c>
      <c r="M1927" s="209">
        <f>IF($K1927=0,0,MIN(1,$L1927/$D1927))</f>
        <v/>
      </c>
      <c r="N1927" s="208">
        <f>IF($K1927=0,$J1927,(1-$M1927)*$I1927+$M1927*$J1927)</f>
        <v/>
      </c>
      <c r="O1927" s="209">
        <f>IF($F1927&lt;$B$1913,$E$1913+$I$1913*($F1927-$A$1913),IF($F1927&lt;$C$1913,$F$1913+$J$1913*($F1927-$B$1913),$G$1913+$K$1913*($F1927-$C$1913)))</f>
        <v/>
      </c>
      <c r="P1927" s="208">
        <f>MIN(1,MAX(0,(nr_MEndPm1-$G1927+0.5)/$C$1912))-MIN(1,MAX(0,(nr_MStartPm1-1-$G1927+0.5)/$C$1912))</f>
        <v/>
      </c>
      <c r="Q1927" s="208">
        <f>MIN(1,MAX(0,(nr_MEndP-$G1927+0.5)/$C$1912))-MIN(1,MAX(0,(nr_MStartP-1-$G1927+0.5)/$C$1912))</f>
        <v/>
      </c>
      <c r="R1927" s="208">
        <f>MIN(1,MAX(0,(nr_MEndP1-$G1927+0.5)/$C$1912))-MIN(1,MAX(0,(nr_MStartP1-1-$G1927+0.5)/$C$1912))</f>
        <v/>
      </c>
      <c r="S1927" s="208">
        <f>IF($L$1912,$N1927*IF($O$1912=1,$O1927/$F$1912,1),"")</f>
        <v/>
      </c>
      <c r="T1927" s="208">
        <f>IF(NOT($L$1912),"",IF($G1927&lt;nr_MStartP,$S1927,$T1915*(1+IF($G1927&lt;nr_MStartP1,$M$1912,$N$1912))))</f>
        <v/>
      </c>
      <c r="U1927" s="208">
        <f>IF($L$1912,$T1927,$N1927)</f>
        <v/>
      </c>
    </row>
    <row r="1928">
      <c r="A1928" s="145" t="n">
        <v>14</v>
      </c>
      <c r="B1928" s="204">
        <f>EDATE($B1927,1)</f>
        <v/>
      </c>
      <c r="C1928" s="205">
        <f>EOMONTH($B1928,0)</f>
        <v/>
      </c>
      <c r="D1928" s="201">
        <f>$C1928-$B1928+1</f>
        <v/>
      </c>
      <c r="E1928" s="201">
        <f>MONTH($B1928)</f>
        <v/>
      </c>
      <c r="F1928" s="235">
        <f>($B1928+$C1928+1)/2</f>
        <v/>
      </c>
      <c r="G1928" s="201">
        <f>YEAR($B1928)*12+MONTH($B1928)-1</f>
        <v/>
      </c>
      <c r="H1928" s="207">
        <f>IF(OR(nr_SeasonOn="OFF",$D$1912=0,$E$1912=0),1,12*INDEX(se_block,$D$1912,$E1928)/$E$1912)</f>
        <v/>
      </c>
      <c r="I1928" s="208">
        <f>EXP(SUMPRODUCT((rl_eff&lt;$B1928)*(rl_key=$A$1912)*rl_ln1p))</f>
        <v/>
      </c>
      <c r="J1928" s="208">
        <f>EXP(SUMPRODUCT((rl_eff&lt;=$C1928)*(rl_key=$A$1912)*rl_ln1p))</f>
        <v/>
      </c>
      <c r="K1928" s="201">
        <f>COUNTIFS(rl_key,$A$1912,rl_eff,"&gt;="&amp;$B1928,rl_eff,"&lt;="&amp;$C1928)</f>
        <v/>
      </c>
      <c r="L1928" s="201">
        <f>SUMIFS(rl_daysafter,rl_key,$A$1912,rl_effmonth,$B1928,rl_first,1)</f>
        <v/>
      </c>
      <c r="M1928" s="209">
        <f>IF($K1928=0,0,MIN(1,$L1928/$D1928))</f>
        <v/>
      </c>
      <c r="N1928" s="208">
        <f>IF($K1928=0,$J1928,(1-$M1928)*$I1928+$M1928*$J1928)</f>
        <v/>
      </c>
      <c r="O1928" s="209">
        <f>IF($F1928&lt;$B$1913,$E$1913+$I$1913*($F1928-$A$1913),IF($F1928&lt;$C$1913,$F$1913+$J$1913*($F1928-$B$1913),$G$1913+$K$1913*($F1928-$C$1913)))</f>
        <v/>
      </c>
      <c r="P1928" s="208">
        <f>MIN(1,MAX(0,(nr_MEndPm1-$G1928+0.5)/$C$1912))-MIN(1,MAX(0,(nr_MStartPm1-1-$G1928+0.5)/$C$1912))</f>
        <v/>
      </c>
      <c r="Q1928" s="208">
        <f>MIN(1,MAX(0,(nr_MEndP-$G1928+0.5)/$C$1912))-MIN(1,MAX(0,(nr_MStartP-1-$G1928+0.5)/$C$1912))</f>
        <v/>
      </c>
      <c r="R1928" s="208">
        <f>MIN(1,MAX(0,(nr_MEndP1-$G1928+0.5)/$C$1912))-MIN(1,MAX(0,(nr_MStartP1-1-$G1928+0.5)/$C$1912))</f>
        <v/>
      </c>
      <c r="S1928" s="208">
        <f>IF($L$1912,$N1928*IF($O$1912=1,$O1928/$F$1912,1),"")</f>
        <v/>
      </c>
      <c r="T1928" s="208">
        <f>IF(NOT($L$1912),"",IF($G1928&lt;nr_MStartP,$S1928,$T1916*(1+IF($G1928&lt;nr_MStartP1,$M$1912,$N$1912))))</f>
        <v/>
      </c>
      <c r="U1928" s="208">
        <f>IF($L$1912,$T1928,$N1928)</f>
        <v/>
      </c>
    </row>
    <row r="1929">
      <c r="A1929" s="145" t="n">
        <v>15</v>
      </c>
      <c r="B1929" s="204">
        <f>EDATE($B1928,1)</f>
        <v/>
      </c>
      <c r="C1929" s="205">
        <f>EOMONTH($B1929,0)</f>
        <v/>
      </c>
      <c r="D1929" s="201">
        <f>$C1929-$B1929+1</f>
        <v/>
      </c>
      <c r="E1929" s="201">
        <f>MONTH($B1929)</f>
        <v/>
      </c>
      <c r="F1929" s="235">
        <f>($B1929+$C1929+1)/2</f>
        <v/>
      </c>
      <c r="G1929" s="201">
        <f>YEAR($B1929)*12+MONTH($B1929)-1</f>
        <v/>
      </c>
      <c r="H1929" s="207">
        <f>IF(OR(nr_SeasonOn="OFF",$D$1912=0,$E$1912=0),1,12*INDEX(se_block,$D$1912,$E1929)/$E$1912)</f>
        <v/>
      </c>
      <c r="I1929" s="208">
        <f>EXP(SUMPRODUCT((rl_eff&lt;$B1929)*(rl_key=$A$1912)*rl_ln1p))</f>
        <v/>
      </c>
      <c r="J1929" s="208">
        <f>EXP(SUMPRODUCT((rl_eff&lt;=$C1929)*(rl_key=$A$1912)*rl_ln1p))</f>
        <v/>
      </c>
      <c r="K1929" s="201">
        <f>COUNTIFS(rl_key,$A$1912,rl_eff,"&gt;="&amp;$B1929,rl_eff,"&lt;="&amp;$C1929)</f>
        <v/>
      </c>
      <c r="L1929" s="201">
        <f>SUMIFS(rl_daysafter,rl_key,$A$1912,rl_effmonth,$B1929,rl_first,1)</f>
        <v/>
      </c>
      <c r="M1929" s="209">
        <f>IF($K1929=0,0,MIN(1,$L1929/$D1929))</f>
        <v/>
      </c>
      <c r="N1929" s="208">
        <f>IF($K1929=0,$J1929,(1-$M1929)*$I1929+$M1929*$J1929)</f>
        <v/>
      </c>
      <c r="O1929" s="209">
        <f>IF($F1929&lt;$B$1913,$E$1913+$I$1913*($F1929-$A$1913),IF($F1929&lt;$C$1913,$F$1913+$J$1913*($F1929-$B$1913),$G$1913+$K$1913*($F1929-$C$1913)))</f>
        <v/>
      </c>
      <c r="P1929" s="208">
        <f>MIN(1,MAX(0,(nr_MEndPm1-$G1929+0.5)/$C$1912))-MIN(1,MAX(0,(nr_MStartPm1-1-$G1929+0.5)/$C$1912))</f>
        <v/>
      </c>
      <c r="Q1929" s="208">
        <f>MIN(1,MAX(0,(nr_MEndP-$G1929+0.5)/$C$1912))-MIN(1,MAX(0,(nr_MStartP-1-$G1929+0.5)/$C$1912))</f>
        <v/>
      </c>
      <c r="R1929" s="208">
        <f>MIN(1,MAX(0,(nr_MEndP1-$G1929+0.5)/$C$1912))-MIN(1,MAX(0,(nr_MStartP1-1-$G1929+0.5)/$C$1912))</f>
        <v/>
      </c>
      <c r="S1929" s="208">
        <f>IF($L$1912,$N1929*IF($O$1912=1,$O1929/$F$1912,1),"")</f>
        <v/>
      </c>
      <c r="T1929" s="208">
        <f>IF(NOT($L$1912),"",IF($G1929&lt;nr_MStartP,$S1929,$T1917*(1+IF($G1929&lt;nr_MStartP1,$M$1912,$N$1912))))</f>
        <v/>
      </c>
      <c r="U1929" s="208">
        <f>IF($L$1912,$T1929,$N1929)</f>
        <v/>
      </c>
    </row>
    <row r="1930">
      <c r="A1930" s="145" t="n">
        <v>16</v>
      </c>
      <c r="B1930" s="204">
        <f>EDATE($B1929,1)</f>
        <v/>
      </c>
      <c r="C1930" s="205">
        <f>EOMONTH($B1930,0)</f>
        <v/>
      </c>
      <c r="D1930" s="201">
        <f>$C1930-$B1930+1</f>
        <v/>
      </c>
      <c r="E1930" s="201">
        <f>MONTH($B1930)</f>
        <v/>
      </c>
      <c r="F1930" s="235">
        <f>($B1930+$C1930+1)/2</f>
        <v/>
      </c>
      <c r="G1930" s="201">
        <f>YEAR($B1930)*12+MONTH($B1930)-1</f>
        <v/>
      </c>
      <c r="H1930" s="207">
        <f>IF(OR(nr_SeasonOn="OFF",$D$1912=0,$E$1912=0),1,12*INDEX(se_block,$D$1912,$E1930)/$E$1912)</f>
        <v/>
      </c>
      <c r="I1930" s="208">
        <f>EXP(SUMPRODUCT((rl_eff&lt;$B1930)*(rl_key=$A$1912)*rl_ln1p))</f>
        <v/>
      </c>
      <c r="J1930" s="208">
        <f>EXP(SUMPRODUCT((rl_eff&lt;=$C1930)*(rl_key=$A$1912)*rl_ln1p))</f>
        <v/>
      </c>
      <c r="K1930" s="201">
        <f>COUNTIFS(rl_key,$A$1912,rl_eff,"&gt;="&amp;$B1930,rl_eff,"&lt;="&amp;$C1930)</f>
        <v/>
      </c>
      <c r="L1930" s="201">
        <f>SUMIFS(rl_daysafter,rl_key,$A$1912,rl_effmonth,$B1930,rl_first,1)</f>
        <v/>
      </c>
      <c r="M1930" s="209">
        <f>IF($K1930=0,0,MIN(1,$L1930/$D1930))</f>
        <v/>
      </c>
      <c r="N1930" s="208">
        <f>IF($K1930=0,$J1930,(1-$M1930)*$I1930+$M1930*$J1930)</f>
        <v/>
      </c>
      <c r="O1930" s="209">
        <f>IF($F1930&lt;$B$1913,$E$1913+$I$1913*($F1930-$A$1913),IF($F1930&lt;$C$1913,$F$1913+$J$1913*($F1930-$B$1913),$G$1913+$K$1913*($F1930-$C$1913)))</f>
        <v/>
      </c>
      <c r="P1930" s="208">
        <f>MIN(1,MAX(0,(nr_MEndPm1-$G1930+0.5)/$C$1912))-MIN(1,MAX(0,(nr_MStartPm1-1-$G1930+0.5)/$C$1912))</f>
        <v/>
      </c>
      <c r="Q1930" s="208">
        <f>MIN(1,MAX(0,(nr_MEndP-$G1930+0.5)/$C$1912))-MIN(1,MAX(0,(nr_MStartP-1-$G1930+0.5)/$C$1912))</f>
        <v/>
      </c>
      <c r="R1930" s="208">
        <f>MIN(1,MAX(0,(nr_MEndP1-$G1930+0.5)/$C$1912))-MIN(1,MAX(0,(nr_MStartP1-1-$G1930+0.5)/$C$1912))</f>
        <v/>
      </c>
      <c r="S1930" s="208">
        <f>IF($L$1912,$N1930*IF($O$1912=1,$O1930/$F$1912,1),"")</f>
        <v/>
      </c>
      <c r="T1930" s="208">
        <f>IF(NOT($L$1912),"",IF($G1930&lt;nr_MStartP,$S1930,$T1918*(1+IF($G1930&lt;nr_MStartP1,$M$1912,$N$1912))))</f>
        <v/>
      </c>
      <c r="U1930" s="208">
        <f>IF($L$1912,$T1930,$N1930)</f>
        <v/>
      </c>
    </row>
    <row r="1931">
      <c r="A1931" s="145" t="n">
        <v>17</v>
      </c>
      <c r="B1931" s="204">
        <f>EDATE($B1930,1)</f>
        <v/>
      </c>
      <c r="C1931" s="205">
        <f>EOMONTH($B1931,0)</f>
        <v/>
      </c>
      <c r="D1931" s="201">
        <f>$C1931-$B1931+1</f>
        <v/>
      </c>
      <c r="E1931" s="201">
        <f>MONTH($B1931)</f>
        <v/>
      </c>
      <c r="F1931" s="235">
        <f>($B1931+$C1931+1)/2</f>
        <v/>
      </c>
      <c r="G1931" s="201">
        <f>YEAR($B1931)*12+MONTH($B1931)-1</f>
        <v/>
      </c>
      <c r="H1931" s="207">
        <f>IF(OR(nr_SeasonOn="OFF",$D$1912=0,$E$1912=0),1,12*INDEX(se_block,$D$1912,$E1931)/$E$1912)</f>
        <v/>
      </c>
      <c r="I1931" s="208">
        <f>EXP(SUMPRODUCT((rl_eff&lt;$B1931)*(rl_key=$A$1912)*rl_ln1p))</f>
        <v/>
      </c>
      <c r="J1931" s="208">
        <f>EXP(SUMPRODUCT((rl_eff&lt;=$C1931)*(rl_key=$A$1912)*rl_ln1p))</f>
        <v/>
      </c>
      <c r="K1931" s="201">
        <f>COUNTIFS(rl_key,$A$1912,rl_eff,"&gt;="&amp;$B1931,rl_eff,"&lt;="&amp;$C1931)</f>
        <v/>
      </c>
      <c r="L1931" s="201">
        <f>SUMIFS(rl_daysafter,rl_key,$A$1912,rl_effmonth,$B1931,rl_first,1)</f>
        <v/>
      </c>
      <c r="M1931" s="209">
        <f>IF($K1931=0,0,MIN(1,$L1931/$D1931))</f>
        <v/>
      </c>
      <c r="N1931" s="208">
        <f>IF($K1931=0,$J1931,(1-$M1931)*$I1931+$M1931*$J1931)</f>
        <v/>
      </c>
      <c r="O1931" s="209">
        <f>IF($F1931&lt;$B$1913,$E$1913+$I$1913*($F1931-$A$1913),IF($F1931&lt;$C$1913,$F$1913+$J$1913*($F1931-$B$1913),$G$1913+$K$1913*($F1931-$C$1913)))</f>
        <v/>
      </c>
      <c r="P1931" s="208">
        <f>MIN(1,MAX(0,(nr_MEndPm1-$G1931+0.5)/$C$1912))-MIN(1,MAX(0,(nr_MStartPm1-1-$G1931+0.5)/$C$1912))</f>
        <v/>
      </c>
      <c r="Q1931" s="208">
        <f>MIN(1,MAX(0,(nr_MEndP-$G1931+0.5)/$C$1912))-MIN(1,MAX(0,(nr_MStartP-1-$G1931+0.5)/$C$1912))</f>
        <v/>
      </c>
      <c r="R1931" s="208">
        <f>MIN(1,MAX(0,(nr_MEndP1-$G1931+0.5)/$C$1912))-MIN(1,MAX(0,(nr_MStartP1-1-$G1931+0.5)/$C$1912))</f>
        <v/>
      </c>
      <c r="S1931" s="208">
        <f>IF($L$1912,$N1931*IF($O$1912=1,$O1931/$F$1912,1),"")</f>
        <v/>
      </c>
      <c r="T1931" s="208">
        <f>IF(NOT($L$1912),"",IF($G1931&lt;nr_MStartP,$S1931,$T1919*(1+IF($G1931&lt;nr_MStartP1,$M$1912,$N$1912))))</f>
        <v/>
      </c>
      <c r="U1931" s="208">
        <f>IF($L$1912,$T1931,$N1931)</f>
        <v/>
      </c>
    </row>
    <row r="1932">
      <c r="A1932" s="145" t="n">
        <v>18</v>
      </c>
      <c r="B1932" s="204">
        <f>EDATE($B1931,1)</f>
        <v/>
      </c>
      <c r="C1932" s="205">
        <f>EOMONTH($B1932,0)</f>
        <v/>
      </c>
      <c r="D1932" s="201">
        <f>$C1932-$B1932+1</f>
        <v/>
      </c>
      <c r="E1932" s="201">
        <f>MONTH($B1932)</f>
        <v/>
      </c>
      <c r="F1932" s="235">
        <f>($B1932+$C1932+1)/2</f>
        <v/>
      </c>
      <c r="G1932" s="201">
        <f>YEAR($B1932)*12+MONTH($B1932)-1</f>
        <v/>
      </c>
      <c r="H1932" s="207">
        <f>IF(OR(nr_SeasonOn="OFF",$D$1912=0,$E$1912=0),1,12*INDEX(se_block,$D$1912,$E1932)/$E$1912)</f>
        <v/>
      </c>
      <c r="I1932" s="208">
        <f>EXP(SUMPRODUCT((rl_eff&lt;$B1932)*(rl_key=$A$1912)*rl_ln1p))</f>
        <v/>
      </c>
      <c r="J1932" s="208">
        <f>EXP(SUMPRODUCT((rl_eff&lt;=$C1932)*(rl_key=$A$1912)*rl_ln1p))</f>
        <v/>
      </c>
      <c r="K1932" s="201">
        <f>COUNTIFS(rl_key,$A$1912,rl_eff,"&gt;="&amp;$B1932,rl_eff,"&lt;="&amp;$C1932)</f>
        <v/>
      </c>
      <c r="L1932" s="201">
        <f>SUMIFS(rl_daysafter,rl_key,$A$1912,rl_effmonth,$B1932,rl_first,1)</f>
        <v/>
      </c>
      <c r="M1932" s="209">
        <f>IF($K1932=0,0,MIN(1,$L1932/$D1932))</f>
        <v/>
      </c>
      <c r="N1932" s="208">
        <f>IF($K1932=0,$J1932,(1-$M1932)*$I1932+$M1932*$J1932)</f>
        <v/>
      </c>
      <c r="O1932" s="209">
        <f>IF($F1932&lt;$B$1913,$E$1913+$I$1913*($F1932-$A$1913),IF($F1932&lt;$C$1913,$F$1913+$J$1913*($F1932-$B$1913),$G$1913+$K$1913*($F1932-$C$1913)))</f>
        <v/>
      </c>
      <c r="P1932" s="208">
        <f>MIN(1,MAX(0,(nr_MEndPm1-$G1932+0.5)/$C$1912))-MIN(1,MAX(0,(nr_MStartPm1-1-$G1932+0.5)/$C$1912))</f>
        <v/>
      </c>
      <c r="Q1932" s="208">
        <f>MIN(1,MAX(0,(nr_MEndP-$G1932+0.5)/$C$1912))-MIN(1,MAX(0,(nr_MStartP-1-$G1932+0.5)/$C$1912))</f>
        <v/>
      </c>
      <c r="R1932" s="208">
        <f>MIN(1,MAX(0,(nr_MEndP1-$G1932+0.5)/$C$1912))-MIN(1,MAX(0,(nr_MStartP1-1-$G1932+0.5)/$C$1912))</f>
        <v/>
      </c>
      <c r="S1932" s="208">
        <f>IF($L$1912,$N1932*IF($O$1912=1,$O1932/$F$1912,1),"")</f>
        <v/>
      </c>
      <c r="T1932" s="208">
        <f>IF(NOT($L$1912),"",IF($G1932&lt;nr_MStartP,$S1932,$T1920*(1+IF($G1932&lt;nr_MStartP1,$M$1912,$N$1912))))</f>
        <v/>
      </c>
      <c r="U1932" s="208">
        <f>IF($L$1912,$T1932,$N1932)</f>
        <v/>
      </c>
    </row>
    <row r="1933">
      <c r="A1933" s="145" t="n">
        <v>19</v>
      </c>
      <c r="B1933" s="204">
        <f>EDATE($B1932,1)</f>
        <v/>
      </c>
      <c r="C1933" s="205">
        <f>EOMONTH($B1933,0)</f>
        <v/>
      </c>
      <c r="D1933" s="201">
        <f>$C1933-$B1933+1</f>
        <v/>
      </c>
      <c r="E1933" s="201">
        <f>MONTH($B1933)</f>
        <v/>
      </c>
      <c r="F1933" s="235">
        <f>($B1933+$C1933+1)/2</f>
        <v/>
      </c>
      <c r="G1933" s="201">
        <f>YEAR($B1933)*12+MONTH($B1933)-1</f>
        <v/>
      </c>
      <c r="H1933" s="207">
        <f>IF(OR(nr_SeasonOn="OFF",$D$1912=0,$E$1912=0),1,12*INDEX(se_block,$D$1912,$E1933)/$E$1912)</f>
        <v/>
      </c>
      <c r="I1933" s="208">
        <f>EXP(SUMPRODUCT((rl_eff&lt;$B1933)*(rl_key=$A$1912)*rl_ln1p))</f>
        <v/>
      </c>
      <c r="J1933" s="208">
        <f>EXP(SUMPRODUCT((rl_eff&lt;=$C1933)*(rl_key=$A$1912)*rl_ln1p))</f>
        <v/>
      </c>
      <c r="K1933" s="201">
        <f>COUNTIFS(rl_key,$A$1912,rl_eff,"&gt;="&amp;$B1933,rl_eff,"&lt;="&amp;$C1933)</f>
        <v/>
      </c>
      <c r="L1933" s="201">
        <f>SUMIFS(rl_daysafter,rl_key,$A$1912,rl_effmonth,$B1933,rl_first,1)</f>
        <v/>
      </c>
      <c r="M1933" s="209">
        <f>IF($K1933=0,0,MIN(1,$L1933/$D1933))</f>
        <v/>
      </c>
      <c r="N1933" s="208">
        <f>IF($K1933=0,$J1933,(1-$M1933)*$I1933+$M1933*$J1933)</f>
        <v/>
      </c>
      <c r="O1933" s="209">
        <f>IF($F1933&lt;$B$1913,$E$1913+$I$1913*($F1933-$A$1913),IF($F1933&lt;$C$1913,$F$1913+$J$1913*($F1933-$B$1913),$G$1913+$K$1913*($F1933-$C$1913)))</f>
        <v/>
      </c>
      <c r="P1933" s="208">
        <f>MIN(1,MAX(0,(nr_MEndPm1-$G1933+0.5)/$C$1912))-MIN(1,MAX(0,(nr_MStartPm1-1-$G1933+0.5)/$C$1912))</f>
        <v/>
      </c>
      <c r="Q1933" s="208">
        <f>MIN(1,MAX(0,(nr_MEndP-$G1933+0.5)/$C$1912))-MIN(1,MAX(0,(nr_MStartP-1-$G1933+0.5)/$C$1912))</f>
        <v/>
      </c>
      <c r="R1933" s="208">
        <f>MIN(1,MAX(0,(nr_MEndP1-$G1933+0.5)/$C$1912))-MIN(1,MAX(0,(nr_MStartP1-1-$G1933+0.5)/$C$1912))</f>
        <v/>
      </c>
      <c r="S1933" s="208">
        <f>IF($L$1912,$N1933*IF($O$1912=1,$O1933/$F$1912,1),"")</f>
        <v/>
      </c>
      <c r="T1933" s="208">
        <f>IF(NOT($L$1912),"",IF($G1933&lt;nr_MStartP,$S1933,$T1921*(1+IF($G1933&lt;nr_MStartP1,$M$1912,$N$1912))))</f>
        <v/>
      </c>
      <c r="U1933" s="208">
        <f>IF($L$1912,$T1933,$N1933)</f>
        <v/>
      </c>
    </row>
    <row r="1934">
      <c r="A1934" s="145" t="n">
        <v>20</v>
      </c>
      <c r="B1934" s="204">
        <f>EDATE($B1933,1)</f>
        <v/>
      </c>
      <c r="C1934" s="205">
        <f>EOMONTH($B1934,0)</f>
        <v/>
      </c>
      <c r="D1934" s="201">
        <f>$C1934-$B1934+1</f>
        <v/>
      </c>
      <c r="E1934" s="201">
        <f>MONTH($B1934)</f>
        <v/>
      </c>
      <c r="F1934" s="235">
        <f>($B1934+$C1934+1)/2</f>
        <v/>
      </c>
      <c r="G1934" s="201">
        <f>YEAR($B1934)*12+MONTH($B1934)-1</f>
        <v/>
      </c>
      <c r="H1934" s="207">
        <f>IF(OR(nr_SeasonOn="OFF",$D$1912=0,$E$1912=0),1,12*INDEX(se_block,$D$1912,$E1934)/$E$1912)</f>
        <v/>
      </c>
      <c r="I1934" s="208">
        <f>EXP(SUMPRODUCT((rl_eff&lt;$B1934)*(rl_key=$A$1912)*rl_ln1p))</f>
        <v/>
      </c>
      <c r="J1934" s="208">
        <f>EXP(SUMPRODUCT((rl_eff&lt;=$C1934)*(rl_key=$A$1912)*rl_ln1p))</f>
        <v/>
      </c>
      <c r="K1934" s="201">
        <f>COUNTIFS(rl_key,$A$1912,rl_eff,"&gt;="&amp;$B1934,rl_eff,"&lt;="&amp;$C1934)</f>
        <v/>
      </c>
      <c r="L1934" s="201">
        <f>SUMIFS(rl_daysafter,rl_key,$A$1912,rl_effmonth,$B1934,rl_first,1)</f>
        <v/>
      </c>
      <c r="M1934" s="209">
        <f>IF($K1934=0,0,MIN(1,$L1934/$D1934))</f>
        <v/>
      </c>
      <c r="N1934" s="208">
        <f>IF($K1934=0,$J1934,(1-$M1934)*$I1934+$M1934*$J1934)</f>
        <v/>
      </c>
      <c r="O1934" s="209">
        <f>IF($F1934&lt;$B$1913,$E$1913+$I$1913*($F1934-$A$1913),IF($F1934&lt;$C$1913,$F$1913+$J$1913*($F1934-$B$1913),$G$1913+$K$1913*($F1934-$C$1913)))</f>
        <v/>
      </c>
      <c r="P1934" s="208">
        <f>MIN(1,MAX(0,(nr_MEndPm1-$G1934+0.5)/$C$1912))-MIN(1,MAX(0,(nr_MStartPm1-1-$G1934+0.5)/$C$1912))</f>
        <v/>
      </c>
      <c r="Q1934" s="208">
        <f>MIN(1,MAX(0,(nr_MEndP-$G1934+0.5)/$C$1912))-MIN(1,MAX(0,(nr_MStartP-1-$G1934+0.5)/$C$1912))</f>
        <v/>
      </c>
      <c r="R1934" s="208">
        <f>MIN(1,MAX(0,(nr_MEndP1-$G1934+0.5)/$C$1912))-MIN(1,MAX(0,(nr_MStartP1-1-$G1934+0.5)/$C$1912))</f>
        <v/>
      </c>
      <c r="S1934" s="208">
        <f>IF($L$1912,$N1934*IF($O$1912=1,$O1934/$F$1912,1),"")</f>
        <v/>
      </c>
      <c r="T1934" s="208">
        <f>IF(NOT($L$1912),"",IF($G1934&lt;nr_MStartP,$S1934,$T1922*(1+IF($G1934&lt;nr_MStartP1,$M$1912,$N$1912))))</f>
        <v/>
      </c>
      <c r="U1934" s="208">
        <f>IF($L$1912,$T1934,$N1934)</f>
        <v/>
      </c>
    </row>
    <row r="1935">
      <c r="A1935" s="145" t="n">
        <v>21</v>
      </c>
      <c r="B1935" s="204">
        <f>EDATE($B1934,1)</f>
        <v/>
      </c>
      <c r="C1935" s="205">
        <f>EOMONTH($B1935,0)</f>
        <v/>
      </c>
      <c r="D1935" s="201">
        <f>$C1935-$B1935+1</f>
        <v/>
      </c>
      <c r="E1935" s="201">
        <f>MONTH($B1935)</f>
        <v/>
      </c>
      <c r="F1935" s="235">
        <f>($B1935+$C1935+1)/2</f>
        <v/>
      </c>
      <c r="G1935" s="201">
        <f>YEAR($B1935)*12+MONTH($B1935)-1</f>
        <v/>
      </c>
      <c r="H1935" s="207">
        <f>IF(OR(nr_SeasonOn="OFF",$D$1912=0,$E$1912=0),1,12*INDEX(se_block,$D$1912,$E1935)/$E$1912)</f>
        <v/>
      </c>
      <c r="I1935" s="208">
        <f>EXP(SUMPRODUCT((rl_eff&lt;$B1935)*(rl_key=$A$1912)*rl_ln1p))</f>
        <v/>
      </c>
      <c r="J1935" s="208">
        <f>EXP(SUMPRODUCT((rl_eff&lt;=$C1935)*(rl_key=$A$1912)*rl_ln1p))</f>
        <v/>
      </c>
      <c r="K1935" s="201">
        <f>COUNTIFS(rl_key,$A$1912,rl_eff,"&gt;="&amp;$B1935,rl_eff,"&lt;="&amp;$C1935)</f>
        <v/>
      </c>
      <c r="L1935" s="201">
        <f>SUMIFS(rl_daysafter,rl_key,$A$1912,rl_effmonth,$B1935,rl_first,1)</f>
        <v/>
      </c>
      <c r="M1935" s="209">
        <f>IF($K1935=0,0,MIN(1,$L1935/$D1935))</f>
        <v/>
      </c>
      <c r="N1935" s="208">
        <f>IF($K1935=0,$J1935,(1-$M1935)*$I1935+$M1935*$J1935)</f>
        <v/>
      </c>
      <c r="O1935" s="209">
        <f>IF($F1935&lt;$B$1913,$E$1913+$I$1913*($F1935-$A$1913),IF($F1935&lt;$C$1913,$F$1913+$J$1913*($F1935-$B$1913),$G$1913+$K$1913*($F1935-$C$1913)))</f>
        <v/>
      </c>
      <c r="P1935" s="208">
        <f>MIN(1,MAX(0,(nr_MEndPm1-$G1935+0.5)/$C$1912))-MIN(1,MAX(0,(nr_MStartPm1-1-$G1935+0.5)/$C$1912))</f>
        <v/>
      </c>
      <c r="Q1935" s="208">
        <f>MIN(1,MAX(0,(nr_MEndP-$G1935+0.5)/$C$1912))-MIN(1,MAX(0,(nr_MStartP-1-$G1935+0.5)/$C$1912))</f>
        <v/>
      </c>
      <c r="R1935" s="208">
        <f>MIN(1,MAX(0,(nr_MEndP1-$G1935+0.5)/$C$1912))-MIN(1,MAX(0,(nr_MStartP1-1-$G1935+0.5)/$C$1912))</f>
        <v/>
      </c>
      <c r="S1935" s="208">
        <f>IF($L$1912,$N1935*IF($O$1912=1,$O1935/$F$1912,1),"")</f>
        <v/>
      </c>
      <c r="T1935" s="208">
        <f>IF(NOT($L$1912),"",IF($G1935&lt;nr_MStartP,$S1935,$T1923*(1+IF($G1935&lt;nr_MStartP1,$M$1912,$N$1912))))</f>
        <v/>
      </c>
      <c r="U1935" s="208">
        <f>IF($L$1912,$T1935,$N1935)</f>
        <v/>
      </c>
    </row>
    <row r="1936">
      <c r="A1936" s="145" t="n">
        <v>22</v>
      </c>
      <c r="B1936" s="204">
        <f>EDATE($B1935,1)</f>
        <v/>
      </c>
      <c r="C1936" s="205">
        <f>EOMONTH($B1936,0)</f>
        <v/>
      </c>
      <c r="D1936" s="201">
        <f>$C1936-$B1936+1</f>
        <v/>
      </c>
      <c r="E1936" s="201">
        <f>MONTH($B1936)</f>
        <v/>
      </c>
      <c r="F1936" s="235">
        <f>($B1936+$C1936+1)/2</f>
        <v/>
      </c>
      <c r="G1936" s="201">
        <f>YEAR($B1936)*12+MONTH($B1936)-1</f>
        <v/>
      </c>
      <c r="H1936" s="207">
        <f>IF(OR(nr_SeasonOn="OFF",$D$1912=0,$E$1912=0),1,12*INDEX(se_block,$D$1912,$E1936)/$E$1912)</f>
        <v/>
      </c>
      <c r="I1936" s="208">
        <f>EXP(SUMPRODUCT((rl_eff&lt;$B1936)*(rl_key=$A$1912)*rl_ln1p))</f>
        <v/>
      </c>
      <c r="J1936" s="208">
        <f>EXP(SUMPRODUCT((rl_eff&lt;=$C1936)*(rl_key=$A$1912)*rl_ln1p))</f>
        <v/>
      </c>
      <c r="K1936" s="201">
        <f>COUNTIFS(rl_key,$A$1912,rl_eff,"&gt;="&amp;$B1936,rl_eff,"&lt;="&amp;$C1936)</f>
        <v/>
      </c>
      <c r="L1936" s="201">
        <f>SUMIFS(rl_daysafter,rl_key,$A$1912,rl_effmonth,$B1936,rl_first,1)</f>
        <v/>
      </c>
      <c r="M1936" s="209">
        <f>IF($K1936=0,0,MIN(1,$L1936/$D1936))</f>
        <v/>
      </c>
      <c r="N1936" s="208">
        <f>IF($K1936=0,$J1936,(1-$M1936)*$I1936+$M1936*$J1936)</f>
        <v/>
      </c>
      <c r="O1936" s="209">
        <f>IF($F1936&lt;$B$1913,$E$1913+$I$1913*($F1936-$A$1913),IF($F1936&lt;$C$1913,$F$1913+$J$1913*($F1936-$B$1913),$G$1913+$K$1913*($F1936-$C$1913)))</f>
        <v/>
      </c>
      <c r="P1936" s="208">
        <f>MIN(1,MAX(0,(nr_MEndPm1-$G1936+0.5)/$C$1912))-MIN(1,MAX(0,(nr_MStartPm1-1-$G1936+0.5)/$C$1912))</f>
        <v/>
      </c>
      <c r="Q1936" s="208">
        <f>MIN(1,MAX(0,(nr_MEndP-$G1936+0.5)/$C$1912))-MIN(1,MAX(0,(nr_MStartP-1-$G1936+0.5)/$C$1912))</f>
        <v/>
      </c>
      <c r="R1936" s="208">
        <f>MIN(1,MAX(0,(nr_MEndP1-$G1936+0.5)/$C$1912))-MIN(1,MAX(0,(nr_MStartP1-1-$G1936+0.5)/$C$1912))</f>
        <v/>
      </c>
      <c r="S1936" s="208">
        <f>IF($L$1912,$N1936*IF($O$1912=1,$O1936/$F$1912,1),"")</f>
        <v/>
      </c>
      <c r="T1936" s="208">
        <f>IF(NOT($L$1912),"",IF($G1936&lt;nr_MStartP,$S1936,$T1924*(1+IF($G1936&lt;nr_MStartP1,$M$1912,$N$1912))))</f>
        <v/>
      </c>
      <c r="U1936" s="208">
        <f>IF($L$1912,$T1936,$N1936)</f>
        <v/>
      </c>
    </row>
    <row r="1937">
      <c r="A1937" s="145" t="n">
        <v>23</v>
      </c>
      <c r="B1937" s="204">
        <f>EDATE($B1936,1)</f>
        <v/>
      </c>
      <c r="C1937" s="205">
        <f>EOMONTH($B1937,0)</f>
        <v/>
      </c>
      <c r="D1937" s="201">
        <f>$C1937-$B1937+1</f>
        <v/>
      </c>
      <c r="E1937" s="201">
        <f>MONTH($B1937)</f>
        <v/>
      </c>
      <c r="F1937" s="235">
        <f>($B1937+$C1937+1)/2</f>
        <v/>
      </c>
      <c r="G1937" s="201">
        <f>YEAR($B1937)*12+MONTH($B1937)-1</f>
        <v/>
      </c>
      <c r="H1937" s="207">
        <f>IF(OR(nr_SeasonOn="OFF",$D$1912=0,$E$1912=0),1,12*INDEX(se_block,$D$1912,$E1937)/$E$1912)</f>
        <v/>
      </c>
      <c r="I1937" s="208">
        <f>EXP(SUMPRODUCT((rl_eff&lt;$B1937)*(rl_key=$A$1912)*rl_ln1p))</f>
        <v/>
      </c>
      <c r="J1937" s="208">
        <f>EXP(SUMPRODUCT((rl_eff&lt;=$C1937)*(rl_key=$A$1912)*rl_ln1p))</f>
        <v/>
      </c>
      <c r="K1937" s="201">
        <f>COUNTIFS(rl_key,$A$1912,rl_eff,"&gt;="&amp;$B1937,rl_eff,"&lt;="&amp;$C1937)</f>
        <v/>
      </c>
      <c r="L1937" s="201">
        <f>SUMIFS(rl_daysafter,rl_key,$A$1912,rl_effmonth,$B1937,rl_first,1)</f>
        <v/>
      </c>
      <c r="M1937" s="209">
        <f>IF($K1937=0,0,MIN(1,$L1937/$D1937))</f>
        <v/>
      </c>
      <c r="N1937" s="208">
        <f>IF($K1937=0,$J1937,(1-$M1937)*$I1937+$M1937*$J1937)</f>
        <v/>
      </c>
      <c r="O1937" s="209">
        <f>IF($F1937&lt;$B$1913,$E$1913+$I$1913*($F1937-$A$1913),IF($F1937&lt;$C$1913,$F$1913+$J$1913*($F1937-$B$1913),$G$1913+$K$1913*($F1937-$C$1913)))</f>
        <v/>
      </c>
      <c r="P1937" s="208">
        <f>MIN(1,MAX(0,(nr_MEndPm1-$G1937+0.5)/$C$1912))-MIN(1,MAX(0,(nr_MStartPm1-1-$G1937+0.5)/$C$1912))</f>
        <v/>
      </c>
      <c r="Q1937" s="208">
        <f>MIN(1,MAX(0,(nr_MEndP-$G1937+0.5)/$C$1912))-MIN(1,MAX(0,(nr_MStartP-1-$G1937+0.5)/$C$1912))</f>
        <v/>
      </c>
      <c r="R1937" s="208">
        <f>MIN(1,MAX(0,(nr_MEndP1-$G1937+0.5)/$C$1912))-MIN(1,MAX(0,(nr_MStartP1-1-$G1937+0.5)/$C$1912))</f>
        <v/>
      </c>
      <c r="S1937" s="208">
        <f>IF($L$1912,$N1937*IF($O$1912=1,$O1937/$F$1912,1),"")</f>
        <v/>
      </c>
      <c r="T1937" s="208">
        <f>IF(NOT($L$1912),"",IF($G1937&lt;nr_MStartP,$S1937,$T1925*(1+IF($G1937&lt;nr_MStartP1,$M$1912,$N$1912))))</f>
        <v/>
      </c>
      <c r="U1937" s="208">
        <f>IF($L$1912,$T1937,$N1937)</f>
        <v/>
      </c>
    </row>
    <row r="1938">
      <c r="A1938" s="145" t="n">
        <v>24</v>
      </c>
      <c r="B1938" s="204">
        <f>EDATE($B1937,1)</f>
        <v/>
      </c>
      <c r="C1938" s="205">
        <f>EOMONTH($B1938,0)</f>
        <v/>
      </c>
      <c r="D1938" s="201">
        <f>$C1938-$B1938+1</f>
        <v/>
      </c>
      <c r="E1938" s="201">
        <f>MONTH($B1938)</f>
        <v/>
      </c>
      <c r="F1938" s="235">
        <f>($B1938+$C1938+1)/2</f>
        <v/>
      </c>
      <c r="G1938" s="201">
        <f>YEAR($B1938)*12+MONTH($B1938)-1</f>
        <v/>
      </c>
      <c r="H1938" s="207">
        <f>IF(OR(nr_SeasonOn="OFF",$D$1912=0,$E$1912=0),1,12*INDEX(se_block,$D$1912,$E1938)/$E$1912)</f>
        <v/>
      </c>
      <c r="I1938" s="208">
        <f>EXP(SUMPRODUCT((rl_eff&lt;$B1938)*(rl_key=$A$1912)*rl_ln1p))</f>
        <v/>
      </c>
      <c r="J1938" s="208">
        <f>EXP(SUMPRODUCT((rl_eff&lt;=$C1938)*(rl_key=$A$1912)*rl_ln1p))</f>
        <v/>
      </c>
      <c r="K1938" s="201">
        <f>COUNTIFS(rl_key,$A$1912,rl_eff,"&gt;="&amp;$B1938,rl_eff,"&lt;="&amp;$C1938)</f>
        <v/>
      </c>
      <c r="L1938" s="201">
        <f>SUMIFS(rl_daysafter,rl_key,$A$1912,rl_effmonth,$B1938,rl_first,1)</f>
        <v/>
      </c>
      <c r="M1938" s="209">
        <f>IF($K1938=0,0,MIN(1,$L1938/$D1938))</f>
        <v/>
      </c>
      <c r="N1938" s="208">
        <f>IF($K1938=0,$J1938,(1-$M1938)*$I1938+$M1938*$J1938)</f>
        <v/>
      </c>
      <c r="O1938" s="209">
        <f>IF($F1938&lt;$B$1913,$E$1913+$I$1913*($F1938-$A$1913),IF($F1938&lt;$C$1913,$F$1913+$J$1913*($F1938-$B$1913),$G$1913+$K$1913*($F1938-$C$1913)))</f>
        <v/>
      </c>
      <c r="P1938" s="208">
        <f>MIN(1,MAX(0,(nr_MEndPm1-$G1938+0.5)/$C$1912))-MIN(1,MAX(0,(nr_MStartPm1-1-$G1938+0.5)/$C$1912))</f>
        <v/>
      </c>
      <c r="Q1938" s="208">
        <f>MIN(1,MAX(0,(nr_MEndP-$G1938+0.5)/$C$1912))-MIN(1,MAX(0,(nr_MStartP-1-$G1938+0.5)/$C$1912))</f>
        <v/>
      </c>
      <c r="R1938" s="208">
        <f>MIN(1,MAX(0,(nr_MEndP1-$G1938+0.5)/$C$1912))-MIN(1,MAX(0,(nr_MStartP1-1-$G1938+0.5)/$C$1912))</f>
        <v/>
      </c>
      <c r="S1938" s="208">
        <f>IF($L$1912,$N1938*IF($O$1912=1,$O1938/$F$1912,1),"")</f>
        <v/>
      </c>
      <c r="T1938" s="208">
        <f>IF(NOT($L$1912),"",IF($G1938&lt;nr_MStartP,$S1938,$T1926*(1+IF($G1938&lt;nr_MStartP1,$M$1912,$N$1912))))</f>
        <v/>
      </c>
      <c r="U1938" s="208">
        <f>IF($L$1912,$T1938,$N1938)</f>
        <v/>
      </c>
    </row>
    <row r="1939">
      <c r="A1939" s="145" t="n">
        <v>25</v>
      </c>
      <c r="B1939" s="204">
        <f>EDATE($B1938,1)</f>
        <v/>
      </c>
      <c r="C1939" s="205">
        <f>EOMONTH($B1939,0)</f>
        <v/>
      </c>
      <c r="D1939" s="201">
        <f>$C1939-$B1939+1</f>
        <v/>
      </c>
      <c r="E1939" s="201">
        <f>MONTH($B1939)</f>
        <v/>
      </c>
      <c r="F1939" s="235">
        <f>($B1939+$C1939+1)/2</f>
        <v/>
      </c>
      <c r="G1939" s="201">
        <f>YEAR($B1939)*12+MONTH($B1939)-1</f>
        <v/>
      </c>
      <c r="H1939" s="207">
        <f>IF(OR(nr_SeasonOn="OFF",$D$1912=0,$E$1912=0),1,12*INDEX(se_block,$D$1912,$E1939)/$E$1912)</f>
        <v/>
      </c>
      <c r="I1939" s="208">
        <f>EXP(SUMPRODUCT((rl_eff&lt;$B1939)*(rl_key=$A$1912)*rl_ln1p))</f>
        <v/>
      </c>
      <c r="J1939" s="208">
        <f>EXP(SUMPRODUCT((rl_eff&lt;=$C1939)*(rl_key=$A$1912)*rl_ln1p))</f>
        <v/>
      </c>
      <c r="K1939" s="201">
        <f>COUNTIFS(rl_key,$A$1912,rl_eff,"&gt;="&amp;$B1939,rl_eff,"&lt;="&amp;$C1939)</f>
        <v/>
      </c>
      <c r="L1939" s="201">
        <f>SUMIFS(rl_daysafter,rl_key,$A$1912,rl_effmonth,$B1939,rl_first,1)</f>
        <v/>
      </c>
      <c r="M1939" s="209">
        <f>IF($K1939=0,0,MIN(1,$L1939/$D1939))</f>
        <v/>
      </c>
      <c r="N1939" s="208">
        <f>IF($K1939=0,$J1939,(1-$M1939)*$I1939+$M1939*$J1939)</f>
        <v/>
      </c>
      <c r="O1939" s="209">
        <f>IF($F1939&lt;$B$1913,$E$1913+$I$1913*($F1939-$A$1913),IF($F1939&lt;$C$1913,$F$1913+$J$1913*($F1939-$B$1913),$G$1913+$K$1913*($F1939-$C$1913)))</f>
        <v/>
      </c>
      <c r="P1939" s="208">
        <f>MIN(1,MAX(0,(nr_MEndPm1-$G1939+0.5)/$C$1912))-MIN(1,MAX(0,(nr_MStartPm1-1-$G1939+0.5)/$C$1912))</f>
        <v/>
      </c>
      <c r="Q1939" s="208">
        <f>MIN(1,MAX(0,(nr_MEndP-$G1939+0.5)/$C$1912))-MIN(1,MAX(0,(nr_MStartP-1-$G1939+0.5)/$C$1912))</f>
        <v/>
      </c>
      <c r="R1939" s="208">
        <f>MIN(1,MAX(0,(nr_MEndP1-$G1939+0.5)/$C$1912))-MIN(1,MAX(0,(nr_MStartP1-1-$G1939+0.5)/$C$1912))</f>
        <v/>
      </c>
      <c r="S1939" s="208">
        <f>IF($L$1912,$N1939*IF($O$1912=1,$O1939/$F$1912,1),"")</f>
        <v/>
      </c>
      <c r="T1939" s="208">
        <f>IF(NOT($L$1912),"",IF($G1939&lt;nr_MStartP,$S1939,$T1927*(1+IF($G1939&lt;nr_MStartP1,$M$1912,$N$1912))))</f>
        <v/>
      </c>
      <c r="U1939" s="208">
        <f>IF($L$1912,$T1939,$N1939)</f>
        <v/>
      </c>
    </row>
    <row r="1940">
      <c r="A1940" s="145" t="n">
        <v>26</v>
      </c>
      <c r="B1940" s="204">
        <f>EDATE($B1939,1)</f>
        <v/>
      </c>
      <c r="C1940" s="205">
        <f>EOMONTH($B1940,0)</f>
        <v/>
      </c>
      <c r="D1940" s="201">
        <f>$C1940-$B1940+1</f>
        <v/>
      </c>
      <c r="E1940" s="201">
        <f>MONTH($B1940)</f>
        <v/>
      </c>
      <c r="F1940" s="235">
        <f>($B1940+$C1940+1)/2</f>
        <v/>
      </c>
      <c r="G1940" s="201">
        <f>YEAR($B1940)*12+MONTH($B1940)-1</f>
        <v/>
      </c>
      <c r="H1940" s="207">
        <f>IF(OR(nr_SeasonOn="OFF",$D$1912=0,$E$1912=0),1,12*INDEX(se_block,$D$1912,$E1940)/$E$1912)</f>
        <v/>
      </c>
      <c r="I1940" s="208">
        <f>EXP(SUMPRODUCT((rl_eff&lt;$B1940)*(rl_key=$A$1912)*rl_ln1p))</f>
        <v/>
      </c>
      <c r="J1940" s="208">
        <f>EXP(SUMPRODUCT((rl_eff&lt;=$C1940)*(rl_key=$A$1912)*rl_ln1p))</f>
        <v/>
      </c>
      <c r="K1940" s="201">
        <f>COUNTIFS(rl_key,$A$1912,rl_eff,"&gt;="&amp;$B1940,rl_eff,"&lt;="&amp;$C1940)</f>
        <v/>
      </c>
      <c r="L1940" s="201">
        <f>SUMIFS(rl_daysafter,rl_key,$A$1912,rl_effmonth,$B1940,rl_first,1)</f>
        <v/>
      </c>
      <c r="M1940" s="209">
        <f>IF($K1940=0,0,MIN(1,$L1940/$D1940))</f>
        <v/>
      </c>
      <c r="N1940" s="208">
        <f>IF($K1940=0,$J1940,(1-$M1940)*$I1940+$M1940*$J1940)</f>
        <v/>
      </c>
      <c r="O1940" s="209">
        <f>IF($F1940&lt;$B$1913,$E$1913+$I$1913*($F1940-$A$1913),IF($F1940&lt;$C$1913,$F$1913+$J$1913*($F1940-$B$1913),$G$1913+$K$1913*($F1940-$C$1913)))</f>
        <v/>
      </c>
      <c r="P1940" s="208">
        <f>MIN(1,MAX(0,(nr_MEndPm1-$G1940+0.5)/$C$1912))-MIN(1,MAX(0,(nr_MStartPm1-1-$G1940+0.5)/$C$1912))</f>
        <v/>
      </c>
      <c r="Q1940" s="208">
        <f>MIN(1,MAX(0,(nr_MEndP-$G1940+0.5)/$C$1912))-MIN(1,MAX(0,(nr_MStartP-1-$G1940+0.5)/$C$1912))</f>
        <v/>
      </c>
      <c r="R1940" s="208">
        <f>MIN(1,MAX(0,(nr_MEndP1-$G1940+0.5)/$C$1912))-MIN(1,MAX(0,(nr_MStartP1-1-$G1940+0.5)/$C$1912))</f>
        <v/>
      </c>
      <c r="S1940" s="208">
        <f>IF($L$1912,$N1940*IF($O$1912=1,$O1940/$F$1912,1),"")</f>
        <v/>
      </c>
      <c r="T1940" s="208">
        <f>IF(NOT($L$1912),"",IF($G1940&lt;nr_MStartP,$S1940,$T1928*(1+IF($G1940&lt;nr_MStartP1,$M$1912,$N$1912))))</f>
        <v/>
      </c>
      <c r="U1940" s="208">
        <f>IF($L$1912,$T1940,$N1940)</f>
        <v/>
      </c>
    </row>
    <row r="1941">
      <c r="A1941" s="145" t="n">
        <v>27</v>
      </c>
      <c r="B1941" s="204">
        <f>EDATE($B1940,1)</f>
        <v/>
      </c>
      <c r="C1941" s="205">
        <f>EOMONTH($B1941,0)</f>
        <v/>
      </c>
      <c r="D1941" s="201">
        <f>$C1941-$B1941+1</f>
        <v/>
      </c>
      <c r="E1941" s="201">
        <f>MONTH($B1941)</f>
        <v/>
      </c>
      <c r="F1941" s="235">
        <f>($B1941+$C1941+1)/2</f>
        <v/>
      </c>
      <c r="G1941" s="201">
        <f>YEAR($B1941)*12+MONTH($B1941)-1</f>
        <v/>
      </c>
      <c r="H1941" s="207">
        <f>IF(OR(nr_SeasonOn="OFF",$D$1912=0,$E$1912=0),1,12*INDEX(se_block,$D$1912,$E1941)/$E$1912)</f>
        <v/>
      </c>
      <c r="I1941" s="208">
        <f>EXP(SUMPRODUCT((rl_eff&lt;$B1941)*(rl_key=$A$1912)*rl_ln1p))</f>
        <v/>
      </c>
      <c r="J1941" s="208">
        <f>EXP(SUMPRODUCT((rl_eff&lt;=$C1941)*(rl_key=$A$1912)*rl_ln1p))</f>
        <v/>
      </c>
      <c r="K1941" s="201">
        <f>COUNTIFS(rl_key,$A$1912,rl_eff,"&gt;="&amp;$B1941,rl_eff,"&lt;="&amp;$C1941)</f>
        <v/>
      </c>
      <c r="L1941" s="201">
        <f>SUMIFS(rl_daysafter,rl_key,$A$1912,rl_effmonth,$B1941,rl_first,1)</f>
        <v/>
      </c>
      <c r="M1941" s="209">
        <f>IF($K1941=0,0,MIN(1,$L1941/$D1941))</f>
        <v/>
      </c>
      <c r="N1941" s="208">
        <f>IF($K1941=0,$J1941,(1-$M1941)*$I1941+$M1941*$J1941)</f>
        <v/>
      </c>
      <c r="O1941" s="209">
        <f>IF($F1941&lt;$B$1913,$E$1913+$I$1913*($F1941-$A$1913),IF($F1941&lt;$C$1913,$F$1913+$J$1913*($F1941-$B$1913),$G$1913+$K$1913*($F1941-$C$1913)))</f>
        <v/>
      </c>
      <c r="P1941" s="208">
        <f>MIN(1,MAX(0,(nr_MEndPm1-$G1941+0.5)/$C$1912))-MIN(1,MAX(0,(nr_MStartPm1-1-$G1941+0.5)/$C$1912))</f>
        <v/>
      </c>
      <c r="Q1941" s="208">
        <f>MIN(1,MAX(0,(nr_MEndP-$G1941+0.5)/$C$1912))-MIN(1,MAX(0,(nr_MStartP-1-$G1941+0.5)/$C$1912))</f>
        <v/>
      </c>
      <c r="R1941" s="208">
        <f>MIN(1,MAX(0,(nr_MEndP1-$G1941+0.5)/$C$1912))-MIN(1,MAX(0,(nr_MStartP1-1-$G1941+0.5)/$C$1912))</f>
        <v/>
      </c>
      <c r="S1941" s="208">
        <f>IF($L$1912,$N1941*IF($O$1912=1,$O1941/$F$1912,1),"")</f>
        <v/>
      </c>
      <c r="T1941" s="208">
        <f>IF(NOT($L$1912),"",IF($G1941&lt;nr_MStartP,$S1941,$T1929*(1+IF($G1941&lt;nr_MStartP1,$M$1912,$N$1912))))</f>
        <v/>
      </c>
      <c r="U1941" s="208">
        <f>IF($L$1912,$T1941,$N1941)</f>
        <v/>
      </c>
    </row>
    <row r="1942">
      <c r="A1942" s="145" t="n">
        <v>28</v>
      </c>
      <c r="B1942" s="204">
        <f>EDATE($B1941,1)</f>
        <v/>
      </c>
      <c r="C1942" s="205">
        <f>EOMONTH($B1942,0)</f>
        <v/>
      </c>
      <c r="D1942" s="201">
        <f>$C1942-$B1942+1</f>
        <v/>
      </c>
      <c r="E1942" s="201">
        <f>MONTH($B1942)</f>
        <v/>
      </c>
      <c r="F1942" s="235">
        <f>($B1942+$C1942+1)/2</f>
        <v/>
      </c>
      <c r="G1942" s="201">
        <f>YEAR($B1942)*12+MONTH($B1942)-1</f>
        <v/>
      </c>
      <c r="H1942" s="207">
        <f>IF(OR(nr_SeasonOn="OFF",$D$1912=0,$E$1912=0),1,12*INDEX(se_block,$D$1912,$E1942)/$E$1912)</f>
        <v/>
      </c>
      <c r="I1942" s="208">
        <f>EXP(SUMPRODUCT((rl_eff&lt;$B1942)*(rl_key=$A$1912)*rl_ln1p))</f>
        <v/>
      </c>
      <c r="J1942" s="208">
        <f>EXP(SUMPRODUCT((rl_eff&lt;=$C1942)*(rl_key=$A$1912)*rl_ln1p))</f>
        <v/>
      </c>
      <c r="K1942" s="201">
        <f>COUNTIFS(rl_key,$A$1912,rl_eff,"&gt;="&amp;$B1942,rl_eff,"&lt;="&amp;$C1942)</f>
        <v/>
      </c>
      <c r="L1942" s="201">
        <f>SUMIFS(rl_daysafter,rl_key,$A$1912,rl_effmonth,$B1942,rl_first,1)</f>
        <v/>
      </c>
      <c r="M1942" s="209">
        <f>IF($K1942=0,0,MIN(1,$L1942/$D1942))</f>
        <v/>
      </c>
      <c r="N1942" s="208">
        <f>IF($K1942=0,$J1942,(1-$M1942)*$I1942+$M1942*$J1942)</f>
        <v/>
      </c>
      <c r="O1942" s="209">
        <f>IF($F1942&lt;$B$1913,$E$1913+$I$1913*($F1942-$A$1913),IF($F1942&lt;$C$1913,$F$1913+$J$1913*($F1942-$B$1913),$G$1913+$K$1913*($F1942-$C$1913)))</f>
        <v/>
      </c>
      <c r="P1942" s="208">
        <f>MIN(1,MAX(0,(nr_MEndPm1-$G1942+0.5)/$C$1912))-MIN(1,MAX(0,(nr_MStartPm1-1-$G1942+0.5)/$C$1912))</f>
        <v/>
      </c>
      <c r="Q1942" s="208">
        <f>MIN(1,MAX(0,(nr_MEndP-$G1942+0.5)/$C$1912))-MIN(1,MAX(0,(nr_MStartP-1-$G1942+0.5)/$C$1912))</f>
        <v/>
      </c>
      <c r="R1942" s="208">
        <f>MIN(1,MAX(0,(nr_MEndP1-$G1942+0.5)/$C$1912))-MIN(1,MAX(0,(nr_MStartP1-1-$G1942+0.5)/$C$1912))</f>
        <v/>
      </c>
      <c r="S1942" s="208">
        <f>IF($L$1912,$N1942*IF($O$1912=1,$O1942/$F$1912,1),"")</f>
        <v/>
      </c>
      <c r="T1942" s="208">
        <f>IF(NOT($L$1912),"",IF($G1942&lt;nr_MStartP,$S1942,$T1930*(1+IF($G1942&lt;nr_MStartP1,$M$1912,$N$1912))))</f>
        <v/>
      </c>
      <c r="U1942" s="208">
        <f>IF($L$1912,$T1942,$N1942)</f>
        <v/>
      </c>
    </row>
    <row r="1943">
      <c r="A1943" s="145" t="n">
        <v>29</v>
      </c>
      <c r="B1943" s="204">
        <f>EDATE($B1942,1)</f>
        <v/>
      </c>
      <c r="C1943" s="205">
        <f>EOMONTH($B1943,0)</f>
        <v/>
      </c>
      <c r="D1943" s="201">
        <f>$C1943-$B1943+1</f>
        <v/>
      </c>
      <c r="E1943" s="201">
        <f>MONTH($B1943)</f>
        <v/>
      </c>
      <c r="F1943" s="235">
        <f>($B1943+$C1943+1)/2</f>
        <v/>
      </c>
      <c r="G1943" s="201">
        <f>YEAR($B1943)*12+MONTH($B1943)-1</f>
        <v/>
      </c>
      <c r="H1943" s="207">
        <f>IF(OR(nr_SeasonOn="OFF",$D$1912=0,$E$1912=0),1,12*INDEX(se_block,$D$1912,$E1943)/$E$1912)</f>
        <v/>
      </c>
      <c r="I1943" s="208">
        <f>EXP(SUMPRODUCT((rl_eff&lt;$B1943)*(rl_key=$A$1912)*rl_ln1p))</f>
        <v/>
      </c>
      <c r="J1943" s="208">
        <f>EXP(SUMPRODUCT((rl_eff&lt;=$C1943)*(rl_key=$A$1912)*rl_ln1p))</f>
        <v/>
      </c>
      <c r="K1943" s="201">
        <f>COUNTIFS(rl_key,$A$1912,rl_eff,"&gt;="&amp;$B1943,rl_eff,"&lt;="&amp;$C1943)</f>
        <v/>
      </c>
      <c r="L1943" s="201">
        <f>SUMIFS(rl_daysafter,rl_key,$A$1912,rl_effmonth,$B1943,rl_first,1)</f>
        <v/>
      </c>
      <c r="M1943" s="209">
        <f>IF($K1943=0,0,MIN(1,$L1943/$D1943))</f>
        <v/>
      </c>
      <c r="N1943" s="208">
        <f>IF($K1943=0,$J1943,(1-$M1943)*$I1943+$M1943*$J1943)</f>
        <v/>
      </c>
      <c r="O1943" s="209">
        <f>IF($F1943&lt;$B$1913,$E$1913+$I$1913*($F1943-$A$1913),IF($F1943&lt;$C$1913,$F$1913+$J$1913*($F1943-$B$1913),$G$1913+$K$1913*($F1943-$C$1913)))</f>
        <v/>
      </c>
      <c r="P1943" s="208">
        <f>MIN(1,MAX(0,(nr_MEndPm1-$G1943+0.5)/$C$1912))-MIN(1,MAX(0,(nr_MStartPm1-1-$G1943+0.5)/$C$1912))</f>
        <v/>
      </c>
      <c r="Q1943" s="208">
        <f>MIN(1,MAX(0,(nr_MEndP-$G1943+0.5)/$C$1912))-MIN(1,MAX(0,(nr_MStartP-1-$G1943+0.5)/$C$1912))</f>
        <v/>
      </c>
      <c r="R1943" s="208">
        <f>MIN(1,MAX(0,(nr_MEndP1-$G1943+0.5)/$C$1912))-MIN(1,MAX(0,(nr_MStartP1-1-$G1943+0.5)/$C$1912))</f>
        <v/>
      </c>
      <c r="S1943" s="208">
        <f>IF($L$1912,$N1943*IF($O$1912=1,$O1943/$F$1912,1),"")</f>
        <v/>
      </c>
      <c r="T1943" s="208">
        <f>IF(NOT($L$1912),"",IF($G1943&lt;nr_MStartP,$S1943,$T1931*(1+IF($G1943&lt;nr_MStartP1,$M$1912,$N$1912))))</f>
        <v/>
      </c>
      <c r="U1943" s="208">
        <f>IF($L$1912,$T1943,$N1943)</f>
        <v/>
      </c>
    </row>
    <row r="1944">
      <c r="A1944" s="145" t="n">
        <v>30</v>
      </c>
      <c r="B1944" s="204">
        <f>EDATE($B1943,1)</f>
        <v/>
      </c>
      <c r="C1944" s="205">
        <f>EOMONTH($B1944,0)</f>
        <v/>
      </c>
      <c r="D1944" s="201">
        <f>$C1944-$B1944+1</f>
        <v/>
      </c>
      <c r="E1944" s="201">
        <f>MONTH($B1944)</f>
        <v/>
      </c>
      <c r="F1944" s="235">
        <f>($B1944+$C1944+1)/2</f>
        <v/>
      </c>
      <c r="G1944" s="201">
        <f>YEAR($B1944)*12+MONTH($B1944)-1</f>
        <v/>
      </c>
      <c r="H1944" s="207">
        <f>IF(OR(nr_SeasonOn="OFF",$D$1912=0,$E$1912=0),1,12*INDEX(se_block,$D$1912,$E1944)/$E$1912)</f>
        <v/>
      </c>
      <c r="I1944" s="208">
        <f>EXP(SUMPRODUCT((rl_eff&lt;$B1944)*(rl_key=$A$1912)*rl_ln1p))</f>
        <v/>
      </c>
      <c r="J1944" s="208">
        <f>EXP(SUMPRODUCT((rl_eff&lt;=$C1944)*(rl_key=$A$1912)*rl_ln1p))</f>
        <v/>
      </c>
      <c r="K1944" s="201">
        <f>COUNTIFS(rl_key,$A$1912,rl_eff,"&gt;="&amp;$B1944,rl_eff,"&lt;="&amp;$C1944)</f>
        <v/>
      </c>
      <c r="L1944" s="201">
        <f>SUMIFS(rl_daysafter,rl_key,$A$1912,rl_effmonth,$B1944,rl_first,1)</f>
        <v/>
      </c>
      <c r="M1944" s="209">
        <f>IF($K1944=0,0,MIN(1,$L1944/$D1944))</f>
        <v/>
      </c>
      <c r="N1944" s="208">
        <f>IF($K1944=0,$J1944,(1-$M1944)*$I1944+$M1944*$J1944)</f>
        <v/>
      </c>
      <c r="O1944" s="209">
        <f>IF($F1944&lt;$B$1913,$E$1913+$I$1913*($F1944-$A$1913),IF($F1944&lt;$C$1913,$F$1913+$J$1913*($F1944-$B$1913),$G$1913+$K$1913*($F1944-$C$1913)))</f>
        <v/>
      </c>
      <c r="P1944" s="208">
        <f>MIN(1,MAX(0,(nr_MEndPm1-$G1944+0.5)/$C$1912))-MIN(1,MAX(0,(nr_MStartPm1-1-$G1944+0.5)/$C$1912))</f>
        <v/>
      </c>
      <c r="Q1944" s="208">
        <f>MIN(1,MAX(0,(nr_MEndP-$G1944+0.5)/$C$1912))-MIN(1,MAX(0,(nr_MStartP-1-$G1944+0.5)/$C$1912))</f>
        <v/>
      </c>
      <c r="R1944" s="208">
        <f>MIN(1,MAX(0,(nr_MEndP1-$G1944+0.5)/$C$1912))-MIN(1,MAX(0,(nr_MStartP1-1-$G1944+0.5)/$C$1912))</f>
        <v/>
      </c>
      <c r="S1944" s="208">
        <f>IF($L$1912,$N1944*IF($O$1912=1,$O1944/$F$1912,1),"")</f>
        <v/>
      </c>
      <c r="T1944" s="208">
        <f>IF(NOT($L$1912),"",IF($G1944&lt;nr_MStartP,$S1944,$T1932*(1+IF($G1944&lt;nr_MStartP1,$M$1912,$N$1912))))</f>
        <v/>
      </c>
      <c r="U1944" s="208">
        <f>IF($L$1912,$T1944,$N1944)</f>
        <v/>
      </c>
    </row>
    <row r="1945">
      <c r="A1945" s="145" t="n">
        <v>31</v>
      </c>
      <c r="B1945" s="204">
        <f>EDATE($B1944,1)</f>
        <v/>
      </c>
      <c r="C1945" s="205">
        <f>EOMONTH($B1945,0)</f>
        <v/>
      </c>
      <c r="D1945" s="201">
        <f>$C1945-$B1945+1</f>
        <v/>
      </c>
      <c r="E1945" s="201">
        <f>MONTH($B1945)</f>
        <v/>
      </c>
      <c r="F1945" s="235">
        <f>($B1945+$C1945+1)/2</f>
        <v/>
      </c>
      <c r="G1945" s="201">
        <f>YEAR($B1945)*12+MONTH($B1945)-1</f>
        <v/>
      </c>
      <c r="H1945" s="207">
        <f>IF(OR(nr_SeasonOn="OFF",$D$1912=0,$E$1912=0),1,12*INDEX(se_block,$D$1912,$E1945)/$E$1912)</f>
        <v/>
      </c>
      <c r="I1945" s="208">
        <f>EXP(SUMPRODUCT((rl_eff&lt;$B1945)*(rl_key=$A$1912)*rl_ln1p))</f>
        <v/>
      </c>
      <c r="J1945" s="208">
        <f>EXP(SUMPRODUCT((rl_eff&lt;=$C1945)*(rl_key=$A$1912)*rl_ln1p))</f>
        <v/>
      </c>
      <c r="K1945" s="201">
        <f>COUNTIFS(rl_key,$A$1912,rl_eff,"&gt;="&amp;$B1945,rl_eff,"&lt;="&amp;$C1945)</f>
        <v/>
      </c>
      <c r="L1945" s="201">
        <f>SUMIFS(rl_daysafter,rl_key,$A$1912,rl_effmonth,$B1945,rl_first,1)</f>
        <v/>
      </c>
      <c r="M1945" s="209">
        <f>IF($K1945=0,0,MIN(1,$L1945/$D1945))</f>
        <v/>
      </c>
      <c r="N1945" s="208">
        <f>IF($K1945=0,$J1945,(1-$M1945)*$I1945+$M1945*$J1945)</f>
        <v/>
      </c>
      <c r="O1945" s="209">
        <f>IF($F1945&lt;$B$1913,$E$1913+$I$1913*($F1945-$A$1913),IF($F1945&lt;$C$1913,$F$1913+$J$1913*($F1945-$B$1913),$G$1913+$K$1913*($F1945-$C$1913)))</f>
        <v/>
      </c>
      <c r="P1945" s="208">
        <f>MIN(1,MAX(0,(nr_MEndPm1-$G1945+0.5)/$C$1912))-MIN(1,MAX(0,(nr_MStartPm1-1-$G1945+0.5)/$C$1912))</f>
        <v/>
      </c>
      <c r="Q1945" s="208">
        <f>MIN(1,MAX(0,(nr_MEndP-$G1945+0.5)/$C$1912))-MIN(1,MAX(0,(nr_MStartP-1-$G1945+0.5)/$C$1912))</f>
        <v/>
      </c>
      <c r="R1945" s="208">
        <f>MIN(1,MAX(0,(nr_MEndP1-$G1945+0.5)/$C$1912))-MIN(1,MAX(0,(nr_MStartP1-1-$G1945+0.5)/$C$1912))</f>
        <v/>
      </c>
      <c r="S1945" s="208">
        <f>IF($L$1912,$N1945*IF($O$1912=1,$O1945/$F$1912,1),"")</f>
        <v/>
      </c>
      <c r="T1945" s="208">
        <f>IF(NOT($L$1912),"",IF($G1945&lt;nr_MStartP,$S1945,$T1933*(1+IF($G1945&lt;nr_MStartP1,$M$1912,$N$1912))))</f>
        <v/>
      </c>
      <c r="U1945" s="208">
        <f>IF($L$1912,$T1945,$N1945)</f>
        <v/>
      </c>
    </row>
    <row r="1946">
      <c r="A1946" s="145" t="n">
        <v>32</v>
      </c>
      <c r="B1946" s="204">
        <f>EDATE($B1945,1)</f>
        <v/>
      </c>
      <c r="C1946" s="205">
        <f>EOMONTH($B1946,0)</f>
        <v/>
      </c>
      <c r="D1946" s="201">
        <f>$C1946-$B1946+1</f>
        <v/>
      </c>
      <c r="E1946" s="201">
        <f>MONTH($B1946)</f>
        <v/>
      </c>
      <c r="F1946" s="235">
        <f>($B1946+$C1946+1)/2</f>
        <v/>
      </c>
      <c r="G1946" s="201">
        <f>YEAR($B1946)*12+MONTH($B1946)-1</f>
        <v/>
      </c>
      <c r="H1946" s="207">
        <f>IF(OR(nr_SeasonOn="OFF",$D$1912=0,$E$1912=0),1,12*INDEX(se_block,$D$1912,$E1946)/$E$1912)</f>
        <v/>
      </c>
      <c r="I1946" s="208">
        <f>EXP(SUMPRODUCT((rl_eff&lt;$B1946)*(rl_key=$A$1912)*rl_ln1p))</f>
        <v/>
      </c>
      <c r="J1946" s="208">
        <f>EXP(SUMPRODUCT((rl_eff&lt;=$C1946)*(rl_key=$A$1912)*rl_ln1p))</f>
        <v/>
      </c>
      <c r="K1946" s="201">
        <f>COUNTIFS(rl_key,$A$1912,rl_eff,"&gt;="&amp;$B1946,rl_eff,"&lt;="&amp;$C1946)</f>
        <v/>
      </c>
      <c r="L1946" s="201">
        <f>SUMIFS(rl_daysafter,rl_key,$A$1912,rl_effmonth,$B1946,rl_first,1)</f>
        <v/>
      </c>
      <c r="M1946" s="209">
        <f>IF($K1946=0,0,MIN(1,$L1946/$D1946))</f>
        <v/>
      </c>
      <c r="N1946" s="208">
        <f>IF($K1946=0,$J1946,(1-$M1946)*$I1946+$M1946*$J1946)</f>
        <v/>
      </c>
      <c r="O1946" s="209">
        <f>IF($F1946&lt;$B$1913,$E$1913+$I$1913*($F1946-$A$1913),IF($F1946&lt;$C$1913,$F$1913+$J$1913*($F1946-$B$1913),$G$1913+$K$1913*($F1946-$C$1913)))</f>
        <v/>
      </c>
      <c r="P1946" s="208">
        <f>MIN(1,MAX(0,(nr_MEndPm1-$G1946+0.5)/$C$1912))-MIN(1,MAX(0,(nr_MStartPm1-1-$G1946+0.5)/$C$1912))</f>
        <v/>
      </c>
      <c r="Q1946" s="208">
        <f>MIN(1,MAX(0,(nr_MEndP-$G1946+0.5)/$C$1912))-MIN(1,MAX(0,(nr_MStartP-1-$G1946+0.5)/$C$1912))</f>
        <v/>
      </c>
      <c r="R1946" s="208">
        <f>MIN(1,MAX(0,(nr_MEndP1-$G1946+0.5)/$C$1912))-MIN(1,MAX(0,(nr_MStartP1-1-$G1946+0.5)/$C$1912))</f>
        <v/>
      </c>
      <c r="S1946" s="208">
        <f>IF($L$1912,$N1946*IF($O$1912=1,$O1946/$F$1912,1),"")</f>
        <v/>
      </c>
      <c r="T1946" s="208">
        <f>IF(NOT($L$1912),"",IF($G1946&lt;nr_MStartP,$S1946,$T1934*(1+IF($G1946&lt;nr_MStartP1,$M$1912,$N$1912))))</f>
        <v/>
      </c>
      <c r="U1946" s="208">
        <f>IF($L$1912,$T1946,$N1946)</f>
        <v/>
      </c>
    </row>
    <row r="1947">
      <c r="A1947" s="145" t="n">
        <v>33</v>
      </c>
      <c r="B1947" s="204">
        <f>EDATE($B1946,1)</f>
        <v/>
      </c>
      <c r="C1947" s="205">
        <f>EOMONTH($B1947,0)</f>
        <v/>
      </c>
      <c r="D1947" s="201">
        <f>$C1947-$B1947+1</f>
        <v/>
      </c>
      <c r="E1947" s="201">
        <f>MONTH($B1947)</f>
        <v/>
      </c>
      <c r="F1947" s="235">
        <f>($B1947+$C1947+1)/2</f>
        <v/>
      </c>
      <c r="G1947" s="201">
        <f>YEAR($B1947)*12+MONTH($B1947)-1</f>
        <v/>
      </c>
      <c r="H1947" s="207">
        <f>IF(OR(nr_SeasonOn="OFF",$D$1912=0,$E$1912=0),1,12*INDEX(se_block,$D$1912,$E1947)/$E$1912)</f>
        <v/>
      </c>
      <c r="I1947" s="208">
        <f>EXP(SUMPRODUCT((rl_eff&lt;$B1947)*(rl_key=$A$1912)*rl_ln1p))</f>
        <v/>
      </c>
      <c r="J1947" s="208">
        <f>EXP(SUMPRODUCT((rl_eff&lt;=$C1947)*(rl_key=$A$1912)*rl_ln1p))</f>
        <v/>
      </c>
      <c r="K1947" s="201">
        <f>COUNTIFS(rl_key,$A$1912,rl_eff,"&gt;="&amp;$B1947,rl_eff,"&lt;="&amp;$C1947)</f>
        <v/>
      </c>
      <c r="L1947" s="201">
        <f>SUMIFS(rl_daysafter,rl_key,$A$1912,rl_effmonth,$B1947,rl_first,1)</f>
        <v/>
      </c>
      <c r="M1947" s="209">
        <f>IF($K1947=0,0,MIN(1,$L1947/$D1947))</f>
        <v/>
      </c>
      <c r="N1947" s="208">
        <f>IF($K1947=0,$J1947,(1-$M1947)*$I1947+$M1947*$J1947)</f>
        <v/>
      </c>
      <c r="O1947" s="209">
        <f>IF($F1947&lt;$B$1913,$E$1913+$I$1913*($F1947-$A$1913),IF($F1947&lt;$C$1913,$F$1913+$J$1913*($F1947-$B$1913),$G$1913+$K$1913*($F1947-$C$1913)))</f>
        <v/>
      </c>
      <c r="P1947" s="208">
        <f>MIN(1,MAX(0,(nr_MEndPm1-$G1947+0.5)/$C$1912))-MIN(1,MAX(0,(nr_MStartPm1-1-$G1947+0.5)/$C$1912))</f>
        <v/>
      </c>
      <c r="Q1947" s="208">
        <f>MIN(1,MAX(0,(nr_MEndP-$G1947+0.5)/$C$1912))-MIN(1,MAX(0,(nr_MStartP-1-$G1947+0.5)/$C$1912))</f>
        <v/>
      </c>
      <c r="R1947" s="208">
        <f>MIN(1,MAX(0,(nr_MEndP1-$G1947+0.5)/$C$1912))-MIN(1,MAX(0,(nr_MStartP1-1-$G1947+0.5)/$C$1912))</f>
        <v/>
      </c>
      <c r="S1947" s="208">
        <f>IF($L$1912,$N1947*IF($O$1912=1,$O1947/$F$1912,1),"")</f>
        <v/>
      </c>
      <c r="T1947" s="208">
        <f>IF(NOT($L$1912),"",IF($G1947&lt;nr_MStartP,$S1947,$T1935*(1+IF($G1947&lt;nr_MStartP1,$M$1912,$N$1912))))</f>
        <v/>
      </c>
      <c r="U1947" s="208">
        <f>IF($L$1912,$T1947,$N1947)</f>
        <v/>
      </c>
    </row>
    <row r="1948">
      <c r="A1948" s="145" t="n">
        <v>34</v>
      </c>
      <c r="B1948" s="204">
        <f>EDATE($B1947,1)</f>
        <v/>
      </c>
      <c r="C1948" s="205">
        <f>EOMONTH($B1948,0)</f>
        <v/>
      </c>
      <c r="D1948" s="201">
        <f>$C1948-$B1948+1</f>
        <v/>
      </c>
      <c r="E1948" s="201">
        <f>MONTH($B1948)</f>
        <v/>
      </c>
      <c r="F1948" s="235">
        <f>($B1948+$C1948+1)/2</f>
        <v/>
      </c>
      <c r="G1948" s="201">
        <f>YEAR($B1948)*12+MONTH($B1948)-1</f>
        <v/>
      </c>
      <c r="H1948" s="207">
        <f>IF(OR(nr_SeasonOn="OFF",$D$1912=0,$E$1912=0),1,12*INDEX(se_block,$D$1912,$E1948)/$E$1912)</f>
        <v/>
      </c>
      <c r="I1948" s="208">
        <f>EXP(SUMPRODUCT((rl_eff&lt;$B1948)*(rl_key=$A$1912)*rl_ln1p))</f>
        <v/>
      </c>
      <c r="J1948" s="208">
        <f>EXP(SUMPRODUCT((rl_eff&lt;=$C1948)*(rl_key=$A$1912)*rl_ln1p))</f>
        <v/>
      </c>
      <c r="K1948" s="201">
        <f>COUNTIFS(rl_key,$A$1912,rl_eff,"&gt;="&amp;$B1948,rl_eff,"&lt;="&amp;$C1948)</f>
        <v/>
      </c>
      <c r="L1948" s="201">
        <f>SUMIFS(rl_daysafter,rl_key,$A$1912,rl_effmonth,$B1948,rl_first,1)</f>
        <v/>
      </c>
      <c r="M1948" s="209">
        <f>IF($K1948=0,0,MIN(1,$L1948/$D1948))</f>
        <v/>
      </c>
      <c r="N1948" s="208">
        <f>IF($K1948=0,$J1948,(1-$M1948)*$I1948+$M1948*$J1948)</f>
        <v/>
      </c>
      <c r="O1948" s="209">
        <f>IF($F1948&lt;$B$1913,$E$1913+$I$1913*($F1948-$A$1913),IF($F1948&lt;$C$1913,$F$1913+$J$1913*($F1948-$B$1913),$G$1913+$K$1913*($F1948-$C$1913)))</f>
        <v/>
      </c>
      <c r="P1948" s="208">
        <f>MIN(1,MAX(0,(nr_MEndPm1-$G1948+0.5)/$C$1912))-MIN(1,MAX(0,(nr_MStartPm1-1-$G1948+0.5)/$C$1912))</f>
        <v/>
      </c>
      <c r="Q1948" s="208">
        <f>MIN(1,MAX(0,(nr_MEndP-$G1948+0.5)/$C$1912))-MIN(1,MAX(0,(nr_MStartP-1-$G1948+0.5)/$C$1912))</f>
        <v/>
      </c>
      <c r="R1948" s="208">
        <f>MIN(1,MAX(0,(nr_MEndP1-$G1948+0.5)/$C$1912))-MIN(1,MAX(0,(nr_MStartP1-1-$G1948+0.5)/$C$1912))</f>
        <v/>
      </c>
      <c r="S1948" s="208">
        <f>IF($L$1912,$N1948*IF($O$1912=1,$O1948/$F$1912,1),"")</f>
        <v/>
      </c>
      <c r="T1948" s="208">
        <f>IF(NOT($L$1912),"",IF($G1948&lt;nr_MStartP,$S1948,$T1936*(1+IF($G1948&lt;nr_MStartP1,$M$1912,$N$1912))))</f>
        <v/>
      </c>
      <c r="U1948" s="208">
        <f>IF($L$1912,$T1948,$N1948)</f>
        <v/>
      </c>
    </row>
    <row r="1949">
      <c r="A1949" s="145" t="n">
        <v>35</v>
      </c>
      <c r="B1949" s="204">
        <f>EDATE($B1948,1)</f>
        <v/>
      </c>
      <c r="C1949" s="205">
        <f>EOMONTH($B1949,0)</f>
        <v/>
      </c>
      <c r="D1949" s="201">
        <f>$C1949-$B1949+1</f>
        <v/>
      </c>
      <c r="E1949" s="201">
        <f>MONTH($B1949)</f>
        <v/>
      </c>
      <c r="F1949" s="235">
        <f>($B1949+$C1949+1)/2</f>
        <v/>
      </c>
      <c r="G1949" s="201">
        <f>YEAR($B1949)*12+MONTH($B1949)-1</f>
        <v/>
      </c>
      <c r="H1949" s="207">
        <f>IF(OR(nr_SeasonOn="OFF",$D$1912=0,$E$1912=0),1,12*INDEX(se_block,$D$1912,$E1949)/$E$1912)</f>
        <v/>
      </c>
      <c r="I1949" s="208">
        <f>EXP(SUMPRODUCT((rl_eff&lt;$B1949)*(rl_key=$A$1912)*rl_ln1p))</f>
        <v/>
      </c>
      <c r="J1949" s="208">
        <f>EXP(SUMPRODUCT((rl_eff&lt;=$C1949)*(rl_key=$A$1912)*rl_ln1p))</f>
        <v/>
      </c>
      <c r="K1949" s="201">
        <f>COUNTIFS(rl_key,$A$1912,rl_eff,"&gt;="&amp;$B1949,rl_eff,"&lt;="&amp;$C1949)</f>
        <v/>
      </c>
      <c r="L1949" s="201">
        <f>SUMIFS(rl_daysafter,rl_key,$A$1912,rl_effmonth,$B1949,rl_first,1)</f>
        <v/>
      </c>
      <c r="M1949" s="209">
        <f>IF($K1949=0,0,MIN(1,$L1949/$D1949))</f>
        <v/>
      </c>
      <c r="N1949" s="208">
        <f>IF($K1949=0,$J1949,(1-$M1949)*$I1949+$M1949*$J1949)</f>
        <v/>
      </c>
      <c r="O1949" s="209">
        <f>IF($F1949&lt;$B$1913,$E$1913+$I$1913*($F1949-$A$1913),IF($F1949&lt;$C$1913,$F$1913+$J$1913*($F1949-$B$1913),$G$1913+$K$1913*($F1949-$C$1913)))</f>
        <v/>
      </c>
      <c r="P1949" s="208">
        <f>MIN(1,MAX(0,(nr_MEndPm1-$G1949+0.5)/$C$1912))-MIN(1,MAX(0,(nr_MStartPm1-1-$G1949+0.5)/$C$1912))</f>
        <v/>
      </c>
      <c r="Q1949" s="208">
        <f>MIN(1,MAX(0,(nr_MEndP-$G1949+0.5)/$C$1912))-MIN(1,MAX(0,(nr_MStartP-1-$G1949+0.5)/$C$1912))</f>
        <v/>
      </c>
      <c r="R1949" s="208">
        <f>MIN(1,MAX(0,(nr_MEndP1-$G1949+0.5)/$C$1912))-MIN(1,MAX(0,(nr_MStartP1-1-$G1949+0.5)/$C$1912))</f>
        <v/>
      </c>
      <c r="S1949" s="208">
        <f>IF($L$1912,$N1949*IF($O$1912=1,$O1949/$F$1912,1),"")</f>
        <v/>
      </c>
      <c r="T1949" s="208">
        <f>IF(NOT($L$1912),"",IF($G1949&lt;nr_MStartP,$S1949,$T1937*(1+IF($G1949&lt;nr_MStartP1,$M$1912,$N$1912))))</f>
        <v/>
      </c>
      <c r="U1949" s="208">
        <f>IF($L$1912,$T1949,$N1949)</f>
        <v/>
      </c>
    </row>
    <row r="1950">
      <c r="A1950" s="145" t="n">
        <v>36</v>
      </c>
      <c r="B1950" s="204">
        <f>EDATE($B1949,1)</f>
        <v/>
      </c>
      <c r="C1950" s="205">
        <f>EOMONTH($B1950,0)</f>
        <v/>
      </c>
      <c r="D1950" s="201">
        <f>$C1950-$B1950+1</f>
        <v/>
      </c>
      <c r="E1950" s="201">
        <f>MONTH($B1950)</f>
        <v/>
      </c>
      <c r="F1950" s="235">
        <f>($B1950+$C1950+1)/2</f>
        <v/>
      </c>
      <c r="G1950" s="201">
        <f>YEAR($B1950)*12+MONTH($B1950)-1</f>
        <v/>
      </c>
      <c r="H1950" s="207">
        <f>IF(OR(nr_SeasonOn="OFF",$D$1912=0,$E$1912=0),1,12*INDEX(se_block,$D$1912,$E1950)/$E$1912)</f>
        <v/>
      </c>
      <c r="I1950" s="208">
        <f>EXP(SUMPRODUCT((rl_eff&lt;$B1950)*(rl_key=$A$1912)*rl_ln1p))</f>
        <v/>
      </c>
      <c r="J1950" s="208">
        <f>EXP(SUMPRODUCT((rl_eff&lt;=$C1950)*(rl_key=$A$1912)*rl_ln1p))</f>
        <v/>
      </c>
      <c r="K1950" s="201">
        <f>COUNTIFS(rl_key,$A$1912,rl_eff,"&gt;="&amp;$B1950,rl_eff,"&lt;="&amp;$C1950)</f>
        <v/>
      </c>
      <c r="L1950" s="201">
        <f>SUMIFS(rl_daysafter,rl_key,$A$1912,rl_effmonth,$B1950,rl_first,1)</f>
        <v/>
      </c>
      <c r="M1950" s="209">
        <f>IF($K1950=0,0,MIN(1,$L1950/$D1950))</f>
        <v/>
      </c>
      <c r="N1950" s="208">
        <f>IF($K1950=0,$J1950,(1-$M1950)*$I1950+$M1950*$J1950)</f>
        <v/>
      </c>
      <c r="O1950" s="209">
        <f>IF($F1950&lt;$B$1913,$E$1913+$I$1913*($F1950-$A$1913),IF($F1950&lt;$C$1913,$F$1913+$J$1913*($F1950-$B$1913),$G$1913+$K$1913*($F1950-$C$1913)))</f>
        <v/>
      </c>
      <c r="P1950" s="208">
        <f>MIN(1,MAX(0,(nr_MEndPm1-$G1950+0.5)/$C$1912))-MIN(1,MAX(0,(nr_MStartPm1-1-$G1950+0.5)/$C$1912))</f>
        <v/>
      </c>
      <c r="Q1950" s="208">
        <f>MIN(1,MAX(0,(nr_MEndP-$G1950+0.5)/$C$1912))-MIN(1,MAX(0,(nr_MStartP-1-$G1950+0.5)/$C$1912))</f>
        <v/>
      </c>
      <c r="R1950" s="208">
        <f>MIN(1,MAX(0,(nr_MEndP1-$G1950+0.5)/$C$1912))-MIN(1,MAX(0,(nr_MStartP1-1-$G1950+0.5)/$C$1912))</f>
        <v/>
      </c>
      <c r="S1950" s="208">
        <f>IF($L$1912,$N1950*IF($O$1912=1,$O1950/$F$1912,1),"")</f>
        <v/>
      </c>
      <c r="T1950" s="208">
        <f>IF(NOT($L$1912),"",IF($G1950&lt;nr_MStartP,$S1950,$T1938*(1+IF($G1950&lt;nr_MStartP1,$M$1912,$N$1912))))</f>
        <v/>
      </c>
      <c r="U1950" s="208">
        <f>IF($L$1912,$T1950,$N1950)</f>
        <v/>
      </c>
    </row>
    <row r="1951">
      <c r="A1951" s="145" t="n">
        <v>37</v>
      </c>
      <c r="B1951" s="204">
        <f>EDATE($B1950,1)</f>
        <v/>
      </c>
      <c r="C1951" s="205">
        <f>EOMONTH($B1951,0)</f>
        <v/>
      </c>
      <c r="D1951" s="201">
        <f>$C1951-$B1951+1</f>
        <v/>
      </c>
      <c r="E1951" s="201">
        <f>MONTH($B1951)</f>
        <v/>
      </c>
      <c r="F1951" s="235">
        <f>($B1951+$C1951+1)/2</f>
        <v/>
      </c>
      <c r="G1951" s="201">
        <f>YEAR($B1951)*12+MONTH($B1951)-1</f>
        <v/>
      </c>
      <c r="H1951" s="207">
        <f>IF(OR(nr_SeasonOn="OFF",$D$1912=0,$E$1912=0),1,12*INDEX(se_block,$D$1912,$E1951)/$E$1912)</f>
        <v/>
      </c>
      <c r="I1951" s="208">
        <f>EXP(SUMPRODUCT((rl_eff&lt;$B1951)*(rl_key=$A$1912)*rl_ln1p))</f>
        <v/>
      </c>
      <c r="J1951" s="208">
        <f>EXP(SUMPRODUCT((rl_eff&lt;=$C1951)*(rl_key=$A$1912)*rl_ln1p))</f>
        <v/>
      </c>
      <c r="K1951" s="201">
        <f>COUNTIFS(rl_key,$A$1912,rl_eff,"&gt;="&amp;$B1951,rl_eff,"&lt;="&amp;$C1951)</f>
        <v/>
      </c>
      <c r="L1951" s="201">
        <f>SUMIFS(rl_daysafter,rl_key,$A$1912,rl_effmonth,$B1951,rl_first,1)</f>
        <v/>
      </c>
      <c r="M1951" s="209">
        <f>IF($K1951=0,0,MIN(1,$L1951/$D1951))</f>
        <v/>
      </c>
      <c r="N1951" s="208">
        <f>IF($K1951=0,$J1951,(1-$M1951)*$I1951+$M1951*$J1951)</f>
        <v/>
      </c>
      <c r="O1951" s="209">
        <f>IF($F1951&lt;$B$1913,$E$1913+$I$1913*($F1951-$A$1913),IF($F1951&lt;$C$1913,$F$1913+$J$1913*($F1951-$B$1913),$G$1913+$K$1913*($F1951-$C$1913)))</f>
        <v/>
      </c>
      <c r="P1951" s="208">
        <f>MIN(1,MAX(0,(nr_MEndPm1-$G1951+0.5)/$C$1912))-MIN(1,MAX(0,(nr_MStartPm1-1-$G1951+0.5)/$C$1912))</f>
        <v/>
      </c>
      <c r="Q1951" s="208">
        <f>MIN(1,MAX(0,(nr_MEndP-$G1951+0.5)/$C$1912))-MIN(1,MAX(0,(nr_MStartP-1-$G1951+0.5)/$C$1912))</f>
        <v/>
      </c>
      <c r="R1951" s="208">
        <f>MIN(1,MAX(0,(nr_MEndP1-$G1951+0.5)/$C$1912))-MIN(1,MAX(0,(nr_MStartP1-1-$G1951+0.5)/$C$1912))</f>
        <v/>
      </c>
      <c r="S1951" s="208">
        <f>IF($L$1912,$N1951*IF($O$1912=1,$O1951/$F$1912,1),"")</f>
        <v/>
      </c>
      <c r="T1951" s="208">
        <f>IF(NOT($L$1912),"",IF($G1951&lt;nr_MStartP,$S1951,$T1939*(1+IF($G1951&lt;nr_MStartP1,$M$1912,$N$1912))))</f>
        <v/>
      </c>
      <c r="U1951" s="208">
        <f>IF($L$1912,$T1951,$N1951)</f>
        <v/>
      </c>
    </row>
    <row r="1952">
      <c r="A1952" s="145" t="n">
        <v>38</v>
      </c>
      <c r="B1952" s="204">
        <f>EDATE($B1951,1)</f>
        <v/>
      </c>
      <c r="C1952" s="205">
        <f>EOMONTH($B1952,0)</f>
        <v/>
      </c>
      <c r="D1952" s="201">
        <f>$C1952-$B1952+1</f>
        <v/>
      </c>
      <c r="E1952" s="201">
        <f>MONTH($B1952)</f>
        <v/>
      </c>
      <c r="F1952" s="235">
        <f>($B1952+$C1952+1)/2</f>
        <v/>
      </c>
      <c r="G1952" s="201">
        <f>YEAR($B1952)*12+MONTH($B1952)-1</f>
        <v/>
      </c>
      <c r="H1952" s="207">
        <f>IF(OR(nr_SeasonOn="OFF",$D$1912=0,$E$1912=0),1,12*INDEX(se_block,$D$1912,$E1952)/$E$1912)</f>
        <v/>
      </c>
      <c r="I1952" s="208">
        <f>EXP(SUMPRODUCT((rl_eff&lt;$B1952)*(rl_key=$A$1912)*rl_ln1p))</f>
        <v/>
      </c>
      <c r="J1952" s="208">
        <f>EXP(SUMPRODUCT((rl_eff&lt;=$C1952)*(rl_key=$A$1912)*rl_ln1p))</f>
        <v/>
      </c>
      <c r="K1952" s="201">
        <f>COUNTIFS(rl_key,$A$1912,rl_eff,"&gt;="&amp;$B1952,rl_eff,"&lt;="&amp;$C1952)</f>
        <v/>
      </c>
      <c r="L1952" s="201">
        <f>SUMIFS(rl_daysafter,rl_key,$A$1912,rl_effmonth,$B1952,rl_first,1)</f>
        <v/>
      </c>
      <c r="M1952" s="209">
        <f>IF($K1952=0,0,MIN(1,$L1952/$D1952))</f>
        <v/>
      </c>
      <c r="N1952" s="208">
        <f>IF($K1952=0,$J1952,(1-$M1952)*$I1952+$M1952*$J1952)</f>
        <v/>
      </c>
      <c r="O1952" s="209">
        <f>IF($F1952&lt;$B$1913,$E$1913+$I$1913*($F1952-$A$1913),IF($F1952&lt;$C$1913,$F$1913+$J$1913*($F1952-$B$1913),$G$1913+$K$1913*($F1952-$C$1913)))</f>
        <v/>
      </c>
      <c r="P1952" s="208">
        <f>MIN(1,MAX(0,(nr_MEndPm1-$G1952+0.5)/$C$1912))-MIN(1,MAX(0,(nr_MStartPm1-1-$G1952+0.5)/$C$1912))</f>
        <v/>
      </c>
      <c r="Q1952" s="208">
        <f>MIN(1,MAX(0,(nr_MEndP-$G1952+0.5)/$C$1912))-MIN(1,MAX(0,(nr_MStartP-1-$G1952+0.5)/$C$1912))</f>
        <v/>
      </c>
      <c r="R1952" s="208">
        <f>MIN(1,MAX(0,(nr_MEndP1-$G1952+0.5)/$C$1912))-MIN(1,MAX(0,(nr_MStartP1-1-$G1952+0.5)/$C$1912))</f>
        <v/>
      </c>
      <c r="S1952" s="208">
        <f>IF($L$1912,$N1952*IF($O$1912=1,$O1952/$F$1912,1),"")</f>
        <v/>
      </c>
      <c r="T1952" s="208">
        <f>IF(NOT($L$1912),"",IF($G1952&lt;nr_MStartP,$S1952,$T1940*(1+IF($G1952&lt;nr_MStartP1,$M$1912,$N$1912))))</f>
        <v/>
      </c>
      <c r="U1952" s="208">
        <f>IF($L$1912,$T1952,$N1952)</f>
        <v/>
      </c>
    </row>
    <row r="1953">
      <c r="A1953" s="145" t="n">
        <v>39</v>
      </c>
      <c r="B1953" s="204">
        <f>EDATE($B1952,1)</f>
        <v/>
      </c>
      <c r="C1953" s="205">
        <f>EOMONTH($B1953,0)</f>
        <v/>
      </c>
      <c r="D1953" s="201">
        <f>$C1953-$B1953+1</f>
        <v/>
      </c>
      <c r="E1953" s="201">
        <f>MONTH($B1953)</f>
        <v/>
      </c>
      <c r="F1953" s="235">
        <f>($B1953+$C1953+1)/2</f>
        <v/>
      </c>
      <c r="G1953" s="201">
        <f>YEAR($B1953)*12+MONTH($B1953)-1</f>
        <v/>
      </c>
      <c r="H1953" s="207">
        <f>IF(OR(nr_SeasonOn="OFF",$D$1912=0,$E$1912=0),1,12*INDEX(se_block,$D$1912,$E1953)/$E$1912)</f>
        <v/>
      </c>
      <c r="I1953" s="208">
        <f>EXP(SUMPRODUCT((rl_eff&lt;$B1953)*(rl_key=$A$1912)*rl_ln1p))</f>
        <v/>
      </c>
      <c r="J1953" s="208">
        <f>EXP(SUMPRODUCT((rl_eff&lt;=$C1953)*(rl_key=$A$1912)*rl_ln1p))</f>
        <v/>
      </c>
      <c r="K1953" s="201">
        <f>COUNTIFS(rl_key,$A$1912,rl_eff,"&gt;="&amp;$B1953,rl_eff,"&lt;="&amp;$C1953)</f>
        <v/>
      </c>
      <c r="L1953" s="201">
        <f>SUMIFS(rl_daysafter,rl_key,$A$1912,rl_effmonth,$B1953,rl_first,1)</f>
        <v/>
      </c>
      <c r="M1953" s="209">
        <f>IF($K1953=0,0,MIN(1,$L1953/$D1953))</f>
        <v/>
      </c>
      <c r="N1953" s="208">
        <f>IF($K1953=0,$J1953,(1-$M1953)*$I1953+$M1953*$J1953)</f>
        <v/>
      </c>
      <c r="O1953" s="209">
        <f>IF($F1953&lt;$B$1913,$E$1913+$I$1913*($F1953-$A$1913),IF($F1953&lt;$C$1913,$F$1913+$J$1913*($F1953-$B$1913),$G$1913+$K$1913*($F1953-$C$1913)))</f>
        <v/>
      </c>
      <c r="P1953" s="208">
        <f>MIN(1,MAX(0,(nr_MEndPm1-$G1953+0.5)/$C$1912))-MIN(1,MAX(0,(nr_MStartPm1-1-$G1953+0.5)/$C$1912))</f>
        <v/>
      </c>
      <c r="Q1953" s="208">
        <f>MIN(1,MAX(0,(nr_MEndP-$G1953+0.5)/$C$1912))-MIN(1,MAX(0,(nr_MStartP-1-$G1953+0.5)/$C$1912))</f>
        <v/>
      </c>
      <c r="R1953" s="208">
        <f>MIN(1,MAX(0,(nr_MEndP1-$G1953+0.5)/$C$1912))-MIN(1,MAX(0,(nr_MStartP1-1-$G1953+0.5)/$C$1912))</f>
        <v/>
      </c>
      <c r="S1953" s="208">
        <f>IF($L$1912,$N1953*IF($O$1912=1,$O1953/$F$1912,1),"")</f>
        <v/>
      </c>
      <c r="T1953" s="208">
        <f>IF(NOT($L$1912),"",IF($G1953&lt;nr_MStartP,$S1953,$T1941*(1+IF($G1953&lt;nr_MStartP1,$M$1912,$N$1912))))</f>
        <v/>
      </c>
      <c r="U1953" s="208">
        <f>IF($L$1912,$T1953,$N1953)</f>
        <v/>
      </c>
    </row>
    <row r="1954">
      <c r="A1954" s="145" t="n">
        <v>40</v>
      </c>
      <c r="B1954" s="204">
        <f>EDATE($B1953,1)</f>
        <v/>
      </c>
      <c r="C1954" s="205">
        <f>EOMONTH($B1954,0)</f>
        <v/>
      </c>
      <c r="D1954" s="201">
        <f>$C1954-$B1954+1</f>
        <v/>
      </c>
      <c r="E1954" s="201">
        <f>MONTH($B1954)</f>
        <v/>
      </c>
      <c r="F1954" s="235">
        <f>($B1954+$C1954+1)/2</f>
        <v/>
      </c>
      <c r="G1954" s="201">
        <f>YEAR($B1954)*12+MONTH($B1954)-1</f>
        <v/>
      </c>
      <c r="H1954" s="207">
        <f>IF(OR(nr_SeasonOn="OFF",$D$1912=0,$E$1912=0),1,12*INDEX(se_block,$D$1912,$E1954)/$E$1912)</f>
        <v/>
      </c>
      <c r="I1954" s="208">
        <f>EXP(SUMPRODUCT((rl_eff&lt;$B1954)*(rl_key=$A$1912)*rl_ln1p))</f>
        <v/>
      </c>
      <c r="J1954" s="208">
        <f>EXP(SUMPRODUCT((rl_eff&lt;=$C1954)*(rl_key=$A$1912)*rl_ln1p))</f>
        <v/>
      </c>
      <c r="K1954" s="201">
        <f>COUNTIFS(rl_key,$A$1912,rl_eff,"&gt;="&amp;$B1954,rl_eff,"&lt;="&amp;$C1954)</f>
        <v/>
      </c>
      <c r="L1954" s="201">
        <f>SUMIFS(rl_daysafter,rl_key,$A$1912,rl_effmonth,$B1954,rl_first,1)</f>
        <v/>
      </c>
      <c r="M1954" s="209">
        <f>IF($K1954=0,0,MIN(1,$L1954/$D1954))</f>
        <v/>
      </c>
      <c r="N1954" s="208">
        <f>IF($K1954=0,$J1954,(1-$M1954)*$I1954+$M1954*$J1954)</f>
        <v/>
      </c>
      <c r="O1954" s="209">
        <f>IF($F1954&lt;$B$1913,$E$1913+$I$1913*($F1954-$A$1913),IF($F1954&lt;$C$1913,$F$1913+$J$1913*($F1954-$B$1913),$G$1913+$K$1913*($F1954-$C$1913)))</f>
        <v/>
      </c>
      <c r="P1954" s="208">
        <f>MIN(1,MAX(0,(nr_MEndPm1-$G1954+0.5)/$C$1912))-MIN(1,MAX(0,(nr_MStartPm1-1-$G1954+0.5)/$C$1912))</f>
        <v/>
      </c>
      <c r="Q1954" s="208">
        <f>MIN(1,MAX(0,(nr_MEndP-$G1954+0.5)/$C$1912))-MIN(1,MAX(0,(nr_MStartP-1-$G1954+0.5)/$C$1912))</f>
        <v/>
      </c>
      <c r="R1954" s="208">
        <f>MIN(1,MAX(0,(nr_MEndP1-$G1954+0.5)/$C$1912))-MIN(1,MAX(0,(nr_MStartP1-1-$G1954+0.5)/$C$1912))</f>
        <v/>
      </c>
      <c r="S1954" s="208">
        <f>IF($L$1912,$N1954*IF($O$1912=1,$O1954/$F$1912,1),"")</f>
        <v/>
      </c>
      <c r="T1954" s="208">
        <f>IF(NOT($L$1912),"",IF($G1954&lt;nr_MStartP,$S1954,$T1942*(1+IF($G1954&lt;nr_MStartP1,$M$1912,$N$1912))))</f>
        <v/>
      </c>
      <c r="U1954" s="208">
        <f>IF($L$1912,$T1954,$N1954)</f>
        <v/>
      </c>
    </row>
    <row r="1955">
      <c r="A1955" s="145" t="n">
        <v>41</v>
      </c>
      <c r="B1955" s="204">
        <f>EDATE($B1954,1)</f>
        <v/>
      </c>
      <c r="C1955" s="205">
        <f>EOMONTH($B1955,0)</f>
        <v/>
      </c>
      <c r="D1955" s="201">
        <f>$C1955-$B1955+1</f>
        <v/>
      </c>
      <c r="E1955" s="201">
        <f>MONTH($B1955)</f>
        <v/>
      </c>
      <c r="F1955" s="235">
        <f>($B1955+$C1955+1)/2</f>
        <v/>
      </c>
      <c r="G1955" s="201">
        <f>YEAR($B1955)*12+MONTH($B1955)-1</f>
        <v/>
      </c>
      <c r="H1955" s="207">
        <f>IF(OR(nr_SeasonOn="OFF",$D$1912=0,$E$1912=0),1,12*INDEX(se_block,$D$1912,$E1955)/$E$1912)</f>
        <v/>
      </c>
      <c r="I1955" s="208">
        <f>EXP(SUMPRODUCT((rl_eff&lt;$B1955)*(rl_key=$A$1912)*rl_ln1p))</f>
        <v/>
      </c>
      <c r="J1955" s="208">
        <f>EXP(SUMPRODUCT((rl_eff&lt;=$C1955)*(rl_key=$A$1912)*rl_ln1p))</f>
        <v/>
      </c>
      <c r="K1955" s="201">
        <f>COUNTIFS(rl_key,$A$1912,rl_eff,"&gt;="&amp;$B1955,rl_eff,"&lt;="&amp;$C1955)</f>
        <v/>
      </c>
      <c r="L1955" s="201">
        <f>SUMIFS(rl_daysafter,rl_key,$A$1912,rl_effmonth,$B1955,rl_first,1)</f>
        <v/>
      </c>
      <c r="M1955" s="209">
        <f>IF($K1955=0,0,MIN(1,$L1955/$D1955))</f>
        <v/>
      </c>
      <c r="N1955" s="208">
        <f>IF($K1955=0,$J1955,(1-$M1955)*$I1955+$M1955*$J1955)</f>
        <v/>
      </c>
      <c r="O1955" s="209">
        <f>IF($F1955&lt;$B$1913,$E$1913+$I$1913*($F1955-$A$1913),IF($F1955&lt;$C$1913,$F$1913+$J$1913*($F1955-$B$1913),$G$1913+$K$1913*($F1955-$C$1913)))</f>
        <v/>
      </c>
      <c r="P1955" s="208">
        <f>MIN(1,MAX(0,(nr_MEndPm1-$G1955+0.5)/$C$1912))-MIN(1,MAX(0,(nr_MStartPm1-1-$G1955+0.5)/$C$1912))</f>
        <v/>
      </c>
      <c r="Q1955" s="208">
        <f>MIN(1,MAX(0,(nr_MEndP-$G1955+0.5)/$C$1912))-MIN(1,MAX(0,(nr_MStartP-1-$G1955+0.5)/$C$1912))</f>
        <v/>
      </c>
      <c r="R1955" s="208">
        <f>MIN(1,MAX(0,(nr_MEndP1-$G1955+0.5)/$C$1912))-MIN(1,MAX(0,(nr_MStartP1-1-$G1955+0.5)/$C$1912))</f>
        <v/>
      </c>
      <c r="S1955" s="208">
        <f>IF($L$1912,$N1955*IF($O$1912=1,$O1955/$F$1912,1),"")</f>
        <v/>
      </c>
      <c r="T1955" s="208">
        <f>IF(NOT($L$1912),"",IF($G1955&lt;nr_MStartP,$S1955,$T1943*(1+IF($G1955&lt;nr_MStartP1,$M$1912,$N$1912))))</f>
        <v/>
      </c>
      <c r="U1955" s="208">
        <f>IF($L$1912,$T1955,$N1955)</f>
        <v/>
      </c>
    </row>
    <row r="1956">
      <c r="A1956" s="145" t="n">
        <v>42</v>
      </c>
      <c r="B1956" s="204">
        <f>EDATE($B1955,1)</f>
        <v/>
      </c>
      <c r="C1956" s="205">
        <f>EOMONTH($B1956,0)</f>
        <v/>
      </c>
      <c r="D1956" s="201">
        <f>$C1956-$B1956+1</f>
        <v/>
      </c>
      <c r="E1956" s="201">
        <f>MONTH($B1956)</f>
        <v/>
      </c>
      <c r="F1956" s="235">
        <f>($B1956+$C1956+1)/2</f>
        <v/>
      </c>
      <c r="G1956" s="201">
        <f>YEAR($B1956)*12+MONTH($B1956)-1</f>
        <v/>
      </c>
      <c r="H1956" s="207">
        <f>IF(OR(nr_SeasonOn="OFF",$D$1912=0,$E$1912=0),1,12*INDEX(se_block,$D$1912,$E1956)/$E$1912)</f>
        <v/>
      </c>
      <c r="I1956" s="208">
        <f>EXP(SUMPRODUCT((rl_eff&lt;$B1956)*(rl_key=$A$1912)*rl_ln1p))</f>
        <v/>
      </c>
      <c r="J1956" s="208">
        <f>EXP(SUMPRODUCT((rl_eff&lt;=$C1956)*(rl_key=$A$1912)*rl_ln1p))</f>
        <v/>
      </c>
      <c r="K1956" s="201">
        <f>COUNTIFS(rl_key,$A$1912,rl_eff,"&gt;="&amp;$B1956,rl_eff,"&lt;="&amp;$C1956)</f>
        <v/>
      </c>
      <c r="L1956" s="201">
        <f>SUMIFS(rl_daysafter,rl_key,$A$1912,rl_effmonth,$B1956,rl_first,1)</f>
        <v/>
      </c>
      <c r="M1956" s="209">
        <f>IF($K1956=0,0,MIN(1,$L1956/$D1956))</f>
        <v/>
      </c>
      <c r="N1956" s="208">
        <f>IF($K1956=0,$J1956,(1-$M1956)*$I1956+$M1956*$J1956)</f>
        <v/>
      </c>
      <c r="O1956" s="209">
        <f>IF($F1956&lt;$B$1913,$E$1913+$I$1913*($F1956-$A$1913),IF($F1956&lt;$C$1913,$F$1913+$J$1913*($F1956-$B$1913),$G$1913+$K$1913*($F1956-$C$1913)))</f>
        <v/>
      </c>
      <c r="P1956" s="208">
        <f>MIN(1,MAX(0,(nr_MEndPm1-$G1956+0.5)/$C$1912))-MIN(1,MAX(0,(nr_MStartPm1-1-$G1956+0.5)/$C$1912))</f>
        <v/>
      </c>
      <c r="Q1956" s="208">
        <f>MIN(1,MAX(0,(nr_MEndP-$G1956+0.5)/$C$1912))-MIN(1,MAX(0,(nr_MStartP-1-$G1956+0.5)/$C$1912))</f>
        <v/>
      </c>
      <c r="R1956" s="208">
        <f>MIN(1,MAX(0,(nr_MEndP1-$G1956+0.5)/$C$1912))-MIN(1,MAX(0,(nr_MStartP1-1-$G1956+0.5)/$C$1912))</f>
        <v/>
      </c>
      <c r="S1956" s="208">
        <f>IF($L$1912,$N1956*IF($O$1912=1,$O1956/$F$1912,1),"")</f>
        <v/>
      </c>
      <c r="T1956" s="208">
        <f>IF(NOT($L$1912),"",IF($G1956&lt;nr_MStartP,$S1956,$T1944*(1+IF($G1956&lt;nr_MStartP1,$M$1912,$N$1912))))</f>
        <v/>
      </c>
      <c r="U1956" s="208">
        <f>IF($L$1912,$T1956,$N1956)</f>
        <v/>
      </c>
    </row>
    <row r="1957">
      <c r="A1957" s="145" t="n">
        <v>43</v>
      </c>
      <c r="B1957" s="204">
        <f>EDATE($B1956,1)</f>
        <v/>
      </c>
      <c r="C1957" s="205">
        <f>EOMONTH($B1957,0)</f>
        <v/>
      </c>
      <c r="D1957" s="201">
        <f>$C1957-$B1957+1</f>
        <v/>
      </c>
      <c r="E1957" s="201">
        <f>MONTH($B1957)</f>
        <v/>
      </c>
      <c r="F1957" s="235">
        <f>($B1957+$C1957+1)/2</f>
        <v/>
      </c>
      <c r="G1957" s="201">
        <f>YEAR($B1957)*12+MONTH($B1957)-1</f>
        <v/>
      </c>
      <c r="H1957" s="207">
        <f>IF(OR(nr_SeasonOn="OFF",$D$1912=0,$E$1912=0),1,12*INDEX(se_block,$D$1912,$E1957)/$E$1912)</f>
        <v/>
      </c>
      <c r="I1957" s="208">
        <f>EXP(SUMPRODUCT((rl_eff&lt;$B1957)*(rl_key=$A$1912)*rl_ln1p))</f>
        <v/>
      </c>
      <c r="J1957" s="208">
        <f>EXP(SUMPRODUCT((rl_eff&lt;=$C1957)*(rl_key=$A$1912)*rl_ln1p))</f>
        <v/>
      </c>
      <c r="K1957" s="201">
        <f>COUNTIFS(rl_key,$A$1912,rl_eff,"&gt;="&amp;$B1957,rl_eff,"&lt;="&amp;$C1957)</f>
        <v/>
      </c>
      <c r="L1957" s="201">
        <f>SUMIFS(rl_daysafter,rl_key,$A$1912,rl_effmonth,$B1957,rl_first,1)</f>
        <v/>
      </c>
      <c r="M1957" s="209">
        <f>IF($K1957=0,0,MIN(1,$L1957/$D1957))</f>
        <v/>
      </c>
      <c r="N1957" s="208">
        <f>IF($K1957=0,$J1957,(1-$M1957)*$I1957+$M1957*$J1957)</f>
        <v/>
      </c>
      <c r="O1957" s="209">
        <f>IF($F1957&lt;$B$1913,$E$1913+$I$1913*($F1957-$A$1913),IF($F1957&lt;$C$1913,$F$1913+$J$1913*($F1957-$B$1913),$G$1913+$K$1913*($F1957-$C$1913)))</f>
        <v/>
      </c>
      <c r="P1957" s="208">
        <f>MIN(1,MAX(0,(nr_MEndPm1-$G1957+0.5)/$C$1912))-MIN(1,MAX(0,(nr_MStartPm1-1-$G1957+0.5)/$C$1912))</f>
        <v/>
      </c>
      <c r="Q1957" s="208">
        <f>MIN(1,MAX(0,(nr_MEndP-$G1957+0.5)/$C$1912))-MIN(1,MAX(0,(nr_MStartP-1-$G1957+0.5)/$C$1912))</f>
        <v/>
      </c>
      <c r="R1957" s="208">
        <f>MIN(1,MAX(0,(nr_MEndP1-$G1957+0.5)/$C$1912))-MIN(1,MAX(0,(nr_MStartP1-1-$G1957+0.5)/$C$1912))</f>
        <v/>
      </c>
      <c r="S1957" s="208">
        <f>IF($L$1912,$N1957*IF($O$1912=1,$O1957/$F$1912,1),"")</f>
        <v/>
      </c>
      <c r="T1957" s="208">
        <f>IF(NOT($L$1912),"",IF($G1957&lt;nr_MStartP,$S1957,$T1945*(1+IF($G1957&lt;nr_MStartP1,$M$1912,$N$1912))))</f>
        <v/>
      </c>
      <c r="U1957" s="208">
        <f>IF($L$1912,$T1957,$N1957)</f>
        <v/>
      </c>
    </row>
    <row r="1958">
      <c r="A1958" s="145" t="n">
        <v>44</v>
      </c>
      <c r="B1958" s="204">
        <f>EDATE($B1957,1)</f>
        <v/>
      </c>
      <c r="C1958" s="205">
        <f>EOMONTH($B1958,0)</f>
        <v/>
      </c>
      <c r="D1958" s="201">
        <f>$C1958-$B1958+1</f>
        <v/>
      </c>
      <c r="E1958" s="201">
        <f>MONTH($B1958)</f>
        <v/>
      </c>
      <c r="F1958" s="235">
        <f>($B1958+$C1958+1)/2</f>
        <v/>
      </c>
      <c r="G1958" s="201">
        <f>YEAR($B1958)*12+MONTH($B1958)-1</f>
        <v/>
      </c>
      <c r="H1958" s="207">
        <f>IF(OR(nr_SeasonOn="OFF",$D$1912=0,$E$1912=0),1,12*INDEX(se_block,$D$1912,$E1958)/$E$1912)</f>
        <v/>
      </c>
      <c r="I1958" s="208">
        <f>EXP(SUMPRODUCT((rl_eff&lt;$B1958)*(rl_key=$A$1912)*rl_ln1p))</f>
        <v/>
      </c>
      <c r="J1958" s="208">
        <f>EXP(SUMPRODUCT((rl_eff&lt;=$C1958)*(rl_key=$A$1912)*rl_ln1p))</f>
        <v/>
      </c>
      <c r="K1958" s="201">
        <f>COUNTIFS(rl_key,$A$1912,rl_eff,"&gt;="&amp;$B1958,rl_eff,"&lt;="&amp;$C1958)</f>
        <v/>
      </c>
      <c r="L1958" s="201">
        <f>SUMIFS(rl_daysafter,rl_key,$A$1912,rl_effmonth,$B1958,rl_first,1)</f>
        <v/>
      </c>
      <c r="M1958" s="209">
        <f>IF($K1958=0,0,MIN(1,$L1958/$D1958))</f>
        <v/>
      </c>
      <c r="N1958" s="208">
        <f>IF($K1958=0,$J1958,(1-$M1958)*$I1958+$M1958*$J1958)</f>
        <v/>
      </c>
      <c r="O1958" s="209">
        <f>IF($F1958&lt;$B$1913,$E$1913+$I$1913*($F1958-$A$1913),IF($F1958&lt;$C$1913,$F$1913+$J$1913*($F1958-$B$1913),$G$1913+$K$1913*($F1958-$C$1913)))</f>
        <v/>
      </c>
      <c r="P1958" s="208">
        <f>MIN(1,MAX(0,(nr_MEndPm1-$G1958+0.5)/$C$1912))-MIN(1,MAX(0,(nr_MStartPm1-1-$G1958+0.5)/$C$1912))</f>
        <v/>
      </c>
      <c r="Q1958" s="208">
        <f>MIN(1,MAX(0,(nr_MEndP-$G1958+0.5)/$C$1912))-MIN(1,MAX(0,(nr_MStartP-1-$G1958+0.5)/$C$1912))</f>
        <v/>
      </c>
      <c r="R1958" s="208">
        <f>MIN(1,MAX(0,(nr_MEndP1-$G1958+0.5)/$C$1912))-MIN(1,MAX(0,(nr_MStartP1-1-$G1958+0.5)/$C$1912))</f>
        <v/>
      </c>
      <c r="S1958" s="208">
        <f>IF($L$1912,$N1958*IF($O$1912=1,$O1958/$F$1912,1),"")</f>
        <v/>
      </c>
      <c r="T1958" s="208">
        <f>IF(NOT($L$1912),"",IF($G1958&lt;nr_MStartP,$S1958,$T1946*(1+IF($G1958&lt;nr_MStartP1,$M$1912,$N$1912))))</f>
        <v/>
      </c>
      <c r="U1958" s="208">
        <f>IF($L$1912,$T1958,$N1958)</f>
        <v/>
      </c>
    </row>
    <row r="1959">
      <c r="A1959" s="145" t="n">
        <v>45</v>
      </c>
      <c r="B1959" s="204">
        <f>EDATE($B1958,1)</f>
        <v/>
      </c>
      <c r="C1959" s="205">
        <f>EOMONTH($B1959,0)</f>
        <v/>
      </c>
      <c r="D1959" s="201">
        <f>$C1959-$B1959+1</f>
        <v/>
      </c>
      <c r="E1959" s="201">
        <f>MONTH($B1959)</f>
        <v/>
      </c>
      <c r="F1959" s="235">
        <f>($B1959+$C1959+1)/2</f>
        <v/>
      </c>
      <c r="G1959" s="201">
        <f>YEAR($B1959)*12+MONTH($B1959)-1</f>
        <v/>
      </c>
      <c r="H1959" s="207">
        <f>IF(OR(nr_SeasonOn="OFF",$D$1912=0,$E$1912=0),1,12*INDEX(se_block,$D$1912,$E1959)/$E$1912)</f>
        <v/>
      </c>
      <c r="I1959" s="208">
        <f>EXP(SUMPRODUCT((rl_eff&lt;$B1959)*(rl_key=$A$1912)*rl_ln1p))</f>
        <v/>
      </c>
      <c r="J1959" s="208">
        <f>EXP(SUMPRODUCT((rl_eff&lt;=$C1959)*(rl_key=$A$1912)*rl_ln1p))</f>
        <v/>
      </c>
      <c r="K1959" s="201">
        <f>COUNTIFS(rl_key,$A$1912,rl_eff,"&gt;="&amp;$B1959,rl_eff,"&lt;="&amp;$C1959)</f>
        <v/>
      </c>
      <c r="L1959" s="201">
        <f>SUMIFS(rl_daysafter,rl_key,$A$1912,rl_effmonth,$B1959,rl_first,1)</f>
        <v/>
      </c>
      <c r="M1959" s="209">
        <f>IF($K1959=0,0,MIN(1,$L1959/$D1959))</f>
        <v/>
      </c>
      <c r="N1959" s="208">
        <f>IF($K1959=0,$J1959,(1-$M1959)*$I1959+$M1959*$J1959)</f>
        <v/>
      </c>
      <c r="O1959" s="209">
        <f>IF($F1959&lt;$B$1913,$E$1913+$I$1913*($F1959-$A$1913),IF($F1959&lt;$C$1913,$F$1913+$J$1913*($F1959-$B$1913),$G$1913+$K$1913*($F1959-$C$1913)))</f>
        <v/>
      </c>
      <c r="P1959" s="208">
        <f>MIN(1,MAX(0,(nr_MEndPm1-$G1959+0.5)/$C$1912))-MIN(1,MAX(0,(nr_MStartPm1-1-$G1959+0.5)/$C$1912))</f>
        <v/>
      </c>
      <c r="Q1959" s="208">
        <f>MIN(1,MAX(0,(nr_MEndP-$G1959+0.5)/$C$1912))-MIN(1,MAX(0,(nr_MStartP-1-$G1959+0.5)/$C$1912))</f>
        <v/>
      </c>
      <c r="R1959" s="208">
        <f>MIN(1,MAX(0,(nr_MEndP1-$G1959+0.5)/$C$1912))-MIN(1,MAX(0,(nr_MStartP1-1-$G1959+0.5)/$C$1912))</f>
        <v/>
      </c>
      <c r="S1959" s="208">
        <f>IF($L$1912,$N1959*IF($O$1912=1,$O1959/$F$1912,1),"")</f>
        <v/>
      </c>
      <c r="T1959" s="208">
        <f>IF(NOT($L$1912),"",IF($G1959&lt;nr_MStartP,$S1959,$T1947*(1+IF($G1959&lt;nr_MStartP1,$M$1912,$N$1912))))</f>
        <v/>
      </c>
      <c r="U1959" s="208">
        <f>IF($L$1912,$T1959,$N1959)</f>
        <v/>
      </c>
    </row>
    <row r="1960">
      <c r="A1960" s="145" t="n">
        <v>46</v>
      </c>
      <c r="B1960" s="204">
        <f>EDATE($B1959,1)</f>
        <v/>
      </c>
      <c r="C1960" s="205">
        <f>EOMONTH($B1960,0)</f>
        <v/>
      </c>
      <c r="D1960" s="201">
        <f>$C1960-$B1960+1</f>
        <v/>
      </c>
      <c r="E1960" s="201">
        <f>MONTH($B1960)</f>
        <v/>
      </c>
      <c r="F1960" s="235">
        <f>($B1960+$C1960+1)/2</f>
        <v/>
      </c>
      <c r="G1960" s="201">
        <f>YEAR($B1960)*12+MONTH($B1960)-1</f>
        <v/>
      </c>
      <c r="H1960" s="207">
        <f>IF(OR(nr_SeasonOn="OFF",$D$1912=0,$E$1912=0),1,12*INDEX(se_block,$D$1912,$E1960)/$E$1912)</f>
        <v/>
      </c>
      <c r="I1960" s="208">
        <f>EXP(SUMPRODUCT((rl_eff&lt;$B1960)*(rl_key=$A$1912)*rl_ln1p))</f>
        <v/>
      </c>
      <c r="J1960" s="208">
        <f>EXP(SUMPRODUCT((rl_eff&lt;=$C1960)*(rl_key=$A$1912)*rl_ln1p))</f>
        <v/>
      </c>
      <c r="K1960" s="201">
        <f>COUNTIFS(rl_key,$A$1912,rl_eff,"&gt;="&amp;$B1960,rl_eff,"&lt;="&amp;$C1960)</f>
        <v/>
      </c>
      <c r="L1960" s="201">
        <f>SUMIFS(rl_daysafter,rl_key,$A$1912,rl_effmonth,$B1960,rl_first,1)</f>
        <v/>
      </c>
      <c r="M1960" s="209">
        <f>IF($K1960=0,0,MIN(1,$L1960/$D1960))</f>
        <v/>
      </c>
      <c r="N1960" s="208">
        <f>IF($K1960=0,$J1960,(1-$M1960)*$I1960+$M1960*$J1960)</f>
        <v/>
      </c>
      <c r="O1960" s="209">
        <f>IF($F1960&lt;$B$1913,$E$1913+$I$1913*($F1960-$A$1913),IF($F1960&lt;$C$1913,$F$1913+$J$1913*($F1960-$B$1913),$G$1913+$K$1913*($F1960-$C$1913)))</f>
        <v/>
      </c>
      <c r="P1960" s="208">
        <f>MIN(1,MAX(0,(nr_MEndPm1-$G1960+0.5)/$C$1912))-MIN(1,MAX(0,(nr_MStartPm1-1-$G1960+0.5)/$C$1912))</f>
        <v/>
      </c>
      <c r="Q1960" s="208">
        <f>MIN(1,MAX(0,(nr_MEndP-$G1960+0.5)/$C$1912))-MIN(1,MAX(0,(nr_MStartP-1-$G1960+0.5)/$C$1912))</f>
        <v/>
      </c>
      <c r="R1960" s="208">
        <f>MIN(1,MAX(0,(nr_MEndP1-$G1960+0.5)/$C$1912))-MIN(1,MAX(0,(nr_MStartP1-1-$G1960+0.5)/$C$1912))</f>
        <v/>
      </c>
      <c r="S1960" s="208">
        <f>IF($L$1912,$N1960*IF($O$1912=1,$O1960/$F$1912,1),"")</f>
        <v/>
      </c>
      <c r="T1960" s="208">
        <f>IF(NOT($L$1912),"",IF($G1960&lt;nr_MStartP,$S1960,$T1948*(1+IF($G1960&lt;nr_MStartP1,$M$1912,$N$1912))))</f>
        <v/>
      </c>
      <c r="U1960" s="208">
        <f>IF($L$1912,$T1960,$N1960)</f>
        <v/>
      </c>
    </row>
    <row r="1961">
      <c r="A1961" s="145" t="n">
        <v>47</v>
      </c>
      <c r="B1961" s="204">
        <f>EDATE($B1960,1)</f>
        <v/>
      </c>
      <c r="C1961" s="205">
        <f>EOMONTH($B1961,0)</f>
        <v/>
      </c>
      <c r="D1961" s="201">
        <f>$C1961-$B1961+1</f>
        <v/>
      </c>
      <c r="E1961" s="201">
        <f>MONTH($B1961)</f>
        <v/>
      </c>
      <c r="F1961" s="235">
        <f>($B1961+$C1961+1)/2</f>
        <v/>
      </c>
      <c r="G1961" s="201">
        <f>YEAR($B1961)*12+MONTH($B1961)-1</f>
        <v/>
      </c>
      <c r="H1961" s="207">
        <f>IF(OR(nr_SeasonOn="OFF",$D$1912=0,$E$1912=0),1,12*INDEX(se_block,$D$1912,$E1961)/$E$1912)</f>
        <v/>
      </c>
      <c r="I1961" s="208">
        <f>EXP(SUMPRODUCT((rl_eff&lt;$B1961)*(rl_key=$A$1912)*rl_ln1p))</f>
        <v/>
      </c>
      <c r="J1961" s="208">
        <f>EXP(SUMPRODUCT((rl_eff&lt;=$C1961)*(rl_key=$A$1912)*rl_ln1p))</f>
        <v/>
      </c>
      <c r="K1961" s="201">
        <f>COUNTIFS(rl_key,$A$1912,rl_eff,"&gt;="&amp;$B1961,rl_eff,"&lt;="&amp;$C1961)</f>
        <v/>
      </c>
      <c r="L1961" s="201">
        <f>SUMIFS(rl_daysafter,rl_key,$A$1912,rl_effmonth,$B1961,rl_first,1)</f>
        <v/>
      </c>
      <c r="M1961" s="209">
        <f>IF($K1961=0,0,MIN(1,$L1961/$D1961))</f>
        <v/>
      </c>
      <c r="N1961" s="208">
        <f>IF($K1961=0,$J1961,(1-$M1961)*$I1961+$M1961*$J1961)</f>
        <v/>
      </c>
      <c r="O1961" s="209">
        <f>IF($F1961&lt;$B$1913,$E$1913+$I$1913*($F1961-$A$1913),IF($F1961&lt;$C$1913,$F$1913+$J$1913*($F1961-$B$1913),$G$1913+$K$1913*($F1961-$C$1913)))</f>
        <v/>
      </c>
      <c r="P1961" s="208">
        <f>MIN(1,MAX(0,(nr_MEndPm1-$G1961+0.5)/$C$1912))-MIN(1,MAX(0,(nr_MStartPm1-1-$G1961+0.5)/$C$1912))</f>
        <v/>
      </c>
      <c r="Q1961" s="208">
        <f>MIN(1,MAX(0,(nr_MEndP-$G1961+0.5)/$C$1912))-MIN(1,MAX(0,(nr_MStartP-1-$G1961+0.5)/$C$1912))</f>
        <v/>
      </c>
      <c r="R1961" s="208">
        <f>MIN(1,MAX(0,(nr_MEndP1-$G1961+0.5)/$C$1912))-MIN(1,MAX(0,(nr_MStartP1-1-$G1961+0.5)/$C$1912))</f>
        <v/>
      </c>
      <c r="S1961" s="208">
        <f>IF($L$1912,$N1961*IF($O$1912=1,$O1961/$F$1912,1),"")</f>
        <v/>
      </c>
      <c r="T1961" s="208">
        <f>IF(NOT($L$1912),"",IF($G1961&lt;nr_MStartP,$S1961,$T1949*(1+IF($G1961&lt;nr_MStartP1,$M$1912,$N$1912))))</f>
        <v/>
      </c>
      <c r="U1961" s="208">
        <f>IF($L$1912,$T1961,$N1961)</f>
        <v/>
      </c>
    </row>
    <row r="1962">
      <c r="A1962" s="145" t="n">
        <v>48</v>
      </c>
      <c r="B1962" s="204">
        <f>EDATE($B1961,1)</f>
        <v/>
      </c>
      <c r="C1962" s="205">
        <f>EOMONTH($B1962,0)</f>
        <v/>
      </c>
      <c r="D1962" s="201">
        <f>$C1962-$B1962+1</f>
        <v/>
      </c>
      <c r="E1962" s="201">
        <f>MONTH($B1962)</f>
        <v/>
      </c>
      <c r="F1962" s="235">
        <f>($B1962+$C1962+1)/2</f>
        <v/>
      </c>
      <c r="G1962" s="201">
        <f>YEAR($B1962)*12+MONTH($B1962)-1</f>
        <v/>
      </c>
      <c r="H1962" s="207">
        <f>IF(OR(nr_SeasonOn="OFF",$D$1912=0,$E$1912=0),1,12*INDEX(se_block,$D$1912,$E1962)/$E$1912)</f>
        <v/>
      </c>
      <c r="I1962" s="208">
        <f>EXP(SUMPRODUCT((rl_eff&lt;$B1962)*(rl_key=$A$1912)*rl_ln1p))</f>
        <v/>
      </c>
      <c r="J1962" s="208">
        <f>EXP(SUMPRODUCT((rl_eff&lt;=$C1962)*(rl_key=$A$1912)*rl_ln1p))</f>
        <v/>
      </c>
      <c r="K1962" s="201">
        <f>COUNTIFS(rl_key,$A$1912,rl_eff,"&gt;="&amp;$B1962,rl_eff,"&lt;="&amp;$C1962)</f>
        <v/>
      </c>
      <c r="L1962" s="201">
        <f>SUMIFS(rl_daysafter,rl_key,$A$1912,rl_effmonth,$B1962,rl_first,1)</f>
        <v/>
      </c>
      <c r="M1962" s="209">
        <f>IF($K1962=0,0,MIN(1,$L1962/$D1962))</f>
        <v/>
      </c>
      <c r="N1962" s="208">
        <f>IF($K1962=0,$J1962,(1-$M1962)*$I1962+$M1962*$J1962)</f>
        <v/>
      </c>
      <c r="O1962" s="209">
        <f>IF($F1962&lt;$B$1913,$E$1913+$I$1913*($F1962-$A$1913),IF($F1962&lt;$C$1913,$F$1913+$J$1913*($F1962-$B$1913),$G$1913+$K$1913*($F1962-$C$1913)))</f>
        <v/>
      </c>
      <c r="P1962" s="208">
        <f>MIN(1,MAX(0,(nr_MEndPm1-$G1962+0.5)/$C$1912))-MIN(1,MAX(0,(nr_MStartPm1-1-$G1962+0.5)/$C$1912))</f>
        <v/>
      </c>
      <c r="Q1962" s="208">
        <f>MIN(1,MAX(0,(nr_MEndP-$G1962+0.5)/$C$1912))-MIN(1,MAX(0,(nr_MStartP-1-$G1962+0.5)/$C$1912))</f>
        <v/>
      </c>
      <c r="R1962" s="208">
        <f>MIN(1,MAX(0,(nr_MEndP1-$G1962+0.5)/$C$1912))-MIN(1,MAX(0,(nr_MStartP1-1-$G1962+0.5)/$C$1912))</f>
        <v/>
      </c>
      <c r="S1962" s="208">
        <f>IF($L$1912,$N1962*IF($O$1912=1,$O1962/$F$1912,1),"")</f>
        <v/>
      </c>
      <c r="T1962" s="208">
        <f>IF(NOT($L$1912),"",IF($G1962&lt;nr_MStartP,$S1962,$T1950*(1+IF($G1962&lt;nr_MStartP1,$M$1912,$N$1912))))</f>
        <v/>
      </c>
      <c r="U1962" s="208">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184">
        <f>SUMPRODUCT($H$1915:$H$1962,$Q$1915:$Q$1962,$O$1915:$O$1962)/SUMPRODUCT($H$1915:$H$1962,$Q$1915:$Q$1962)</f>
        <v/>
      </c>
      <c r="G1963" s="184">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184">
        <f>IF(N(INDEX(lr_mind,36))=0,1,INDEX(lr_mind,36))</f>
        <v/>
      </c>
      <c r="G1966" s="184">
        <f>IF(N(INDEX(lr_m0,36))=0,1,INDEX(lr_m0,36))</f>
        <v/>
      </c>
      <c r="H1966" s="73">
        <f>IF(N(INDEX(lr_m0asof,36))=0,DATE(nr_PlanYear-1,10,1),INDEX(lr_m0asof,36))</f>
        <v/>
      </c>
      <c r="I1966" s="184">
        <f>IF(N(INDEX(lr_m1,36))=0,1,INDEX(lr_m1,36))</f>
        <v/>
      </c>
      <c r="J1966" s="184">
        <f>INDEX(lr_mprior,36)</f>
        <v/>
      </c>
      <c r="K1966" s="184">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145" t="n">
        <v>1</v>
      </c>
      <c r="B1969" s="204">
        <f>DATE(nr_PlanYear-2,1,1)</f>
        <v/>
      </c>
      <c r="C1969" s="205">
        <f>EOMONTH($B1969,0)</f>
        <v/>
      </c>
      <c r="D1969" s="201">
        <f>$C1969-$B1969+1</f>
        <v/>
      </c>
      <c r="E1969" s="201">
        <f>MONTH($B1969)</f>
        <v/>
      </c>
      <c r="F1969" s="235">
        <f>($B1969+$C1969+1)/2</f>
        <v/>
      </c>
      <c r="G1969" s="201">
        <f>YEAR($B1969)*12+MONTH($B1969)-1</f>
        <v/>
      </c>
      <c r="H1969" s="207">
        <f>IF(OR(nr_SeasonOn="OFF",$D$1966=0,$E$1966=0),1,12*INDEX(se_block,$D$1966,$E1969)/$E$1966)</f>
        <v/>
      </c>
      <c r="I1969" s="208">
        <f>EXP(SUMPRODUCT((rl_eff&lt;$B1969)*(rl_key=$A$1966)*rl_ln1p))</f>
        <v/>
      </c>
      <c r="J1969" s="208">
        <f>EXP(SUMPRODUCT((rl_eff&lt;=$C1969)*(rl_key=$A$1966)*rl_ln1p))</f>
        <v/>
      </c>
      <c r="K1969" s="201">
        <f>COUNTIFS(rl_key,$A$1966,rl_eff,"&gt;="&amp;$B1969,rl_eff,"&lt;="&amp;$C1969)</f>
        <v/>
      </c>
      <c r="L1969" s="201">
        <f>SUMIFS(rl_daysafter,rl_key,$A$1966,rl_effmonth,$B1969,rl_first,1)</f>
        <v/>
      </c>
      <c r="M1969" s="209">
        <f>IF($K1969=0,0,MIN(1,$L1969/$D1969))</f>
        <v/>
      </c>
      <c r="N1969" s="208">
        <f>IF($K1969=0,$J1969,(1-$M1969)*$I1969+$M1969*$J1969)</f>
        <v/>
      </c>
      <c r="O1969" s="209">
        <f>IF($F1969&lt;$B$1967,$E$1967+$I$1967*($F1969-$A$1967),IF($F1969&lt;$C$1967,$F$1967+$J$1967*($F1969-$B$1967),$G$1967+$K$1967*($F1969-$C$1967)))</f>
        <v/>
      </c>
      <c r="P1969" s="208">
        <f>MIN(1,MAX(0,(nr_MEndPm1-$G1969+0.5)/$C$1966))-MIN(1,MAX(0,(nr_MStartPm1-1-$G1969+0.5)/$C$1966))</f>
        <v/>
      </c>
      <c r="Q1969" s="208">
        <f>MIN(1,MAX(0,(nr_MEndP-$G1969+0.5)/$C$1966))-MIN(1,MAX(0,(nr_MStartP-1-$G1969+0.5)/$C$1966))</f>
        <v/>
      </c>
      <c r="R1969" s="208">
        <f>MIN(1,MAX(0,(nr_MEndP1-$G1969+0.5)/$C$1966))-MIN(1,MAX(0,(nr_MStartP1-1-$G1969+0.5)/$C$1966))</f>
        <v/>
      </c>
      <c r="S1969" s="208">
        <f>IF($L$1966,$N1969*IF($O$1966=1,$O1969/$F$1966,1),"")</f>
        <v/>
      </c>
      <c r="T1969" s="208">
        <f>IF(NOT($L$1966),"",IF($G1969&lt;nr_MStartP,$S1969,$T1957*(1+IF($G1969&lt;nr_MStartP1,$M$1966,$N$1966))))</f>
        <v/>
      </c>
      <c r="U1969" s="208">
        <f>IF($L$1966,$T1969,$N1969)</f>
        <v/>
      </c>
    </row>
    <row r="1970">
      <c r="A1970" s="145" t="n">
        <v>2</v>
      </c>
      <c r="B1970" s="204">
        <f>EDATE($B1969,1)</f>
        <v/>
      </c>
      <c r="C1970" s="205">
        <f>EOMONTH($B1970,0)</f>
        <v/>
      </c>
      <c r="D1970" s="201">
        <f>$C1970-$B1970+1</f>
        <v/>
      </c>
      <c r="E1970" s="201">
        <f>MONTH($B1970)</f>
        <v/>
      </c>
      <c r="F1970" s="235">
        <f>($B1970+$C1970+1)/2</f>
        <v/>
      </c>
      <c r="G1970" s="201">
        <f>YEAR($B1970)*12+MONTH($B1970)-1</f>
        <v/>
      </c>
      <c r="H1970" s="207">
        <f>IF(OR(nr_SeasonOn="OFF",$D$1966=0,$E$1966=0),1,12*INDEX(se_block,$D$1966,$E1970)/$E$1966)</f>
        <v/>
      </c>
      <c r="I1970" s="208">
        <f>EXP(SUMPRODUCT((rl_eff&lt;$B1970)*(rl_key=$A$1966)*rl_ln1p))</f>
        <v/>
      </c>
      <c r="J1970" s="208">
        <f>EXP(SUMPRODUCT((rl_eff&lt;=$C1970)*(rl_key=$A$1966)*rl_ln1p))</f>
        <v/>
      </c>
      <c r="K1970" s="201">
        <f>COUNTIFS(rl_key,$A$1966,rl_eff,"&gt;="&amp;$B1970,rl_eff,"&lt;="&amp;$C1970)</f>
        <v/>
      </c>
      <c r="L1970" s="201">
        <f>SUMIFS(rl_daysafter,rl_key,$A$1966,rl_effmonth,$B1970,rl_first,1)</f>
        <v/>
      </c>
      <c r="M1970" s="209">
        <f>IF($K1970=0,0,MIN(1,$L1970/$D1970))</f>
        <v/>
      </c>
      <c r="N1970" s="208">
        <f>IF($K1970=0,$J1970,(1-$M1970)*$I1970+$M1970*$J1970)</f>
        <v/>
      </c>
      <c r="O1970" s="209">
        <f>IF($F1970&lt;$B$1967,$E$1967+$I$1967*($F1970-$A$1967),IF($F1970&lt;$C$1967,$F$1967+$J$1967*($F1970-$B$1967),$G$1967+$K$1967*($F1970-$C$1967)))</f>
        <v/>
      </c>
      <c r="P1970" s="208">
        <f>MIN(1,MAX(0,(nr_MEndPm1-$G1970+0.5)/$C$1966))-MIN(1,MAX(0,(nr_MStartPm1-1-$G1970+0.5)/$C$1966))</f>
        <v/>
      </c>
      <c r="Q1970" s="208">
        <f>MIN(1,MAX(0,(nr_MEndP-$G1970+0.5)/$C$1966))-MIN(1,MAX(0,(nr_MStartP-1-$G1970+0.5)/$C$1966))</f>
        <v/>
      </c>
      <c r="R1970" s="208">
        <f>MIN(1,MAX(0,(nr_MEndP1-$G1970+0.5)/$C$1966))-MIN(1,MAX(0,(nr_MStartP1-1-$G1970+0.5)/$C$1966))</f>
        <v/>
      </c>
      <c r="S1970" s="208">
        <f>IF($L$1966,$N1970*IF($O$1966=1,$O1970/$F$1966,1),"")</f>
        <v/>
      </c>
      <c r="T1970" s="208">
        <f>IF(NOT($L$1966),"",IF($G1970&lt;nr_MStartP,$S1970,$T1958*(1+IF($G1970&lt;nr_MStartP1,$M$1966,$N$1966))))</f>
        <v/>
      </c>
      <c r="U1970" s="208">
        <f>IF($L$1966,$T1970,$N1970)</f>
        <v/>
      </c>
    </row>
    <row r="1971">
      <c r="A1971" s="145" t="n">
        <v>3</v>
      </c>
      <c r="B1971" s="204">
        <f>EDATE($B1970,1)</f>
        <v/>
      </c>
      <c r="C1971" s="205">
        <f>EOMONTH($B1971,0)</f>
        <v/>
      </c>
      <c r="D1971" s="201">
        <f>$C1971-$B1971+1</f>
        <v/>
      </c>
      <c r="E1971" s="201">
        <f>MONTH($B1971)</f>
        <v/>
      </c>
      <c r="F1971" s="235">
        <f>($B1971+$C1971+1)/2</f>
        <v/>
      </c>
      <c r="G1971" s="201">
        <f>YEAR($B1971)*12+MONTH($B1971)-1</f>
        <v/>
      </c>
      <c r="H1971" s="207">
        <f>IF(OR(nr_SeasonOn="OFF",$D$1966=0,$E$1966=0),1,12*INDEX(se_block,$D$1966,$E1971)/$E$1966)</f>
        <v/>
      </c>
      <c r="I1971" s="208">
        <f>EXP(SUMPRODUCT((rl_eff&lt;$B1971)*(rl_key=$A$1966)*rl_ln1p))</f>
        <v/>
      </c>
      <c r="J1971" s="208">
        <f>EXP(SUMPRODUCT((rl_eff&lt;=$C1971)*(rl_key=$A$1966)*rl_ln1p))</f>
        <v/>
      </c>
      <c r="K1971" s="201">
        <f>COUNTIFS(rl_key,$A$1966,rl_eff,"&gt;="&amp;$B1971,rl_eff,"&lt;="&amp;$C1971)</f>
        <v/>
      </c>
      <c r="L1971" s="201">
        <f>SUMIFS(rl_daysafter,rl_key,$A$1966,rl_effmonth,$B1971,rl_first,1)</f>
        <v/>
      </c>
      <c r="M1971" s="209">
        <f>IF($K1971=0,0,MIN(1,$L1971/$D1971))</f>
        <v/>
      </c>
      <c r="N1971" s="208">
        <f>IF($K1971=0,$J1971,(1-$M1971)*$I1971+$M1971*$J1971)</f>
        <v/>
      </c>
      <c r="O1971" s="209">
        <f>IF($F1971&lt;$B$1967,$E$1967+$I$1967*($F1971-$A$1967),IF($F1971&lt;$C$1967,$F$1967+$J$1967*($F1971-$B$1967),$G$1967+$K$1967*($F1971-$C$1967)))</f>
        <v/>
      </c>
      <c r="P1971" s="208">
        <f>MIN(1,MAX(0,(nr_MEndPm1-$G1971+0.5)/$C$1966))-MIN(1,MAX(0,(nr_MStartPm1-1-$G1971+0.5)/$C$1966))</f>
        <v/>
      </c>
      <c r="Q1971" s="208">
        <f>MIN(1,MAX(0,(nr_MEndP-$G1971+0.5)/$C$1966))-MIN(1,MAX(0,(nr_MStartP-1-$G1971+0.5)/$C$1966))</f>
        <v/>
      </c>
      <c r="R1971" s="208">
        <f>MIN(1,MAX(0,(nr_MEndP1-$G1971+0.5)/$C$1966))-MIN(1,MAX(0,(nr_MStartP1-1-$G1971+0.5)/$C$1966))</f>
        <v/>
      </c>
      <c r="S1971" s="208">
        <f>IF($L$1966,$N1971*IF($O$1966=1,$O1971/$F$1966,1),"")</f>
        <v/>
      </c>
      <c r="T1971" s="208">
        <f>IF(NOT($L$1966),"",IF($G1971&lt;nr_MStartP,$S1971,$T1959*(1+IF($G1971&lt;nr_MStartP1,$M$1966,$N$1966))))</f>
        <v/>
      </c>
      <c r="U1971" s="208">
        <f>IF($L$1966,$T1971,$N1971)</f>
        <v/>
      </c>
    </row>
    <row r="1972">
      <c r="A1972" s="145" t="n">
        <v>4</v>
      </c>
      <c r="B1972" s="204">
        <f>EDATE($B1971,1)</f>
        <v/>
      </c>
      <c r="C1972" s="205">
        <f>EOMONTH($B1972,0)</f>
        <v/>
      </c>
      <c r="D1972" s="201">
        <f>$C1972-$B1972+1</f>
        <v/>
      </c>
      <c r="E1972" s="201">
        <f>MONTH($B1972)</f>
        <v/>
      </c>
      <c r="F1972" s="235">
        <f>($B1972+$C1972+1)/2</f>
        <v/>
      </c>
      <c r="G1972" s="201">
        <f>YEAR($B1972)*12+MONTH($B1972)-1</f>
        <v/>
      </c>
      <c r="H1972" s="207">
        <f>IF(OR(nr_SeasonOn="OFF",$D$1966=0,$E$1966=0),1,12*INDEX(se_block,$D$1966,$E1972)/$E$1966)</f>
        <v/>
      </c>
      <c r="I1972" s="208">
        <f>EXP(SUMPRODUCT((rl_eff&lt;$B1972)*(rl_key=$A$1966)*rl_ln1p))</f>
        <v/>
      </c>
      <c r="J1972" s="208">
        <f>EXP(SUMPRODUCT((rl_eff&lt;=$C1972)*(rl_key=$A$1966)*rl_ln1p))</f>
        <v/>
      </c>
      <c r="K1972" s="201">
        <f>COUNTIFS(rl_key,$A$1966,rl_eff,"&gt;="&amp;$B1972,rl_eff,"&lt;="&amp;$C1972)</f>
        <v/>
      </c>
      <c r="L1972" s="201">
        <f>SUMIFS(rl_daysafter,rl_key,$A$1966,rl_effmonth,$B1972,rl_first,1)</f>
        <v/>
      </c>
      <c r="M1972" s="209">
        <f>IF($K1972=0,0,MIN(1,$L1972/$D1972))</f>
        <v/>
      </c>
      <c r="N1972" s="208">
        <f>IF($K1972=0,$J1972,(1-$M1972)*$I1972+$M1972*$J1972)</f>
        <v/>
      </c>
      <c r="O1972" s="209">
        <f>IF($F1972&lt;$B$1967,$E$1967+$I$1967*($F1972-$A$1967),IF($F1972&lt;$C$1967,$F$1967+$J$1967*($F1972-$B$1967),$G$1967+$K$1967*($F1972-$C$1967)))</f>
        <v/>
      </c>
      <c r="P1972" s="208">
        <f>MIN(1,MAX(0,(nr_MEndPm1-$G1972+0.5)/$C$1966))-MIN(1,MAX(0,(nr_MStartPm1-1-$G1972+0.5)/$C$1966))</f>
        <v/>
      </c>
      <c r="Q1972" s="208">
        <f>MIN(1,MAX(0,(nr_MEndP-$G1972+0.5)/$C$1966))-MIN(1,MAX(0,(nr_MStartP-1-$G1972+0.5)/$C$1966))</f>
        <v/>
      </c>
      <c r="R1972" s="208">
        <f>MIN(1,MAX(0,(nr_MEndP1-$G1972+0.5)/$C$1966))-MIN(1,MAX(0,(nr_MStartP1-1-$G1972+0.5)/$C$1966))</f>
        <v/>
      </c>
      <c r="S1972" s="208">
        <f>IF($L$1966,$N1972*IF($O$1966=1,$O1972/$F$1966,1),"")</f>
        <v/>
      </c>
      <c r="T1972" s="208">
        <f>IF(NOT($L$1966),"",IF($G1972&lt;nr_MStartP,$S1972,$T1960*(1+IF($G1972&lt;nr_MStartP1,$M$1966,$N$1966))))</f>
        <v/>
      </c>
      <c r="U1972" s="208">
        <f>IF($L$1966,$T1972,$N1972)</f>
        <v/>
      </c>
    </row>
    <row r="1973">
      <c r="A1973" s="145" t="n">
        <v>5</v>
      </c>
      <c r="B1973" s="204">
        <f>EDATE($B1972,1)</f>
        <v/>
      </c>
      <c r="C1973" s="205">
        <f>EOMONTH($B1973,0)</f>
        <v/>
      </c>
      <c r="D1973" s="201">
        <f>$C1973-$B1973+1</f>
        <v/>
      </c>
      <c r="E1973" s="201">
        <f>MONTH($B1973)</f>
        <v/>
      </c>
      <c r="F1973" s="235">
        <f>($B1973+$C1973+1)/2</f>
        <v/>
      </c>
      <c r="G1973" s="201">
        <f>YEAR($B1973)*12+MONTH($B1973)-1</f>
        <v/>
      </c>
      <c r="H1973" s="207">
        <f>IF(OR(nr_SeasonOn="OFF",$D$1966=0,$E$1966=0),1,12*INDEX(se_block,$D$1966,$E1973)/$E$1966)</f>
        <v/>
      </c>
      <c r="I1973" s="208">
        <f>EXP(SUMPRODUCT((rl_eff&lt;$B1973)*(rl_key=$A$1966)*rl_ln1p))</f>
        <v/>
      </c>
      <c r="J1973" s="208">
        <f>EXP(SUMPRODUCT((rl_eff&lt;=$C1973)*(rl_key=$A$1966)*rl_ln1p))</f>
        <v/>
      </c>
      <c r="K1973" s="201">
        <f>COUNTIFS(rl_key,$A$1966,rl_eff,"&gt;="&amp;$B1973,rl_eff,"&lt;="&amp;$C1973)</f>
        <v/>
      </c>
      <c r="L1973" s="201">
        <f>SUMIFS(rl_daysafter,rl_key,$A$1966,rl_effmonth,$B1973,rl_first,1)</f>
        <v/>
      </c>
      <c r="M1973" s="209">
        <f>IF($K1973=0,0,MIN(1,$L1973/$D1973))</f>
        <v/>
      </c>
      <c r="N1973" s="208">
        <f>IF($K1973=0,$J1973,(1-$M1973)*$I1973+$M1973*$J1973)</f>
        <v/>
      </c>
      <c r="O1973" s="209">
        <f>IF($F1973&lt;$B$1967,$E$1967+$I$1967*($F1973-$A$1967),IF($F1973&lt;$C$1967,$F$1967+$J$1967*($F1973-$B$1967),$G$1967+$K$1967*($F1973-$C$1967)))</f>
        <v/>
      </c>
      <c r="P1973" s="208">
        <f>MIN(1,MAX(0,(nr_MEndPm1-$G1973+0.5)/$C$1966))-MIN(1,MAX(0,(nr_MStartPm1-1-$G1973+0.5)/$C$1966))</f>
        <v/>
      </c>
      <c r="Q1973" s="208">
        <f>MIN(1,MAX(0,(nr_MEndP-$G1973+0.5)/$C$1966))-MIN(1,MAX(0,(nr_MStartP-1-$G1973+0.5)/$C$1966))</f>
        <v/>
      </c>
      <c r="R1973" s="208">
        <f>MIN(1,MAX(0,(nr_MEndP1-$G1973+0.5)/$C$1966))-MIN(1,MAX(0,(nr_MStartP1-1-$G1973+0.5)/$C$1966))</f>
        <v/>
      </c>
      <c r="S1973" s="208">
        <f>IF($L$1966,$N1973*IF($O$1966=1,$O1973/$F$1966,1),"")</f>
        <v/>
      </c>
      <c r="T1973" s="208">
        <f>IF(NOT($L$1966),"",IF($G1973&lt;nr_MStartP,$S1973,$T1961*(1+IF($G1973&lt;nr_MStartP1,$M$1966,$N$1966))))</f>
        <v/>
      </c>
      <c r="U1973" s="208">
        <f>IF($L$1966,$T1973,$N1973)</f>
        <v/>
      </c>
    </row>
    <row r="1974">
      <c r="A1974" s="145" t="n">
        <v>6</v>
      </c>
      <c r="B1974" s="204">
        <f>EDATE($B1973,1)</f>
        <v/>
      </c>
      <c r="C1974" s="205">
        <f>EOMONTH($B1974,0)</f>
        <v/>
      </c>
      <c r="D1974" s="201">
        <f>$C1974-$B1974+1</f>
        <v/>
      </c>
      <c r="E1974" s="201">
        <f>MONTH($B1974)</f>
        <v/>
      </c>
      <c r="F1974" s="235">
        <f>($B1974+$C1974+1)/2</f>
        <v/>
      </c>
      <c r="G1974" s="201">
        <f>YEAR($B1974)*12+MONTH($B1974)-1</f>
        <v/>
      </c>
      <c r="H1974" s="207">
        <f>IF(OR(nr_SeasonOn="OFF",$D$1966=0,$E$1966=0),1,12*INDEX(se_block,$D$1966,$E1974)/$E$1966)</f>
        <v/>
      </c>
      <c r="I1974" s="208">
        <f>EXP(SUMPRODUCT((rl_eff&lt;$B1974)*(rl_key=$A$1966)*rl_ln1p))</f>
        <v/>
      </c>
      <c r="J1974" s="208">
        <f>EXP(SUMPRODUCT((rl_eff&lt;=$C1974)*(rl_key=$A$1966)*rl_ln1p))</f>
        <v/>
      </c>
      <c r="K1974" s="201">
        <f>COUNTIFS(rl_key,$A$1966,rl_eff,"&gt;="&amp;$B1974,rl_eff,"&lt;="&amp;$C1974)</f>
        <v/>
      </c>
      <c r="L1974" s="201">
        <f>SUMIFS(rl_daysafter,rl_key,$A$1966,rl_effmonth,$B1974,rl_first,1)</f>
        <v/>
      </c>
      <c r="M1974" s="209">
        <f>IF($K1974=0,0,MIN(1,$L1974/$D1974))</f>
        <v/>
      </c>
      <c r="N1974" s="208">
        <f>IF($K1974=0,$J1974,(1-$M1974)*$I1974+$M1974*$J1974)</f>
        <v/>
      </c>
      <c r="O1974" s="209">
        <f>IF($F1974&lt;$B$1967,$E$1967+$I$1967*($F1974-$A$1967),IF($F1974&lt;$C$1967,$F$1967+$J$1967*($F1974-$B$1967),$G$1967+$K$1967*($F1974-$C$1967)))</f>
        <v/>
      </c>
      <c r="P1974" s="208">
        <f>MIN(1,MAX(0,(nr_MEndPm1-$G1974+0.5)/$C$1966))-MIN(1,MAX(0,(nr_MStartPm1-1-$G1974+0.5)/$C$1966))</f>
        <v/>
      </c>
      <c r="Q1974" s="208">
        <f>MIN(1,MAX(0,(nr_MEndP-$G1974+0.5)/$C$1966))-MIN(1,MAX(0,(nr_MStartP-1-$G1974+0.5)/$C$1966))</f>
        <v/>
      </c>
      <c r="R1974" s="208">
        <f>MIN(1,MAX(0,(nr_MEndP1-$G1974+0.5)/$C$1966))-MIN(1,MAX(0,(nr_MStartP1-1-$G1974+0.5)/$C$1966))</f>
        <v/>
      </c>
      <c r="S1974" s="208">
        <f>IF($L$1966,$N1974*IF($O$1966=1,$O1974/$F$1966,1),"")</f>
        <v/>
      </c>
      <c r="T1974" s="208">
        <f>IF(NOT($L$1966),"",IF($G1974&lt;nr_MStartP,$S1974,$T1962*(1+IF($G1974&lt;nr_MStartP1,$M$1966,$N$1966))))</f>
        <v/>
      </c>
      <c r="U1974" s="208">
        <f>IF($L$1966,$T1974,$N1974)</f>
        <v/>
      </c>
    </row>
    <row r="1975">
      <c r="A1975" s="145" t="n">
        <v>7</v>
      </c>
      <c r="B1975" s="204">
        <f>EDATE($B1974,1)</f>
        <v/>
      </c>
      <c r="C1975" s="205">
        <f>EOMONTH($B1975,0)</f>
        <v/>
      </c>
      <c r="D1975" s="201">
        <f>$C1975-$B1975+1</f>
        <v/>
      </c>
      <c r="E1975" s="201">
        <f>MONTH($B1975)</f>
        <v/>
      </c>
      <c r="F1975" s="235">
        <f>($B1975+$C1975+1)/2</f>
        <v/>
      </c>
      <c r="G1975" s="201">
        <f>YEAR($B1975)*12+MONTH($B1975)-1</f>
        <v/>
      </c>
      <c r="H1975" s="207">
        <f>IF(OR(nr_SeasonOn="OFF",$D$1966=0,$E$1966=0),1,12*INDEX(se_block,$D$1966,$E1975)/$E$1966)</f>
        <v/>
      </c>
      <c r="I1975" s="208">
        <f>EXP(SUMPRODUCT((rl_eff&lt;$B1975)*(rl_key=$A$1966)*rl_ln1p))</f>
        <v/>
      </c>
      <c r="J1975" s="208">
        <f>EXP(SUMPRODUCT((rl_eff&lt;=$C1975)*(rl_key=$A$1966)*rl_ln1p))</f>
        <v/>
      </c>
      <c r="K1975" s="201">
        <f>COUNTIFS(rl_key,$A$1966,rl_eff,"&gt;="&amp;$B1975,rl_eff,"&lt;="&amp;$C1975)</f>
        <v/>
      </c>
      <c r="L1975" s="201">
        <f>SUMIFS(rl_daysafter,rl_key,$A$1966,rl_effmonth,$B1975,rl_first,1)</f>
        <v/>
      </c>
      <c r="M1975" s="209">
        <f>IF($K1975=0,0,MIN(1,$L1975/$D1975))</f>
        <v/>
      </c>
      <c r="N1975" s="208">
        <f>IF($K1975=0,$J1975,(1-$M1975)*$I1975+$M1975*$J1975)</f>
        <v/>
      </c>
      <c r="O1975" s="209">
        <f>IF($F1975&lt;$B$1967,$E$1967+$I$1967*($F1975-$A$1967),IF($F1975&lt;$C$1967,$F$1967+$J$1967*($F1975-$B$1967),$G$1967+$K$1967*($F1975-$C$1967)))</f>
        <v/>
      </c>
      <c r="P1975" s="208">
        <f>MIN(1,MAX(0,(nr_MEndPm1-$G1975+0.5)/$C$1966))-MIN(1,MAX(0,(nr_MStartPm1-1-$G1975+0.5)/$C$1966))</f>
        <v/>
      </c>
      <c r="Q1975" s="208">
        <f>MIN(1,MAX(0,(nr_MEndP-$G1975+0.5)/$C$1966))-MIN(1,MAX(0,(nr_MStartP-1-$G1975+0.5)/$C$1966))</f>
        <v/>
      </c>
      <c r="R1975" s="208">
        <f>MIN(1,MAX(0,(nr_MEndP1-$G1975+0.5)/$C$1966))-MIN(1,MAX(0,(nr_MStartP1-1-$G1975+0.5)/$C$1966))</f>
        <v/>
      </c>
      <c r="S1975" s="208">
        <f>IF($L$1966,$N1975*IF($O$1966=1,$O1975/$F$1966,1),"")</f>
        <v/>
      </c>
      <c r="T1975" s="208">
        <f>IF(NOT($L$1966),"",IF($G1975&lt;nr_MStartP,$S1975,$T1963*(1+IF($G1975&lt;nr_MStartP1,$M$1966,$N$1966))))</f>
        <v/>
      </c>
      <c r="U1975" s="208">
        <f>IF($L$1966,$T1975,$N1975)</f>
        <v/>
      </c>
    </row>
    <row r="1976">
      <c r="A1976" s="145" t="n">
        <v>8</v>
      </c>
      <c r="B1976" s="204">
        <f>EDATE($B1975,1)</f>
        <v/>
      </c>
      <c r="C1976" s="205">
        <f>EOMONTH($B1976,0)</f>
        <v/>
      </c>
      <c r="D1976" s="201">
        <f>$C1976-$B1976+1</f>
        <v/>
      </c>
      <c r="E1976" s="201">
        <f>MONTH($B1976)</f>
        <v/>
      </c>
      <c r="F1976" s="235">
        <f>($B1976+$C1976+1)/2</f>
        <v/>
      </c>
      <c r="G1976" s="201">
        <f>YEAR($B1976)*12+MONTH($B1976)-1</f>
        <v/>
      </c>
      <c r="H1976" s="207">
        <f>IF(OR(nr_SeasonOn="OFF",$D$1966=0,$E$1966=0),1,12*INDEX(se_block,$D$1966,$E1976)/$E$1966)</f>
        <v/>
      </c>
      <c r="I1976" s="208">
        <f>EXP(SUMPRODUCT((rl_eff&lt;$B1976)*(rl_key=$A$1966)*rl_ln1p))</f>
        <v/>
      </c>
      <c r="J1976" s="208">
        <f>EXP(SUMPRODUCT((rl_eff&lt;=$C1976)*(rl_key=$A$1966)*rl_ln1p))</f>
        <v/>
      </c>
      <c r="K1976" s="201">
        <f>COUNTIFS(rl_key,$A$1966,rl_eff,"&gt;="&amp;$B1976,rl_eff,"&lt;="&amp;$C1976)</f>
        <v/>
      </c>
      <c r="L1976" s="201">
        <f>SUMIFS(rl_daysafter,rl_key,$A$1966,rl_effmonth,$B1976,rl_first,1)</f>
        <v/>
      </c>
      <c r="M1976" s="209">
        <f>IF($K1976=0,0,MIN(1,$L1976/$D1976))</f>
        <v/>
      </c>
      <c r="N1976" s="208">
        <f>IF($K1976=0,$J1976,(1-$M1976)*$I1976+$M1976*$J1976)</f>
        <v/>
      </c>
      <c r="O1976" s="209">
        <f>IF($F1976&lt;$B$1967,$E$1967+$I$1967*($F1976-$A$1967),IF($F1976&lt;$C$1967,$F$1967+$J$1967*($F1976-$B$1967),$G$1967+$K$1967*($F1976-$C$1967)))</f>
        <v/>
      </c>
      <c r="P1976" s="208">
        <f>MIN(1,MAX(0,(nr_MEndPm1-$G1976+0.5)/$C$1966))-MIN(1,MAX(0,(nr_MStartPm1-1-$G1976+0.5)/$C$1966))</f>
        <v/>
      </c>
      <c r="Q1976" s="208">
        <f>MIN(1,MAX(0,(nr_MEndP-$G1976+0.5)/$C$1966))-MIN(1,MAX(0,(nr_MStartP-1-$G1976+0.5)/$C$1966))</f>
        <v/>
      </c>
      <c r="R1976" s="208">
        <f>MIN(1,MAX(0,(nr_MEndP1-$G1976+0.5)/$C$1966))-MIN(1,MAX(0,(nr_MStartP1-1-$G1976+0.5)/$C$1966))</f>
        <v/>
      </c>
      <c r="S1976" s="208">
        <f>IF($L$1966,$N1976*IF($O$1966=1,$O1976/$F$1966,1),"")</f>
        <v/>
      </c>
      <c r="T1976" s="208">
        <f>IF(NOT($L$1966),"",IF($G1976&lt;nr_MStartP,$S1976,$T1964*(1+IF($G1976&lt;nr_MStartP1,$M$1966,$N$1966))))</f>
        <v/>
      </c>
      <c r="U1976" s="208">
        <f>IF($L$1966,$T1976,$N1976)</f>
        <v/>
      </c>
    </row>
    <row r="1977">
      <c r="A1977" s="145" t="n">
        <v>9</v>
      </c>
      <c r="B1977" s="204">
        <f>EDATE($B1976,1)</f>
        <v/>
      </c>
      <c r="C1977" s="205">
        <f>EOMONTH($B1977,0)</f>
        <v/>
      </c>
      <c r="D1977" s="201">
        <f>$C1977-$B1977+1</f>
        <v/>
      </c>
      <c r="E1977" s="201">
        <f>MONTH($B1977)</f>
        <v/>
      </c>
      <c r="F1977" s="235">
        <f>($B1977+$C1977+1)/2</f>
        <v/>
      </c>
      <c r="G1977" s="201">
        <f>YEAR($B1977)*12+MONTH($B1977)-1</f>
        <v/>
      </c>
      <c r="H1977" s="207">
        <f>IF(OR(nr_SeasonOn="OFF",$D$1966=0,$E$1966=0),1,12*INDEX(se_block,$D$1966,$E1977)/$E$1966)</f>
        <v/>
      </c>
      <c r="I1977" s="208">
        <f>EXP(SUMPRODUCT((rl_eff&lt;$B1977)*(rl_key=$A$1966)*rl_ln1p))</f>
        <v/>
      </c>
      <c r="J1977" s="208">
        <f>EXP(SUMPRODUCT((rl_eff&lt;=$C1977)*(rl_key=$A$1966)*rl_ln1p))</f>
        <v/>
      </c>
      <c r="K1977" s="201">
        <f>COUNTIFS(rl_key,$A$1966,rl_eff,"&gt;="&amp;$B1977,rl_eff,"&lt;="&amp;$C1977)</f>
        <v/>
      </c>
      <c r="L1977" s="201">
        <f>SUMIFS(rl_daysafter,rl_key,$A$1966,rl_effmonth,$B1977,rl_first,1)</f>
        <v/>
      </c>
      <c r="M1977" s="209">
        <f>IF($K1977=0,0,MIN(1,$L1977/$D1977))</f>
        <v/>
      </c>
      <c r="N1977" s="208">
        <f>IF($K1977=0,$J1977,(1-$M1977)*$I1977+$M1977*$J1977)</f>
        <v/>
      </c>
      <c r="O1977" s="209">
        <f>IF($F1977&lt;$B$1967,$E$1967+$I$1967*($F1977-$A$1967),IF($F1977&lt;$C$1967,$F$1967+$J$1967*($F1977-$B$1967),$G$1967+$K$1967*($F1977-$C$1967)))</f>
        <v/>
      </c>
      <c r="P1977" s="208">
        <f>MIN(1,MAX(0,(nr_MEndPm1-$G1977+0.5)/$C$1966))-MIN(1,MAX(0,(nr_MStartPm1-1-$G1977+0.5)/$C$1966))</f>
        <v/>
      </c>
      <c r="Q1977" s="208">
        <f>MIN(1,MAX(0,(nr_MEndP-$G1977+0.5)/$C$1966))-MIN(1,MAX(0,(nr_MStartP-1-$G1977+0.5)/$C$1966))</f>
        <v/>
      </c>
      <c r="R1977" s="208">
        <f>MIN(1,MAX(0,(nr_MEndP1-$G1977+0.5)/$C$1966))-MIN(1,MAX(0,(nr_MStartP1-1-$G1977+0.5)/$C$1966))</f>
        <v/>
      </c>
      <c r="S1977" s="208">
        <f>IF($L$1966,$N1977*IF($O$1966=1,$O1977/$F$1966,1),"")</f>
        <v/>
      </c>
      <c r="T1977" s="208">
        <f>IF(NOT($L$1966),"",IF($G1977&lt;nr_MStartP,$S1977,$T1965*(1+IF($G1977&lt;nr_MStartP1,$M$1966,$N$1966))))</f>
        <v/>
      </c>
      <c r="U1977" s="208">
        <f>IF($L$1966,$T1977,$N1977)</f>
        <v/>
      </c>
    </row>
    <row r="1978">
      <c r="A1978" s="145" t="n">
        <v>10</v>
      </c>
      <c r="B1978" s="204">
        <f>EDATE($B1977,1)</f>
        <v/>
      </c>
      <c r="C1978" s="205">
        <f>EOMONTH($B1978,0)</f>
        <v/>
      </c>
      <c r="D1978" s="201">
        <f>$C1978-$B1978+1</f>
        <v/>
      </c>
      <c r="E1978" s="201">
        <f>MONTH($B1978)</f>
        <v/>
      </c>
      <c r="F1978" s="235">
        <f>($B1978+$C1978+1)/2</f>
        <v/>
      </c>
      <c r="G1978" s="201">
        <f>YEAR($B1978)*12+MONTH($B1978)-1</f>
        <v/>
      </c>
      <c r="H1978" s="207">
        <f>IF(OR(nr_SeasonOn="OFF",$D$1966=0,$E$1966=0),1,12*INDEX(se_block,$D$1966,$E1978)/$E$1966)</f>
        <v/>
      </c>
      <c r="I1978" s="208">
        <f>EXP(SUMPRODUCT((rl_eff&lt;$B1978)*(rl_key=$A$1966)*rl_ln1p))</f>
        <v/>
      </c>
      <c r="J1978" s="208">
        <f>EXP(SUMPRODUCT((rl_eff&lt;=$C1978)*(rl_key=$A$1966)*rl_ln1p))</f>
        <v/>
      </c>
      <c r="K1978" s="201">
        <f>COUNTIFS(rl_key,$A$1966,rl_eff,"&gt;="&amp;$B1978,rl_eff,"&lt;="&amp;$C1978)</f>
        <v/>
      </c>
      <c r="L1978" s="201">
        <f>SUMIFS(rl_daysafter,rl_key,$A$1966,rl_effmonth,$B1978,rl_first,1)</f>
        <v/>
      </c>
      <c r="M1978" s="209">
        <f>IF($K1978=0,0,MIN(1,$L1978/$D1978))</f>
        <v/>
      </c>
      <c r="N1978" s="208">
        <f>IF($K1978=0,$J1978,(1-$M1978)*$I1978+$M1978*$J1978)</f>
        <v/>
      </c>
      <c r="O1978" s="209">
        <f>IF($F1978&lt;$B$1967,$E$1967+$I$1967*($F1978-$A$1967),IF($F1978&lt;$C$1967,$F$1967+$J$1967*($F1978-$B$1967),$G$1967+$K$1967*($F1978-$C$1967)))</f>
        <v/>
      </c>
      <c r="P1978" s="208">
        <f>MIN(1,MAX(0,(nr_MEndPm1-$G1978+0.5)/$C$1966))-MIN(1,MAX(0,(nr_MStartPm1-1-$G1978+0.5)/$C$1966))</f>
        <v/>
      </c>
      <c r="Q1978" s="208">
        <f>MIN(1,MAX(0,(nr_MEndP-$G1978+0.5)/$C$1966))-MIN(1,MAX(0,(nr_MStartP-1-$G1978+0.5)/$C$1966))</f>
        <v/>
      </c>
      <c r="R1978" s="208">
        <f>MIN(1,MAX(0,(nr_MEndP1-$G1978+0.5)/$C$1966))-MIN(1,MAX(0,(nr_MStartP1-1-$G1978+0.5)/$C$1966))</f>
        <v/>
      </c>
      <c r="S1978" s="208">
        <f>IF($L$1966,$N1978*IF($O$1966=1,$O1978/$F$1966,1),"")</f>
        <v/>
      </c>
      <c r="T1978" s="208">
        <f>IF(NOT($L$1966),"",IF($G1978&lt;nr_MStartP,$S1978,$T1966*(1+IF($G1978&lt;nr_MStartP1,$M$1966,$N$1966))))</f>
        <v/>
      </c>
      <c r="U1978" s="208">
        <f>IF($L$1966,$T1978,$N1978)</f>
        <v/>
      </c>
    </row>
    <row r="1979">
      <c r="A1979" s="145" t="n">
        <v>11</v>
      </c>
      <c r="B1979" s="204">
        <f>EDATE($B1978,1)</f>
        <v/>
      </c>
      <c r="C1979" s="205">
        <f>EOMONTH($B1979,0)</f>
        <v/>
      </c>
      <c r="D1979" s="201">
        <f>$C1979-$B1979+1</f>
        <v/>
      </c>
      <c r="E1979" s="201">
        <f>MONTH($B1979)</f>
        <v/>
      </c>
      <c r="F1979" s="235">
        <f>($B1979+$C1979+1)/2</f>
        <v/>
      </c>
      <c r="G1979" s="201">
        <f>YEAR($B1979)*12+MONTH($B1979)-1</f>
        <v/>
      </c>
      <c r="H1979" s="207">
        <f>IF(OR(nr_SeasonOn="OFF",$D$1966=0,$E$1966=0),1,12*INDEX(se_block,$D$1966,$E1979)/$E$1966)</f>
        <v/>
      </c>
      <c r="I1979" s="208">
        <f>EXP(SUMPRODUCT((rl_eff&lt;$B1979)*(rl_key=$A$1966)*rl_ln1p))</f>
        <v/>
      </c>
      <c r="J1979" s="208">
        <f>EXP(SUMPRODUCT((rl_eff&lt;=$C1979)*(rl_key=$A$1966)*rl_ln1p))</f>
        <v/>
      </c>
      <c r="K1979" s="201">
        <f>COUNTIFS(rl_key,$A$1966,rl_eff,"&gt;="&amp;$B1979,rl_eff,"&lt;="&amp;$C1979)</f>
        <v/>
      </c>
      <c r="L1979" s="201">
        <f>SUMIFS(rl_daysafter,rl_key,$A$1966,rl_effmonth,$B1979,rl_first,1)</f>
        <v/>
      </c>
      <c r="M1979" s="209">
        <f>IF($K1979=0,0,MIN(1,$L1979/$D1979))</f>
        <v/>
      </c>
      <c r="N1979" s="208">
        <f>IF($K1979=0,$J1979,(1-$M1979)*$I1979+$M1979*$J1979)</f>
        <v/>
      </c>
      <c r="O1979" s="209">
        <f>IF($F1979&lt;$B$1967,$E$1967+$I$1967*($F1979-$A$1967),IF($F1979&lt;$C$1967,$F$1967+$J$1967*($F1979-$B$1967),$G$1967+$K$1967*($F1979-$C$1967)))</f>
        <v/>
      </c>
      <c r="P1979" s="208">
        <f>MIN(1,MAX(0,(nr_MEndPm1-$G1979+0.5)/$C$1966))-MIN(1,MAX(0,(nr_MStartPm1-1-$G1979+0.5)/$C$1966))</f>
        <v/>
      </c>
      <c r="Q1979" s="208">
        <f>MIN(1,MAX(0,(nr_MEndP-$G1979+0.5)/$C$1966))-MIN(1,MAX(0,(nr_MStartP-1-$G1979+0.5)/$C$1966))</f>
        <v/>
      </c>
      <c r="R1979" s="208">
        <f>MIN(1,MAX(0,(nr_MEndP1-$G1979+0.5)/$C$1966))-MIN(1,MAX(0,(nr_MStartP1-1-$G1979+0.5)/$C$1966))</f>
        <v/>
      </c>
      <c r="S1979" s="208">
        <f>IF($L$1966,$N1979*IF($O$1966=1,$O1979/$F$1966,1),"")</f>
        <v/>
      </c>
      <c r="T1979" s="208">
        <f>IF(NOT($L$1966),"",IF($G1979&lt;nr_MStartP,$S1979,$T1967*(1+IF($G1979&lt;nr_MStartP1,$M$1966,$N$1966))))</f>
        <v/>
      </c>
      <c r="U1979" s="208">
        <f>IF($L$1966,$T1979,$N1979)</f>
        <v/>
      </c>
    </row>
    <row r="1980">
      <c r="A1980" s="145" t="n">
        <v>12</v>
      </c>
      <c r="B1980" s="204">
        <f>EDATE($B1979,1)</f>
        <v/>
      </c>
      <c r="C1980" s="205">
        <f>EOMONTH($B1980,0)</f>
        <v/>
      </c>
      <c r="D1980" s="201">
        <f>$C1980-$B1980+1</f>
        <v/>
      </c>
      <c r="E1980" s="201">
        <f>MONTH($B1980)</f>
        <v/>
      </c>
      <c r="F1980" s="235">
        <f>($B1980+$C1980+1)/2</f>
        <v/>
      </c>
      <c r="G1980" s="201">
        <f>YEAR($B1980)*12+MONTH($B1980)-1</f>
        <v/>
      </c>
      <c r="H1980" s="207">
        <f>IF(OR(nr_SeasonOn="OFF",$D$1966=0,$E$1966=0),1,12*INDEX(se_block,$D$1966,$E1980)/$E$1966)</f>
        <v/>
      </c>
      <c r="I1980" s="208">
        <f>EXP(SUMPRODUCT((rl_eff&lt;$B1980)*(rl_key=$A$1966)*rl_ln1p))</f>
        <v/>
      </c>
      <c r="J1980" s="208">
        <f>EXP(SUMPRODUCT((rl_eff&lt;=$C1980)*(rl_key=$A$1966)*rl_ln1p))</f>
        <v/>
      </c>
      <c r="K1980" s="201">
        <f>COUNTIFS(rl_key,$A$1966,rl_eff,"&gt;="&amp;$B1980,rl_eff,"&lt;="&amp;$C1980)</f>
        <v/>
      </c>
      <c r="L1980" s="201">
        <f>SUMIFS(rl_daysafter,rl_key,$A$1966,rl_effmonth,$B1980,rl_first,1)</f>
        <v/>
      </c>
      <c r="M1980" s="209">
        <f>IF($K1980=0,0,MIN(1,$L1980/$D1980))</f>
        <v/>
      </c>
      <c r="N1980" s="208">
        <f>IF($K1980=0,$J1980,(1-$M1980)*$I1980+$M1980*$J1980)</f>
        <v/>
      </c>
      <c r="O1980" s="209">
        <f>IF($F1980&lt;$B$1967,$E$1967+$I$1967*($F1980-$A$1967),IF($F1980&lt;$C$1967,$F$1967+$J$1967*($F1980-$B$1967),$G$1967+$K$1967*($F1980-$C$1967)))</f>
        <v/>
      </c>
      <c r="P1980" s="208">
        <f>MIN(1,MAX(0,(nr_MEndPm1-$G1980+0.5)/$C$1966))-MIN(1,MAX(0,(nr_MStartPm1-1-$G1980+0.5)/$C$1966))</f>
        <v/>
      </c>
      <c r="Q1980" s="208">
        <f>MIN(1,MAX(0,(nr_MEndP-$G1980+0.5)/$C$1966))-MIN(1,MAX(0,(nr_MStartP-1-$G1980+0.5)/$C$1966))</f>
        <v/>
      </c>
      <c r="R1980" s="208">
        <f>MIN(1,MAX(0,(nr_MEndP1-$G1980+0.5)/$C$1966))-MIN(1,MAX(0,(nr_MStartP1-1-$G1980+0.5)/$C$1966))</f>
        <v/>
      </c>
      <c r="S1980" s="208">
        <f>IF($L$1966,$N1980*IF($O$1966=1,$O1980/$F$1966,1),"")</f>
        <v/>
      </c>
      <c r="T1980" s="208">
        <f>IF(NOT($L$1966),"",IF($G1980&lt;nr_MStartP,$S1980,$T1968*(1+IF($G1980&lt;nr_MStartP1,$M$1966,$N$1966))))</f>
        <v/>
      </c>
      <c r="U1980" s="208">
        <f>IF($L$1966,$T1980,$N1980)</f>
        <v/>
      </c>
    </row>
    <row r="1981">
      <c r="A1981" s="145" t="n">
        <v>13</v>
      </c>
      <c r="B1981" s="204">
        <f>EDATE($B1980,1)</f>
        <v/>
      </c>
      <c r="C1981" s="205">
        <f>EOMONTH($B1981,0)</f>
        <v/>
      </c>
      <c r="D1981" s="201">
        <f>$C1981-$B1981+1</f>
        <v/>
      </c>
      <c r="E1981" s="201">
        <f>MONTH($B1981)</f>
        <v/>
      </c>
      <c r="F1981" s="235">
        <f>($B1981+$C1981+1)/2</f>
        <v/>
      </c>
      <c r="G1981" s="201">
        <f>YEAR($B1981)*12+MONTH($B1981)-1</f>
        <v/>
      </c>
      <c r="H1981" s="207">
        <f>IF(OR(nr_SeasonOn="OFF",$D$1966=0,$E$1966=0),1,12*INDEX(se_block,$D$1966,$E1981)/$E$1966)</f>
        <v/>
      </c>
      <c r="I1981" s="208">
        <f>EXP(SUMPRODUCT((rl_eff&lt;$B1981)*(rl_key=$A$1966)*rl_ln1p))</f>
        <v/>
      </c>
      <c r="J1981" s="208">
        <f>EXP(SUMPRODUCT((rl_eff&lt;=$C1981)*(rl_key=$A$1966)*rl_ln1p))</f>
        <v/>
      </c>
      <c r="K1981" s="201">
        <f>COUNTIFS(rl_key,$A$1966,rl_eff,"&gt;="&amp;$B1981,rl_eff,"&lt;="&amp;$C1981)</f>
        <v/>
      </c>
      <c r="L1981" s="201">
        <f>SUMIFS(rl_daysafter,rl_key,$A$1966,rl_effmonth,$B1981,rl_first,1)</f>
        <v/>
      </c>
      <c r="M1981" s="209">
        <f>IF($K1981=0,0,MIN(1,$L1981/$D1981))</f>
        <v/>
      </c>
      <c r="N1981" s="208">
        <f>IF($K1981=0,$J1981,(1-$M1981)*$I1981+$M1981*$J1981)</f>
        <v/>
      </c>
      <c r="O1981" s="209">
        <f>IF($F1981&lt;$B$1967,$E$1967+$I$1967*($F1981-$A$1967),IF($F1981&lt;$C$1967,$F$1967+$J$1967*($F1981-$B$1967),$G$1967+$K$1967*($F1981-$C$1967)))</f>
        <v/>
      </c>
      <c r="P1981" s="208">
        <f>MIN(1,MAX(0,(nr_MEndPm1-$G1981+0.5)/$C$1966))-MIN(1,MAX(0,(nr_MStartPm1-1-$G1981+0.5)/$C$1966))</f>
        <v/>
      </c>
      <c r="Q1981" s="208">
        <f>MIN(1,MAX(0,(nr_MEndP-$G1981+0.5)/$C$1966))-MIN(1,MAX(0,(nr_MStartP-1-$G1981+0.5)/$C$1966))</f>
        <v/>
      </c>
      <c r="R1981" s="208">
        <f>MIN(1,MAX(0,(nr_MEndP1-$G1981+0.5)/$C$1966))-MIN(1,MAX(0,(nr_MStartP1-1-$G1981+0.5)/$C$1966))</f>
        <v/>
      </c>
      <c r="S1981" s="208">
        <f>IF($L$1966,$N1981*IF($O$1966=1,$O1981/$F$1966,1),"")</f>
        <v/>
      </c>
      <c r="T1981" s="208">
        <f>IF(NOT($L$1966),"",IF($G1981&lt;nr_MStartP,$S1981,$T1969*(1+IF($G1981&lt;nr_MStartP1,$M$1966,$N$1966))))</f>
        <v/>
      </c>
      <c r="U1981" s="208">
        <f>IF($L$1966,$T1981,$N1981)</f>
        <v/>
      </c>
    </row>
    <row r="1982">
      <c r="A1982" s="145" t="n">
        <v>14</v>
      </c>
      <c r="B1982" s="204">
        <f>EDATE($B1981,1)</f>
        <v/>
      </c>
      <c r="C1982" s="205">
        <f>EOMONTH($B1982,0)</f>
        <v/>
      </c>
      <c r="D1982" s="201">
        <f>$C1982-$B1982+1</f>
        <v/>
      </c>
      <c r="E1982" s="201">
        <f>MONTH($B1982)</f>
        <v/>
      </c>
      <c r="F1982" s="235">
        <f>($B1982+$C1982+1)/2</f>
        <v/>
      </c>
      <c r="G1982" s="201">
        <f>YEAR($B1982)*12+MONTH($B1982)-1</f>
        <v/>
      </c>
      <c r="H1982" s="207">
        <f>IF(OR(nr_SeasonOn="OFF",$D$1966=0,$E$1966=0),1,12*INDEX(se_block,$D$1966,$E1982)/$E$1966)</f>
        <v/>
      </c>
      <c r="I1982" s="208">
        <f>EXP(SUMPRODUCT((rl_eff&lt;$B1982)*(rl_key=$A$1966)*rl_ln1p))</f>
        <v/>
      </c>
      <c r="J1982" s="208">
        <f>EXP(SUMPRODUCT((rl_eff&lt;=$C1982)*(rl_key=$A$1966)*rl_ln1p))</f>
        <v/>
      </c>
      <c r="K1982" s="201">
        <f>COUNTIFS(rl_key,$A$1966,rl_eff,"&gt;="&amp;$B1982,rl_eff,"&lt;="&amp;$C1982)</f>
        <v/>
      </c>
      <c r="L1982" s="201">
        <f>SUMIFS(rl_daysafter,rl_key,$A$1966,rl_effmonth,$B1982,rl_first,1)</f>
        <v/>
      </c>
      <c r="M1982" s="209">
        <f>IF($K1982=0,0,MIN(1,$L1982/$D1982))</f>
        <v/>
      </c>
      <c r="N1982" s="208">
        <f>IF($K1982=0,$J1982,(1-$M1982)*$I1982+$M1982*$J1982)</f>
        <v/>
      </c>
      <c r="O1982" s="209">
        <f>IF($F1982&lt;$B$1967,$E$1967+$I$1967*($F1982-$A$1967),IF($F1982&lt;$C$1967,$F$1967+$J$1967*($F1982-$B$1967),$G$1967+$K$1967*($F1982-$C$1967)))</f>
        <v/>
      </c>
      <c r="P1982" s="208">
        <f>MIN(1,MAX(0,(nr_MEndPm1-$G1982+0.5)/$C$1966))-MIN(1,MAX(0,(nr_MStartPm1-1-$G1982+0.5)/$C$1966))</f>
        <v/>
      </c>
      <c r="Q1982" s="208">
        <f>MIN(1,MAX(0,(nr_MEndP-$G1982+0.5)/$C$1966))-MIN(1,MAX(0,(nr_MStartP-1-$G1982+0.5)/$C$1966))</f>
        <v/>
      </c>
      <c r="R1982" s="208">
        <f>MIN(1,MAX(0,(nr_MEndP1-$G1982+0.5)/$C$1966))-MIN(1,MAX(0,(nr_MStartP1-1-$G1982+0.5)/$C$1966))</f>
        <v/>
      </c>
      <c r="S1982" s="208">
        <f>IF($L$1966,$N1982*IF($O$1966=1,$O1982/$F$1966,1),"")</f>
        <v/>
      </c>
      <c r="T1982" s="208">
        <f>IF(NOT($L$1966),"",IF($G1982&lt;nr_MStartP,$S1982,$T1970*(1+IF($G1982&lt;nr_MStartP1,$M$1966,$N$1966))))</f>
        <v/>
      </c>
      <c r="U1982" s="208">
        <f>IF($L$1966,$T1982,$N1982)</f>
        <v/>
      </c>
    </row>
    <row r="1983">
      <c r="A1983" s="145" t="n">
        <v>15</v>
      </c>
      <c r="B1983" s="204">
        <f>EDATE($B1982,1)</f>
        <v/>
      </c>
      <c r="C1983" s="205">
        <f>EOMONTH($B1983,0)</f>
        <v/>
      </c>
      <c r="D1983" s="201">
        <f>$C1983-$B1983+1</f>
        <v/>
      </c>
      <c r="E1983" s="201">
        <f>MONTH($B1983)</f>
        <v/>
      </c>
      <c r="F1983" s="235">
        <f>($B1983+$C1983+1)/2</f>
        <v/>
      </c>
      <c r="G1983" s="201">
        <f>YEAR($B1983)*12+MONTH($B1983)-1</f>
        <v/>
      </c>
      <c r="H1983" s="207">
        <f>IF(OR(nr_SeasonOn="OFF",$D$1966=0,$E$1966=0),1,12*INDEX(se_block,$D$1966,$E1983)/$E$1966)</f>
        <v/>
      </c>
      <c r="I1983" s="208">
        <f>EXP(SUMPRODUCT((rl_eff&lt;$B1983)*(rl_key=$A$1966)*rl_ln1p))</f>
        <v/>
      </c>
      <c r="J1983" s="208">
        <f>EXP(SUMPRODUCT((rl_eff&lt;=$C1983)*(rl_key=$A$1966)*rl_ln1p))</f>
        <v/>
      </c>
      <c r="K1983" s="201">
        <f>COUNTIFS(rl_key,$A$1966,rl_eff,"&gt;="&amp;$B1983,rl_eff,"&lt;="&amp;$C1983)</f>
        <v/>
      </c>
      <c r="L1983" s="201">
        <f>SUMIFS(rl_daysafter,rl_key,$A$1966,rl_effmonth,$B1983,rl_first,1)</f>
        <v/>
      </c>
      <c r="M1983" s="209">
        <f>IF($K1983=0,0,MIN(1,$L1983/$D1983))</f>
        <v/>
      </c>
      <c r="N1983" s="208">
        <f>IF($K1983=0,$J1983,(1-$M1983)*$I1983+$M1983*$J1983)</f>
        <v/>
      </c>
      <c r="O1983" s="209">
        <f>IF($F1983&lt;$B$1967,$E$1967+$I$1967*($F1983-$A$1967),IF($F1983&lt;$C$1967,$F$1967+$J$1967*($F1983-$B$1967),$G$1967+$K$1967*($F1983-$C$1967)))</f>
        <v/>
      </c>
      <c r="P1983" s="208">
        <f>MIN(1,MAX(0,(nr_MEndPm1-$G1983+0.5)/$C$1966))-MIN(1,MAX(0,(nr_MStartPm1-1-$G1983+0.5)/$C$1966))</f>
        <v/>
      </c>
      <c r="Q1983" s="208">
        <f>MIN(1,MAX(0,(nr_MEndP-$G1983+0.5)/$C$1966))-MIN(1,MAX(0,(nr_MStartP-1-$G1983+0.5)/$C$1966))</f>
        <v/>
      </c>
      <c r="R1983" s="208">
        <f>MIN(1,MAX(0,(nr_MEndP1-$G1983+0.5)/$C$1966))-MIN(1,MAX(0,(nr_MStartP1-1-$G1983+0.5)/$C$1966))</f>
        <v/>
      </c>
      <c r="S1983" s="208">
        <f>IF($L$1966,$N1983*IF($O$1966=1,$O1983/$F$1966,1),"")</f>
        <v/>
      </c>
      <c r="T1983" s="208">
        <f>IF(NOT($L$1966),"",IF($G1983&lt;nr_MStartP,$S1983,$T1971*(1+IF($G1983&lt;nr_MStartP1,$M$1966,$N$1966))))</f>
        <v/>
      </c>
      <c r="U1983" s="208">
        <f>IF($L$1966,$T1983,$N1983)</f>
        <v/>
      </c>
    </row>
    <row r="1984">
      <c r="A1984" s="145" t="n">
        <v>16</v>
      </c>
      <c r="B1984" s="204">
        <f>EDATE($B1983,1)</f>
        <v/>
      </c>
      <c r="C1984" s="205">
        <f>EOMONTH($B1984,0)</f>
        <v/>
      </c>
      <c r="D1984" s="201">
        <f>$C1984-$B1984+1</f>
        <v/>
      </c>
      <c r="E1984" s="201">
        <f>MONTH($B1984)</f>
        <v/>
      </c>
      <c r="F1984" s="235">
        <f>($B1984+$C1984+1)/2</f>
        <v/>
      </c>
      <c r="G1984" s="201">
        <f>YEAR($B1984)*12+MONTH($B1984)-1</f>
        <v/>
      </c>
      <c r="H1984" s="207">
        <f>IF(OR(nr_SeasonOn="OFF",$D$1966=0,$E$1966=0),1,12*INDEX(se_block,$D$1966,$E1984)/$E$1966)</f>
        <v/>
      </c>
      <c r="I1984" s="208">
        <f>EXP(SUMPRODUCT((rl_eff&lt;$B1984)*(rl_key=$A$1966)*rl_ln1p))</f>
        <v/>
      </c>
      <c r="J1984" s="208">
        <f>EXP(SUMPRODUCT((rl_eff&lt;=$C1984)*(rl_key=$A$1966)*rl_ln1p))</f>
        <v/>
      </c>
      <c r="K1984" s="201">
        <f>COUNTIFS(rl_key,$A$1966,rl_eff,"&gt;="&amp;$B1984,rl_eff,"&lt;="&amp;$C1984)</f>
        <v/>
      </c>
      <c r="L1984" s="201">
        <f>SUMIFS(rl_daysafter,rl_key,$A$1966,rl_effmonth,$B1984,rl_first,1)</f>
        <v/>
      </c>
      <c r="M1984" s="209">
        <f>IF($K1984=0,0,MIN(1,$L1984/$D1984))</f>
        <v/>
      </c>
      <c r="N1984" s="208">
        <f>IF($K1984=0,$J1984,(1-$M1984)*$I1984+$M1984*$J1984)</f>
        <v/>
      </c>
      <c r="O1984" s="209">
        <f>IF($F1984&lt;$B$1967,$E$1967+$I$1967*($F1984-$A$1967),IF($F1984&lt;$C$1967,$F$1967+$J$1967*($F1984-$B$1967),$G$1967+$K$1967*($F1984-$C$1967)))</f>
        <v/>
      </c>
      <c r="P1984" s="208">
        <f>MIN(1,MAX(0,(nr_MEndPm1-$G1984+0.5)/$C$1966))-MIN(1,MAX(0,(nr_MStartPm1-1-$G1984+0.5)/$C$1966))</f>
        <v/>
      </c>
      <c r="Q1984" s="208">
        <f>MIN(1,MAX(0,(nr_MEndP-$G1984+0.5)/$C$1966))-MIN(1,MAX(0,(nr_MStartP-1-$G1984+0.5)/$C$1966))</f>
        <v/>
      </c>
      <c r="R1984" s="208">
        <f>MIN(1,MAX(0,(nr_MEndP1-$G1984+0.5)/$C$1966))-MIN(1,MAX(0,(nr_MStartP1-1-$G1984+0.5)/$C$1966))</f>
        <v/>
      </c>
      <c r="S1984" s="208">
        <f>IF($L$1966,$N1984*IF($O$1966=1,$O1984/$F$1966,1),"")</f>
        <v/>
      </c>
      <c r="T1984" s="208">
        <f>IF(NOT($L$1966),"",IF($G1984&lt;nr_MStartP,$S1984,$T1972*(1+IF($G1984&lt;nr_MStartP1,$M$1966,$N$1966))))</f>
        <v/>
      </c>
      <c r="U1984" s="208">
        <f>IF($L$1966,$T1984,$N1984)</f>
        <v/>
      </c>
    </row>
    <row r="1985">
      <c r="A1985" s="145" t="n">
        <v>17</v>
      </c>
      <c r="B1985" s="204">
        <f>EDATE($B1984,1)</f>
        <v/>
      </c>
      <c r="C1985" s="205">
        <f>EOMONTH($B1985,0)</f>
        <v/>
      </c>
      <c r="D1985" s="201">
        <f>$C1985-$B1985+1</f>
        <v/>
      </c>
      <c r="E1985" s="201">
        <f>MONTH($B1985)</f>
        <v/>
      </c>
      <c r="F1985" s="235">
        <f>($B1985+$C1985+1)/2</f>
        <v/>
      </c>
      <c r="G1985" s="201">
        <f>YEAR($B1985)*12+MONTH($B1985)-1</f>
        <v/>
      </c>
      <c r="H1985" s="207">
        <f>IF(OR(nr_SeasonOn="OFF",$D$1966=0,$E$1966=0),1,12*INDEX(se_block,$D$1966,$E1985)/$E$1966)</f>
        <v/>
      </c>
      <c r="I1985" s="208">
        <f>EXP(SUMPRODUCT((rl_eff&lt;$B1985)*(rl_key=$A$1966)*rl_ln1p))</f>
        <v/>
      </c>
      <c r="J1985" s="208">
        <f>EXP(SUMPRODUCT((rl_eff&lt;=$C1985)*(rl_key=$A$1966)*rl_ln1p))</f>
        <v/>
      </c>
      <c r="K1985" s="201">
        <f>COUNTIFS(rl_key,$A$1966,rl_eff,"&gt;="&amp;$B1985,rl_eff,"&lt;="&amp;$C1985)</f>
        <v/>
      </c>
      <c r="L1985" s="201">
        <f>SUMIFS(rl_daysafter,rl_key,$A$1966,rl_effmonth,$B1985,rl_first,1)</f>
        <v/>
      </c>
      <c r="M1985" s="209">
        <f>IF($K1985=0,0,MIN(1,$L1985/$D1985))</f>
        <v/>
      </c>
      <c r="N1985" s="208">
        <f>IF($K1985=0,$J1985,(1-$M1985)*$I1985+$M1985*$J1985)</f>
        <v/>
      </c>
      <c r="O1985" s="209">
        <f>IF($F1985&lt;$B$1967,$E$1967+$I$1967*($F1985-$A$1967),IF($F1985&lt;$C$1967,$F$1967+$J$1967*($F1985-$B$1967),$G$1967+$K$1967*($F1985-$C$1967)))</f>
        <v/>
      </c>
      <c r="P1985" s="208">
        <f>MIN(1,MAX(0,(nr_MEndPm1-$G1985+0.5)/$C$1966))-MIN(1,MAX(0,(nr_MStartPm1-1-$G1985+0.5)/$C$1966))</f>
        <v/>
      </c>
      <c r="Q1985" s="208">
        <f>MIN(1,MAX(0,(nr_MEndP-$G1985+0.5)/$C$1966))-MIN(1,MAX(0,(nr_MStartP-1-$G1985+0.5)/$C$1966))</f>
        <v/>
      </c>
      <c r="R1985" s="208">
        <f>MIN(1,MAX(0,(nr_MEndP1-$G1985+0.5)/$C$1966))-MIN(1,MAX(0,(nr_MStartP1-1-$G1985+0.5)/$C$1966))</f>
        <v/>
      </c>
      <c r="S1985" s="208">
        <f>IF($L$1966,$N1985*IF($O$1966=1,$O1985/$F$1966,1),"")</f>
        <v/>
      </c>
      <c r="T1985" s="208">
        <f>IF(NOT($L$1966),"",IF($G1985&lt;nr_MStartP,$S1985,$T1973*(1+IF($G1985&lt;nr_MStartP1,$M$1966,$N$1966))))</f>
        <v/>
      </c>
      <c r="U1985" s="208">
        <f>IF($L$1966,$T1985,$N1985)</f>
        <v/>
      </c>
    </row>
    <row r="1986">
      <c r="A1986" s="145" t="n">
        <v>18</v>
      </c>
      <c r="B1986" s="204">
        <f>EDATE($B1985,1)</f>
        <v/>
      </c>
      <c r="C1986" s="205">
        <f>EOMONTH($B1986,0)</f>
        <v/>
      </c>
      <c r="D1986" s="201">
        <f>$C1986-$B1986+1</f>
        <v/>
      </c>
      <c r="E1986" s="201">
        <f>MONTH($B1986)</f>
        <v/>
      </c>
      <c r="F1986" s="235">
        <f>($B1986+$C1986+1)/2</f>
        <v/>
      </c>
      <c r="G1986" s="201">
        <f>YEAR($B1986)*12+MONTH($B1986)-1</f>
        <v/>
      </c>
      <c r="H1986" s="207">
        <f>IF(OR(nr_SeasonOn="OFF",$D$1966=0,$E$1966=0),1,12*INDEX(se_block,$D$1966,$E1986)/$E$1966)</f>
        <v/>
      </c>
      <c r="I1986" s="208">
        <f>EXP(SUMPRODUCT((rl_eff&lt;$B1986)*(rl_key=$A$1966)*rl_ln1p))</f>
        <v/>
      </c>
      <c r="J1986" s="208">
        <f>EXP(SUMPRODUCT((rl_eff&lt;=$C1986)*(rl_key=$A$1966)*rl_ln1p))</f>
        <v/>
      </c>
      <c r="K1986" s="201">
        <f>COUNTIFS(rl_key,$A$1966,rl_eff,"&gt;="&amp;$B1986,rl_eff,"&lt;="&amp;$C1986)</f>
        <v/>
      </c>
      <c r="L1986" s="201">
        <f>SUMIFS(rl_daysafter,rl_key,$A$1966,rl_effmonth,$B1986,rl_first,1)</f>
        <v/>
      </c>
      <c r="M1986" s="209">
        <f>IF($K1986=0,0,MIN(1,$L1986/$D1986))</f>
        <v/>
      </c>
      <c r="N1986" s="208">
        <f>IF($K1986=0,$J1986,(1-$M1986)*$I1986+$M1986*$J1986)</f>
        <v/>
      </c>
      <c r="O1986" s="209">
        <f>IF($F1986&lt;$B$1967,$E$1967+$I$1967*($F1986-$A$1967),IF($F1986&lt;$C$1967,$F$1967+$J$1967*($F1986-$B$1967),$G$1967+$K$1967*($F1986-$C$1967)))</f>
        <v/>
      </c>
      <c r="P1986" s="208">
        <f>MIN(1,MAX(0,(nr_MEndPm1-$G1986+0.5)/$C$1966))-MIN(1,MAX(0,(nr_MStartPm1-1-$G1986+0.5)/$C$1966))</f>
        <v/>
      </c>
      <c r="Q1986" s="208">
        <f>MIN(1,MAX(0,(nr_MEndP-$G1986+0.5)/$C$1966))-MIN(1,MAX(0,(nr_MStartP-1-$G1986+0.5)/$C$1966))</f>
        <v/>
      </c>
      <c r="R1986" s="208">
        <f>MIN(1,MAX(0,(nr_MEndP1-$G1986+0.5)/$C$1966))-MIN(1,MAX(0,(nr_MStartP1-1-$G1986+0.5)/$C$1966))</f>
        <v/>
      </c>
      <c r="S1986" s="208">
        <f>IF($L$1966,$N1986*IF($O$1966=1,$O1986/$F$1966,1),"")</f>
        <v/>
      </c>
      <c r="T1986" s="208">
        <f>IF(NOT($L$1966),"",IF($G1986&lt;nr_MStartP,$S1986,$T1974*(1+IF($G1986&lt;nr_MStartP1,$M$1966,$N$1966))))</f>
        <v/>
      </c>
      <c r="U1986" s="208">
        <f>IF($L$1966,$T1986,$N1986)</f>
        <v/>
      </c>
    </row>
    <row r="1987">
      <c r="A1987" s="145" t="n">
        <v>19</v>
      </c>
      <c r="B1987" s="204">
        <f>EDATE($B1986,1)</f>
        <v/>
      </c>
      <c r="C1987" s="205">
        <f>EOMONTH($B1987,0)</f>
        <v/>
      </c>
      <c r="D1987" s="201">
        <f>$C1987-$B1987+1</f>
        <v/>
      </c>
      <c r="E1987" s="201">
        <f>MONTH($B1987)</f>
        <v/>
      </c>
      <c r="F1987" s="235">
        <f>($B1987+$C1987+1)/2</f>
        <v/>
      </c>
      <c r="G1987" s="201">
        <f>YEAR($B1987)*12+MONTH($B1987)-1</f>
        <v/>
      </c>
      <c r="H1987" s="207">
        <f>IF(OR(nr_SeasonOn="OFF",$D$1966=0,$E$1966=0),1,12*INDEX(se_block,$D$1966,$E1987)/$E$1966)</f>
        <v/>
      </c>
      <c r="I1987" s="208">
        <f>EXP(SUMPRODUCT((rl_eff&lt;$B1987)*(rl_key=$A$1966)*rl_ln1p))</f>
        <v/>
      </c>
      <c r="J1987" s="208">
        <f>EXP(SUMPRODUCT((rl_eff&lt;=$C1987)*(rl_key=$A$1966)*rl_ln1p))</f>
        <v/>
      </c>
      <c r="K1987" s="201">
        <f>COUNTIFS(rl_key,$A$1966,rl_eff,"&gt;="&amp;$B1987,rl_eff,"&lt;="&amp;$C1987)</f>
        <v/>
      </c>
      <c r="L1987" s="201">
        <f>SUMIFS(rl_daysafter,rl_key,$A$1966,rl_effmonth,$B1987,rl_first,1)</f>
        <v/>
      </c>
      <c r="M1987" s="209">
        <f>IF($K1987=0,0,MIN(1,$L1987/$D1987))</f>
        <v/>
      </c>
      <c r="N1987" s="208">
        <f>IF($K1987=0,$J1987,(1-$M1987)*$I1987+$M1987*$J1987)</f>
        <v/>
      </c>
      <c r="O1987" s="209">
        <f>IF($F1987&lt;$B$1967,$E$1967+$I$1967*($F1987-$A$1967),IF($F1987&lt;$C$1967,$F$1967+$J$1967*($F1987-$B$1967),$G$1967+$K$1967*($F1987-$C$1967)))</f>
        <v/>
      </c>
      <c r="P1987" s="208">
        <f>MIN(1,MAX(0,(nr_MEndPm1-$G1987+0.5)/$C$1966))-MIN(1,MAX(0,(nr_MStartPm1-1-$G1987+0.5)/$C$1966))</f>
        <v/>
      </c>
      <c r="Q1987" s="208">
        <f>MIN(1,MAX(0,(nr_MEndP-$G1987+0.5)/$C$1966))-MIN(1,MAX(0,(nr_MStartP-1-$G1987+0.5)/$C$1966))</f>
        <v/>
      </c>
      <c r="R1987" s="208">
        <f>MIN(1,MAX(0,(nr_MEndP1-$G1987+0.5)/$C$1966))-MIN(1,MAX(0,(nr_MStartP1-1-$G1987+0.5)/$C$1966))</f>
        <v/>
      </c>
      <c r="S1987" s="208">
        <f>IF($L$1966,$N1987*IF($O$1966=1,$O1987/$F$1966,1),"")</f>
        <v/>
      </c>
      <c r="T1987" s="208">
        <f>IF(NOT($L$1966),"",IF($G1987&lt;nr_MStartP,$S1987,$T1975*(1+IF($G1987&lt;nr_MStartP1,$M$1966,$N$1966))))</f>
        <v/>
      </c>
      <c r="U1987" s="208">
        <f>IF($L$1966,$T1987,$N1987)</f>
        <v/>
      </c>
    </row>
    <row r="1988">
      <c r="A1988" s="145" t="n">
        <v>20</v>
      </c>
      <c r="B1988" s="204">
        <f>EDATE($B1987,1)</f>
        <v/>
      </c>
      <c r="C1988" s="205">
        <f>EOMONTH($B1988,0)</f>
        <v/>
      </c>
      <c r="D1988" s="201">
        <f>$C1988-$B1988+1</f>
        <v/>
      </c>
      <c r="E1988" s="201">
        <f>MONTH($B1988)</f>
        <v/>
      </c>
      <c r="F1988" s="235">
        <f>($B1988+$C1988+1)/2</f>
        <v/>
      </c>
      <c r="G1988" s="201">
        <f>YEAR($B1988)*12+MONTH($B1988)-1</f>
        <v/>
      </c>
      <c r="H1988" s="207">
        <f>IF(OR(nr_SeasonOn="OFF",$D$1966=0,$E$1966=0),1,12*INDEX(se_block,$D$1966,$E1988)/$E$1966)</f>
        <v/>
      </c>
      <c r="I1988" s="208">
        <f>EXP(SUMPRODUCT((rl_eff&lt;$B1988)*(rl_key=$A$1966)*rl_ln1p))</f>
        <v/>
      </c>
      <c r="J1988" s="208">
        <f>EXP(SUMPRODUCT((rl_eff&lt;=$C1988)*(rl_key=$A$1966)*rl_ln1p))</f>
        <v/>
      </c>
      <c r="K1988" s="201">
        <f>COUNTIFS(rl_key,$A$1966,rl_eff,"&gt;="&amp;$B1988,rl_eff,"&lt;="&amp;$C1988)</f>
        <v/>
      </c>
      <c r="L1988" s="201">
        <f>SUMIFS(rl_daysafter,rl_key,$A$1966,rl_effmonth,$B1988,rl_first,1)</f>
        <v/>
      </c>
      <c r="M1988" s="209">
        <f>IF($K1988=0,0,MIN(1,$L1988/$D1988))</f>
        <v/>
      </c>
      <c r="N1988" s="208">
        <f>IF($K1988=0,$J1988,(1-$M1988)*$I1988+$M1988*$J1988)</f>
        <v/>
      </c>
      <c r="O1988" s="209">
        <f>IF($F1988&lt;$B$1967,$E$1967+$I$1967*($F1988-$A$1967),IF($F1988&lt;$C$1967,$F$1967+$J$1967*($F1988-$B$1967),$G$1967+$K$1967*($F1988-$C$1967)))</f>
        <v/>
      </c>
      <c r="P1988" s="208">
        <f>MIN(1,MAX(0,(nr_MEndPm1-$G1988+0.5)/$C$1966))-MIN(1,MAX(0,(nr_MStartPm1-1-$G1988+0.5)/$C$1966))</f>
        <v/>
      </c>
      <c r="Q1988" s="208">
        <f>MIN(1,MAX(0,(nr_MEndP-$G1988+0.5)/$C$1966))-MIN(1,MAX(0,(nr_MStartP-1-$G1988+0.5)/$C$1966))</f>
        <v/>
      </c>
      <c r="R1988" s="208">
        <f>MIN(1,MAX(0,(nr_MEndP1-$G1988+0.5)/$C$1966))-MIN(1,MAX(0,(nr_MStartP1-1-$G1988+0.5)/$C$1966))</f>
        <v/>
      </c>
      <c r="S1988" s="208">
        <f>IF($L$1966,$N1988*IF($O$1966=1,$O1988/$F$1966,1),"")</f>
        <v/>
      </c>
      <c r="T1988" s="208">
        <f>IF(NOT($L$1966),"",IF($G1988&lt;nr_MStartP,$S1988,$T1976*(1+IF($G1988&lt;nr_MStartP1,$M$1966,$N$1966))))</f>
        <v/>
      </c>
      <c r="U1988" s="208">
        <f>IF($L$1966,$T1988,$N1988)</f>
        <v/>
      </c>
    </row>
    <row r="1989">
      <c r="A1989" s="145" t="n">
        <v>21</v>
      </c>
      <c r="B1989" s="204">
        <f>EDATE($B1988,1)</f>
        <v/>
      </c>
      <c r="C1989" s="205">
        <f>EOMONTH($B1989,0)</f>
        <v/>
      </c>
      <c r="D1989" s="201">
        <f>$C1989-$B1989+1</f>
        <v/>
      </c>
      <c r="E1989" s="201">
        <f>MONTH($B1989)</f>
        <v/>
      </c>
      <c r="F1989" s="235">
        <f>($B1989+$C1989+1)/2</f>
        <v/>
      </c>
      <c r="G1989" s="201">
        <f>YEAR($B1989)*12+MONTH($B1989)-1</f>
        <v/>
      </c>
      <c r="H1989" s="207">
        <f>IF(OR(nr_SeasonOn="OFF",$D$1966=0,$E$1966=0),1,12*INDEX(se_block,$D$1966,$E1989)/$E$1966)</f>
        <v/>
      </c>
      <c r="I1989" s="208">
        <f>EXP(SUMPRODUCT((rl_eff&lt;$B1989)*(rl_key=$A$1966)*rl_ln1p))</f>
        <v/>
      </c>
      <c r="J1989" s="208">
        <f>EXP(SUMPRODUCT((rl_eff&lt;=$C1989)*(rl_key=$A$1966)*rl_ln1p))</f>
        <v/>
      </c>
      <c r="K1989" s="201">
        <f>COUNTIFS(rl_key,$A$1966,rl_eff,"&gt;="&amp;$B1989,rl_eff,"&lt;="&amp;$C1989)</f>
        <v/>
      </c>
      <c r="L1989" s="201">
        <f>SUMIFS(rl_daysafter,rl_key,$A$1966,rl_effmonth,$B1989,rl_first,1)</f>
        <v/>
      </c>
      <c r="M1989" s="209">
        <f>IF($K1989=0,0,MIN(1,$L1989/$D1989))</f>
        <v/>
      </c>
      <c r="N1989" s="208">
        <f>IF($K1989=0,$J1989,(1-$M1989)*$I1989+$M1989*$J1989)</f>
        <v/>
      </c>
      <c r="O1989" s="209">
        <f>IF($F1989&lt;$B$1967,$E$1967+$I$1967*($F1989-$A$1967),IF($F1989&lt;$C$1967,$F$1967+$J$1967*($F1989-$B$1967),$G$1967+$K$1967*($F1989-$C$1967)))</f>
        <v/>
      </c>
      <c r="P1989" s="208">
        <f>MIN(1,MAX(0,(nr_MEndPm1-$G1989+0.5)/$C$1966))-MIN(1,MAX(0,(nr_MStartPm1-1-$G1989+0.5)/$C$1966))</f>
        <v/>
      </c>
      <c r="Q1989" s="208">
        <f>MIN(1,MAX(0,(nr_MEndP-$G1989+0.5)/$C$1966))-MIN(1,MAX(0,(nr_MStartP-1-$G1989+0.5)/$C$1966))</f>
        <v/>
      </c>
      <c r="R1989" s="208">
        <f>MIN(1,MAX(0,(nr_MEndP1-$G1989+0.5)/$C$1966))-MIN(1,MAX(0,(nr_MStartP1-1-$G1989+0.5)/$C$1966))</f>
        <v/>
      </c>
      <c r="S1989" s="208">
        <f>IF($L$1966,$N1989*IF($O$1966=1,$O1989/$F$1966,1),"")</f>
        <v/>
      </c>
      <c r="T1989" s="208">
        <f>IF(NOT($L$1966),"",IF($G1989&lt;nr_MStartP,$S1989,$T1977*(1+IF($G1989&lt;nr_MStartP1,$M$1966,$N$1966))))</f>
        <v/>
      </c>
      <c r="U1989" s="208">
        <f>IF($L$1966,$T1989,$N1989)</f>
        <v/>
      </c>
    </row>
    <row r="1990">
      <c r="A1990" s="145" t="n">
        <v>22</v>
      </c>
      <c r="B1990" s="204">
        <f>EDATE($B1989,1)</f>
        <v/>
      </c>
      <c r="C1990" s="205">
        <f>EOMONTH($B1990,0)</f>
        <v/>
      </c>
      <c r="D1990" s="201">
        <f>$C1990-$B1990+1</f>
        <v/>
      </c>
      <c r="E1990" s="201">
        <f>MONTH($B1990)</f>
        <v/>
      </c>
      <c r="F1990" s="235">
        <f>($B1990+$C1990+1)/2</f>
        <v/>
      </c>
      <c r="G1990" s="201">
        <f>YEAR($B1990)*12+MONTH($B1990)-1</f>
        <v/>
      </c>
      <c r="H1990" s="207">
        <f>IF(OR(nr_SeasonOn="OFF",$D$1966=0,$E$1966=0),1,12*INDEX(se_block,$D$1966,$E1990)/$E$1966)</f>
        <v/>
      </c>
      <c r="I1990" s="208">
        <f>EXP(SUMPRODUCT((rl_eff&lt;$B1990)*(rl_key=$A$1966)*rl_ln1p))</f>
        <v/>
      </c>
      <c r="J1990" s="208">
        <f>EXP(SUMPRODUCT((rl_eff&lt;=$C1990)*(rl_key=$A$1966)*rl_ln1p))</f>
        <v/>
      </c>
      <c r="K1990" s="201">
        <f>COUNTIFS(rl_key,$A$1966,rl_eff,"&gt;="&amp;$B1990,rl_eff,"&lt;="&amp;$C1990)</f>
        <v/>
      </c>
      <c r="L1990" s="201">
        <f>SUMIFS(rl_daysafter,rl_key,$A$1966,rl_effmonth,$B1990,rl_first,1)</f>
        <v/>
      </c>
      <c r="M1990" s="209">
        <f>IF($K1990=0,0,MIN(1,$L1990/$D1990))</f>
        <v/>
      </c>
      <c r="N1990" s="208">
        <f>IF($K1990=0,$J1990,(1-$M1990)*$I1990+$M1990*$J1990)</f>
        <v/>
      </c>
      <c r="O1990" s="209">
        <f>IF($F1990&lt;$B$1967,$E$1967+$I$1967*($F1990-$A$1967),IF($F1990&lt;$C$1967,$F$1967+$J$1967*($F1990-$B$1967),$G$1967+$K$1967*($F1990-$C$1967)))</f>
        <v/>
      </c>
      <c r="P1990" s="208">
        <f>MIN(1,MAX(0,(nr_MEndPm1-$G1990+0.5)/$C$1966))-MIN(1,MAX(0,(nr_MStartPm1-1-$G1990+0.5)/$C$1966))</f>
        <v/>
      </c>
      <c r="Q1990" s="208">
        <f>MIN(1,MAX(0,(nr_MEndP-$G1990+0.5)/$C$1966))-MIN(1,MAX(0,(nr_MStartP-1-$G1990+0.5)/$C$1966))</f>
        <v/>
      </c>
      <c r="R1990" s="208">
        <f>MIN(1,MAX(0,(nr_MEndP1-$G1990+0.5)/$C$1966))-MIN(1,MAX(0,(nr_MStartP1-1-$G1990+0.5)/$C$1966))</f>
        <v/>
      </c>
      <c r="S1990" s="208">
        <f>IF($L$1966,$N1990*IF($O$1966=1,$O1990/$F$1966,1),"")</f>
        <v/>
      </c>
      <c r="T1990" s="208">
        <f>IF(NOT($L$1966),"",IF($G1990&lt;nr_MStartP,$S1990,$T1978*(1+IF($G1990&lt;nr_MStartP1,$M$1966,$N$1966))))</f>
        <v/>
      </c>
      <c r="U1990" s="208">
        <f>IF($L$1966,$T1990,$N1990)</f>
        <v/>
      </c>
    </row>
    <row r="1991">
      <c r="A1991" s="145" t="n">
        <v>23</v>
      </c>
      <c r="B1991" s="204">
        <f>EDATE($B1990,1)</f>
        <v/>
      </c>
      <c r="C1991" s="205">
        <f>EOMONTH($B1991,0)</f>
        <v/>
      </c>
      <c r="D1991" s="201">
        <f>$C1991-$B1991+1</f>
        <v/>
      </c>
      <c r="E1991" s="201">
        <f>MONTH($B1991)</f>
        <v/>
      </c>
      <c r="F1991" s="235">
        <f>($B1991+$C1991+1)/2</f>
        <v/>
      </c>
      <c r="G1991" s="201">
        <f>YEAR($B1991)*12+MONTH($B1991)-1</f>
        <v/>
      </c>
      <c r="H1991" s="207">
        <f>IF(OR(nr_SeasonOn="OFF",$D$1966=0,$E$1966=0),1,12*INDEX(se_block,$D$1966,$E1991)/$E$1966)</f>
        <v/>
      </c>
      <c r="I1991" s="208">
        <f>EXP(SUMPRODUCT((rl_eff&lt;$B1991)*(rl_key=$A$1966)*rl_ln1p))</f>
        <v/>
      </c>
      <c r="J1991" s="208">
        <f>EXP(SUMPRODUCT((rl_eff&lt;=$C1991)*(rl_key=$A$1966)*rl_ln1p))</f>
        <v/>
      </c>
      <c r="K1991" s="201">
        <f>COUNTIFS(rl_key,$A$1966,rl_eff,"&gt;="&amp;$B1991,rl_eff,"&lt;="&amp;$C1991)</f>
        <v/>
      </c>
      <c r="L1991" s="201">
        <f>SUMIFS(rl_daysafter,rl_key,$A$1966,rl_effmonth,$B1991,rl_first,1)</f>
        <v/>
      </c>
      <c r="M1991" s="209">
        <f>IF($K1991=0,0,MIN(1,$L1991/$D1991))</f>
        <v/>
      </c>
      <c r="N1991" s="208">
        <f>IF($K1991=0,$J1991,(1-$M1991)*$I1991+$M1991*$J1991)</f>
        <v/>
      </c>
      <c r="O1991" s="209">
        <f>IF($F1991&lt;$B$1967,$E$1967+$I$1967*($F1991-$A$1967),IF($F1991&lt;$C$1967,$F$1967+$J$1967*($F1991-$B$1967),$G$1967+$K$1967*($F1991-$C$1967)))</f>
        <v/>
      </c>
      <c r="P1991" s="208">
        <f>MIN(1,MAX(0,(nr_MEndPm1-$G1991+0.5)/$C$1966))-MIN(1,MAX(0,(nr_MStartPm1-1-$G1991+0.5)/$C$1966))</f>
        <v/>
      </c>
      <c r="Q1991" s="208">
        <f>MIN(1,MAX(0,(nr_MEndP-$G1991+0.5)/$C$1966))-MIN(1,MAX(0,(nr_MStartP-1-$G1991+0.5)/$C$1966))</f>
        <v/>
      </c>
      <c r="R1991" s="208">
        <f>MIN(1,MAX(0,(nr_MEndP1-$G1991+0.5)/$C$1966))-MIN(1,MAX(0,(nr_MStartP1-1-$G1991+0.5)/$C$1966))</f>
        <v/>
      </c>
      <c r="S1991" s="208">
        <f>IF($L$1966,$N1991*IF($O$1966=1,$O1991/$F$1966,1),"")</f>
        <v/>
      </c>
      <c r="T1991" s="208">
        <f>IF(NOT($L$1966),"",IF($G1991&lt;nr_MStartP,$S1991,$T1979*(1+IF($G1991&lt;nr_MStartP1,$M$1966,$N$1966))))</f>
        <v/>
      </c>
      <c r="U1991" s="208">
        <f>IF($L$1966,$T1991,$N1991)</f>
        <v/>
      </c>
    </row>
    <row r="1992">
      <c r="A1992" s="145" t="n">
        <v>24</v>
      </c>
      <c r="B1992" s="204">
        <f>EDATE($B1991,1)</f>
        <v/>
      </c>
      <c r="C1992" s="205">
        <f>EOMONTH($B1992,0)</f>
        <v/>
      </c>
      <c r="D1992" s="201">
        <f>$C1992-$B1992+1</f>
        <v/>
      </c>
      <c r="E1992" s="201">
        <f>MONTH($B1992)</f>
        <v/>
      </c>
      <c r="F1992" s="235">
        <f>($B1992+$C1992+1)/2</f>
        <v/>
      </c>
      <c r="G1992" s="201">
        <f>YEAR($B1992)*12+MONTH($B1992)-1</f>
        <v/>
      </c>
      <c r="H1992" s="207">
        <f>IF(OR(nr_SeasonOn="OFF",$D$1966=0,$E$1966=0),1,12*INDEX(se_block,$D$1966,$E1992)/$E$1966)</f>
        <v/>
      </c>
      <c r="I1992" s="208">
        <f>EXP(SUMPRODUCT((rl_eff&lt;$B1992)*(rl_key=$A$1966)*rl_ln1p))</f>
        <v/>
      </c>
      <c r="J1992" s="208">
        <f>EXP(SUMPRODUCT((rl_eff&lt;=$C1992)*(rl_key=$A$1966)*rl_ln1p))</f>
        <v/>
      </c>
      <c r="K1992" s="201">
        <f>COUNTIFS(rl_key,$A$1966,rl_eff,"&gt;="&amp;$B1992,rl_eff,"&lt;="&amp;$C1992)</f>
        <v/>
      </c>
      <c r="L1992" s="201">
        <f>SUMIFS(rl_daysafter,rl_key,$A$1966,rl_effmonth,$B1992,rl_first,1)</f>
        <v/>
      </c>
      <c r="M1992" s="209">
        <f>IF($K1992=0,0,MIN(1,$L1992/$D1992))</f>
        <v/>
      </c>
      <c r="N1992" s="208">
        <f>IF($K1992=0,$J1992,(1-$M1992)*$I1992+$M1992*$J1992)</f>
        <v/>
      </c>
      <c r="O1992" s="209">
        <f>IF($F1992&lt;$B$1967,$E$1967+$I$1967*($F1992-$A$1967),IF($F1992&lt;$C$1967,$F$1967+$J$1967*($F1992-$B$1967),$G$1967+$K$1967*($F1992-$C$1967)))</f>
        <v/>
      </c>
      <c r="P1992" s="208">
        <f>MIN(1,MAX(0,(nr_MEndPm1-$G1992+0.5)/$C$1966))-MIN(1,MAX(0,(nr_MStartPm1-1-$G1992+0.5)/$C$1966))</f>
        <v/>
      </c>
      <c r="Q1992" s="208">
        <f>MIN(1,MAX(0,(nr_MEndP-$G1992+0.5)/$C$1966))-MIN(1,MAX(0,(nr_MStartP-1-$G1992+0.5)/$C$1966))</f>
        <v/>
      </c>
      <c r="R1992" s="208">
        <f>MIN(1,MAX(0,(nr_MEndP1-$G1992+0.5)/$C$1966))-MIN(1,MAX(0,(nr_MStartP1-1-$G1992+0.5)/$C$1966))</f>
        <v/>
      </c>
      <c r="S1992" s="208">
        <f>IF($L$1966,$N1992*IF($O$1966=1,$O1992/$F$1966,1),"")</f>
        <v/>
      </c>
      <c r="T1992" s="208">
        <f>IF(NOT($L$1966),"",IF($G1992&lt;nr_MStartP,$S1992,$T1980*(1+IF($G1992&lt;nr_MStartP1,$M$1966,$N$1966))))</f>
        <v/>
      </c>
      <c r="U1992" s="208">
        <f>IF($L$1966,$T1992,$N1992)</f>
        <v/>
      </c>
    </row>
    <row r="1993">
      <c r="A1993" s="145" t="n">
        <v>25</v>
      </c>
      <c r="B1993" s="204">
        <f>EDATE($B1992,1)</f>
        <v/>
      </c>
      <c r="C1993" s="205">
        <f>EOMONTH($B1993,0)</f>
        <v/>
      </c>
      <c r="D1993" s="201">
        <f>$C1993-$B1993+1</f>
        <v/>
      </c>
      <c r="E1993" s="201">
        <f>MONTH($B1993)</f>
        <v/>
      </c>
      <c r="F1993" s="235">
        <f>($B1993+$C1993+1)/2</f>
        <v/>
      </c>
      <c r="G1993" s="201">
        <f>YEAR($B1993)*12+MONTH($B1993)-1</f>
        <v/>
      </c>
      <c r="H1993" s="207">
        <f>IF(OR(nr_SeasonOn="OFF",$D$1966=0,$E$1966=0),1,12*INDEX(se_block,$D$1966,$E1993)/$E$1966)</f>
        <v/>
      </c>
      <c r="I1993" s="208">
        <f>EXP(SUMPRODUCT((rl_eff&lt;$B1993)*(rl_key=$A$1966)*rl_ln1p))</f>
        <v/>
      </c>
      <c r="J1993" s="208">
        <f>EXP(SUMPRODUCT((rl_eff&lt;=$C1993)*(rl_key=$A$1966)*rl_ln1p))</f>
        <v/>
      </c>
      <c r="K1993" s="201">
        <f>COUNTIFS(rl_key,$A$1966,rl_eff,"&gt;="&amp;$B1993,rl_eff,"&lt;="&amp;$C1993)</f>
        <v/>
      </c>
      <c r="L1993" s="201">
        <f>SUMIFS(rl_daysafter,rl_key,$A$1966,rl_effmonth,$B1993,rl_first,1)</f>
        <v/>
      </c>
      <c r="M1993" s="209">
        <f>IF($K1993=0,0,MIN(1,$L1993/$D1993))</f>
        <v/>
      </c>
      <c r="N1993" s="208">
        <f>IF($K1993=0,$J1993,(1-$M1993)*$I1993+$M1993*$J1993)</f>
        <v/>
      </c>
      <c r="O1993" s="209">
        <f>IF($F1993&lt;$B$1967,$E$1967+$I$1967*($F1993-$A$1967),IF($F1993&lt;$C$1967,$F$1967+$J$1967*($F1993-$B$1967),$G$1967+$K$1967*($F1993-$C$1967)))</f>
        <v/>
      </c>
      <c r="P1993" s="208">
        <f>MIN(1,MAX(0,(nr_MEndPm1-$G1993+0.5)/$C$1966))-MIN(1,MAX(0,(nr_MStartPm1-1-$G1993+0.5)/$C$1966))</f>
        <v/>
      </c>
      <c r="Q1993" s="208">
        <f>MIN(1,MAX(0,(nr_MEndP-$G1993+0.5)/$C$1966))-MIN(1,MAX(0,(nr_MStartP-1-$G1993+0.5)/$C$1966))</f>
        <v/>
      </c>
      <c r="R1993" s="208">
        <f>MIN(1,MAX(0,(nr_MEndP1-$G1993+0.5)/$C$1966))-MIN(1,MAX(0,(nr_MStartP1-1-$G1993+0.5)/$C$1966))</f>
        <v/>
      </c>
      <c r="S1993" s="208">
        <f>IF($L$1966,$N1993*IF($O$1966=1,$O1993/$F$1966,1),"")</f>
        <v/>
      </c>
      <c r="T1993" s="208">
        <f>IF(NOT($L$1966),"",IF($G1993&lt;nr_MStartP,$S1993,$T1981*(1+IF($G1993&lt;nr_MStartP1,$M$1966,$N$1966))))</f>
        <v/>
      </c>
      <c r="U1993" s="208">
        <f>IF($L$1966,$T1993,$N1993)</f>
        <v/>
      </c>
    </row>
    <row r="1994">
      <c r="A1994" s="145" t="n">
        <v>26</v>
      </c>
      <c r="B1994" s="204">
        <f>EDATE($B1993,1)</f>
        <v/>
      </c>
      <c r="C1994" s="205">
        <f>EOMONTH($B1994,0)</f>
        <v/>
      </c>
      <c r="D1994" s="201">
        <f>$C1994-$B1994+1</f>
        <v/>
      </c>
      <c r="E1994" s="201">
        <f>MONTH($B1994)</f>
        <v/>
      </c>
      <c r="F1994" s="235">
        <f>($B1994+$C1994+1)/2</f>
        <v/>
      </c>
      <c r="G1994" s="201">
        <f>YEAR($B1994)*12+MONTH($B1994)-1</f>
        <v/>
      </c>
      <c r="H1994" s="207">
        <f>IF(OR(nr_SeasonOn="OFF",$D$1966=0,$E$1966=0),1,12*INDEX(se_block,$D$1966,$E1994)/$E$1966)</f>
        <v/>
      </c>
      <c r="I1994" s="208">
        <f>EXP(SUMPRODUCT((rl_eff&lt;$B1994)*(rl_key=$A$1966)*rl_ln1p))</f>
        <v/>
      </c>
      <c r="J1994" s="208">
        <f>EXP(SUMPRODUCT((rl_eff&lt;=$C1994)*(rl_key=$A$1966)*rl_ln1p))</f>
        <v/>
      </c>
      <c r="K1994" s="201">
        <f>COUNTIFS(rl_key,$A$1966,rl_eff,"&gt;="&amp;$B1994,rl_eff,"&lt;="&amp;$C1994)</f>
        <v/>
      </c>
      <c r="L1994" s="201">
        <f>SUMIFS(rl_daysafter,rl_key,$A$1966,rl_effmonth,$B1994,rl_first,1)</f>
        <v/>
      </c>
      <c r="M1994" s="209">
        <f>IF($K1994=0,0,MIN(1,$L1994/$D1994))</f>
        <v/>
      </c>
      <c r="N1994" s="208">
        <f>IF($K1994=0,$J1994,(1-$M1994)*$I1994+$M1994*$J1994)</f>
        <v/>
      </c>
      <c r="O1994" s="209">
        <f>IF($F1994&lt;$B$1967,$E$1967+$I$1967*($F1994-$A$1967),IF($F1994&lt;$C$1967,$F$1967+$J$1967*($F1994-$B$1967),$G$1967+$K$1967*($F1994-$C$1967)))</f>
        <v/>
      </c>
      <c r="P1994" s="208">
        <f>MIN(1,MAX(0,(nr_MEndPm1-$G1994+0.5)/$C$1966))-MIN(1,MAX(0,(nr_MStartPm1-1-$G1994+0.5)/$C$1966))</f>
        <v/>
      </c>
      <c r="Q1994" s="208">
        <f>MIN(1,MAX(0,(nr_MEndP-$G1994+0.5)/$C$1966))-MIN(1,MAX(0,(nr_MStartP-1-$G1994+0.5)/$C$1966))</f>
        <v/>
      </c>
      <c r="R1994" s="208">
        <f>MIN(1,MAX(0,(nr_MEndP1-$G1994+0.5)/$C$1966))-MIN(1,MAX(0,(nr_MStartP1-1-$G1994+0.5)/$C$1966))</f>
        <v/>
      </c>
      <c r="S1994" s="208">
        <f>IF($L$1966,$N1994*IF($O$1966=1,$O1994/$F$1966,1),"")</f>
        <v/>
      </c>
      <c r="T1994" s="208">
        <f>IF(NOT($L$1966),"",IF($G1994&lt;nr_MStartP,$S1994,$T1982*(1+IF($G1994&lt;nr_MStartP1,$M$1966,$N$1966))))</f>
        <v/>
      </c>
      <c r="U1994" s="208">
        <f>IF($L$1966,$T1994,$N1994)</f>
        <v/>
      </c>
    </row>
    <row r="1995">
      <c r="A1995" s="145" t="n">
        <v>27</v>
      </c>
      <c r="B1995" s="204">
        <f>EDATE($B1994,1)</f>
        <v/>
      </c>
      <c r="C1995" s="205">
        <f>EOMONTH($B1995,0)</f>
        <v/>
      </c>
      <c r="D1995" s="201">
        <f>$C1995-$B1995+1</f>
        <v/>
      </c>
      <c r="E1995" s="201">
        <f>MONTH($B1995)</f>
        <v/>
      </c>
      <c r="F1995" s="235">
        <f>($B1995+$C1995+1)/2</f>
        <v/>
      </c>
      <c r="G1995" s="201">
        <f>YEAR($B1995)*12+MONTH($B1995)-1</f>
        <v/>
      </c>
      <c r="H1995" s="207">
        <f>IF(OR(nr_SeasonOn="OFF",$D$1966=0,$E$1966=0),1,12*INDEX(se_block,$D$1966,$E1995)/$E$1966)</f>
        <v/>
      </c>
      <c r="I1995" s="208">
        <f>EXP(SUMPRODUCT((rl_eff&lt;$B1995)*(rl_key=$A$1966)*rl_ln1p))</f>
        <v/>
      </c>
      <c r="J1995" s="208">
        <f>EXP(SUMPRODUCT((rl_eff&lt;=$C1995)*(rl_key=$A$1966)*rl_ln1p))</f>
        <v/>
      </c>
      <c r="K1995" s="201">
        <f>COUNTIFS(rl_key,$A$1966,rl_eff,"&gt;="&amp;$B1995,rl_eff,"&lt;="&amp;$C1995)</f>
        <v/>
      </c>
      <c r="L1995" s="201">
        <f>SUMIFS(rl_daysafter,rl_key,$A$1966,rl_effmonth,$B1995,rl_first,1)</f>
        <v/>
      </c>
      <c r="M1995" s="209">
        <f>IF($K1995=0,0,MIN(1,$L1995/$D1995))</f>
        <v/>
      </c>
      <c r="N1995" s="208">
        <f>IF($K1995=0,$J1995,(1-$M1995)*$I1995+$M1995*$J1995)</f>
        <v/>
      </c>
      <c r="O1995" s="209">
        <f>IF($F1995&lt;$B$1967,$E$1967+$I$1967*($F1995-$A$1967),IF($F1995&lt;$C$1967,$F$1967+$J$1967*($F1995-$B$1967),$G$1967+$K$1967*($F1995-$C$1967)))</f>
        <v/>
      </c>
      <c r="P1995" s="208">
        <f>MIN(1,MAX(0,(nr_MEndPm1-$G1995+0.5)/$C$1966))-MIN(1,MAX(0,(nr_MStartPm1-1-$G1995+0.5)/$C$1966))</f>
        <v/>
      </c>
      <c r="Q1995" s="208">
        <f>MIN(1,MAX(0,(nr_MEndP-$G1995+0.5)/$C$1966))-MIN(1,MAX(0,(nr_MStartP-1-$G1995+0.5)/$C$1966))</f>
        <v/>
      </c>
      <c r="R1995" s="208">
        <f>MIN(1,MAX(0,(nr_MEndP1-$G1995+0.5)/$C$1966))-MIN(1,MAX(0,(nr_MStartP1-1-$G1995+0.5)/$C$1966))</f>
        <v/>
      </c>
      <c r="S1995" s="208">
        <f>IF($L$1966,$N1995*IF($O$1966=1,$O1995/$F$1966,1),"")</f>
        <v/>
      </c>
      <c r="T1995" s="208">
        <f>IF(NOT($L$1966),"",IF($G1995&lt;nr_MStartP,$S1995,$T1983*(1+IF($G1995&lt;nr_MStartP1,$M$1966,$N$1966))))</f>
        <v/>
      </c>
      <c r="U1995" s="208">
        <f>IF($L$1966,$T1995,$N1995)</f>
        <v/>
      </c>
    </row>
    <row r="1996">
      <c r="A1996" s="145" t="n">
        <v>28</v>
      </c>
      <c r="B1996" s="204">
        <f>EDATE($B1995,1)</f>
        <v/>
      </c>
      <c r="C1996" s="205">
        <f>EOMONTH($B1996,0)</f>
        <v/>
      </c>
      <c r="D1996" s="201">
        <f>$C1996-$B1996+1</f>
        <v/>
      </c>
      <c r="E1996" s="201">
        <f>MONTH($B1996)</f>
        <v/>
      </c>
      <c r="F1996" s="235">
        <f>($B1996+$C1996+1)/2</f>
        <v/>
      </c>
      <c r="G1996" s="201">
        <f>YEAR($B1996)*12+MONTH($B1996)-1</f>
        <v/>
      </c>
      <c r="H1996" s="207">
        <f>IF(OR(nr_SeasonOn="OFF",$D$1966=0,$E$1966=0),1,12*INDEX(se_block,$D$1966,$E1996)/$E$1966)</f>
        <v/>
      </c>
      <c r="I1996" s="208">
        <f>EXP(SUMPRODUCT((rl_eff&lt;$B1996)*(rl_key=$A$1966)*rl_ln1p))</f>
        <v/>
      </c>
      <c r="J1996" s="208">
        <f>EXP(SUMPRODUCT((rl_eff&lt;=$C1996)*(rl_key=$A$1966)*rl_ln1p))</f>
        <v/>
      </c>
      <c r="K1996" s="201">
        <f>COUNTIFS(rl_key,$A$1966,rl_eff,"&gt;="&amp;$B1996,rl_eff,"&lt;="&amp;$C1996)</f>
        <v/>
      </c>
      <c r="L1996" s="201">
        <f>SUMIFS(rl_daysafter,rl_key,$A$1966,rl_effmonth,$B1996,rl_first,1)</f>
        <v/>
      </c>
      <c r="M1996" s="209">
        <f>IF($K1996=0,0,MIN(1,$L1996/$D1996))</f>
        <v/>
      </c>
      <c r="N1996" s="208">
        <f>IF($K1996=0,$J1996,(1-$M1996)*$I1996+$M1996*$J1996)</f>
        <v/>
      </c>
      <c r="O1996" s="209">
        <f>IF($F1996&lt;$B$1967,$E$1967+$I$1967*($F1996-$A$1967),IF($F1996&lt;$C$1967,$F$1967+$J$1967*($F1996-$B$1967),$G$1967+$K$1967*($F1996-$C$1967)))</f>
        <v/>
      </c>
      <c r="P1996" s="208">
        <f>MIN(1,MAX(0,(nr_MEndPm1-$G1996+0.5)/$C$1966))-MIN(1,MAX(0,(nr_MStartPm1-1-$G1996+0.5)/$C$1966))</f>
        <v/>
      </c>
      <c r="Q1996" s="208">
        <f>MIN(1,MAX(0,(nr_MEndP-$G1996+0.5)/$C$1966))-MIN(1,MAX(0,(nr_MStartP-1-$G1996+0.5)/$C$1966))</f>
        <v/>
      </c>
      <c r="R1996" s="208">
        <f>MIN(1,MAX(0,(nr_MEndP1-$G1996+0.5)/$C$1966))-MIN(1,MAX(0,(nr_MStartP1-1-$G1996+0.5)/$C$1966))</f>
        <v/>
      </c>
      <c r="S1996" s="208">
        <f>IF($L$1966,$N1996*IF($O$1966=1,$O1996/$F$1966,1),"")</f>
        <v/>
      </c>
      <c r="T1996" s="208">
        <f>IF(NOT($L$1966),"",IF($G1996&lt;nr_MStartP,$S1996,$T1984*(1+IF($G1996&lt;nr_MStartP1,$M$1966,$N$1966))))</f>
        <v/>
      </c>
      <c r="U1996" s="208">
        <f>IF($L$1966,$T1996,$N1996)</f>
        <v/>
      </c>
    </row>
    <row r="1997">
      <c r="A1997" s="145" t="n">
        <v>29</v>
      </c>
      <c r="B1997" s="204">
        <f>EDATE($B1996,1)</f>
        <v/>
      </c>
      <c r="C1997" s="205">
        <f>EOMONTH($B1997,0)</f>
        <v/>
      </c>
      <c r="D1997" s="201">
        <f>$C1997-$B1997+1</f>
        <v/>
      </c>
      <c r="E1997" s="201">
        <f>MONTH($B1997)</f>
        <v/>
      </c>
      <c r="F1997" s="235">
        <f>($B1997+$C1997+1)/2</f>
        <v/>
      </c>
      <c r="G1997" s="201">
        <f>YEAR($B1997)*12+MONTH($B1997)-1</f>
        <v/>
      </c>
      <c r="H1997" s="207">
        <f>IF(OR(nr_SeasonOn="OFF",$D$1966=0,$E$1966=0),1,12*INDEX(se_block,$D$1966,$E1997)/$E$1966)</f>
        <v/>
      </c>
      <c r="I1997" s="208">
        <f>EXP(SUMPRODUCT((rl_eff&lt;$B1997)*(rl_key=$A$1966)*rl_ln1p))</f>
        <v/>
      </c>
      <c r="J1997" s="208">
        <f>EXP(SUMPRODUCT((rl_eff&lt;=$C1997)*(rl_key=$A$1966)*rl_ln1p))</f>
        <v/>
      </c>
      <c r="K1997" s="201">
        <f>COUNTIFS(rl_key,$A$1966,rl_eff,"&gt;="&amp;$B1997,rl_eff,"&lt;="&amp;$C1997)</f>
        <v/>
      </c>
      <c r="L1997" s="201">
        <f>SUMIFS(rl_daysafter,rl_key,$A$1966,rl_effmonth,$B1997,rl_first,1)</f>
        <v/>
      </c>
      <c r="M1997" s="209">
        <f>IF($K1997=0,0,MIN(1,$L1997/$D1997))</f>
        <v/>
      </c>
      <c r="N1997" s="208">
        <f>IF($K1997=0,$J1997,(1-$M1997)*$I1997+$M1997*$J1997)</f>
        <v/>
      </c>
      <c r="O1997" s="209">
        <f>IF($F1997&lt;$B$1967,$E$1967+$I$1967*($F1997-$A$1967),IF($F1997&lt;$C$1967,$F$1967+$J$1967*($F1997-$B$1967),$G$1967+$K$1967*($F1997-$C$1967)))</f>
        <v/>
      </c>
      <c r="P1997" s="208">
        <f>MIN(1,MAX(0,(nr_MEndPm1-$G1997+0.5)/$C$1966))-MIN(1,MAX(0,(nr_MStartPm1-1-$G1997+0.5)/$C$1966))</f>
        <v/>
      </c>
      <c r="Q1997" s="208">
        <f>MIN(1,MAX(0,(nr_MEndP-$G1997+0.5)/$C$1966))-MIN(1,MAX(0,(nr_MStartP-1-$G1997+0.5)/$C$1966))</f>
        <v/>
      </c>
      <c r="R1997" s="208">
        <f>MIN(1,MAX(0,(nr_MEndP1-$G1997+0.5)/$C$1966))-MIN(1,MAX(0,(nr_MStartP1-1-$G1997+0.5)/$C$1966))</f>
        <v/>
      </c>
      <c r="S1997" s="208">
        <f>IF($L$1966,$N1997*IF($O$1966=1,$O1997/$F$1966,1),"")</f>
        <v/>
      </c>
      <c r="T1997" s="208">
        <f>IF(NOT($L$1966),"",IF($G1997&lt;nr_MStartP,$S1997,$T1985*(1+IF($G1997&lt;nr_MStartP1,$M$1966,$N$1966))))</f>
        <v/>
      </c>
      <c r="U1997" s="208">
        <f>IF($L$1966,$T1997,$N1997)</f>
        <v/>
      </c>
    </row>
    <row r="1998">
      <c r="A1998" s="145" t="n">
        <v>30</v>
      </c>
      <c r="B1998" s="204">
        <f>EDATE($B1997,1)</f>
        <v/>
      </c>
      <c r="C1998" s="205">
        <f>EOMONTH($B1998,0)</f>
        <v/>
      </c>
      <c r="D1998" s="201">
        <f>$C1998-$B1998+1</f>
        <v/>
      </c>
      <c r="E1998" s="201">
        <f>MONTH($B1998)</f>
        <v/>
      </c>
      <c r="F1998" s="235">
        <f>($B1998+$C1998+1)/2</f>
        <v/>
      </c>
      <c r="G1998" s="201">
        <f>YEAR($B1998)*12+MONTH($B1998)-1</f>
        <v/>
      </c>
      <c r="H1998" s="207">
        <f>IF(OR(nr_SeasonOn="OFF",$D$1966=0,$E$1966=0),1,12*INDEX(se_block,$D$1966,$E1998)/$E$1966)</f>
        <v/>
      </c>
      <c r="I1998" s="208">
        <f>EXP(SUMPRODUCT((rl_eff&lt;$B1998)*(rl_key=$A$1966)*rl_ln1p))</f>
        <v/>
      </c>
      <c r="J1998" s="208">
        <f>EXP(SUMPRODUCT((rl_eff&lt;=$C1998)*(rl_key=$A$1966)*rl_ln1p))</f>
        <v/>
      </c>
      <c r="K1998" s="201">
        <f>COUNTIFS(rl_key,$A$1966,rl_eff,"&gt;="&amp;$B1998,rl_eff,"&lt;="&amp;$C1998)</f>
        <v/>
      </c>
      <c r="L1998" s="201">
        <f>SUMIFS(rl_daysafter,rl_key,$A$1966,rl_effmonth,$B1998,rl_first,1)</f>
        <v/>
      </c>
      <c r="M1998" s="209">
        <f>IF($K1998=0,0,MIN(1,$L1998/$D1998))</f>
        <v/>
      </c>
      <c r="N1998" s="208">
        <f>IF($K1998=0,$J1998,(1-$M1998)*$I1998+$M1998*$J1998)</f>
        <v/>
      </c>
      <c r="O1998" s="209">
        <f>IF($F1998&lt;$B$1967,$E$1967+$I$1967*($F1998-$A$1967),IF($F1998&lt;$C$1967,$F$1967+$J$1967*($F1998-$B$1967),$G$1967+$K$1967*($F1998-$C$1967)))</f>
        <v/>
      </c>
      <c r="P1998" s="208">
        <f>MIN(1,MAX(0,(nr_MEndPm1-$G1998+0.5)/$C$1966))-MIN(1,MAX(0,(nr_MStartPm1-1-$G1998+0.5)/$C$1966))</f>
        <v/>
      </c>
      <c r="Q1998" s="208">
        <f>MIN(1,MAX(0,(nr_MEndP-$G1998+0.5)/$C$1966))-MIN(1,MAX(0,(nr_MStartP-1-$G1998+0.5)/$C$1966))</f>
        <v/>
      </c>
      <c r="R1998" s="208">
        <f>MIN(1,MAX(0,(nr_MEndP1-$G1998+0.5)/$C$1966))-MIN(1,MAX(0,(nr_MStartP1-1-$G1998+0.5)/$C$1966))</f>
        <v/>
      </c>
      <c r="S1998" s="208">
        <f>IF($L$1966,$N1998*IF($O$1966=1,$O1998/$F$1966,1),"")</f>
        <v/>
      </c>
      <c r="T1998" s="208">
        <f>IF(NOT($L$1966),"",IF($G1998&lt;nr_MStartP,$S1998,$T1986*(1+IF($G1998&lt;nr_MStartP1,$M$1966,$N$1966))))</f>
        <v/>
      </c>
      <c r="U1998" s="208">
        <f>IF($L$1966,$T1998,$N1998)</f>
        <v/>
      </c>
    </row>
    <row r="1999">
      <c r="A1999" s="145" t="n">
        <v>31</v>
      </c>
      <c r="B1999" s="204">
        <f>EDATE($B1998,1)</f>
        <v/>
      </c>
      <c r="C1999" s="205">
        <f>EOMONTH($B1999,0)</f>
        <v/>
      </c>
      <c r="D1999" s="201">
        <f>$C1999-$B1999+1</f>
        <v/>
      </c>
      <c r="E1999" s="201">
        <f>MONTH($B1999)</f>
        <v/>
      </c>
      <c r="F1999" s="235">
        <f>($B1999+$C1999+1)/2</f>
        <v/>
      </c>
      <c r="G1999" s="201">
        <f>YEAR($B1999)*12+MONTH($B1999)-1</f>
        <v/>
      </c>
      <c r="H1999" s="207">
        <f>IF(OR(nr_SeasonOn="OFF",$D$1966=0,$E$1966=0),1,12*INDEX(se_block,$D$1966,$E1999)/$E$1966)</f>
        <v/>
      </c>
      <c r="I1999" s="208">
        <f>EXP(SUMPRODUCT((rl_eff&lt;$B1999)*(rl_key=$A$1966)*rl_ln1p))</f>
        <v/>
      </c>
      <c r="J1999" s="208">
        <f>EXP(SUMPRODUCT((rl_eff&lt;=$C1999)*(rl_key=$A$1966)*rl_ln1p))</f>
        <v/>
      </c>
      <c r="K1999" s="201">
        <f>COUNTIFS(rl_key,$A$1966,rl_eff,"&gt;="&amp;$B1999,rl_eff,"&lt;="&amp;$C1999)</f>
        <v/>
      </c>
      <c r="L1999" s="201">
        <f>SUMIFS(rl_daysafter,rl_key,$A$1966,rl_effmonth,$B1999,rl_first,1)</f>
        <v/>
      </c>
      <c r="M1999" s="209">
        <f>IF($K1999=0,0,MIN(1,$L1999/$D1999))</f>
        <v/>
      </c>
      <c r="N1999" s="208">
        <f>IF($K1999=0,$J1999,(1-$M1999)*$I1999+$M1999*$J1999)</f>
        <v/>
      </c>
      <c r="O1999" s="209">
        <f>IF($F1999&lt;$B$1967,$E$1967+$I$1967*($F1999-$A$1967),IF($F1999&lt;$C$1967,$F$1967+$J$1967*($F1999-$B$1967),$G$1967+$K$1967*($F1999-$C$1967)))</f>
        <v/>
      </c>
      <c r="P1999" s="208">
        <f>MIN(1,MAX(0,(nr_MEndPm1-$G1999+0.5)/$C$1966))-MIN(1,MAX(0,(nr_MStartPm1-1-$G1999+0.5)/$C$1966))</f>
        <v/>
      </c>
      <c r="Q1999" s="208">
        <f>MIN(1,MAX(0,(nr_MEndP-$G1999+0.5)/$C$1966))-MIN(1,MAX(0,(nr_MStartP-1-$G1999+0.5)/$C$1966))</f>
        <v/>
      </c>
      <c r="R1999" s="208">
        <f>MIN(1,MAX(0,(nr_MEndP1-$G1999+0.5)/$C$1966))-MIN(1,MAX(0,(nr_MStartP1-1-$G1999+0.5)/$C$1966))</f>
        <v/>
      </c>
      <c r="S1999" s="208">
        <f>IF($L$1966,$N1999*IF($O$1966=1,$O1999/$F$1966,1),"")</f>
        <v/>
      </c>
      <c r="T1999" s="208">
        <f>IF(NOT($L$1966),"",IF($G1999&lt;nr_MStartP,$S1999,$T1987*(1+IF($G1999&lt;nr_MStartP1,$M$1966,$N$1966))))</f>
        <v/>
      </c>
      <c r="U1999" s="208">
        <f>IF($L$1966,$T1999,$N1999)</f>
        <v/>
      </c>
    </row>
    <row r="2000">
      <c r="A2000" s="145" t="n">
        <v>32</v>
      </c>
      <c r="B2000" s="204">
        <f>EDATE($B1999,1)</f>
        <v/>
      </c>
      <c r="C2000" s="205">
        <f>EOMONTH($B2000,0)</f>
        <v/>
      </c>
      <c r="D2000" s="201">
        <f>$C2000-$B2000+1</f>
        <v/>
      </c>
      <c r="E2000" s="201">
        <f>MONTH($B2000)</f>
        <v/>
      </c>
      <c r="F2000" s="235">
        <f>($B2000+$C2000+1)/2</f>
        <v/>
      </c>
      <c r="G2000" s="201">
        <f>YEAR($B2000)*12+MONTH($B2000)-1</f>
        <v/>
      </c>
      <c r="H2000" s="207">
        <f>IF(OR(nr_SeasonOn="OFF",$D$1966=0,$E$1966=0),1,12*INDEX(se_block,$D$1966,$E2000)/$E$1966)</f>
        <v/>
      </c>
      <c r="I2000" s="208">
        <f>EXP(SUMPRODUCT((rl_eff&lt;$B2000)*(rl_key=$A$1966)*rl_ln1p))</f>
        <v/>
      </c>
      <c r="J2000" s="208">
        <f>EXP(SUMPRODUCT((rl_eff&lt;=$C2000)*(rl_key=$A$1966)*rl_ln1p))</f>
        <v/>
      </c>
      <c r="K2000" s="201">
        <f>COUNTIFS(rl_key,$A$1966,rl_eff,"&gt;="&amp;$B2000,rl_eff,"&lt;="&amp;$C2000)</f>
        <v/>
      </c>
      <c r="L2000" s="201">
        <f>SUMIFS(rl_daysafter,rl_key,$A$1966,rl_effmonth,$B2000,rl_first,1)</f>
        <v/>
      </c>
      <c r="M2000" s="209">
        <f>IF($K2000=0,0,MIN(1,$L2000/$D2000))</f>
        <v/>
      </c>
      <c r="N2000" s="208">
        <f>IF($K2000=0,$J2000,(1-$M2000)*$I2000+$M2000*$J2000)</f>
        <v/>
      </c>
      <c r="O2000" s="209">
        <f>IF($F2000&lt;$B$1967,$E$1967+$I$1967*($F2000-$A$1967),IF($F2000&lt;$C$1967,$F$1967+$J$1967*($F2000-$B$1967),$G$1967+$K$1967*($F2000-$C$1967)))</f>
        <v/>
      </c>
      <c r="P2000" s="208">
        <f>MIN(1,MAX(0,(nr_MEndPm1-$G2000+0.5)/$C$1966))-MIN(1,MAX(0,(nr_MStartPm1-1-$G2000+0.5)/$C$1966))</f>
        <v/>
      </c>
      <c r="Q2000" s="208">
        <f>MIN(1,MAX(0,(nr_MEndP-$G2000+0.5)/$C$1966))-MIN(1,MAX(0,(nr_MStartP-1-$G2000+0.5)/$C$1966))</f>
        <v/>
      </c>
      <c r="R2000" s="208">
        <f>MIN(1,MAX(0,(nr_MEndP1-$G2000+0.5)/$C$1966))-MIN(1,MAX(0,(nr_MStartP1-1-$G2000+0.5)/$C$1966))</f>
        <v/>
      </c>
      <c r="S2000" s="208">
        <f>IF($L$1966,$N2000*IF($O$1966=1,$O2000/$F$1966,1),"")</f>
        <v/>
      </c>
      <c r="T2000" s="208">
        <f>IF(NOT($L$1966),"",IF($G2000&lt;nr_MStartP,$S2000,$T1988*(1+IF($G2000&lt;nr_MStartP1,$M$1966,$N$1966))))</f>
        <v/>
      </c>
      <c r="U2000" s="208">
        <f>IF($L$1966,$T2000,$N2000)</f>
        <v/>
      </c>
    </row>
    <row r="2001">
      <c r="A2001" s="145" t="n">
        <v>33</v>
      </c>
      <c r="B2001" s="204">
        <f>EDATE($B2000,1)</f>
        <v/>
      </c>
      <c r="C2001" s="205">
        <f>EOMONTH($B2001,0)</f>
        <v/>
      </c>
      <c r="D2001" s="201">
        <f>$C2001-$B2001+1</f>
        <v/>
      </c>
      <c r="E2001" s="201">
        <f>MONTH($B2001)</f>
        <v/>
      </c>
      <c r="F2001" s="235">
        <f>($B2001+$C2001+1)/2</f>
        <v/>
      </c>
      <c r="G2001" s="201">
        <f>YEAR($B2001)*12+MONTH($B2001)-1</f>
        <v/>
      </c>
      <c r="H2001" s="207">
        <f>IF(OR(nr_SeasonOn="OFF",$D$1966=0,$E$1966=0),1,12*INDEX(se_block,$D$1966,$E2001)/$E$1966)</f>
        <v/>
      </c>
      <c r="I2001" s="208">
        <f>EXP(SUMPRODUCT((rl_eff&lt;$B2001)*(rl_key=$A$1966)*rl_ln1p))</f>
        <v/>
      </c>
      <c r="J2001" s="208">
        <f>EXP(SUMPRODUCT((rl_eff&lt;=$C2001)*(rl_key=$A$1966)*rl_ln1p))</f>
        <v/>
      </c>
      <c r="K2001" s="201">
        <f>COUNTIFS(rl_key,$A$1966,rl_eff,"&gt;="&amp;$B2001,rl_eff,"&lt;="&amp;$C2001)</f>
        <v/>
      </c>
      <c r="L2001" s="201">
        <f>SUMIFS(rl_daysafter,rl_key,$A$1966,rl_effmonth,$B2001,rl_first,1)</f>
        <v/>
      </c>
      <c r="M2001" s="209">
        <f>IF($K2001=0,0,MIN(1,$L2001/$D2001))</f>
        <v/>
      </c>
      <c r="N2001" s="208">
        <f>IF($K2001=0,$J2001,(1-$M2001)*$I2001+$M2001*$J2001)</f>
        <v/>
      </c>
      <c r="O2001" s="209">
        <f>IF($F2001&lt;$B$1967,$E$1967+$I$1967*($F2001-$A$1967),IF($F2001&lt;$C$1967,$F$1967+$J$1967*($F2001-$B$1967),$G$1967+$K$1967*($F2001-$C$1967)))</f>
        <v/>
      </c>
      <c r="P2001" s="208">
        <f>MIN(1,MAX(0,(nr_MEndPm1-$G2001+0.5)/$C$1966))-MIN(1,MAX(0,(nr_MStartPm1-1-$G2001+0.5)/$C$1966))</f>
        <v/>
      </c>
      <c r="Q2001" s="208">
        <f>MIN(1,MAX(0,(nr_MEndP-$G2001+0.5)/$C$1966))-MIN(1,MAX(0,(nr_MStartP-1-$G2001+0.5)/$C$1966))</f>
        <v/>
      </c>
      <c r="R2001" s="208">
        <f>MIN(1,MAX(0,(nr_MEndP1-$G2001+0.5)/$C$1966))-MIN(1,MAX(0,(nr_MStartP1-1-$G2001+0.5)/$C$1966))</f>
        <v/>
      </c>
      <c r="S2001" s="208">
        <f>IF($L$1966,$N2001*IF($O$1966=1,$O2001/$F$1966,1),"")</f>
        <v/>
      </c>
      <c r="T2001" s="208">
        <f>IF(NOT($L$1966),"",IF($G2001&lt;nr_MStartP,$S2001,$T1989*(1+IF($G2001&lt;nr_MStartP1,$M$1966,$N$1966))))</f>
        <v/>
      </c>
      <c r="U2001" s="208">
        <f>IF($L$1966,$T2001,$N2001)</f>
        <v/>
      </c>
    </row>
    <row r="2002">
      <c r="A2002" s="145" t="n">
        <v>34</v>
      </c>
      <c r="B2002" s="204">
        <f>EDATE($B2001,1)</f>
        <v/>
      </c>
      <c r="C2002" s="205">
        <f>EOMONTH($B2002,0)</f>
        <v/>
      </c>
      <c r="D2002" s="201">
        <f>$C2002-$B2002+1</f>
        <v/>
      </c>
      <c r="E2002" s="201">
        <f>MONTH($B2002)</f>
        <v/>
      </c>
      <c r="F2002" s="235">
        <f>($B2002+$C2002+1)/2</f>
        <v/>
      </c>
      <c r="G2002" s="201">
        <f>YEAR($B2002)*12+MONTH($B2002)-1</f>
        <v/>
      </c>
      <c r="H2002" s="207">
        <f>IF(OR(nr_SeasonOn="OFF",$D$1966=0,$E$1966=0),1,12*INDEX(se_block,$D$1966,$E2002)/$E$1966)</f>
        <v/>
      </c>
      <c r="I2002" s="208">
        <f>EXP(SUMPRODUCT((rl_eff&lt;$B2002)*(rl_key=$A$1966)*rl_ln1p))</f>
        <v/>
      </c>
      <c r="J2002" s="208">
        <f>EXP(SUMPRODUCT((rl_eff&lt;=$C2002)*(rl_key=$A$1966)*rl_ln1p))</f>
        <v/>
      </c>
      <c r="K2002" s="201">
        <f>COUNTIFS(rl_key,$A$1966,rl_eff,"&gt;="&amp;$B2002,rl_eff,"&lt;="&amp;$C2002)</f>
        <v/>
      </c>
      <c r="L2002" s="201">
        <f>SUMIFS(rl_daysafter,rl_key,$A$1966,rl_effmonth,$B2002,rl_first,1)</f>
        <v/>
      </c>
      <c r="M2002" s="209">
        <f>IF($K2002=0,0,MIN(1,$L2002/$D2002))</f>
        <v/>
      </c>
      <c r="N2002" s="208">
        <f>IF($K2002=0,$J2002,(1-$M2002)*$I2002+$M2002*$J2002)</f>
        <v/>
      </c>
      <c r="O2002" s="209">
        <f>IF($F2002&lt;$B$1967,$E$1967+$I$1967*($F2002-$A$1967),IF($F2002&lt;$C$1967,$F$1967+$J$1967*($F2002-$B$1967),$G$1967+$K$1967*($F2002-$C$1967)))</f>
        <v/>
      </c>
      <c r="P2002" s="208">
        <f>MIN(1,MAX(0,(nr_MEndPm1-$G2002+0.5)/$C$1966))-MIN(1,MAX(0,(nr_MStartPm1-1-$G2002+0.5)/$C$1966))</f>
        <v/>
      </c>
      <c r="Q2002" s="208">
        <f>MIN(1,MAX(0,(nr_MEndP-$G2002+0.5)/$C$1966))-MIN(1,MAX(0,(nr_MStartP-1-$G2002+0.5)/$C$1966))</f>
        <v/>
      </c>
      <c r="R2002" s="208">
        <f>MIN(1,MAX(0,(nr_MEndP1-$G2002+0.5)/$C$1966))-MIN(1,MAX(0,(nr_MStartP1-1-$G2002+0.5)/$C$1966))</f>
        <v/>
      </c>
      <c r="S2002" s="208">
        <f>IF($L$1966,$N2002*IF($O$1966=1,$O2002/$F$1966,1),"")</f>
        <v/>
      </c>
      <c r="T2002" s="208">
        <f>IF(NOT($L$1966),"",IF($G2002&lt;nr_MStartP,$S2002,$T1990*(1+IF($G2002&lt;nr_MStartP1,$M$1966,$N$1966))))</f>
        <v/>
      </c>
      <c r="U2002" s="208">
        <f>IF($L$1966,$T2002,$N2002)</f>
        <v/>
      </c>
    </row>
    <row r="2003">
      <c r="A2003" s="145" t="n">
        <v>35</v>
      </c>
      <c r="B2003" s="204">
        <f>EDATE($B2002,1)</f>
        <v/>
      </c>
      <c r="C2003" s="205">
        <f>EOMONTH($B2003,0)</f>
        <v/>
      </c>
      <c r="D2003" s="201">
        <f>$C2003-$B2003+1</f>
        <v/>
      </c>
      <c r="E2003" s="201">
        <f>MONTH($B2003)</f>
        <v/>
      </c>
      <c r="F2003" s="235">
        <f>($B2003+$C2003+1)/2</f>
        <v/>
      </c>
      <c r="G2003" s="201">
        <f>YEAR($B2003)*12+MONTH($B2003)-1</f>
        <v/>
      </c>
      <c r="H2003" s="207">
        <f>IF(OR(nr_SeasonOn="OFF",$D$1966=0,$E$1966=0),1,12*INDEX(se_block,$D$1966,$E2003)/$E$1966)</f>
        <v/>
      </c>
      <c r="I2003" s="208">
        <f>EXP(SUMPRODUCT((rl_eff&lt;$B2003)*(rl_key=$A$1966)*rl_ln1p))</f>
        <v/>
      </c>
      <c r="J2003" s="208">
        <f>EXP(SUMPRODUCT((rl_eff&lt;=$C2003)*(rl_key=$A$1966)*rl_ln1p))</f>
        <v/>
      </c>
      <c r="K2003" s="201">
        <f>COUNTIFS(rl_key,$A$1966,rl_eff,"&gt;="&amp;$B2003,rl_eff,"&lt;="&amp;$C2003)</f>
        <v/>
      </c>
      <c r="L2003" s="201">
        <f>SUMIFS(rl_daysafter,rl_key,$A$1966,rl_effmonth,$B2003,rl_first,1)</f>
        <v/>
      </c>
      <c r="M2003" s="209">
        <f>IF($K2003=0,0,MIN(1,$L2003/$D2003))</f>
        <v/>
      </c>
      <c r="N2003" s="208">
        <f>IF($K2003=0,$J2003,(1-$M2003)*$I2003+$M2003*$J2003)</f>
        <v/>
      </c>
      <c r="O2003" s="209">
        <f>IF($F2003&lt;$B$1967,$E$1967+$I$1967*($F2003-$A$1967),IF($F2003&lt;$C$1967,$F$1967+$J$1967*($F2003-$B$1967),$G$1967+$K$1967*($F2003-$C$1967)))</f>
        <v/>
      </c>
      <c r="P2003" s="208">
        <f>MIN(1,MAX(0,(nr_MEndPm1-$G2003+0.5)/$C$1966))-MIN(1,MAX(0,(nr_MStartPm1-1-$G2003+0.5)/$C$1966))</f>
        <v/>
      </c>
      <c r="Q2003" s="208">
        <f>MIN(1,MAX(0,(nr_MEndP-$G2003+0.5)/$C$1966))-MIN(1,MAX(0,(nr_MStartP-1-$G2003+0.5)/$C$1966))</f>
        <v/>
      </c>
      <c r="R2003" s="208">
        <f>MIN(1,MAX(0,(nr_MEndP1-$G2003+0.5)/$C$1966))-MIN(1,MAX(0,(nr_MStartP1-1-$G2003+0.5)/$C$1966))</f>
        <v/>
      </c>
      <c r="S2003" s="208">
        <f>IF($L$1966,$N2003*IF($O$1966=1,$O2003/$F$1966,1),"")</f>
        <v/>
      </c>
      <c r="T2003" s="208">
        <f>IF(NOT($L$1966),"",IF($G2003&lt;nr_MStartP,$S2003,$T1991*(1+IF($G2003&lt;nr_MStartP1,$M$1966,$N$1966))))</f>
        <v/>
      </c>
      <c r="U2003" s="208">
        <f>IF($L$1966,$T2003,$N2003)</f>
        <v/>
      </c>
    </row>
    <row r="2004">
      <c r="A2004" s="145" t="n">
        <v>36</v>
      </c>
      <c r="B2004" s="204">
        <f>EDATE($B2003,1)</f>
        <v/>
      </c>
      <c r="C2004" s="205">
        <f>EOMONTH($B2004,0)</f>
        <v/>
      </c>
      <c r="D2004" s="201">
        <f>$C2004-$B2004+1</f>
        <v/>
      </c>
      <c r="E2004" s="201">
        <f>MONTH($B2004)</f>
        <v/>
      </c>
      <c r="F2004" s="235">
        <f>($B2004+$C2004+1)/2</f>
        <v/>
      </c>
      <c r="G2004" s="201">
        <f>YEAR($B2004)*12+MONTH($B2004)-1</f>
        <v/>
      </c>
      <c r="H2004" s="207">
        <f>IF(OR(nr_SeasonOn="OFF",$D$1966=0,$E$1966=0),1,12*INDEX(se_block,$D$1966,$E2004)/$E$1966)</f>
        <v/>
      </c>
      <c r="I2004" s="208">
        <f>EXP(SUMPRODUCT((rl_eff&lt;$B2004)*(rl_key=$A$1966)*rl_ln1p))</f>
        <v/>
      </c>
      <c r="J2004" s="208">
        <f>EXP(SUMPRODUCT((rl_eff&lt;=$C2004)*(rl_key=$A$1966)*rl_ln1p))</f>
        <v/>
      </c>
      <c r="K2004" s="201">
        <f>COUNTIFS(rl_key,$A$1966,rl_eff,"&gt;="&amp;$B2004,rl_eff,"&lt;="&amp;$C2004)</f>
        <v/>
      </c>
      <c r="L2004" s="201">
        <f>SUMIFS(rl_daysafter,rl_key,$A$1966,rl_effmonth,$B2004,rl_first,1)</f>
        <v/>
      </c>
      <c r="M2004" s="209">
        <f>IF($K2004=0,0,MIN(1,$L2004/$D2004))</f>
        <v/>
      </c>
      <c r="N2004" s="208">
        <f>IF($K2004=0,$J2004,(1-$M2004)*$I2004+$M2004*$J2004)</f>
        <v/>
      </c>
      <c r="O2004" s="209">
        <f>IF($F2004&lt;$B$1967,$E$1967+$I$1967*($F2004-$A$1967),IF($F2004&lt;$C$1967,$F$1967+$J$1967*($F2004-$B$1967),$G$1967+$K$1967*($F2004-$C$1967)))</f>
        <v/>
      </c>
      <c r="P2004" s="208">
        <f>MIN(1,MAX(0,(nr_MEndPm1-$G2004+0.5)/$C$1966))-MIN(1,MAX(0,(nr_MStartPm1-1-$G2004+0.5)/$C$1966))</f>
        <v/>
      </c>
      <c r="Q2004" s="208">
        <f>MIN(1,MAX(0,(nr_MEndP-$G2004+0.5)/$C$1966))-MIN(1,MAX(0,(nr_MStartP-1-$G2004+0.5)/$C$1966))</f>
        <v/>
      </c>
      <c r="R2004" s="208">
        <f>MIN(1,MAX(0,(nr_MEndP1-$G2004+0.5)/$C$1966))-MIN(1,MAX(0,(nr_MStartP1-1-$G2004+0.5)/$C$1966))</f>
        <v/>
      </c>
      <c r="S2004" s="208">
        <f>IF($L$1966,$N2004*IF($O$1966=1,$O2004/$F$1966,1),"")</f>
        <v/>
      </c>
      <c r="T2004" s="208">
        <f>IF(NOT($L$1966),"",IF($G2004&lt;nr_MStartP,$S2004,$T1992*(1+IF($G2004&lt;nr_MStartP1,$M$1966,$N$1966))))</f>
        <v/>
      </c>
      <c r="U2004" s="208">
        <f>IF($L$1966,$T2004,$N2004)</f>
        <v/>
      </c>
    </row>
    <row r="2005">
      <c r="A2005" s="145" t="n">
        <v>37</v>
      </c>
      <c r="B2005" s="204">
        <f>EDATE($B2004,1)</f>
        <v/>
      </c>
      <c r="C2005" s="205">
        <f>EOMONTH($B2005,0)</f>
        <v/>
      </c>
      <c r="D2005" s="201">
        <f>$C2005-$B2005+1</f>
        <v/>
      </c>
      <c r="E2005" s="201">
        <f>MONTH($B2005)</f>
        <v/>
      </c>
      <c r="F2005" s="235">
        <f>($B2005+$C2005+1)/2</f>
        <v/>
      </c>
      <c r="G2005" s="201">
        <f>YEAR($B2005)*12+MONTH($B2005)-1</f>
        <v/>
      </c>
      <c r="H2005" s="207">
        <f>IF(OR(nr_SeasonOn="OFF",$D$1966=0,$E$1966=0),1,12*INDEX(se_block,$D$1966,$E2005)/$E$1966)</f>
        <v/>
      </c>
      <c r="I2005" s="208">
        <f>EXP(SUMPRODUCT((rl_eff&lt;$B2005)*(rl_key=$A$1966)*rl_ln1p))</f>
        <v/>
      </c>
      <c r="J2005" s="208">
        <f>EXP(SUMPRODUCT((rl_eff&lt;=$C2005)*(rl_key=$A$1966)*rl_ln1p))</f>
        <v/>
      </c>
      <c r="K2005" s="201">
        <f>COUNTIFS(rl_key,$A$1966,rl_eff,"&gt;="&amp;$B2005,rl_eff,"&lt;="&amp;$C2005)</f>
        <v/>
      </c>
      <c r="L2005" s="201">
        <f>SUMIFS(rl_daysafter,rl_key,$A$1966,rl_effmonth,$B2005,rl_first,1)</f>
        <v/>
      </c>
      <c r="M2005" s="209">
        <f>IF($K2005=0,0,MIN(1,$L2005/$D2005))</f>
        <v/>
      </c>
      <c r="N2005" s="208">
        <f>IF($K2005=0,$J2005,(1-$M2005)*$I2005+$M2005*$J2005)</f>
        <v/>
      </c>
      <c r="O2005" s="209">
        <f>IF($F2005&lt;$B$1967,$E$1967+$I$1967*($F2005-$A$1967),IF($F2005&lt;$C$1967,$F$1967+$J$1967*($F2005-$B$1967),$G$1967+$K$1967*($F2005-$C$1967)))</f>
        <v/>
      </c>
      <c r="P2005" s="208">
        <f>MIN(1,MAX(0,(nr_MEndPm1-$G2005+0.5)/$C$1966))-MIN(1,MAX(0,(nr_MStartPm1-1-$G2005+0.5)/$C$1966))</f>
        <v/>
      </c>
      <c r="Q2005" s="208">
        <f>MIN(1,MAX(0,(nr_MEndP-$G2005+0.5)/$C$1966))-MIN(1,MAX(0,(nr_MStartP-1-$G2005+0.5)/$C$1966))</f>
        <v/>
      </c>
      <c r="R2005" s="208">
        <f>MIN(1,MAX(0,(nr_MEndP1-$G2005+0.5)/$C$1966))-MIN(1,MAX(0,(nr_MStartP1-1-$G2005+0.5)/$C$1966))</f>
        <v/>
      </c>
      <c r="S2005" s="208">
        <f>IF($L$1966,$N2005*IF($O$1966=1,$O2005/$F$1966,1),"")</f>
        <v/>
      </c>
      <c r="T2005" s="208">
        <f>IF(NOT($L$1966),"",IF($G2005&lt;nr_MStartP,$S2005,$T1993*(1+IF($G2005&lt;nr_MStartP1,$M$1966,$N$1966))))</f>
        <v/>
      </c>
      <c r="U2005" s="208">
        <f>IF($L$1966,$T2005,$N2005)</f>
        <v/>
      </c>
    </row>
    <row r="2006">
      <c r="A2006" s="145" t="n">
        <v>38</v>
      </c>
      <c r="B2006" s="204">
        <f>EDATE($B2005,1)</f>
        <v/>
      </c>
      <c r="C2006" s="205">
        <f>EOMONTH($B2006,0)</f>
        <v/>
      </c>
      <c r="D2006" s="201">
        <f>$C2006-$B2006+1</f>
        <v/>
      </c>
      <c r="E2006" s="201">
        <f>MONTH($B2006)</f>
        <v/>
      </c>
      <c r="F2006" s="235">
        <f>($B2006+$C2006+1)/2</f>
        <v/>
      </c>
      <c r="G2006" s="201">
        <f>YEAR($B2006)*12+MONTH($B2006)-1</f>
        <v/>
      </c>
      <c r="H2006" s="207">
        <f>IF(OR(nr_SeasonOn="OFF",$D$1966=0,$E$1966=0),1,12*INDEX(se_block,$D$1966,$E2006)/$E$1966)</f>
        <v/>
      </c>
      <c r="I2006" s="208">
        <f>EXP(SUMPRODUCT((rl_eff&lt;$B2006)*(rl_key=$A$1966)*rl_ln1p))</f>
        <v/>
      </c>
      <c r="J2006" s="208">
        <f>EXP(SUMPRODUCT((rl_eff&lt;=$C2006)*(rl_key=$A$1966)*rl_ln1p))</f>
        <v/>
      </c>
      <c r="K2006" s="201">
        <f>COUNTIFS(rl_key,$A$1966,rl_eff,"&gt;="&amp;$B2006,rl_eff,"&lt;="&amp;$C2006)</f>
        <v/>
      </c>
      <c r="L2006" s="201">
        <f>SUMIFS(rl_daysafter,rl_key,$A$1966,rl_effmonth,$B2006,rl_first,1)</f>
        <v/>
      </c>
      <c r="M2006" s="209">
        <f>IF($K2006=0,0,MIN(1,$L2006/$D2006))</f>
        <v/>
      </c>
      <c r="N2006" s="208">
        <f>IF($K2006=0,$J2006,(1-$M2006)*$I2006+$M2006*$J2006)</f>
        <v/>
      </c>
      <c r="O2006" s="209">
        <f>IF($F2006&lt;$B$1967,$E$1967+$I$1967*($F2006-$A$1967),IF($F2006&lt;$C$1967,$F$1967+$J$1967*($F2006-$B$1967),$G$1967+$K$1967*($F2006-$C$1967)))</f>
        <v/>
      </c>
      <c r="P2006" s="208">
        <f>MIN(1,MAX(0,(nr_MEndPm1-$G2006+0.5)/$C$1966))-MIN(1,MAX(0,(nr_MStartPm1-1-$G2006+0.5)/$C$1966))</f>
        <v/>
      </c>
      <c r="Q2006" s="208">
        <f>MIN(1,MAX(0,(nr_MEndP-$G2006+0.5)/$C$1966))-MIN(1,MAX(0,(nr_MStartP-1-$G2006+0.5)/$C$1966))</f>
        <v/>
      </c>
      <c r="R2006" s="208">
        <f>MIN(1,MAX(0,(nr_MEndP1-$G2006+0.5)/$C$1966))-MIN(1,MAX(0,(nr_MStartP1-1-$G2006+0.5)/$C$1966))</f>
        <v/>
      </c>
      <c r="S2006" s="208">
        <f>IF($L$1966,$N2006*IF($O$1966=1,$O2006/$F$1966,1),"")</f>
        <v/>
      </c>
      <c r="T2006" s="208">
        <f>IF(NOT($L$1966),"",IF($G2006&lt;nr_MStartP,$S2006,$T1994*(1+IF($G2006&lt;nr_MStartP1,$M$1966,$N$1966))))</f>
        <v/>
      </c>
      <c r="U2006" s="208">
        <f>IF($L$1966,$T2006,$N2006)</f>
        <v/>
      </c>
    </row>
    <row r="2007">
      <c r="A2007" s="145" t="n">
        <v>39</v>
      </c>
      <c r="B2007" s="204">
        <f>EDATE($B2006,1)</f>
        <v/>
      </c>
      <c r="C2007" s="205">
        <f>EOMONTH($B2007,0)</f>
        <v/>
      </c>
      <c r="D2007" s="201">
        <f>$C2007-$B2007+1</f>
        <v/>
      </c>
      <c r="E2007" s="201">
        <f>MONTH($B2007)</f>
        <v/>
      </c>
      <c r="F2007" s="235">
        <f>($B2007+$C2007+1)/2</f>
        <v/>
      </c>
      <c r="G2007" s="201">
        <f>YEAR($B2007)*12+MONTH($B2007)-1</f>
        <v/>
      </c>
      <c r="H2007" s="207">
        <f>IF(OR(nr_SeasonOn="OFF",$D$1966=0,$E$1966=0),1,12*INDEX(se_block,$D$1966,$E2007)/$E$1966)</f>
        <v/>
      </c>
      <c r="I2007" s="208">
        <f>EXP(SUMPRODUCT((rl_eff&lt;$B2007)*(rl_key=$A$1966)*rl_ln1p))</f>
        <v/>
      </c>
      <c r="J2007" s="208">
        <f>EXP(SUMPRODUCT((rl_eff&lt;=$C2007)*(rl_key=$A$1966)*rl_ln1p))</f>
        <v/>
      </c>
      <c r="K2007" s="201">
        <f>COUNTIFS(rl_key,$A$1966,rl_eff,"&gt;="&amp;$B2007,rl_eff,"&lt;="&amp;$C2007)</f>
        <v/>
      </c>
      <c r="L2007" s="201">
        <f>SUMIFS(rl_daysafter,rl_key,$A$1966,rl_effmonth,$B2007,rl_first,1)</f>
        <v/>
      </c>
      <c r="M2007" s="209">
        <f>IF($K2007=0,0,MIN(1,$L2007/$D2007))</f>
        <v/>
      </c>
      <c r="N2007" s="208">
        <f>IF($K2007=0,$J2007,(1-$M2007)*$I2007+$M2007*$J2007)</f>
        <v/>
      </c>
      <c r="O2007" s="209">
        <f>IF($F2007&lt;$B$1967,$E$1967+$I$1967*($F2007-$A$1967),IF($F2007&lt;$C$1967,$F$1967+$J$1967*($F2007-$B$1967),$G$1967+$K$1967*($F2007-$C$1967)))</f>
        <v/>
      </c>
      <c r="P2007" s="208">
        <f>MIN(1,MAX(0,(nr_MEndPm1-$G2007+0.5)/$C$1966))-MIN(1,MAX(0,(nr_MStartPm1-1-$G2007+0.5)/$C$1966))</f>
        <v/>
      </c>
      <c r="Q2007" s="208">
        <f>MIN(1,MAX(0,(nr_MEndP-$G2007+0.5)/$C$1966))-MIN(1,MAX(0,(nr_MStartP-1-$G2007+0.5)/$C$1966))</f>
        <v/>
      </c>
      <c r="R2007" s="208">
        <f>MIN(1,MAX(0,(nr_MEndP1-$G2007+0.5)/$C$1966))-MIN(1,MAX(0,(nr_MStartP1-1-$G2007+0.5)/$C$1966))</f>
        <v/>
      </c>
      <c r="S2007" s="208">
        <f>IF($L$1966,$N2007*IF($O$1966=1,$O2007/$F$1966,1),"")</f>
        <v/>
      </c>
      <c r="T2007" s="208">
        <f>IF(NOT($L$1966),"",IF($G2007&lt;nr_MStartP,$S2007,$T1995*(1+IF($G2007&lt;nr_MStartP1,$M$1966,$N$1966))))</f>
        <v/>
      </c>
      <c r="U2007" s="208">
        <f>IF($L$1966,$T2007,$N2007)</f>
        <v/>
      </c>
    </row>
    <row r="2008">
      <c r="A2008" s="145" t="n">
        <v>40</v>
      </c>
      <c r="B2008" s="204">
        <f>EDATE($B2007,1)</f>
        <v/>
      </c>
      <c r="C2008" s="205">
        <f>EOMONTH($B2008,0)</f>
        <v/>
      </c>
      <c r="D2008" s="201">
        <f>$C2008-$B2008+1</f>
        <v/>
      </c>
      <c r="E2008" s="201">
        <f>MONTH($B2008)</f>
        <v/>
      </c>
      <c r="F2008" s="235">
        <f>($B2008+$C2008+1)/2</f>
        <v/>
      </c>
      <c r="G2008" s="201">
        <f>YEAR($B2008)*12+MONTH($B2008)-1</f>
        <v/>
      </c>
      <c r="H2008" s="207">
        <f>IF(OR(nr_SeasonOn="OFF",$D$1966=0,$E$1966=0),1,12*INDEX(se_block,$D$1966,$E2008)/$E$1966)</f>
        <v/>
      </c>
      <c r="I2008" s="208">
        <f>EXP(SUMPRODUCT((rl_eff&lt;$B2008)*(rl_key=$A$1966)*rl_ln1p))</f>
        <v/>
      </c>
      <c r="J2008" s="208">
        <f>EXP(SUMPRODUCT((rl_eff&lt;=$C2008)*(rl_key=$A$1966)*rl_ln1p))</f>
        <v/>
      </c>
      <c r="K2008" s="201">
        <f>COUNTIFS(rl_key,$A$1966,rl_eff,"&gt;="&amp;$B2008,rl_eff,"&lt;="&amp;$C2008)</f>
        <v/>
      </c>
      <c r="L2008" s="201">
        <f>SUMIFS(rl_daysafter,rl_key,$A$1966,rl_effmonth,$B2008,rl_first,1)</f>
        <v/>
      </c>
      <c r="M2008" s="209">
        <f>IF($K2008=0,0,MIN(1,$L2008/$D2008))</f>
        <v/>
      </c>
      <c r="N2008" s="208">
        <f>IF($K2008=0,$J2008,(1-$M2008)*$I2008+$M2008*$J2008)</f>
        <v/>
      </c>
      <c r="O2008" s="209">
        <f>IF($F2008&lt;$B$1967,$E$1967+$I$1967*($F2008-$A$1967),IF($F2008&lt;$C$1967,$F$1967+$J$1967*($F2008-$B$1967),$G$1967+$K$1967*($F2008-$C$1967)))</f>
        <v/>
      </c>
      <c r="P2008" s="208">
        <f>MIN(1,MAX(0,(nr_MEndPm1-$G2008+0.5)/$C$1966))-MIN(1,MAX(0,(nr_MStartPm1-1-$G2008+0.5)/$C$1966))</f>
        <v/>
      </c>
      <c r="Q2008" s="208">
        <f>MIN(1,MAX(0,(nr_MEndP-$G2008+0.5)/$C$1966))-MIN(1,MAX(0,(nr_MStartP-1-$G2008+0.5)/$C$1966))</f>
        <v/>
      </c>
      <c r="R2008" s="208">
        <f>MIN(1,MAX(0,(nr_MEndP1-$G2008+0.5)/$C$1966))-MIN(1,MAX(0,(nr_MStartP1-1-$G2008+0.5)/$C$1966))</f>
        <v/>
      </c>
      <c r="S2008" s="208">
        <f>IF($L$1966,$N2008*IF($O$1966=1,$O2008/$F$1966,1),"")</f>
        <v/>
      </c>
      <c r="T2008" s="208">
        <f>IF(NOT($L$1966),"",IF($G2008&lt;nr_MStartP,$S2008,$T1996*(1+IF($G2008&lt;nr_MStartP1,$M$1966,$N$1966))))</f>
        <v/>
      </c>
      <c r="U2008" s="208">
        <f>IF($L$1966,$T2008,$N2008)</f>
        <v/>
      </c>
    </row>
    <row r="2009">
      <c r="A2009" s="145" t="n">
        <v>41</v>
      </c>
      <c r="B2009" s="204">
        <f>EDATE($B2008,1)</f>
        <v/>
      </c>
      <c r="C2009" s="205">
        <f>EOMONTH($B2009,0)</f>
        <v/>
      </c>
      <c r="D2009" s="201">
        <f>$C2009-$B2009+1</f>
        <v/>
      </c>
      <c r="E2009" s="201">
        <f>MONTH($B2009)</f>
        <v/>
      </c>
      <c r="F2009" s="235">
        <f>($B2009+$C2009+1)/2</f>
        <v/>
      </c>
      <c r="G2009" s="201">
        <f>YEAR($B2009)*12+MONTH($B2009)-1</f>
        <v/>
      </c>
      <c r="H2009" s="207">
        <f>IF(OR(nr_SeasonOn="OFF",$D$1966=0,$E$1966=0),1,12*INDEX(se_block,$D$1966,$E2009)/$E$1966)</f>
        <v/>
      </c>
      <c r="I2009" s="208">
        <f>EXP(SUMPRODUCT((rl_eff&lt;$B2009)*(rl_key=$A$1966)*rl_ln1p))</f>
        <v/>
      </c>
      <c r="J2009" s="208">
        <f>EXP(SUMPRODUCT((rl_eff&lt;=$C2009)*(rl_key=$A$1966)*rl_ln1p))</f>
        <v/>
      </c>
      <c r="K2009" s="201">
        <f>COUNTIFS(rl_key,$A$1966,rl_eff,"&gt;="&amp;$B2009,rl_eff,"&lt;="&amp;$C2009)</f>
        <v/>
      </c>
      <c r="L2009" s="201">
        <f>SUMIFS(rl_daysafter,rl_key,$A$1966,rl_effmonth,$B2009,rl_first,1)</f>
        <v/>
      </c>
      <c r="M2009" s="209">
        <f>IF($K2009=0,0,MIN(1,$L2009/$D2009))</f>
        <v/>
      </c>
      <c r="N2009" s="208">
        <f>IF($K2009=0,$J2009,(1-$M2009)*$I2009+$M2009*$J2009)</f>
        <v/>
      </c>
      <c r="O2009" s="209">
        <f>IF($F2009&lt;$B$1967,$E$1967+$I$1967*($F2009-$A$1967),IF($F2009&lt;$C$1967,$F$1967+$J$1967*($F2009-$B$1967),$G$1967+$K$1967*($F2009-$C$1967)))</f>
        <v/>
      </c>
      <c r="P2009" s="208">
        <f>MIN(1,MAX(0,(nr_MEndPm1-$G2009+0.5)/$C$1966))-MIN(1,MAX(0,(nr_MStartPm1-1-$G2009+0.5)/$C$1966))</f>
        <v/>
      </c>
      <c r="Q2009" s="208">
        <f>MIN(1,MAX(0,(nr_MEndP-$G2009+0.5)/$C$1966))-MIN(1,MAX(0,(nr_MStartP-1-$G2009+0.5)/$C$1966))</f>
        <v/>
      </c>
      <c r="R2009" s="208">
        <f>MIN(1,MAX(0,(nr_MEndP1-$G2009+0.5)/$C$1966))-MIN(1,MAX(0,(nr_MStartP1-1-$G2009+0.5)/$C$1966))</f>
        <v/>
      </c>
      <c r="S2009" s="208">
        <f>IF($L$1966,$N2009*IF($O$1966=1,$O2009/$F$1966,1),"")</f>
        <v/>
      </c>
      <c r="T2009" s="208">
        <f>IF(NOT($L$1966),"",IF($G2009&lt;nr_MStartP,$S2009,$T1997*(1+IF($G2009&lt;nr_MStartP1,$M$1966,$N$1966))))</f>
        <v/>
      </c>
      <c r="U2009" s="208">
        <f>IF($L$1966,$T2009,$N2009)</f>
        <v/>
      </c>
    </row>
    <row r="2010">
      <c r="A2010" s="145" t="n">
        <v>42</v>
      </c>
      <c r="B2010" s="204">
        <f>EDATE($B2009,1)</f>
        <v/>
      </c>
      <c r="C2010" s="205">
        <f>EOMONTH($B2010,0)</f>
        <v/>
      </c>
      <c r="D2010" s="201">
        <f>$C2010-$B2010+1</f>
        <v/>
      </c>
      <c r="E2010" s="201">
        <f>MONTH($B2010)</f>
        <v/>
      </c>
      <c r="F2010" s="235">
        <f>($B2010+$C2010+1)/2</f>
        <v/>
      </c>
      <c r="G2010" s="201">
        <f>YEAR($B2010)*12+MONTH($B2010)-1</f>
        <v/>
      </c>
      <c r="H2010" s="207">
        <f>IF(OR(nr_SeasonOn="OFF",$D$1966=0,$E$1966=0),1,12*INDEX(se_block,$D$1966,$E2010)/$E$1966)</f>
        <v/>
      </c>
      <c r="I2010" s="208">
        <f>EXP(SUMPRODUCT((rl_eff&lt;$B2010)*(rl_key=$A$1966)*rl_ln1p))</f>
        <v/>
      </c>
      <c r="J2010" s="208">
        <f>EXP(SUMPRODUCT((rl_eff&lt;=$C2010)*(rl_key=$A$1966)*rl_ln1p))</f>
        <v/>
      </c>
      <c r="K2010" s="201">
        <f>COUNTIFS(rl_key,$A$1966,rl_eff,"&gt;="&amp;$B2010,rl_eff,"&lt;="&amp;$C2010)</f>
        <v/>
      </c>
      <c r="L2010" s="201">
        <f>SUMIFS(rl_daysafter,rl_key,$A$1966,rl_effmonth,$B2010,rl_first,1)</f>
        <v/>
      </c>
      <c r="M2010" s="209">
        <f>IF($K2010=0,0,MIN(1,$L2010/$D2010))</f>
        <v/>
      </c>
      <c r="N2010" s="208">
        <f>IF($K2010=0,$J2010,(1-$M2010)*$I2010+$M2010*$J2010)</f>
        <v/>
      </c>
      <c r="O2010" s="209">
        <f>IF($F2010&lt;$B$1967,$E$1967+$I$1967*($F2010-$A$1967),IF($F2010&lt;$C$1967,$F$1967+$J$1967*($F2010-$B$1967),$G$1967+$K$1967*($F2010-$C$1967)))</f>
        <v/>
      </c>
      <c r="P2010" s="208">
        <f>MIN(1,MAX(0,(nr_MEndPm1-$G2010+0.5)/$C$1966))-MIN(1,MAX(0,(nr_MStartPm1-1-$G2010+0.5)/$C$1966))</f>
        <v/>
      </c>
      <c r="Q2010" s="208">
        <f>MIN(1,MAX(0,(nr_MEndP-$G2010+0.5)/$C$1966))-MIN(1,MAX(0,(nr_MStartP-1-$G2010+0.5)/$C$1966))</f>
        <v/>
      </c>
      <c r="R2010" s="208">
        <f>MIN(1,MAX(0,(nr_MEndP1-$G2010+0.5)/$C$1966))-MIN(1,MAX(0,(nr_MStartP1-1-$G2010+0.5)/$C$1966))</f>
        <v/>
      </c>
      <c r="S2010" s="208">
        <f>IF($L$1966,$N2010*IF($O$1966=1,$O2010/$F$1966,1),"")</f>
        <v/>
      </c>
      <c r="T2010" s="208">
        <f>IF(NOT($L$1966),"",IF($G2010&lt;nr_MStartP,$S2010,$T1998*(1+IF($G2010&lt;nr_MStartP1,$M$1966,$N$1966))))</f>
        <v/>
      </c>
      <c r="U2010" s="208">
        <f>IF($L$1966,$T2010,$N2010)</f>
        <v/>
      </c>
    </row>
    <row r="2011">
      <c r="A2011" s="145" t="n">
        <v>43</v>
      </c>
      <c r="B2011" s="204">
        <f>EDATE($B2010,1)</f>
        <v/>
      </c>
      <c r="C2011" s="205">
        <f>EOMONTH($B2011,0)</f>
        <v/>
      </c>
      <c r="D2011" s="201">
        <f>$C2011-$B2011+1</f>
        <v/>
      </c>
      <c r="E2011" s="201">
        <f>MONTH($B2011)</f>
        <v/>
      </c>
      <c r="F2011" s="235">
        <f>($B2011+$C2011+1)/2</f>
        <v/>
      </c>
      <c r="G2011" s="201">
        <f>YEAR($B2011)*12+MONTH($B2011)-1</f>
        <v/>
      </c>
      <c r="H2011" s="207">
        <f>IF(OR(nr_SeasonOn="OFF",$D$1966=0,$E$1966=0),1,12*INDEX(se_block,$D$1966,$E2011)/$E$1966)</f>
        <v/>
      </c>
      <c r="I2011" s="208">
        <f>EXP(SUMPRODUCT((rl_eff&lt;$B2011)*(rl_key=$A$1966)*rl_ln1p))</f>
        <v/>
      </c>
      <c r="J2011" s="208">
        <f>EXP(SUMPRODUCT((rl_eff&lt;=$C2011)*(rl_key=$A$1966)*rl_ln1p))</f>
        <v/>
      </c>
      <c r="K2011" s="201">
        <f>COUNTIFS(rl_key,$A$1966,rl_eff,"&gt;="&amp;$B2011,rl_eff,"&lt;="&amp;$C2011)</f>
        <v/>
      </c>
      <c r="L2011" s="201">
        <f>SUMIFS(rl_daysafter,rl_key,$A$1966,rl_effmonth,$B2011,rl_first,1)</f>
        <v/>
      </c>
      <c r="M2011" s="209">
        <f>IF($K2011=0,0,MIN(1,$L2011/$D2011))</f>
        <v/>
      </c>
      <c r="N2011" s="208">
        <f>IF($K2011=0,$J2011,(1-$M2011)*$I2011+$M2011*$J2011)</f>
        <v/>
      </c>
      <c r="O2011" s="209">
        <f>IF($F2011&lt;$B$1967,$E$1967+$I$1967*($F2011-$A$1967),IF($F2011&lt;$C$1967,$F$1967+$J$1967*($F2011-$B$1967),$G$1967+$K$1967*($F2011-$C$1967)))</f>
        <v/>
      </c>
      <c r="P2011" s="208">
        <f>MIN(1,MAX(0,(nr_MEndPm1-$G2011+0.5)/$C$1966))-MIN(1,MAX(0,(nr_MStartPm1-1-$G2011+0.5)/$C$1966))</f>
        <v/>
      </c>
      <c r="Q2011" s="208">
        <f>MIN(1,MAX(0,(nr_MEndP-$G2011+0.5)/$C$1966))-MIN(1,MAX(0,(nr_MStartP-1-$G2011+0.5)/$C$1966))</f>
        <v/>
      </c>
      <c r="R2011" s="208">
        <f>MIN(1,MAX(0,(nr_MEndP1-$G2011+0.5)/$C$1966))-MIN(1,MAX(0,(nr_MStartP1-1-$G2011+0.5)/$C$1966))</f>
        <v/>
      </c>
      <c r="S2011" s="208">
        <f>IF($L$1966,$N2011*IF($O$1966=1,$O2011/$F$1966,1),"")</f>
        <v/>
      </c>
      <c r="T2011" s="208">
        <f>IF(NOT($L$1966),"",IF($G2011&lt;nr_MStartP,$S2011,$T1999*(1+IF($G2011&lt;nr_MStartP1,$M$1966,$N$1966))))</f>
        <v/>
      </c>
      <c r="U2011" s="208">
        <f>IF($L$1966,$T2011,$N2011)</f>
        <v/>
      </c>
    </row>
    <row r="2012">
      <c r="A2012" s="145" t="n">
        <v>44</v>
      </c>
      <c r="B2012" s="204">
        <f>EDATE($B2011,1)</f>
        <v/>
      </c>
      <c r="C2012" s="205">
        <f>EOMONTH($B2012,0)</f>
        <v/>
      </c>
      <c r="D2012" s="201">
        <f>$C2012-$B2012+1</f>
        <v/>
      </c>
      <c r="E2012" s="201">
        <f>MONTH($B2012)</f>
        <v/>
      </c>
      <c r="F2012" s="235">
        <f>($B2012+$C2012+1)/2</f>
        <v/>
      </c>
      <c r="G2012" s="201">
        <f>YEAR($B2012)*12+MONTH($B2012)-1</f>
        <v/>
      </c>
      <c r="H2012" s="207">
        <f>IF(OR(nr_SeasonOn="OFF",$D$1966=0,$E$1966=0),1,12*INDEX(se_block,$D$1966,$E2012)/$E$1966)</f>
        <v/>
      </c>
      <c r="I2012" s="208">
        <f>EXP(SUMPRODUCT((rl_eff&lt;$B2012)*(rl_key=$A$1966)*rl_ln1p))</f>
        <v/>
      </c>
      <c r="J2012" s="208">
        <f>EXP(SUMPRODUCT((rl_eff&lt;=$C2012)*(rl_key=$A$1966)*rl_ln1p))</f>
        <v/>
      </c>
      <c r="K2012" s="201">
        <f>COUNTIFS(rl_key,$A$1966,rl_eff,"&gt;="&amp;$B2012,rl_eff,"&lt;="&amp;$C2012)</f>
        <v/>
      </c>
      <c r="L2012" s="201">
        <f>SUMIFS(rl_daysafter,rl_key,$A$1966,rl_effmonth,$B2012,rl_first,1)</f>
        <v/>
      </c>
      <c r="M2012" s="209">
        <f>IF($K2012=0,0,MIN(1,$L2012/$D2012))</f>
        <v/>
      </c>
      <c r="N2012" s="208">
        <f>IF($K2012=0,$J2012,(1-$M2012)*$I2012+$M2012*$J2012)</f>
        <v/>
      </c>
      <c r="O2012" s="209">
        <f>IF($F2012&lt;$B$1967,$E$1967+$I$1967*($F2012-$A$1967),IF($F2012&lt;$C$1967,$F$1967+$J$1967*($F2012-$B$1967),$G$1967+$K$1967*($F2012-$C$1967)))</f>
        <v/>
      </c>
      <c r="P2012" s="208">
        <f>MIN(1,MAX(0,(nr_MEndPm1-$G2012+0.5)/$C$1966))-MIN(1,MAX(0,(nr_MStartPm1-1-$G2012+0.5)/$C$1966))</f>
        <v/>
      </c>
      <c r="Q2012" s="208">
        <f>MIN(1,MAX(0,(nr_MEndP-$G2012+0.5)/$C$1966))-MIN(1,MAX(0,(nr_MStartP-1-$G2012+0.5)/$C$1966))</f>
        <v/>
      </c>
      <c r="R2012" s="208">
        <f>MIN(1,MAX(0,(nr_MEndP1-$G2012+0.5)/$C$1966))-MIN(1,MAX(0,(nr_MStartP1-1-$G2012+0.5)/$C$1966))</f>
        <v/>
      </c>
      <c r="S2012" s="208">
        <f>IF($L$1966,$N2012*IF($O$1966=1,$O2012/$F$1966,1),"")</f>
        <v/>
      </c>
      <c r="T2012" s="208">
        <f>IF(NOT($L$1966),"",IF($G2012&lt;nr_MStartP,$S2012,$T2000*(1+IF($G2012&lt;nr_MStartP1,$M$1966,$N$1966))))</f>
        <v/>
      </c>
      <c r="U2012" s="208">
        <f>IF($L$1966,$T2012,$N2012)</f>
        <v/>
      </c>
    </row>
    <row r="2013">
      <c r="A2013" s="145" t="n">
        <v>45</v>
      </c>
      <c r="B2013" s="204">
        <f>EDATE($B2012,1)</f>
        <v/>
      </c>
      <c r="C2013" s="205">
        <f>EOMONTH($B2013,0)</f>
        <v/>
      </c>
      <c r="D2013" s="201">
        <f>$C2013-$B2013+1</f>
        <v/>
      </c>
      <c r="E2013" s="201">
        <f>MONTH($B2013)</f>
        <v/>
      </c>
      <c r="F2013" s="235">
        <f>($B2013+$C2013+1)/2</f>
        <v/>
      </c>
      <c r="G2013" s="201">
        <f>YEAR($B2013)*12+MONTH($B2013)-1</f>
        <v/>
      </c>
      <c r="H2013" s="207">
        <f>IF(OR(nr_SeasonOn="OFF",$D$1966=0,$E$1966=0),1,12*INDEX(se_block,$D$1966,$E2013)/$E$1966)</f>
        <v/>
      </c>
      <c r="I2013" s="208">
        <f>EXP(SUMPRODUCT((rl_eff&lt;$B2013)*(rl_key=$A$1966)*rl_ln1p))</f>
        <v/>
      </c>
      <c r="J2013" s="208">
        <f>EXP(SUMPRODUCT((rl_eff&lt;=$C2013)*(rl_key=$A$1966)*rl_ln1p))</f>
        <v/>
      </c>
      <c r="K2013" s="201">
        <f>COUNTIFS(rl_key,$A$1966,rl_eff,"&gt;="&amp;$B2013,rl_eff,"&lt;="&amp;$C2013)</f>
        <v/>
      </c>
      <c r="L2013" s="201">
        <f>SUMIFS(rl_daysafter,rl_key,$A$1966,rl_effmonth,$B2013,rl_first,1)</f>
        <v/>
      </c>
      <c r="M2013" s="209">
        <f>IF($K2013=0,0,MIN(1,$L2013/$D2013))</f>
        <v/>
      </c>
      <c r="N2013" s="208">
        <f>IF($K2013=0,$J2013,(1-$M2013)*$I2013+$M2013*$J2013)</f>
        <v/>
      </c>
      <c r="O2013" s="209">
        <f>IF($F2013&lt;$B$1967,$E$1967+$I$1967*($F2013-$A$1967),IF($F2013&lt;$C$1967,$F$1967+$J$1967*($F2013-$B$1967),$G$1967+$K$1967*($F2013-$C$1967)))</f>
        <v/>
      </c>
      <c r="P2013" s="208">
        <f>MIN(1,MAX(0,(nr_MEndPm1-$G2013+0.5)/$C$1966))-MIN(1,MAX(0,(nr_MStartPm1-1-$G2013+0.5)/$C$1966))</f>
        <v/>
      </c>
      <c r="Q2013" s="208">
        <f>MIN(1,MAX(0,(nr_MEndP-$G2013+0.5)/$C$1966))-MIN(1,MAX(0,(nr_MStartP-1-$G2013+0.5)/$C$1966))</f>
        <v/>
      </c>
      <c r="R2013" s="208">
        <f>MIN(1,MAX(0,(nr_MEndP1-$G2013+0.5)/$C$1966))-MIN(1,MAX(0,(nr_MStartP1-1-$G2013+0.5)/$C$1966))</f>
        <v/>
      </c>
      <c r="S2013" s="208">
        <f>IF($L$1966,$N2013*IF($O$1966=1,$O2013/$F$1966,1),"")</f>
        <v/>
      </c>
      <c r="T2013" s="208">
        <f>IF(NOT($L$1966),"",IF($G2013&lt;nr_MStartP,$S2013,$T2001*(1+IF($G2013&lt;nr_MStartP1,$M$1966,$N$1966))))</f>
        <v/>
      </c>
      <c r="U2013" s="208">
        <f>IF($L$1966,$T2013,$N2013)</f>
        <v/>
      </c>
    </row>
    <row r="2014">
      <c r="A2014" s="145" t="n">
        <v>46</v>
      </c>
      <c r="B2014" s="204">
        <f>EDATE($B2013,1)</f>
        <v/>
      </c>
      <c r="C2014" s="205">
        <f>EOMONTH($B2014,0)</f>
        <v/>
      </c>
      <c r="D2014" s="201">
        <f>$C2014-$B2014+1</f>
        <v/>
      </c>
      <c r="E2014" s="201">
        <f>MONTH($B2014)</f>
        <v/>
      </c>
      <c r="F2014" s="235">
        <f>($B2014+$C2014+1)/2</f>
        <v/>
      </c>
      <c r="G2014" s="201">
        <f>YEAR($B2014)*12+MONTH($B2014)-1</f>
        <v/>
      </c>
      <c r="H2014" s="207">
        <f>IF(OR(nr_SeasonOn="OFF",$D$1966=0,$E$1966=0),1,12*INDEX(se_block,$D$1966,$E2014)/$E$1966)</f>
        <v/>
      </c>
      <c r="I2014" s="208">
        <f>EXP(SUMPRODUCT((rl_eff&lt;$B2014)*(rl_key=$A$1966)*rl_ln1p))</f>
        <v/>
      </c>
      <c r="J2014" s="208">
        <f>EXP(SUMPRODUCT((rl_eff&lt;=$C2014)*(rl_key=$A$1966)*rl_ln1p))</f>
        <v/>
      </c>
      <c r="K2014" s="201">
        <f>COUNTIFS(rl_key,$A$1966,rl_eff,"&gt;="&amp;$B2014,rl_eff,"&lt;="&amp;$C2014)</f>
        <v/>
      </c>
      <c r="L2014" s="201">
        <f>SUMIFS(rl_daysafter,rl_key,$A$1966,rl_effmonth,$B2014,rl_first,1)</f>
        <v/>
      </c>
      <c r="M2014" s="209">
        <f>IF($K2014=0,0,MIN(1,$L2014/$D2014))</f>
        <v/>
      </c>
      <c r="N2014" s="208">
        <f>IF($K2014=0,$J2014,(1-$M2014)*$I2014+$M2014*$J2014)</f>
        <v/>
      </c>
      <c r="O2014" s="209">
        <f>IF($F2014&lt;$B$1967,$E$1967+$I$1967*($F2014-$A$1967),IF($F2014&lt;$C$1967,$F$1967+$J$1967*($F2014-$B$1967),$G$1967+$K$1967*($F2014-$C$1967)))</f>
        <v/>
      </c>
      <c r="P2014" s="208">
        <f>MIN(1,MAX(0,(nr_MEndPm1-$G2014+0.5)/$C$1966))-MIN(1,MAX(0,(nr_MStartPm1-1-$G2014+0.5)/$C$1966))</f>
        <v/>
      </c>
      <c r="Q2014" s="208">
        <f>MIN(1,MAX(0,(nr_MEndP-$G2014+0.5)/$C$1966))-MIN(1,MAX(0,(nr_MStartP-1-$G2014+0.5)/$C$1966))</f>
        <v/>
      </c>
      <c r="R2014" s="208">
        <f>MIN(1,MAX(0,(nr_MEndP1-$G2014+0.5)/$C$1966))-MIN(1,MAX(0,(nr_MStartP1-1-$G2014+0.5)/$C$1966))</f>
        <v/>
      </c>
      <c r="S2014" s="208">
        <f>IF($L$1966,$N2014*IF($O$1966=1,$O2014/$F$1966,1),"")</f>
        <v/>
      </c>
      <c r="T2014" s="208">
        <f>IF(NOT($L$1966),"",IF($G2014&lt;nr_MStartP,$S2014,$T2002*(1+IF($G2014&lt;nr_MStartP1,$M$1966,$N$1966))))</f>
        <v/>
      </c>
      <c r="U2014" s="208">
        <f>IF($L$1966,$T2014,$N2014)</f>
        <v/>
      </c>
    </row>
    <row r="2015">
      <c r="A2015" s="145" t="n">
        <v>47</v>
      </c>
      <c r="B2015" s="204">
        <f>EDATE($B2014,1)</f>
        <v/>
      </c>
      <c r="C2015" s="205">
        <f>EOMONTH($B2015,0)</f>
        <v/>
      </c>
      <c r="D2015" s="201">
        <f>$C2015-$B2015+1</f>
        <v/>
      </c>
      <c r="E2015" s="201">
        <f>MONTH($B2015)</f>
        <v/>
      </c>
      <c r="F2015" s="235">
        <f>($B2015+$C2015+1)/2</f>
        <v/>
      </c>
      <c r="G2015" s="201">
        <f>YEAR($B2015)*12+MONTH($B2015)-1</f>
        <v/>
      </c>
      <c r="H2015" s="207">
        <f>IF(OR(nr_SeasonOn="OFF",$D$1966=0,$E$1966=0),1,12*INDEX(se_block,$D$1966,$E2015)/$E$1966)</f>
        <v/>
      </c>
      <c r="I2015" s="208">
        <f>EXP(SUMPRODUCT((rl_eff&lt;$B2015)*(rl_key=$A$1966)*rl_ln1p))</f>
        <v/>
      </c>
      <c r="J2015" s="208">
        <f>EXP(SUMPRODUCT((rl_eff&lt;=$C2015)*(rl_key=$A$1966)*rl_ln1p))</f>
        <v/>
      </c>
      <c r="K2015" s="201">
        <f>COUNTIFS(rl_key,$A$1966,rl_eff,"&gt;="&amp;$B2015,rl_eff,"&lt;="&amp;$C2015)</f>
        <v/>
      </c>
      <c r="L2015" s="201">
        <f>SUMIFS(rl_daysafter,rl_key,$A$1966,rl_effmonth,$B2015,rl_first,1)</f>
        <v/>
      </c>
      <c r="M2015" s="209">
        <f>IF($K2015=0,0,MIN(1,$L2015/$D2015))</f>
        <v/>
      </c>
      <c r="N2015" s="208">
        <f>IF($K2015=0,$J2015,(1-$M2015)*$I2015+$M2015*$J2015)</f>
        <v/>
      </c>
      <c r="O2015" s="209">
        <f>IF($F2015&lt;$B$1967,$E$1967+$I$1967*($F2015-$A$1967),IF($F2015&lt;$C$1967,$F$1967+$J$1967*($F2015-$B$1967),$G$1967+$K$1967*($F2015-$C$1967)))</f>
        <v/>
      </c>
      <c r="P2015" s="208">
        <f>MIN(1,MAX(0,(nr_MEndPm1-$G2015+0.5)/$C$1966))-MIN(1,MAX(0,(nr_MStartPm1-1-$G2015+0.5)/$C$1966))</f>
        <v/>
      </c>
      <c r="Q2015" s="208">
        <f>MIN(1,MAX(0,(nr_MEndP-$G2015+0.5)/$C$1966))-MIN(1,MAX(0,(nr_MStartP-1-$G2015+0.5)/$C$1966))</f>
        <v/>
      </c>
      <c r="R2015" s="208">
        <f>MIN(1,MAX(0,(nr_MEndP1-$G2015+0.5)/$C$1966))-MIN(1,MAX(0,(nr_MStartP1-1-$G2015+0.5)/$C$1966))</f>
        <v/>
      </c>
      <c r="S2015" s="208">
        <f>IF($L$1966,$N2015*IF($O$1966=1,$O2015/$F$1966,1),"")</f>
        <v/>
      </c>
      <c r="T2015" s="208">
        <f>IF(NOT($L$1966),"",IF($G2015&lt;nr_MStartP,$S2015,$T2003*(1+IF($G2015&lt;nr_MStartP1,$M$1966,$N$1966))))</f>
        <v/>
      </c>
      <c r="U2015" s="208">
        <f>IF($L$1966,$T2015,$N2015)</f>
        <v/>
      </c>
    </row>
    <row r="2016">
      <c r="A2016" s="145" t="n">
        <v>48</v>
      </c>
      <c r="B2016" s="204">
        <f>EDATE($B2015,1)</f>
        <v/>
      </c>
      <c r="C2016" s="205">
        <f>EOMONTH($B2016,0)</f>
        <v/>
      </c>
      <c r="D2016" s="201">
        <f>$C2016-$B2016+1</f>
        <v/>
      </c>
      <c r="E2016" s="201">
        <f>MONTH($B2016)</f>
        <v/>
      </c>
      <c r="F2016" s="235">
        <f>($B2016+$C2016+1)/2</f>
        <v/>
      </c>
      <c r="G2016" s="201">
        <f>YEAR($B2016)*12+MONTH($B2016)-1</f>
        <v/>
      </c>
      <c r="H2016" s="207">
        <f>IF(OR(nr_SeasonOn="OFF",$D$1966=0,$E$1966=0),1,12*INDEX(se_block,$D$1966,$E2016)/$E$1966)</f>
        <v/>
      </c>
      <c r="I2016" s="208">
        <f>EXP(SUMPRODUCT((rl_eff&lt;$B2016)*(rl_key=$A$1966)*rl_ln1p))</f>
        <v/>
      </c>
      <c r="J2016" s="208">
        <f>EXP(SUMPRODUCT((rl_eff&lt;=$C2016)*(rl_key=$A$1966)*rl_ln1p))</f>
        <v/>
      </c>
      <c r="K2016" s="201">
        <f>COUNTIFS(rl_key,$A$1966,rl_eff,"&gt;="&amp;$B2016,rl_eff,"&lt;="&amp;$C2016)</f>
        <v/>
      </c>
      <c r="L2016" s="201">
        <f>SUMIFS(rl_daysafter,rl_key,$A$1966,rl_effmonth,$B2016,rl_first,1)</f>
        <v/>
      </c>
      <c r="M2016" s="209">
        <f>IF($K2016=0,0,MIN(1,$L2016/$D2016))</f>
        <v/>
      </c>
      <c r="N2016" s="208">
        <f>IF($K2016=0,$J2016,(1-$M2016)*$I2016+$M2016*$J2016)</f>
        <v/>
      </c>
      <c r="O2016" s="209">
        <f>IF($F2016&lt;$B$1967,$E$1967+$I$1967*($F2016-$A$1967),IF($F2016&lt;$C$1967,$F$1967+$J$1967*($F2016-$B$1967),$G$1967+$K$1967*($F2016-$C$1967)))</f>
        <v/>
      </c>
      <c r="P2016" s="208">
        <f>MIN(1,MAX(0,(nr_MEndPm1-$G2016+0.5)/$C$1966))-MIN(1,MAX(0,(nr_MStartPm1-1-$G2016+0.5)/$C$1966))</f>
        <v/>
      </c>
      <c r="Q2016" s="208">
        <f>MIN(1,MAX(0,(nr_MEndP-$G2016+0.5)/$C$1966))-MIN(1,MAX(0,(nr_MStartP-1-$G2016+0.5)/$C$1966))</f>
        <v/>
      </c>
      <c r="R2016" s="208">
        <f>MIN(1,MAX(0,(nr_MEndP1-$G2016+0.5)/$C$1966))-MIN(1,MAX(0,(nr_MStartP1-1-$G2016+0.5)/$C$1966))</f>
        <v/>
      </c>
      <c r="S2016" s="208">
        <f>IF($L$1966,$N2016*IF($O$1966=1,$O2016/$F$1966,1),"")</f>
        <v/>
      </c>
      <c r="T2016" s="208">
        <f>IF(NOT($L$1966),"",IF($G2016&lt;nr_MStartP,$S2016,$T2004*(1+IF($G2016&lt;nr_MStartP1,$M$1966,$N$1966))))</f>
        <v/>
      </c>
      <c r="U2016" s="208">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184">
        <f>SUMPRODUCT($H$1969:$H$2016,$Q$1969:$Q$2016,$O$1969:$O$2016)/SUMPRODUCT($H$1969:$H$2016,$Q$1969:$Q$2016)</f>
        <v/>
      </c>
      <c r="G2017" s="184">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184">
        <f>IF(N(INDEX(lr_mind,37))=0,1,INDEX(lr_mind,37))</f>
        <v/>
      </c>
      <c r="G2020" s="184">
        <f>IF(N(INDEX(lr_m0,37))=0,1,INDEX(lr_m0,37))</f>
        <v/>
      </c>
      <c r="H2020" s="73">
        <f>IF(N(INDEX(lr_m0asof,37))=0,DATE(nr_PlanYear-1,10,1),INDEX(lr_m0asof,37))</f>
        <v/>
      </c>
      <c r="I2020" s="184">
        <f>IF(N(INDEX(lr_m1,37))=0,1,INDEX(lr_m1,37))</f>
        <v/>
      </c>
      <c r="J2020" s="184">
        <f>INDEX(lr_mprior,37)</f>
        <v/>
      </c>
      <c r="K2020" s="184">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145" t="n">
        <v>1</v>
      </c>
      <c r="B2023" s="204">
        <f>DATE(nr_PlanYear-2,1,1)</f>
        <v/>
      </c>
      <c r="C2023" s="205">
        <f>EOMONTH($B2023,0)</f>
        <v/>
      </c>
      <c r="D2023" s="201">
        <f>$C2023-$B2023+1</f>
        <v/>
      </c>
      <c r="E2023" s="201">
        <f>MONTH($B2023)</f>
        <v/>
      </c>
      <c r="F2023" s="235">
        <f>($B2023+$C2023+1)/2</f>
        <v/>
      </c>
      <c r="G2023" s="201">
        <f>YEAR($B2023)*12+MONTH($B2023)-1</f>
        <v/>
      </c>
      <c r="H2023" s="207">
        <f>IF(OR(nr_SeasonOn="OFF",$D$2020=0,$E$2020=0),1,12*INDEX(se_block,$D$2020,$E2023)/$E$2020)</f>
        <v/>
      </c>
      <c r="I2023" s="208">
        <f>EXP(SUMPRODUCT((rl_eff&lt;$B2023)*(rl_key=$A$2020)*rl_ln1p))</f>
        <v/>
      </c>
      <c r="J2023" s="208">
        <f>EXP(SUMPRODUCT((rl_eff&lt;=$C2023)*(rl_key=$A$2020)*rl_ln1p))</f>
        <v/>
      </c>
      <c r="K2023" s="201">
        <f>COUNTIFS(rl_key,$A$2020,rl_eff,"&gt;="&amp;$B2023,rl_eff,"&lt;="&amp;$C2023)</f>
        <v/>
      </c>
      <c r="L2023" s="201">
        <f>SUMIFS(rl_daysafter,rl_key,$A$2020,rl_effmonth,$B2023,rl_first,1)</f>
        <v/>
      </c>
      <c r="M2023" s="209">
        <f>IF($K2023=0,0,MIN(1,$L2023/$D2023))</f>
        <v/>
      </c>
      <c r="N2023" s="208">
        <f>IF($K2023=0,$J2023,(1-$M2023)*$I2023+$M2023*$J2023)</f>
        <v/>
      </c>
      <c r="O2023" s="209">
        <f>IF($F2023&lt;$B$2021,$E$2021+$I$2021*($F2023-$A$2021),IF($F2023&lt;$C$2021,$F$2021+$J$2021*($F2023-$B$2021),$G$2021+$K$2021*($F2023-$C$2021)))</f>
        <v/>
      </c>
      <c r="P2023" s="208">
        <f>MIN(1,MAX(0,(nr_MEndPm1-$G2023+0.5)/$C$2020))-MIN(1,MAX(0,(nr_MStartPm1-1-$G2023+0.5)/$C$2020))</f>
        <v/>
      </c>
      <c r="Q2023" s="208">
        <f>MIN(1,MAX(0,(nr_MEndP-$G2023+0.5)/$C$2020))-MIN(1,MAX(0,(nr_MStartP-1-$G2023+0.5)/$C$2020))</f>
        <v/>
      </c>
      <c r="R2023" s="208">
        <f>MIN(1,MAX(0,(nr_MEndP1-$G2023+0.5)/$C$2020))-MIN(1,MAX(0,(nr_MStartP1-1-$G2023+0.5)/$C$2020))</f>
        <v/>
      </c>
      <c r="S2023" s="208">
        <f>IF($L$2020,$N2023*IF($O$2020=1,$O2023/$F$2020,1),"")</f>
        <v/>
      </c>
      <c r="T2023" s="208">
        <f>IF(NOT($L$2020),"",IF($G2023&lt;nr_MStartP,$S2023,$T2011*(1+IF($G2023&lt;nr_MStartP1,$M$2020,$N$2020))))</f>
        <v/>
      </c>
      <c r="U2023" s="208">
        <f>IF($L$2020,$T2023,$N2023)</f>
        <v/>
      </c>
    </row>
    <row r="2024">
      <c r="A2024" s="145" t="n">
        <v>2</v>
      </c>
      <c r="B2024" s="204">
        <f>EDATE($B2023,1)</f>
        <v/>
      </c>
      <c r="C2024" s="205">
        <f>EOMONTH($B2024,0)</f>
        <v/>
      </c>
      <c r="D2024" s="201">
        <f>$C2024-$B2024+1</f>
        <v/>
      </c>
      <c r="E2024" s="201">
        <f>MONTH($B2024)</f>
        <v/>
      </c>
      <c r="F2024" s="235">
        <f>($B2024+$C2024+1)/2</f>
        <v/>
      </c>
      <c r="G2024" s="201">
        <f>YEAR($B2024)*12+MONTH($B2024)-1</f>
        <v/>
      </c>
      <c r="H2024" s="207">
        <f>IF(OR(nr_SeasonOn="OFF",$D$2020=0,$E$2020=0),1,12*INDEX(se_block,$D$2020,$E2024)/$E$2020)</f>
        <v/>
      </c>
      <c r="I2024" s="208">
        <f>EXP(SUMPRODUCT((rl_eff&lt;$B2024)*(rl_key=$A$2020)*rl_ln1p))</f>
        <v/>
      </c>
      <c r="J2024" s="208">
        <f>EXP(SUMPRODUCT((rl_eff&lt;=$C2024)*(rl_key=$A$2020)*rl_ln1p))</f>
        <v/>
      </c>
      <c r="K2024" s="201">
        <f>COUNTIFS(rl_key,$A$2020,rl_eff,"&gt;="&amp;$B2024,rl_eff,"&lt;="&amp;$C2024)</f>
        <v/>
      </c>
      <c r="L2024" s="201">
        <f>SUMIFS(rl_daysafter,rl_key,$A$2020,rl_effmonth,$B2024,rl_first,1)</f>
        <v/>
      </c>
      <c r="M2024" s="209">
        <f>IF($K2024=0,0,MIN(1,$L2024/$D2024))</f>
        <v/>
      </c>
      <c r="N2024" s="208">
        <f>IF($K2024=0,$J2024,(1-$M2024)*$I2024+$M2024*$J2024)</f>
        <v/>
      </c>
      <c r="O2024" s="209">
        <f>IF($F2024&lt;$B$2021,$E$2021+$I$2021*($F2024-$A$2021),IF($F2024&lt;$C$2021,$F$2021+$J$2021*($F2024-$B$2021),$G$2021+$K$2021*($F2024-$C$2021)))</f>
        <v/>
      </c>
      <c r="P2024" s="208">
        <f>MIN(1,MAX(0,(nr_MEndPm1-$G2024+0.5)/$C$2020))-MIN(1,MAX(0,(nr_MStartPm1-1-$G2024+0.5)/$C$2020))</f>
        <v/>
      </c>
      <c r="Q2024" s="208">
        <f>MIN(1,MAX(0,(nr_MEndP-$G2024+0.5)/$C$2020))-MIN(1,MAX(0,(nr_MStartP-1-$G2024+0.5)/$C$2020))</f>
        <v/>
      </c>
      <c r="R2024" s="208">
        <f>MIN(1,MAX(0,(nr_MEndP1-$G2024+0.5)/$C$2020))-MIN(1,MAX(0,(nr_MStartP1-1-$G2024+0.5)/$C$2020))</f>
        <v/>
      </c>
      <c r="S2024" s="208">
        <f>IF($L$2020,$N2024*IF($O$2020=1,$O2024/$F$2020,1),"")</f>
        <v/>
      </c>
      <c r="T2024" s="208">
        <f>IF(NOT($L$2020),"",IF($G2024&lt;nr_MStartP,$S2024,$T2012*(1+IF($G2024&lt;nr_MStartP1,$M$2020,$N$2020))))</f>
        <v/>
      </c>
      <c r="U2024" s="208">
        <f>IF($L$2020,$T2024,$N2024)</f>
        <v/>
      </c>
    </row>
    <row r="2025">
      <c r="A2025" s="145" t="n">
        <v>3</v>
      </c>
      <c r="B2025" s="204">
        <f>EDATE($B2024,1)</f>
        <v/>
      </c>
      <c r="C2025" s="205">
        <f>EOMONTH($B2025,0)</f>
        <v/>
      </c>
      <c r="D2025" s="201">
        <f>$C2025-$B2025+1</f>
        <v/>
      </c>
      <c r="E2025" s="201">
        <f>MONTH($B2025)</f>
        <v/>
      </c>
      <c r="F2025" s="235">
        <f>($B2025+$C2025+1)/2</f>
        <v/>
      </c>
      <c r="G2025" s="201">
        <f>YEAR($B2025)*12+MONTH($B2025)-1</f>
        <v/>
      </c>
      <c r="H2025" s="207">
        <f>IF(OR(nr_SeasonOn="OFF",$D$2020=0,$E$2020=0),1,12*INDEX(se_block,$D$2020,$E2025)/$E$2020)</f>
        <v/>
      </c>
      <c r="I2025" s="208">
        <f>EXP(SUMPRODUCT((rl_eff&lt;$B2025)*(rl_key=$A$2020)*rl_ln1p))</f>
        <v/>
      </c>
      <c r="J2025" s="208">
        <f>EXP(SUMPRODUCT((rl_eff&lt;=$C2025)*(rl_key=$A$2020)*rl_ln1p))</f>
        <v/>
      </c>
      <c r="K2025" s="201">
        <f>COUNTIFS(rl_key,$A$2020,rl_eff,"&gt;="&amp;$B2025,rl_eff,"&lt;="&amp;$C2025)</f>
        <v/>
      </c>
      <c r="L2025" s="201">
        <f>SUMIFS(rl_daysafter,rl_key,$A$2020,rl_effmonth,$B2025,rl_first,1)</f>
        <v/>
      </c>
      <c r="M2025" s="209">
        <f>IF($K2025=0,0,MIN(1,$L2025/$D2025))</f>
        <v/>
      </c>
      <c r="N2025" s="208">
        <f>IF($K2025=0,$J2025,(1-$M2025)*$I2025+$M2025*$J2025)</f>
        <v/>
      </c>
      <c r="O2025" s="209">
        <f>IF($F2025&lt;$B$2021,$E$2021+$I$2021*($F2025-$A$2021),IF($F2025&lt;$C$2021,$F$2021+$J$2021*($F2025-$B$2021),$G$2021+$K$2021*($F2025-$C$2021)))</f>
        <v/>
      </c>
      <c r="P2025" s="208">
        <f>MIN(1,MAX(0,(nr_MEndPm1-$G2025+0.5)/$C$2020))-MIN(1,MAX(0,(nr_MStartPm1-1-$G2025+0.5)/$C$2020))</f>
        <v/>
      </c>
      <c r="Q2025" s="208">
        <f>MIN(1,MAX(0,(nr_MEndP-$G2025+0.5)/$C$2020))-MIN(1,MAX(0,(nr_MStartP-1-$G2025+0.5)/$C$2020))</f>
        <v/>
      </c>
      <c r="R2025" s="208">
        <f>MIN(1,MAX(0,(nr_MEndP1-$G2025+0.5)/$C$2020))-MIN(1,MAX(0,(nr_MStartP1-1-$G2025+0.5)/$C$2020))</f>
        <v/>
      </c>
      <c r="S2025" s="208">
        <f>IF($L$2020,$N2025*IF($O$2020=1,$O2025/$F$2020,1),"")</f>
        <v/>
      </c>
      <c r="T2025" s="208">
        <f>IF(NOT($L$2020),"",IF($G2025&lt;nr_MStartP,$S2025,$T2013*(1+IF($G2025&lt;nr_MStartP1,$M$2020,$N$2020))))</f>
        <v/>
      </c>
      <c r="U2025" s="208">
        <f>IF($L$2020,$T2025,$N2025)</f>
        <v/>
      </c>
    </row>
    <row r="2026">
      <c r="A2026" s="145" t="n">
        <v>4</v>
      </c>
      <c r="B2026" s="204">
        <f>EDATE($B2025,1)</f>
        <v/>
      </c>
      <c r="C2026" s="205">
        <f>EOMONTH($B2026,0)</f>
        <v/>
      </c>
      <c r="D2026" s="201">
        <f>$C2026-$B2026+1</f>
        <v/>
      </c>
      <c r="E2026" s="201">
        <f>MONTH($B2026)</f>
        <v/>
      </c>
      <c r="F2026" s="235">
        <f>($B2026+$C2026+1)/2</f>
        <v/>
      </c>
      <c r="G2026" s="201">
        <f>YEAR($B2026)*12+MONTH($B2026)-1</f>
        <v/>
      </c>
      <c r="H2026" s="207">
        <f>IF(OR(nr_SeasonOn="OFF",$D$2020=0,$E$2020=0),1,12*INDEX(se_block,$D$2020,$E2026)/$E$2020)</f>
        <v/>
      </c>
      <c r="I2026" s="208">
        <f>EXP(SUMPRODUCT((rl_eff&lt;$B2026)*(rl_key=$A$2020)*rl_ln1p))</f>
        <v/>
      </c>
      <c r="J2026" s="208">
        <f>EXP(SUMPRODUCT((rl_eff&lt;=$C2026)*(rl_key=$A$2020)*rl_ln1p))</f>
        <v/>
      </c>
      <c r="K2026" s="201">
        <f>COUNTIFS(rl_key,$A$2020,rl_eff,"&gt;="&amp;$B2026,rl_eff,"&lt;="&amp;$C2026)</f>
        <v/>
      </c>
      <c r="L2026" s="201">
        <f>SUMIFS(rl_daysafter,rl_key,$A$2020,rl_effmonth,$B2026,rl_first,1)</f>
        <v/>
      </c>
      <c r="M2026" s="209">
        <f>IF($K2026=0,0,MIN(1,$L2026/$D2026))</f>
        <v/>
      </c>
      <c r="N2026" s="208">
        <f>IF($K2026=0,$J2026,(1-$M2026)*$I2026+$M2026*$J2026)</f>
        <v/>
      </c>
      <c r="O2026" s="209">
        <f>IF($F2026&lt;$B$2021,$E$2021+$I$2021*($F2026-$A$2021),IF($F2026&lt;$C$2021,$F$2021+$J$2021*($F2026-$B$2021),$G$2021+$K$2021*($F2026-$C$2021)))</f>
        <v/>
      </c>
      <c r="P2026" s="208">
        <f>MIN(1,MAX(0,(nr_MEndPm1-$G2026+0.5)/$C$2020))-MIN(1,MAX(0,(nr_MStartPm1-1-$G2026+0.5)/$C$2020))</f>
        <v/>
      </c>
      <c r="Q2026" s="208">
        <f>MIN(1,MAX(0,(nr_MEndP-$G2026+0.5)/$C$2020))-MIN(1,MAX(0,(nr_MStartP-1-$G2026+0.5)/$C$2020))</f>
        <v/>
      </c>
      <c r="R2026" s="208">
        <f>MIN(1,MAX(0,(nr_MEndP1-$G2026+0.5)/$C$2020))-MIN(1,MAX(0,(nr_MStartP1-1-$G2026+0.5)/$C$2020))</f>
        <v/>
      </c>
      <c r="S2026" s="208">
        <f>IF($L$2020,$N2026*IF($O$2020=1,$O2026/$F$2020,1),"")</f>
        <v/>
      </c>
      <c r="T2026" s="208">
        <f>IF(NOT($L$2020),"",IF($G2026&lt;nr_MStartP,$S2026,$T2014*(1+IF($G2026&lt;nr_MStartP1,$M$2020,$N$2020))))</f>
        <v/>
      </c>
      <c r="U2026" s="208">
        <f>IF($L$2020,$T2026,$N2026)</f>
        <v/>
      </c>
    </row>
    <row r="2027">
      <c r="A2027" s="145" t="n">
        <v>5</v>
      </c>
      <c r="B2027" s="204">
        <f>EDATE($B2026,1)</f>
        <v/>
      </c>
      <c r="C2027" s="205">
        <f>EOMONTH($B2027,0)</f>
        <v/>
      </c>
      <c r="D2027" s="201">
        <f>$C2027-$B2027+1</f>
        <v/>
      </c>
      <c r="E2027" s="201">
        <f>MONTH($B2027)</f>
        <v/>
      </c>
      <c r="F2027" s="235">
        <f>($B2027+$C2027+1)/2</f>
        <v/>
      </c>
      <c r="G2027" s="201">
        <f>YEAR($B2027)*12+MONTH($B2027)-1</f>
        <v/>
      </c>
      <c r="H2027" s="207">
        <f>IF(OR(nr_SeasonOn="OFF",$D$2020=0,$E$2020=0),1,12*INDEX(se_block,$D$2020,$E2027)/$E$2020)</f>
        <v/>
      </c>
      <c r="I2027" s="208">
        <f>EXP(SUMPRODUCT((rl_eff&lt;$B2027)*(rl_key=$A$2020)*rl_ln1p))</f>
        <v/>
      </c>
      <c r="J2027" s="208">
        <f>EXP(SUMPRODUCT((rl_eff&lt;=$C2027)*(rl_key=$A$2020)*rl_ln1p))</f>
        <v/>
      </c>
      <c r="K2027" s="201">
        <f>COUNTIFS(rl_key,$A$2020,rl_eff,"&gt;="&amp;$B2027,rl_eff,"&lt;="&amp;$C2027)</f>
        <v/>
      </c>
      <c r="L2027" s="201">
        <f>SUMIFS(rl_daysafter,rl_key,$A$2020,rl_effmonth,$B2027,rl_first,1)</f>
        <v/>
      </c>
      <c r="M2027" s="209">
        <f>IF($K2027=0,0,MIN(1,$L2027/$D2027))</f>
        <v/>
      </c>
      <c r="N2027" s="208">
        <f>IF($K2027=0,$J2027,(1-$M2027)*$I2027+$M2027*$J2027)</f>
        <v/>
      </c>
      <c r="O2027" s="209">
        <f>IF($F2027&lt;$B$2021,$E$2021+$I$2021*($F2027-$A$2021),IF($F2027&lt;$C$2021,$F$2021+$J$2021*($F2027-$B$2021),$G$2021+$K$2021*($F2027-$C$2021)))</f>
        <v/>
      </c>
      <c r="P2027" s="208">
        <f>MIN(1,MAX(0,(nr_MEndPm1-$G2027+0.5)/$C$2020))-MIN(1,MAX(0,(nr_MStartPm1-1-$G2027+0.5)/$C$2020))</f>
        <v/>
      </c>
      <c r="Q2027" s="208">
        <f>MIN(1,MAX(0,(nr_MEndP-$G2027+0.5)/$C$2020))-MIN(1,MAX(0,(nr_MStartP-1-$G2027+0.5)/$C$2020))</f>
        <v/>
      </c>
      <c r="R2027" s="208">
        <f>MIN(1,MAX(0,(nr_MEndP1-$G2027+0.5)/$C$2020))-MIN(1,MAX(0,(nr_MStartP1-1-$G2027+0.5)/$C$2020))</f>
        <v/>
      </c>
      <c r="S2027" s="208">
        <f>IF($L$2020,$N2027*IF($O$2020=1,$O2027/$F$2020,1),"")</f>
        <v/>
      </c>
      <c r="T2027" s="208">
        <f>IF(NOT($L$2020),"",IF($G2027&lt;nr_MStartP,$S2027,$T2015*(1+IF($G2027&lt;nr_MStartP1,$M$2020,$N$2020))))</f>
        <v/>
      </c>
      <c r="U2027" s="208">
        <f>IF($L$2020,$T2027,$N2027)</f>
        <v/>
      </c>
    </row>
    <row r="2028">
      <c r="A2028" s="145" t="n">
        <v>6</v>
      </c>
      <c r="B2028" s="204">
        <f>EDATE($B2027,1)</f>
        <v/>
      </c>
      <c r="C2028" s="205">
        <f>EOMONTH($B2028,0)</f>
        <v/>
      </c>
      <c r="D2028" s="201">
        <f>$C2028-$B2028+1</f>
        <v/>
      </c>
      <c r="E2028" s="201">
        <f>MONTH($B2028)</f>
        <v/>
      </c>
      <c r="F2028" s="235">
        <f>($B2028+$C2028+1)/2</f>
        <v/>
      </c>
      <c r="G2028" s="201">
        <f>YEAR($B2028)*12+MONTH($B2028)-1</f>
        <v/>
      </c>
      <c r="H2028" s="207">
        <f>IF(OR(nr_SeasonOn="OFF",$D$2020=0,$E$2020=0),1,12*INDEX(se_block,$D$2020,$E2028)/$E$2020)</f>
        <v/>
      </c>
      <c r="I2028" s="208">
        <f>EXP(SUMPRODUCT((rl_eff&lt;$B2028)*(rl_key=$A$2020)*rl_ln1p))</f>
        <v/>
      </c>
      <c r="J2028" s="208">
        <f>EXP(SUMPRODUCT((rl_eff&lt;=$C2028)*(rl_key=$A$2020)*rl_ln1p))</f>
        <v/>
      </c>
      <c r="K2028" s="201">
        <f>COUNTIFS(rl_key,$A$2020,rl_eff,"&gt;="&amp;$B2028,rl_eff,"&lt;="&amp;$C2028)</f>
        <v/>
      </c>
      <c r="L2028" s="201">
        <f>SUMIFS(rl_daysafter,rl_key,$A$2020,rl_effmonth,$B2028,rl_first,1)</f>
        <v/>
      </c>
      <c r="M2028" s="209">
        <f>IF($K2028=0,0,MIN(1,$L2028/$D2028))</f>
        <v/>
      </c>
      <c r="N2028" s="208">
        <f>IF($K2028=0,$J2028,(1-$M2028)*$I2028+$M2028*$J2028)</f>
        <v/>
      </c>
      <c r="O2028" s="209">
        <f>IF($F2028&lt;$B$2021,$E$2021+$I$2021*($F2028-$A$2021),IF($F2028&lt;$C$2021,$F$2021+$J$2021*($F2028-$B$2021),$G$2021+$K$2021*($F2028-$C$2021)))</f>
        <v/>
      </c>
      <c r="P2028" s="208">
        <f>MIN(1,MAX(0,(nr_MEndPm1-$G2028+0.5)/$C$2020))-MIN(1,MAX(0,(nr_MStartPm1-1-$G2028+0.5)/$C$2020))</f>
        <v/>
      </c>
      <c r="Q2028" s="208">
        <f>MIN(1,MAX(0,(nr_MEndP-$G2028+0.5)/$C$2020))-MIN(1,MAX(0,(nr_MStartP-1-$G2028+0.5)/$C$2020))</f>
        <v/>
      </c>
      <c r="R2028" s="208">
        <f>MIN(1,MAX(0,(nr_MEndP1-$G2028+0.5)/$C$2020))-MIN(1,MAX(0,(nr_MStartP1-1-$G2028+0.5)/$C$2020))</f>
        <v/>
      </c>
      <c r="S2028" s="208">
        <f>IF($L$2020,$N2028*IF($O$2020=1,$O2028/$F$2020,1),"")</f>
        <v/>
      </c>
      <c r="T2028" s="208">
        <f>IF(NOT($L$2020),"",IF($G2028&lt;nr_MStartP,$S2028,$T2016*(1+IF($G2028&lt;nr_MStartP1,$M$2020,$N$2020))))</f>
        <v/>
      </c>
      <c r="U2028" s="208">
        <f>IF($L$2020,$T2028,$N2028)</f>
        <v/>
      </c>
    </row>
    <row r="2029">
      <c r="A2029" s="145" t="n">
        <v>7</v>
      </c>
      <c r="B2029" s="204">
        <f>EDATE($B2028,1)</f>
        <v/>
      </c>
      <c r="C2029" s="205">
        <f>EOMONTH($B2029,0)</f>
        <v/>
      </c>
      <c r="D2029" s="201">
        <f>$C2029-$B2029+1</f>
        <v/>
      </c>
      <c r="E2029" s="201">
        <f>MONTH($B2029)</f>
        <v/>
      </c>
      <c r="F2029" s="235">
        <f>($B2029+$C2029+1)/2</f>
        <v/>
      </c>
      <c r="G2029" s="201">
        <f>YEAR($B2029)*12+MONTH($B2029)-1</f>
        <v/>
      </c>
      <c r="H2029" s="207">
        <f>IF(OR(nr_SeasonOn="OFF",$D$2020=0,$E$2020=0),1,12*INDEX(se_block,$D$2020,$E2029)/$E$2020)</f>
        <v/>
      </c>
      <c r="I2029" s="208">
        <f>EXP(SUMPRODUCT((rl_eff&lt;$B2029)*(rl_key=$A$2020)*rl_ln1p))</f>
        <v/>
      </c>
      <c r="J2029" s="208">
        <f>EXP(SUMPRODUCT((rl_eff&lt;=$C2029)*(rl_key=$A$2020)*rl_ln1p))</f>
        <v/>
      </c>
      <c r="K2029" s="201">
        <f>COUNTIFS(rl_key,$A$2020,rl_eff,"&gt;="&amp;$B2029,rl_eff,"&lt;="&amp;$C2029)</f>
        <v/>
      </c>
      <c r="L2029" s="201">
        <f>SUMIFS(rl_daysafter,rl_key,$A$2020,rl_effmonth,$B2029,rl_first,1)</f>
        <v/>
      </c>
      <c r="M2029" s="209">
        <f>IF($K2029=0,0,MIN(1,$L2029/$D2029))</f>
        <v/>
      </c>
      <c r="N2029" s="208">
        <f>IF($K2029=0,$J2029,(1-$M2029)*$I2029+$M2029*$J2029)</f>
        <v/>
      </c>
      <c r="O2029" s="209">
        <f>IF($F2029&lt;$B$2021,$E$2021+$I$2021*($F2029-$A$2021),IF($F2029&lt;$C$2021,$F$2021+$J$2021*($F2029-$B$2021),$G$2021+$K$2021*($F2029-$C$2021)))</f>
        <v/>
      </c>
      <c r="P2029" s="208">
        <f>MIN(1,MAX(0,(nr_MEndPm1-$G2029+0.5)/$C$2020))-MIN(1,MAX(0,(nr_MStartPm1-1-$G2029+0.5)/$C$2020))</f>
        <v/>
      </c>
      <c r="Q2029" s="208">
        <f>MIN(1,MAX(0,(nr_MEndP-$G2029+0.5)/$C$2020))-MIN(1,MAX(0,(nr_MStartP-1-$G2029+0.5)/$C$2020))</f>
        <v/>
      </c>
      <c r="R2029" s="208">
        <f>MIN(1,MAX(0,(nr_MEndP1-$G2029+0.5)/$C$2020))-MIN(1,MAX(0,(nr_MStartP1-1-$G2029+0.5)/$C$2020))</f>
        <v/>
      </c>
      <c r="S2029" s="208">
        <f>IF($L$2020,$N2029*IF($O$2020=1,$O2029/$F$2020,1),"")</f>
        <v/>
      </c>
      <c r="T2029" s="208">
        <f>IF(NOT($L$2020),"",IF($G2029&lt;nr_MStartP,$S2029,$T2017*(1+IF($G2029&lt;nr_MStartP1,$M$2020,$N$2020))))</f>
        <v/>
      </c>
      <c r="U2029" s="208">
        <f>IF($L$2020,$T2029,$N2029)</f>
        <v/>
      </c>
    </row>
    <row r="2030">
      <c r="A2030" s="145" t="n">
        <v>8</v>
      </c>
      <c r="B2030" s="204">
        <f>EDATE($B2029,1)</f>
        <v/>
      </c>
      <c r="C2030" s="205">
        <f>EOMONTH($B2030,0)</f>
        <v/>
      </c>
      <c r="D2030" s="201">
        <f>$C2030-$B2030+1</f>
        <v/>
      </c>
      <c r="E2030" s="201">
        <f>MONTH($B2030)</f>
        <v/>
      </c>
      <c r="F2030" s="235">
        <f>($B2030+$C2030+1)/2</f>
        <v/>
      </c>
      <c r="G2030" s="201">
        <f>YEAR($B2030)*12+MONTH($B2030)-1</f>
        <v/>
      </c>
      <c r="H2030" s="207">
        <f>IF(OR(nr_SeasonOn="OFF",$D$2020=0,$E$2020=0),1,12*INDEX(se_block,$D$2020,$E2030)/$E$2020)</f>
        <v/>
      </c>
      <c r="I2030" s="208">
        <f>EXP(SUMPRODUCT((rl_eff&lt;$B2030)*(rl_key=$A$2020)*rl_ln1p))</f>
        <v/>
      </c>
      <c r="J2030" s="208">
        <f>EXP(SUMPRODUCT((rl_eff&lt;=$C2030)*(rl_key=$A$2020)*rl_ln1p))</f>
        <v/>
      </c>
      <c r="K2030" s="201">
        <f>COUNTIFS(rl_key,$A$2020,rl_eff,"&gt;="&amp;$B2030,rl_eff,"&lt;="&amp;$C2030)</f>
        <v/>
      </c>
      <c r="L2030" s="201">
        <f>SUMIFS(rl_daysafter,rl_key,$A$2020,rl_effmonth,$B2030,rl_first,1)</f>
        <v/>
      </c>
      <c r="M2030" s="209">
        <f>IF($K2030=0,0,MIN(1,$L2030/$D2030))</f>
        <v/>
      </c>
      <c r="N2030" s="208">
        <f>IF($K2030=0,$J2030,(1-$M2030)*$I2030+$M2030*$J2030)</f>
        <v/>
      </c>
      <c r="O2030" s="209">
        <f>IF($F2030&lt;$B$2021,$E$2021+$I$2021*($F2030-$A$2021),IF($F2030&lt;$C$2021,$F$2021+$J$2021*($F2030-$B$2021),$G$2021+$K$2021*($F2030-$C$2021)))</f>
        <v/>
      </c>
      <c r="P2030" s="208">
        <f>MIN(1,MAX(0,(nr_MEndPm1-$G2030+0.5)/$C$2020))-MIN(1,MAX(0,(nr_MStartPm1-1-$G2030+0.5)/$C$2020))</f>
        <v/>
      </c>
      <c r="Q2030" s="208">
        <f>MIN(1,MAX(0,(nr_MEndP-$G2030+0.5)/$C$2020))-MIN(1,MAX(0,(nr_MStartP-1-$G2030+0.5)/$C$2020))</f>
        <v/>
      </c>
      <c r="R2030" s="208">
        <f>MIN(1,MAX(0,(nr_MEndP1-$G2030+0.5)/$C$2020))-MIN(1,MAX(0,(nr_MStartP1-1-$G2030+0.5)/$C$2020))</f>
        <v/>
      </c>
      <c r="S2030" s="208">
        <f>IF($L$2020,$N2030*IF($O$2020=1,$O2030/$F$2020,1),"")</f>
        <v/>
      </c>
      <c r="T2030" s="208">
        <f>IF(NOT($L$2020),"",IF($G2030&lt;nr_MStartP,$S2030,$T2018*(1+IF($G2030&lt;nr_MStartP1,$M$2020,$N$2020))))</f>
        <v/>
      </c>
      <c r="U2030" s="208">
        <f>IF($L$2020,$T2030,$N2030)</f>
        <v/>
      </c>
    </row>
    <row r="2031">
      <c r="A2031" s="145" t="n">
        <v>9</v>
      </c>
      <c r="B2031" s="204">
        <f>EDATE($B2030,1)</f>
        <v/>
      </c>
      <c r="C2031" s="205">
        <f>EOMONTH($B2031,0)</f>
        <v/>
      </c>
      <c r="D2031" s="201">
        <f>$C2031-$B2031+1</f>
        <v/>
      </c>
      <c r="E2031" s="201">
        <f>MONTH($B2031)</f>
        <v/>
      </c>
      <c r="F2031" s="235">
        <f>($B2031+$C2031+1)/2</f>
        <v/>
      </c>
      <c r="G2031" s="201">
        <f>YEAR($B2031)*12+MONTH($B2031)-1</f>
        <v/>
      </c>
      <c r="H2031" s="207">
        <f>IF(OR(nr_SeasonOn="OFF",$D$2020=0,$E$2020=0),1,12*INDEX(se_block,$D$2020,$E2031)/$E$2020)</f>
        <v/>
      </c>
      <c r="I2031" s="208">
        <f>EXP(SUMPRODUCT((rl_eff&lt;$B2031)*(rl_key=$A$2020)*rl_ln1p))</f>
        <v/>
      </c>
      <c r="J2031" s="208">
        <f>EXP(SUMPRODUCT((rl_eff&lt;=$C2031)*(rl_key=$A$2020)*rl_ln1p))</f>
        <v/>
      </c>
      <c r="K2031" s="201">
        <f>COUNTIFS(rl_key,$A$2020,rl_eff,"&gt;="&amp;$B2031,rl_eff,"&lt;="&amp;$C2031)</f>
        <v/>
      </c>
      <c r="L2031" s="201">
        <f>SUMIFS(rl_daysafter,rl_key,$A$2020,rl_effmonth,$B2031,rl_first,1)</f>
        <v/>
      </c>
      <c r="M2031" s="209">
        <f>IF($K2031=0,0,MIN(1,$L2031/$D2031))</f>
        <v/>
      </c>
      <c r="N2031" s="208">
        <f>IF($K2031=0,$J2031,(1-$M2031)*$I2031+$M2031*$J2031)</f>
        <v/>
      </c>
      <c r="O2031" s="209">
        <f>IF($F2031&lt;$B$2021,$E$2021+$I$2021*($F2031-$A$2021),IF($F2031&lt;$C$2021,$F$2021+$J$2021*($F2031-$B$2021),$G$2021+$K$2021*($F2031-$C$2021)))</f>
        <v/>
      </c>
      <c r="P2031" s="208">
        <f>MIN(1,MAX(0,(nr_MEndPm1-$G2031+0.5)/$C$2020))-MIN(1,MAX(0,(nr_MStartPm1-1-$G2031+0.5)/$C$2020))</f>
        <v/>
      </c>
      <c r="Q2031" s="208">
        <f>MIN(1,MAX(0,(nr_MEndP-$G2031+0.5)/$C$2020))-MIN(1,MAX(0,(nr_MStartP-1-$G2031+0.5)/$C$2020))</f>
        <v/>
      </c>
      <c r="R2031" s="208">
        <f>MIN(1,MAX(0,(nr_MEndP1-$G2031+0.5)/$C$2020))-MIN(1,MAX(0,(nr_MStartP1-1-$G2031+0.5)/$C$2020))</f>
        <v/>
      </c>
      <c r="S2031" s="208">
        <f>IF($L$2020,$N2031*IF($O$2020=1,$O2031/$F$2020,1),"")</f>
        <v/>
      </c>
      <c r="T2031" s="208">
        <f>IF(NOT($L$2020),"",IF($G2031&lt;nr_MStartP,$S2031,$T2019*(1+IF($G2031&lt;nr_MStartP1,$M$2020,$N$2020))))</f>
        <v/>
      </c>
      <c r="U2031" s="208">
        <f>IF($L$2020,$T2031,$N2031)</f>
        <v/>
      </c>
    </row>
    <row r="2032">
      <c r="A2032" s="145" t="n">
        <v>10</v>
      </c>
      <c r="B2032" s="204">
        <f>EDATE($B2031,1)</f>
        <v/>
      </c>
      <c r="C2032" s="205">
        <f>EOMONTH($B2032,0)</f>
        <v/>
      </c>
      <c r="D2032" s="201">
        <f>$C2032-$B2032+1</f>
        <v/>
      </c>
      <c r="E2032" s="201">
        <f>MONTH($B2032)</f>
        <v/>
      </c>
      <c r="F2032" s="235">
        <f>($B2032+$C2032+1)/2</f>
        <v/>
      </c>
      <c r="G2032" s="201">
        <f>YEAR($B2032)*12+MONTH($B2032)-1</f>
        <v/>
      </c>
      <c r="H2032" s="207">
        <f>IF(OR(nr_SeasonOn="OFF",$D$2020=0,$E$2020=0),1,12*INDEX(se_block,$D$2020,$E2032)/$E$2020)</f>
        <v/>
      </c>
      <c r="I2032" s="208">
        <f>EXP(SUMPRODUCT((rl_eff&lt;$B2032)*(rl_key=$A$2020)*rl_ln1p))</f>
        <v/>
      </c>
      <c r="J2032" s="208">
        <f>EXP(SUMPRODUCT((rl_eff&lt;=$C2032)*(rl_key=$A$2020)*rl_ln1p))</f>
        <v/>
      </c>
      <c r="K2032" s="201">
        <f>COUNTIFS(rl_key,$A$2020,rl_eff,"&gt;="&amp;$B2032,rl_eff,"&lt;="&amp;$C2032)</f>
        <v/>
      </c>
      <c r="L2032" s="201">
        <f>SUMIFS(rl_daysafter,rl_key,$A$2020,rl_effmonth,$B2032,rl_first,1)</f>
        <v/>
      </c>
      <c r="M2032" s="209">
        <f>IF($K2032=0,0,MIN(1,$L2032/$D2032))</f>
        <v/>
      </c>
      <c r="N2032" s="208">
        <f>IF($K2032=0,$J2032,(1-$M2032)*$I2032+$M2032*$J2032)</f>
        <v/>
      </c>
      <c r="O2032" s="209">
        <f>IF($F2032&lt;$B$2021,$E$2021+$I$2021*($F2032-$A$2021),IF($F2032&lt;$C$2021,$F$2021+$J$2021*($F2032-$B$2021),$G$2021+$K$2021*($F2032-$C$2021)))</f>
        <v/>
      </c>
      <c r="P2032" s="208">
        <f>MIN(1,MAX(0,(nr_MEndPm1-$G2032+0.5)/$C$2020))-MIN(1,MAX(0,(nr_MStartPm1-1-$G2032+0.5)/$C$2020))</f>
        <v/>
      </c>
      <c r="Q2032" s="208">
        <f>MIN(1,MAX(0,(nr_MEndP-$G2032+0.5)/$C$2020))-MIN(1,MAX(0,(nr_MStartP-1-$G2032+0.5)/$C$2020))</f>
        <v/>
      </c>
      <c r="R2032" s="208">
        <f>MIN(1,MAX(0,(nr_MEndP1-$G2032+0.5)/$C$2020))-MIN(1,MAX(0,(nr_MStartP1-1-$G2032+0.5)/$C$2020))</f>
        <v/>
      </c>
      <c r="S2032" s="208">
        <f>IF($L$2020,$N2032*IF($O$2020=1,$O2032/$F$2020,1),"")</f>
        <v/>
      </c>
      <c r="T2032" s="208">
        <f>IF(NOT($L$2020),"",IF($G2032&lt;nr_MStartP,$S2032,$T2020*(1+IF($G2032&lt;nr_MStartP1,$M$2020,$N$2020))))</f>
        <v/>
      </c>
      <c r="U2032" s="208">
        <f>IF($L$2020,$T2032,$N2032)</f>
        <v/>
      </c>
    </row>
    <row r="2033">
      <c r="A2033" s="145" t="n">
        <v>11</v>
      </c>
      <c r="B2033" s="204">
        <f>EDATE($B2032,1)</f>
        <v/>
      </c>
      <c r="C2033" s="205">
        <f>EOMONTH($B2033,0)</f>
        <v/>
      </c>
      <c r="D2033" s="201">
        <f>$C2033-$B2033+1</f>
        <v/>
      </c>
      <c r="E2033" s="201">
        <f>MONTH($B2033)</f>
        <v/>
      </c>
      <c r="F2033" s="235">
        <f>($B2033+$C2033+1)/2</f>
        <v/>
      </c>
      <c r="G2033" s="201">
        <f>YEAR($B2033)*12+MONTH($B2033)-1</f>
        <v/>
      </c>
      <c r="H2033" s="207">
        <f>IF(OR(nr_SeasonOn="OFF",$D$2020=0,$E$2020=0),1,12*INDEX(se_block,$D$2020,$E2033)/$E$2020)</f>
        <v/>
      </c>
      <c r="I2033" s="208">
        <f>EXP(SUMPRODUCT((rl_eff&lt;$B2033)*(rl_key=$A$2020)*rl_ln1p))</f>
        <v/>
      </c>
      <c r="J2033" s="208">
        <f>EXP(SUMPRODUCT((rl_eff&lt;=$C2033)*(rl_key=$A$2020)*rl_ln1p))</f>
        <v/>
      </c>
      <c r="K2033" s="201">
        <f>COUNTIFS(rl_key,$A$2020,rl_eff,"&gt;="&amp;$B2033,rl_eff,"&lt;="&amp;$C2033)</f>
        <v/>
      </c>
      <c r="L2033" s="201">
        <f>SUMIFS(rl_daysafter,rl_key,$A$2020,rl_effmonth,$B2033,rl_first,1)</f>
        <v/>
      </c>
      <c r="M2033" s="209">
        <f>IF($K2033=0,0,MIN(1,$L2033/$D2033))</f>
        <v/>
      </c>
      <c r="N2033" s="208">
        <f>IF($K2033=0,$J2033,(1-$M2033)*$I2033+$M2033*$J2033)</f>
        <v/>
      </c>
      <c r="O2033" s="209">
        <f>IF($F2033&lt;$B$2021,$E$2021+$I$2021*($F2033-$A$2021),IF($F2033&lt;$C$2021,$F$2021+$J$2021*($F2033-$B$2021),$G$2021+$K$2021*($F2033-$C$2021)))</f>
        <v/>
      </c>
      <c r="P2033" s="208">
        <f>MIN(1,MAX(0,(nr_MEndPm1-$G2033+0.5)/$C$2020))-MIN(1,MAX(0,(nr_MStartPm1-1-$G2033+0.5)/$C$2020))</f>
        <v/>
      </c>
      <c r="Q2033" s="208">
        <f>MIN(1,MAX(0,(nr_MEndP-$G2033+0.5)/$C$2020))-MIN(1,MAX(0,(nr_MStartP-1-$G2033+0.5)/$C$2020))</f>
        <v/>
      </c>
      <c r="R2033" s="208">
        <f>MIN(1,MAX(0,(nr_MEndP1-$G2033+0.5)/$C$2020))-MIN(1,MAX(0,(nr_MStartP1-1-$G2033+0.5)/$C$2020))</f>
        <v/>
      </c>
      <c r="S2033" s="208">
        <f>IF($L$2020,$N2033*IF($O$2020=1,$O2033/$F$2020,1),"")</f>
        <v/>
      </c>
      <c r="T2033" s="208">
        <f>IF(NOT($L$2020),"",IF($G2033&lt;nr_MStartP,$S2033,$T2021*(1+IF($G2033&lt;nr_MStartP1,$M$2020,$N$2020))))</f>
        <v/>
      </c>
      <c r="U2033" s="208">
        <f>IF($L$2020,$T2033,$N2033)</f>
        <v/>
      </c>
    </row>
    <row r="2034">
      <c r="A2034" s="145" t="n">
        <v>12</v>
      </c>
      <c r="B2034" s="204">
        <f>EDATE($B2033,1)</f>
        <v/>
      </c>
      <c r="C2034" s="205">
        <f>EOMONTH($B2034,0)</f>
        <v/>
      </c>
      <c r="D2034" s="201">
        <f>$C2034-$B2034+1</f>
        <v/>
      </c>
      <c r="E2034" s="201">
        <f>MONTH($B2034)</f>
        <v/>
      </c>
      <c r="F2034" s="235">
        <f>($B2034+$C2034+1)/2</f>
        <v/>
      </c>
      <c r="G2034" s="201">
        <f>YEAR($B2034)*12+MONTH($B2034)-1</f>
        <v/>
      </c>
      <c r="H2034" s="207">
        <f>IF(OR(nr_SeasonOn="OFF",$D$2020=0,$E$2020=0),1,12*INDEX(se_block,$D$2020,$E2034)/$E$2020)</f>
        <v/>
      </c>
      <c r="I2034" s="208">
        <f>EXP(SUMPRODUCT((rl_eff&lt;$B2034)*(rl_key=$A$2020)*rl_ln1p))</f>
        <v/>
      </c>
      <c r="J2034" s="208">
        <f>EXP(SUMPRODUCT((rl_eff&lt;=$C2034)*(rl_key=$A$2020)*rl_ln1p))</f>
        <v/>
      </c>
      <c r="K2034" s="201">
        <f>COUNTIFS(rl_key,$A$2020,rl_eff,"&gt;="&amp;$B2034,rl_eff,"&lt;="&amp;$C2034)</f>
        <v/>
      </c>
      <c r="L2034" s="201">
        <f>SUMIFS(rl_daysafter,rl_key,$A$2020,rl_effmonth,$B2034,rl_first,1)</f>
        <v/>
      </c>
      <c r="M2034" s="209">
        <f>IF($K2034=0,0,MIN(1,$L2034/$D2034))</f>
        <v/>
      </c>
      <c r="N2034" s="208">
        <f>IF($K2034=0,$J2034,(1-$M2034)*$I2034+$M2034*$J2034)</f>
        <v/>
      </c>
      <c r="O2034" s="209">
        <f>IF($F2034&lt;$B$2021,$E$2021+$I$2021*($F2034-$A$2021),IF($F2034&lt;$C$2021,$F$2021+$J$2021*($F2034-$B$2021),$G$2021+$K$2021*($F2034-$C$2021)))</f>
        <v/>
      </c>
      <c r="P2034" s="208">
        <f>MIN(1,MAX(0,(nr_MEndPm1-$G2034+0.5)/$C$2020))-MIN(1,MAX(0,(nr_MStartPm1-1-$G2034+0.5)/$C$2020))</f>
        <v/>
      </c>
      <c r="Q2034" s="208">
        <f>MIN(1,MAX(0,(nr_MEndP-$G2034+0.5)/$C$2020))-MIN(1,MAX(0,(nr_MStartP-1-$G2034+0.5)/$C$2020))</f>
        <v/>
      </c>
      <c r="R2034" s="208">
        <f>MIN(1,MAX(0,(nr_MEndP1-$G2034+0.5)/$C$2020))-MIN(1,MAX(0,(nr_MStartP1-1-$G2034+0.5)/$C$2020))</f>
        <v/>
      </c>
      <c r="S2034" s="208">
        <f>IF($L$2020,$N2034*IF($O$2020=1,$O2034/$F$2020,1),"")</f>
        <v/>
      </c>
      <c r="T2034" s="208">
        <f>IF(NOT($L$2020),"",IF($G2034&lt;nr_MStartP,$S2034,$T2022*(1+IF($G2034&lt;nr_MStartP1,$M$2020,$N$2020))))</f>
        <v/>
      </c>
      <c r="U2034" s="208">
        <f>IF($L$2020,$T2034,$N2034)</f>
        <v/>
      </c>
    </row>
    <row r="2035">
      <c r="A2035" s="145" t="n">
        <v>13</v>
      </c>
      <c r="B2035" s="204">
        <f>EDATE($B2034,1)</f>
        <v/>
      </c>
      <c r="C2035" s="205">
        <f>EOMONTH($B2035,0)</f>
        <v/>
      </c>
      <c r="D2035" s="201">
        <f>$C2035-$B2035+1</f>
        <v/>
      </c>
      <c r="E2035" s="201">
        <f>MONTH($B2035)</f>
        <v/>
      </c>
      <c r="F2035" s="235">
        <f>($B2035+$C2035+1)/2</f>
        <v/>
      </c>
      <c r="G2035" s="201">
        <f>YEAR($B2035)*12+MONTH($B2035)-1</f>
        <v/>
      </c>
      <c r="H2035" s="207">
        <f>IF(OR(nr_SeasonOn="OFF",$D$2020=0,$E$2020=0),1,12*INDEX(se_block,$D$2020,$E2035)/$E$2020)</f>
        <v/>
      </c>
      <c r="I2035" s="208">
        <f>EXP(SUMPRODUCT((rl_eff&lt;$B2035)*(rl_key=$A$2020)*rl_ln1p))</f>
        <v/>
      </c>
      <c r="J2035" s="208">
        <f>EXP(SUMPRODUCT((rl_eff&lt;=$C2035)*(rl_key=$A$2020)*rl_ln1p))</f>
        <v/>
      </c>
      <c r="K2035" s="201">
        <f>COUNTIFS(rl_key,$A$2020,rl_eff,"&gt;="&amp;$B2035,rl_eff,"&lt;="&amp;$C2035)</f>
        <v/>
      </c>
      <c r="L2035" s="201">
        <f>SUMIFS(rl_daysafter,rl_key,$A$2020,rl_effmonth,$B2035,rl_first,1)</f>
        <v/>
      </c>
      <c r="M2035" s="209">
        <f>IF($K2035=0,0,MIN(1,$L2035/$D2035))</f>
        <v/>
      </c>
      <c r="N2035" s="208">
        <f>IF($K2035=0,$J2035,(1-$M2035)*$I2035+$M2035*$J2035)</f>
        <v/>
      </c>
      <c r="O2035" s="209">
        <f>IF($F2035&lt;$B$2021,$E$2021+$I$2021*($F2035-$A$2021),IF($F2035&lt;$C$2021,$F$2021+$J$2021*($F2035-$B$2021),$G$2021+$K$2021*($F2035-$C$2021)))</f>
        <v/>
      </c>
      <c r="P2035" s="208">
        <f>MIN(1,MAX(0,(nr_MEndPm1-$G2035+0.5)/$C$2020))-MIN(1,MAX(0,(nr_MStartPm1-1-$G2035+0.5)/$C$2020))</f>
        <v/>
      </c>
      <c r="Q2035" s="208">
        <f>MIN(1,MAX(0,(nr_MEndP-$G2035+0.5)/$C$2020))-MIN(1,MAX(0,(nr_MStartP-1-$G2035+0.5)/$C$2020))</f>
        <v/>
      </c>
      <c r="R2035" s="208">
        <f>MIN(1,MAX(0,(nr_MEndP1-$G2035+0.5)/$C$2020))-MIN(1,MAX(0,(nr_MStartP1-1-$G2035+0.5)/$C$2020))</f>
        <v/>
      </c>
      <c r="S2035" s="208">
        <f>IF($L$2020,$N2035*IF($O$2020=1,$O2035/$F$2020,1),"")</f>
        <v/>
      </c>
      <c r="T2035" s="208">
        <f>IF(NOT($L$2020),"",IF($G2035&lt;nr_MStartP,$S2035,$T2023*(1+IF($G2035&lt;nr_MStartP1,$M$2020,$N$2020))))</f>
        <v/>
      </c>
      <c r="U2035" s="208">
        <f>IF($L$2020,$T2035,$N2035)</f>
        <v/>
      </c>
    </row>
    <row r="2036">
      <c r="A2036" s="145" t="n">
        <v>14</v>
      </c>
      <c r="B2036" s="204">
        <f>EDATE($B2035,1)</f>
        <v/>
      </c>
      <c r="C2036" s="205">
        <f>EOMONTH($B2036,0)</f>
        <v/>
      </c>
      <c r="D2036" s="201">
        <f>$C2036-$B2036+1</f>
        <v/>
      </c>
      <c r="E2036" s="201">
        <f>MONTH($B2036)</f>
        <v/>
      </c>
      <c r="F2036" s="235">
        <f>($B2036+$C2036+1)/2</f>
        <v/>
      </c>
      <c r="G2036" s="201">
        <f>YEAR($B2036)*12+MONTH($B2036)-1</f>
        <v/>
      </c>
      <c r="H2036" s="207">
        <f>IF(OR(nr_SeasonOn="OFF",$D$2020=0,$E$2020=0),1,12*INDEX(se_block,$D$2020,$E2036)/$E$2020)</f>
        <v/>
      </c>
      <c r="I2036" s="208">
        <f>EXP(SUMPRODUCT((rl_eff&lt;$B2036)*(rl_key=$A$2020)*rl_ln1p))</f>
        <v/>
      </c>
      <c r="J2036" s="208">
        <f>EXP(SUMPRODUCT((rl_eff&lt;=$C2036)*(rl_key=$A$2020)*rl_ln1p))</f>
        <v/>
      </c>
      <c r="K2036" s="201">
        <f>COUNTIFS(rl_key,$A$2020,rl_eff,"&gt;="&amp;$B2036,rl_eff,"&lt;="&amp;$C2036)</f>
        <v/>
      </c>
      <c r="L2036" s="201">
        <f>SUMIFS(rl_daysafter,rl_key,$A$2020,rl_effmonth,$B2036,rl_first,1)</f>
        <v/>
      </c>
      <c r="M2036" s="209">
        <f>IF($K2036=0,0,MIN(1,$L2036/$D2036))</f>
        <v/>
      </c>
      <c r="N2036" s="208">
        <f>IF($K2036=0,$J2036,(1-$M2036)*$I2036+$M2036*$J2036)</f>
        <v/>
      </c>
      <c r="O2036" s="209">
        <f>IF($F2036&lt;$B$2021,$E$2021+$I$2021*($F2036-$A$2021),IF($F2036&lt;$C$2021,$F$2021+$J$2021*($F2036-$B$2021),$G$2021+$K$2021*($F2036-$C$2021)))</f>
        <v/>
      </c>
      <c r="P2036" s="208">
        <f>MIN(1,MAX(0,(nr_MEndPm1-$G2036+0.5)/$C$2020))-MIN(1,MAX(0,(nr_MStartPm1-1-$G2036+0.5)/$C$2020))</f>
        <v/>
      </c>
      <c r="Q2036" s="208">
        <f>MIN(1,MAX(0,(nr_MEndP-$G2036+0.5)/$C$2020))-MIN(1,MAX(0,(nr_MStartP-1-$G2036+0.5)/$C$2020))</f>
        <v/>
      </c>
      <c r="R2036" s="208">
        <f>MIN(1,MAX(0,(nr_MEndP1-$G2036+0.5)/$C$2020))-MIN(1,MAX(0,(nr_MStartP1-1-$G2036+0.5)/$C$2020))</f>
        <v/>
      </c>
      <c r="S2036" s="208">
        <f>IF($L$2020,$N2036*IF($O$2020=1,$O2036/$F$2020,1),"")</f>
        <v/>
      </c>
      <c r="T2036" s="208">
        <f>IF(NOT($L$2020),"",IF($G2036&lt;nr_MStartP,$S2036,$T2024*(1+IF($G2036&lt;nr_MStartP1,$M$2020,$N$2020))))</f>
        <v/>
      </c>
      <c r="U2036" s="208">
        <f>IF($L$2020,$T2036,$N2036)</f>
        <v/>
      </c>
    </row>
    <row r="2037">
      <c r="A2037" s="145" t="n">
        <v>15</v>
      </c>
      <c r="B2037" s="204">
        <f>EDATE($B2036,1)</f>
        <v/>
      </c>
      <c r="C2037" s="205">
        <f>EOMONTH($B2037,0)</f>
        <v/>
      </c>
      <c r="D2037" s="201">
        <f>$C2037-$B2037+1</f>
        <v/>
      </c>
      <c r="E2037" s="201">
        <f>MONTH($B2037)</f>
        <v/>
      </c>
      <c r="F2037" s="235">
        <f>($B2037+$C2037+1)/2</f>
        <v/>
      </c>
      <c r="G2037" s="201">
        <f>YEAR($B2037)*12+MONTH($B2037)-1</f>
        <v/>
      </c>
      <c r="H2037" s="207">
        <f>IF(OR(nr_SeasonOn="OFF",$D$2020=0,$E$2020=0),1,12*INDEX(se_block,$D$2020,$E2037)/$E$2020)</f>
        <v/>
      </c>
      <c r="I2037" s="208">
        <f>EXP(SUMPRODUCT((rl_eff&lt;$B2037)*(rl_key=$A$2020)*rl_ln1p))</f>
        <v/>
      </c>
      <c r="J2037" s="208">
        <f>EXP(SUMPRODUCT((rl_eff&lt;=$C2037)*(rl_key=$A$2020)*rl_ln1p))</f>
        <v/>
      </c>
      <c r="K2037" s="201">
        <f>COUNTIFS(rl_key,$A$2020,rl_eff,"&gt;="&amp;$B2037,rl_eff,"&lt;="&amp;$C2037)</f>
        <v/>
      </c>
      <c r="L2037" s="201">
        <f>SUMIFS(rl_daysafter,rl_key,$A$2020,rl_effmonth,$B2037,rl_first,1)</f>
        <v/>
      </c>
      <c r="M2037" s="209">
        <f>IF($K2037=0,0,MIN(1,$L2037/$D2037))</f>
        <v/>
      </c>
      <c r="N2037" s="208">
        <f>IF($K2037=0,$J2037,(1-$M2037)*$I2037+$M2037*$J2037)</f>
        <v/>
      </c>
      <c r="O2037" s="209">
        <f>IF($F2037&lt;$B$2021,$E$2021+$I$2021*($F2037-$A$2021),IF($F2037&lt;$C$2021,$F$2021+$J$2021*($F2037-$B$2021),$G$2021+$K$2021*($F2037-$C$2021)))</f>
        <v/>
      </c>
      <c r="P2037" s="208">
        <f>MIN(1,MAX(0,(nr_MEndPm1-$G2037+0.5)/$C$2020))-MIN(1,MAX(0,(nr_MStartPm1-1-$G2037+0.5)/$C$2020))</f>
        <v/>
      </c>
      <c r="Q2037" s="208">
        <f>MIN(1,MAX(0,(nr_MEndP-$G2037+0.5)/$C$2020))-MIN(1,MAX(0,(nr_MStartP-1-$G2037+0.5)/$C$2020))</f>
        <v/>
      </c>
      <c r="R2037" s="208">
        <f>MIN(1,MAX(0,(nr_MEndP1-$G2037+0.5)/$C$2020))-MIN(1,MAX(0,(nr_MStartP1-1-$G2037+0.5)/$C$2020))</f>
        <v/>
      </c>
      <c r="S2037" s="208">
        <f>IF($L$2020,$N2037*IF($O$2020=1,$O2037/$F$2020,1),"")</f>
        <v/>
      </c>
      <c r="T2037" s="208">
        <f>IF(NOT($L$2020),"",IF($G2037&lt;nr_MStartP,$S2037,$T2025*(1+IF($G2037&lt;nr_MStartP1,$M$2020,$N$2020))))</f>
        <v/>
      </c>
      <c r="U2037" s="208">
        <f>IF($L$2020,$T2037,$N2037)</f>
        <v/>
      </c>
    </row>
    <row r="2038">
      <c r="A2038" s="145" t="n">
        <v>16</v>
      </c>
      <c r="B2038" s="204">
        <f>EDATE($B2037,1)</f>
        <v/>
      </c>
      <c r="C2038" s="205">
        <f>EOMONTH($B2038,0)</f>
        <v/>
      </c>
      <c r="D2038" s="201">
        <f>$C2038-$B2038+1</f>
        <v/>
      </c>
      <c r="E2038" s="201">
        <f>MONTH($B2038)</f>
        <v/>
      </c>
      <c r="F2038" s="235">
        <f>($B2038+$C2038+1)/2</f>
        <v/>
      </c>
      <c r="G2038" s="201">
        <f>YEAR($B2038)*12+MONTH($B2038)-1</f>
        <v/>
      </c>
      <c r="H2038" s="207">
        <f>IF(OR(nr_SeasonOn="OFF",$D$2020=0,$E$2020=0),1,12*INDEX(se_block,$D$2020,$E2038)/$E$2020)</f>
        <v/>
      </c>
      <c r="I2038" s="208">
        <f>EXP(SUMPRODUCT((rl_eff&lt;$B2038)*(rl_key=$A$2020)*rl_ln1p))</f>
        <v/>
      </c>
      <c r="J2038" s="208">
        <f>EXP(SUMPRODUCT((rl_eff&lt;=$C2038)*(rl_key=$A$2020)*rl_ln1p))</f>
        <v/>
      </c>
      <c r="K2038" s="201">
        <f>COUNTIFS(rl_key,$A$2020,rl_eff,"&gt;="&amp;$B2038,rl_eff,"&lt;="&amp;$C2038)</f>
        <v/>
      </c>
      <c r="L2038" s="201">
        <f>SUMIFS(rl_daysafter,rl_key,$A$2020,rl_effmonth,$B2038,rl_first,1)</f>
        <v/>
      </c>
      <c r="M2038" s="209">
        <f>IF($K2038=0,0,MIN(1,$L2038/$D2038))</f>
        <v/>
      </c>
      <c r="N2038" s="208">
        <f>IF($K2038=0,$J2038,(1-$M2038)*$I2038+$M2038*$J2038)</f>
        <v/>
      </c>
      <c r="O2038" s="209">
        <f>IF($F2038&lt;$B$2021,$E$2021+$I$2021*($F2038-$A$2021),IF($F2038&lt;$C$2021,$F$2021+$J$2021*($F2038-$B$2021),$G$2021+$K$2021*($F2038-$C$2021)))</f>
        <v/>
      </c>
      <c r="P2038" s="208">
        <f>MIN(1,MAX(0,(nr_MEndPm1-$G2038+0.5)/$C$2020))-MIN(1,MAX(0,(nr_MStartPm1-1-$G2038+0.5)/$C$2020))</f>
        <v/>
      </c>
      <c r="Q2038" s="208">
        <f>MIN(1,MAX(0,(nr_MEndP-$G2038+0.5)/$C$2020))-MIN(1,MAX(0,(nr_MStartP-1-$G2038+0.5)/$C$2020))</f>
        <v/>
      </c>
      <c r="R2038" s="208">
        <f>MIN(1,MAX(0,(nr_MEndP1-$G2038+0.5)/$C$2020))-MIN(1,MAX(0,(nr_MStartP1-1-$G2038+0.5)/$C$2020))</f>
        <v/>
      </c>
      <c r="S2038" s="208">
        <f>IF($L$2020,$N2038*IF($O$2020=1,$O2038/$F$2020,1),"")</f>
        <v/>
      </c>
      <c r="T2038" s="208">
        <f>IF(NOT($L$2020),"",IF($G2038&lt;nr_MStartP,$S2038,$T2026*(1+IF($G2038&lt;nr_MStartP1,$M$2020,$N$2020))))</f>
        <v/>
      </c>
      <c r="U2038" s="208">
        <f>IF($L$2020,$T2038,$N2038)</f>
        <v/>
      </c>
    </row>
    <row r="2039">
      <c r="A2039" s="145" t="n">
        <v>17</v>
      </c>
      <c r="B2039" s="204">
        <f>EDATE($B2038,1)</f>
        <v/>
      </c>
      <c r="C2039" s="205">
        <f>EOMONTH($B2039,0)</f>
        <v/>
      </c>
      <c r="D2039" s="201">
        <f>$C2039-$B2039+1</f>
        <v/>
      </c>
      <c r="E2039" s="201">
        <f>MONTH($B2039)</f>
        <v/>
      </c>
      <c r="F2039" s="235">
        <f>($B2039+$C2039+1)/2</f>
        <v/>
      </c>
      <c r="G2039" s="201">
        <f>YEAR($B2039)*12+MONTH($B2039)-1</f>
        <v/>
      </c>
      <c r="H2039" s="207">
        <f>IF(OR(nr_SeasonOn="OFF",$D$2020=0,$E$2020=0),1,12*INDEX(se_block,$D$2020,$E2039)/$E$2020)</f>
        <v/>
      </c>
      <c r="I2039" s="208">
        <f>EXP(SUMPRODUCT((rl_eff&lt;$B2039)*(rl_key=$A$2020)*rl_ln1p))</f>
        <v/>
      </c>
      <c r="J2039" s="208">
        <f>EXP(SUMPRODUCT((rl_eff&lt;=$C2039)*(rl_key=$A$2020)*rl_ln1p))</f>
        <v/>
      </c>
      <c r="K2039" s="201">
        <f>COUNTIFS(rl_key,$A$2020,rl_eff,"&gt;="&amp;$B2039,rl_eff,"&lt;="&amp;$C2039)</f>
        <v/>
      </c>
      <c r="L2039" s="201">
        <f>SUMIFS(rl_daysafter,rl_key,$A$2020,rl_effmonth,$B2039,rl_first,1)</f>
        <v/>
      </c>
      <c r="M2039" s="209">
        <f>IF($K2039=0,0,MIN(1,$L2039/$D2039))</f>
        <v/>
      </c>
      <c r="N2039" s="208">
        <f>IF($K2039=0,$J2039,(1-$M2039)*$I2039+$M2039*$J2039)</f>
        <v/>
      </c>
      <c r="O2039" s="209">
        <f>IF($F2039&lt;$B$2021,$E$2021+$I$2021*($F2039-$A$2021),IF($F2039&lt;$C$2021,$F$2021+$J$2021*($F2039-$B$2021),$G$2021+$K$2021*($F2039-$C$2021)))</f>
        <v/>
      </c>
      <c r="P2039" s="208">
        <f>MIN(1,MAX(0,(nr_MEndPm1-$G2039+0.5)/$C$2020))-MIN(1,MAX(0,(nr_MStartPm1-1-$G2039+0.5)/$C$2020))</f>
        <v/>
      </c>
      <c r="Q2039" s="208">
        <f>MIN(1,MAX(0,(nr_MEndP-$G2039+0.5)/$C$2020))-MIN(1,MAX(0,(nr_MStartP-1-$G2039+0.5)/$C$2020))</f>
        <v/>
      </c>
      <c r="R2039" s="208">
        <f>MIN(1,MAX(0,(nr_MEndP1-$G2039+0.5)/$C$2020))-MIN(1,MAX(0,(nr_MStartP1-1-$G2039+0.5)/$C$2020))</f>
        <v/>
      </c>
      <c r="S2039" s="208">
        <f>IF($L$2020,$N2039*IF($O$2020=1,$O2039/$F$2020,1),"")</f>
        <v/>
      </c>
      <c r="T2039" s="208">
        <f>IF(NOT($L$2020),"",IF($G2039&lt;nr_MStartP,$S2039,$T2027*(1+IF($G2039&lt;nr_MStartP1,$M$2020,$N$2020))))</f>
        <v/>
      </c>
      <c r="U2039" s="208">
        <f>IF($L$2020,$T2039,$N2039)</f>
        <v/>
      </c>
    </row>
    <row r="2040">
      <c r="A2040" s="145" t="n">
        <v>18</v>
      </c>
      <c r="B2040" s="204">
        <f>EDATE($B2039,1)</f>
        <v/>
      </c>
      <c r="C2040" s="205">
        <f>EOMONTH($B2040,0)</f>
        <v/>
      </c>
      <c r="D2040" s="201">
        <f>$C2040-$B2040+1</f>
        <v/>
      </c>
      <c r="E2040" s="201">
        <f>MONTH($B2040)</f>
        <v/>
      </c>
      <c r="F2040" s="235">
        <f>($B2040+$C2040+1)/2</f>
        <v/>
      </c>
      <c r="G2040" s="201">
        <f>YEAR($B2040)*12+MONTH($B2040)-1</f>
        <v/>
      </c>
      <c r="H2040" s="207">
        <f>IF(OR(nr_SeasonOn="OFF",$D$2020=0,$E$2020=0),1,12*INDEX(se_block,$D$2020,$E2040)/$E$2020)</f>
        <v/>
      </c>
      <c r="I2040" s="208">
        <f>EXP(SUMPRODUCT((rl_eff&lt;$B2040)*(rl_key=$A$2020)*rl_ln1p))</f>
        <v/>
      </c>
      <c r="J2040" s="208">
        <f>EXP(SUMPRODUCT((rl_eff&lt;=$C2040)*(rl_key=$A$2020)*rl_ln1p))</f>
        <v/>
      </c>
      <c r="K2040" s="201">
        <f>COUNTIFS(rl_key,$A$2020,rl_eff,"&gt;="&amp;$B2040,rl_eff,"&lt;="&amp;$C2040)</f>
        <v/>
      </c>
      <c r="L2040" s="201">
        <f>SUMIFS(rl_daysafter,rl_key,$A$2020,rl_effmonth,$B2040,rl_first,1)</f>
        <v/>
      </c>
      <c r="M2040" s="209">
        <f>IF($K2040=0,0,MIN(1,$L2040/$D2040))</f>
        <v/>
      </c>
      <c r="N2040" s="208">
        <f>IF($K2040=0,$J2040,(1-$M2040)*$I2040+$M2040*$J2040)</f>
        <v/>
      </c>
      <c r="O2040" s="209">
        <f>IF($F2040&lt;$B$2021,$E$2021+$I$2021*($F2040-$A$2021),IF($F2040&lt;$C$2021,$F$2021+$J$2021*($F2040-$B$2021),$G$2021+$K$2021*($F2040-$C$2021)))</f>
        <v/>
      </c>
      <c r="P2040" s="208">
        <f>MIN(1,MAX(0,(nr_MEndPm1-$G2040+0.5)/$C$2020))-MIN(1,MAX(0,(nr_MStartPm1-1-$G2040+0.5)/$C$2020))</f>
        <v/>
      </c>
      <c r="Q2040" s="208">
        <f>MIN(1,MAX(0,(nr_MEndP-$G2040+0.5)/$C$2020))-MIN(1,MAX(0,(nr_MStartP-1-$G2040+0.5)/$C$2020))</f>
        <v/>
      </c>
      <c r="R2040" s="208">
        <f>MIN(1,MAX(0,(nr_MEndP1-$G2040+0.5)/$C$2020))-MIN(1,MAX(0,(nr_MStartP1-1-$G2040+0.5)/$C$2020))</f>
        <v/>
      </c>
      <c r="S2040" s="208">
        <f>IF($L$2020,$N2040*IF($O$2020=1,$O2040/$F$2020,1),"")</f>
        <v/>
      </c>
      <c r="T2040" s="208">
        <f>IF(NOT($L$2020),"",IF($G2040&lt;nr_MStartP,$S2040,$T2028*(1+IF($G2040&lt;nr_MStartP1,$M$2020,$N$2020))))</f>
        <v/>
      </c>
      <c r="U2040" s="208">
        <f>IF($L$2020,$T2040,$N2040)</f>
        <v/>
      </c>
    </row>
    <row r="2041">
      <c r="A2041" s="145" t="n">
        <v>19</v>
      </c>
      <c r="B2041" s="204">
        <f>EDATE($B2040,1)</f>
        <v/>
      </c>
      <c r="C2041" s="205">
        <f>EOMONTH($B2041,0)</f>
        <v/>
      </c>
      <c r="D2041" s="201">
        <f>$C2041-$B2041+1</f>
        <v/>
      </c>
      <c r="E2041" s="201">
        <f>MONTH($B2041)</f>
        <v/>
      </c>
      <c r="F2041" s="235">
        <f>($B2041+$C2041+1)/2</f>
        <v/>
      </c>
      <c r="G2041" s="201">
        <f>YEAR($B2041)*12+MONTH($B2041)-1</f>
        <v/>
      </c>
      <c r="H2041" s="207">
        <f>IF(OR(nr_SeasonOn="OFF",$D$2020=0,$E$2020=0),1,12*INDEX(se_block,$D$2020,$E2041)/$E$2020)</f>
        <v/>
      </c>
      <c r="I2041" s="208">
        <f>EXP(SUMPRODUCT((rl_eff&lt;$B2041)*(rl_key=$A$2020)*rl_ln1p))</f>
        <v/>
      </c>
      <c r="J2041" s="208">
        <f>EXP(SUMPRODUCT((rl_eff&lt;=$C2041)*(rl_key=$A$2020)*rl_ln1p))</f>
        <v/>
      </c>
      <c r="K2041" s="201">
        <f>COUNTIFS(rl_key,$A$2020,rl_eff,"&gt;="&amp;$B2041,rl_eff,"&lt;="&amp;$C2041)</f>
        <v/>
      </c>
      <c r="L2041" s="201">
        <f>SUMIFS(rl_daysafter,rl_key,$A$2020,rl_effmonth,$B2041,rl_first,1)</f>
        <v/>
      </c>
      <c r="M2041" s="209">
        <f>IF($K2041=0,0,MIN(1,$L2041/$D2041))</f>
        <v/>
      </c>
      <c r="N2041" s="208">
        <f>IF($K2041=0,$J2041,(1-$M2041)*$I2041+$M2041*$J2041)</f>
        <v/>
      </c>
      <c r="O2041" s="209">
        <f>IF($F2041&lt;$B$2021,$E$2021+$I$2021*($F2041-$A$2021),IF($F2041&lt;$C$2021,$F$2021+$J$2021*($F2041-$B$2021),$G$2021+$K$2021*($F2041-$C$2021)))</f>
        <v/>
      </c>
      <c r="P2041" s="208">
        <f>MIN(1,MAX(0,(nr_MEndPm1-$G2041+0.5)/$C$2020))-MIN(1,MAX(0,(nr_MStartPm1-1-$G2041+0.5)/$C$2020))</f>
        <v/>
      </c>
      <c r="Q2041" s="208">
        <f>MIN(1,MAX(0,(nr_MEndP-$G2041+0.5)/$C$2020))-MIN(1,MAX(0,(nr_MStartP-1-$G2041+0.5)/$C$2020))</f>
        <v/>
      </c>
      <c r="R2041" s="208">
        <f>MIN(1,MAX(0,(nr_MEndP1-$G2041+0.5)/$C$2020))-MIN(1,MAX(0,(nr_MStartP1-1-$G2041+0.5)/$C$2020))</f>
        <v/>
      </c>
      <c r="S2041" s="208">
        <f>IF($L$2020,$N2041*IF($O$2020=1,$O2041/$F$2020,1),"")</f>
        <v/>
      </c>
      <c r="T2041" s="208">
        <f>IF(NOT($L$2020),"",IF($G2041&lt;nr_MStartP,$S2041,$T2029*(1+IF($G2041&lt;nr_MStartP1,$M$2020,$N$2020))))</f>
        <v/>
      </c>
      <c r="U2041" s="208">
        <f>IF($L$2020,$T2041,$N2041)</f>
        <v/>
      </c>
    </row>
    <row r="2042">
      <c r="A2042" s="145" t="n">
        <v>20</v>
      </c>
      <c r="B2042" s="204">
        <f>EDATE($B2041,1)</f>
        <v/>
      </c>
      <c r="C2042" s="205">
        <f>EOMONTH($B2042,0)</f>
        <v/>
      </c>
      <c r="D2042" s="201">
        <f>$C2042-$B2042+1</f>
        <v/>
      </c>
      <c r="E2042" s="201">
        <f>MONTH($B2042)</f>
        <v/>
      </c>
      <c r="F2042" s="235">
        <f>($B2042+$C2042+1)/2</f>
        <v/>
      </c>
      <c r="G2042" s="201">
        <f>YEAR($B2042)*12+MONTH($B2042)-1</f>
        <v/>
      </c>
      <c r="H2042" s="207">
        <f>IF(OR(nr_SeasonOn="OFF",$D$2020=0,$E$2020=0),1,12*INDEX(se_block,$D$2020,$E2042)/$E$2020)</f>
        <v/>
      </c>
      <c r="I2042" s="208">
        <f>EXP(SUMPRODUCT((rl_eff&lt;$B2042)*(rl_key=$A$2020)*rl_ln1p))</f>
        <v/>
      </c>
      <c r="J2042" s="208">
        <f>EXP(SUMPRODUCT((rl_eff&lt;=$C2042)*(rl_key=$A$2020)*rl_ln1p))</f>
        <v/>
      </c>
      <c r="K2042" s="201">
        <f>COUNTIFS(rl_key,$A$2020,rl_eff,"&gt;="&amp;$B2042,rl_eff,"&lt;="&amp;$C2042)</f>
        <v/>
      </c>
      <c r="L2042" s="201">
        <f>SUMIFS(rl_daysafter,rl_key,$A$2020,rl_effmonth,$B2042,rl_first,1)</f>
        <v/>
      </c>
      <c r="M2042" s="209">
        <f>IF($K2042=0,0,MIN(1,$L2042/$D2042))</f>
        <v/>
      </c>
      <c r="N2042" s="208">
        <f>IF($K2042=0,$J2042,(1-$M2042)*$I2042+$M2042*$J2042)</f>
        <v/>
      </c>
      <c r="O2042" s="209">
        <f>IF($F2042&lt;$B$2021,$E$2021+$I$2021*($F2042-$A$2021),IF($F2042&lt;$C$2021,$F$2021+$J$2021*($F2042-$B$2021),$G$2021+$K$2021*($F2042-$C$2021)))</f>
        <v/>
      </c>
      <c r="P2042" s="208">
        <f>MIN(1,MAX(0,(nr_MEndPm1-$G2042+0.5)/$C$2020))-MIN(1,MAX(0,(nr_MStartPm1-1-$G2042+0.5)/$C$2020))</f>
        <v/>
      </c>
      <c r="Q2042" s="208">
        <f>MIN(1,MAX(0,(nr_MEndP-$G2042+0.5)/$C$2020))-MIN(1,MAX(0,(nr_MStartP-1-$G2042+0.5)/$C$2020))</f>
        <v/>
      </c>
      <c r="R2042" s="208">
        <f>MIN(1,MAX(0,(nr_MEndP1-$G2042+0.5)/$C$2020))-MIN(1,MAX(0,(nr_MStartP1-1-$G2042+0.5)/$C$2020))</f>
        <v/>
      </c>
      <c r="S2042" s="208">
        <f>IF($L$2020,$N2042*IF($O$2020=1,$O2042/$F$2020,1),"")</f>
        <v/>
      </c>
      <c r="T2042" s="208">
        <f>IF(NOT($L$2020),"",IF($G2042&lt;nr_MStartP,$S2042,$T2030*(1+IF($G2042&lt;nr_MStartP1,$M$2020,$N$2020))))</f>
        <v/>
      </c>
      <c r="U2042" s="208">
        <f>IF($L$2020,$T2042,$N2042)</f>
        <v/>
      </c>
    </row>
    <row r="2043">
      <c r="A2043" s="145" t="n">
        <v>21</v>
      </c>
      <c r="B2043" s="204">
        <f>EDATE($B2042,1)</f>
        <v/>
      </c>
      <c r="C2043" s="205">
        <f>EOMONTH($B2043,0)</f>
        <v/>
      </c>
      <c r="D2043" s="201">
        <f>$C2043-$B2043+1</f>
        <v/>
      </c>
      <c r="E2043" s="201">
        <f>MONTH($B2043)</f>
        <v/>
      </c>
      <c r="F2043" s="235">
        <f>($B2043+$C2043+1)/2</f>
        <v/>
      </c>
      <c r="G2043" s="201">
        <f>YEAR($B2043)*12+MONTH($B2043)-1</f>
        <v/>
      </c>
      <c r="H2043" s="207">
        <f>IF(OR(nr_SeasonOn="OFF",$D$2020=0,$E$2020=0),1,12*INDEX(se_block,$D$2020,$E2043)/$E$2020)</f>
        <v/>
      </c>
      <c r="I2043" s="208">
        <f>EXP(SUMPRODUCT((rl_eff&lt;$B2043)*(rl_key=$A$2020)*rl_ln1p))</f>
        <v/>
      </c>
      <c r="J2043" s="208">
        <f>EXP(SUMPRODUCT((rl_eff&lt;=$C2043)*(rl_key=$A$2020)*rl_ln1p))</f>
        <v/>
      </c>
      <c r="K2043" s="201">
        <f>COUNTIFS(rl_key,$A$2020,rl_eff,"&gt;="&amp;$B2043,rl_eff,"&lt;="&amp;$C2043)</f>
        <v/>
      </c>
      <c r="L2043" s="201">
        <f>SUMIFS(rl_daysafter,rl_key,$A$2020,rl_effmonth,$B2043,rl_first,1)</f>
        <v/>
      </c>
      <c r="M2043" s="209">
        <f>IF($K2043=0,0,MIN(1,$L2043/$D2043))</f>
        <v/>
      </c>
      <c r="N2043" s="208">
        <f>IF($K2043=0,$J2043,(1-$M2043)*$I2043+$M2043*$J2043)</f>
        <v/>
      </c>
      <c r="O2043" s="209">
        <f>IF($F2043&lt;$B$2021,$E$2021+$I$2021*($F2043-$A$2021),IF($F2043&lt;$C$2021,$F$2021+$J$2021*($F2043-$B$2021),$G$2021+$K$2021*($F2043-$C$2021)))</f>
        <v/>
      </c>
      <c r="P2043" s="208">
        <f>MIN(1,MAX(0,(nr_MEndPm1-$G2043+0.5)/$C$2020))-MIN(1,MAX(0,(nr_MStartPm1-1-$G2043+0.5)/$C$2020))</f>
        <v/>
      </c>
      <c r="Q2043" s="208">
        <f>MIN(1,MAX(0,(nr_MEndP-$G2043+0.5)/$C$2020))-MIN(1,MAX(0,(nr_MStartP-1-$G2043+0.5)/$C$2020))</f>
        <v/>
      </c>
      <c r="R2043" s="208">
        <f>MIN(1,MAX(0,(nr_MEndP1-$G2043+0.5)/$C$2020))-MIN(1,MAX(0,(nr_MStartP1-1-$G2043+0.5)/$C$2020))</f>
        <v/>
      </c>
      <c r="S2043" s="208">
        <f>IF($L$2020,$N2043*IF($O$2020=1,$O2043/$F$2020,1),"")</f>
        <v/>
      </c>
      <c r="T2043" s="208">
        <f>IF(NOT($L$2020),"",IF($G2043&lt;nr_MStartP,$S2043,$T2031*(1+IF($G2043&lt;nr_MStartP1,$M$2020,$N$2020))))</f>
        <v/>
      </c>
      <c r="U2043" s="208">
        <f>IF($L$2020,$T2043,$N2043)</f>
        <v/>
      </c>
    </row>
    <row r="2044">
      <c r="A2044" s="145" t="n">
        <v>22</v>
      </c>
      <c r="B2044" s="204">
        <f>EDATE($B2043,1)</f>
        <v/>
      </c>
      <c r="C2044" s="205">
        <f>EOMONTH($B2044,0)</f>
        <v/>
      </c>
      <c r="D2044" s="201">
        <f>$C2044-$B2044+1</f>
        <v/>
      </c>
      <c r="E2044" s="201">
        <f>MONTH($B2044)</f>
        <v/>
      </c>
      <c r="F2044" s="235">
        <f>($B2044+$C2044+1)/2</f>
        <v/>
      </c>
      <c r="G2044" s="201">
        <f>YEAR($B2044)*12+MONTH($B2044)-1</f>
        <v/>
      </c>
      <c r="H2044" s="207">
        <f>IF(OR(nr_SeasonOn="OFF",$D$2020=0,$E$2020=0),1,12*INDEX(se_block,$D$2020,$E2044)/$E$2020)</f>
        <v/>
      </c>
      <c r="I2044" s="208">
        <f>EXP(SUMPRODUCT((rl_eff&lt;$B2044)*(rl_key=$A$2020)*rl_ln1p))</f>
        <v/>
      </c>
      <c r="J2044" s="208">
        <f>EXP(SUMPRODUCT((rl_eff&lt;=$C2044)*(rl_key=$A$2020)*rl_ln1p))</f>
        <v/>
      </c>
      <c r="K2044" s="201">
        <f>COUNTIFS(rl_key,$A$2020,rl_eff,"&gt;="&amp;$B2044,rl_eff,"&lt;="&amp;$C2044)</f>
        <v/>
      </c>
      <c r="L2044" s="201">
        <f>SUMIFS(rl_daysafter,rl_key,$A$2020,rl_effmonth,$B2044,rl_first,1)</f>
        <v/>
      </c>
      <c r="M2044" s="209">
        <f>IF($K2044=0,0,MIN(1,$L2044/$D2044))</f>
        <v/>
      </c>
      <c r="N2044" s="208">
        <f>IF($K2044=0,$J2044,(1-$M2044)*$I2044+$M2044*$J2044)</f>
        <v/>
      </c>
      <c r="O2044" s="209">
        <f>IF($F2044&lt;$B$2021,$E$2021+$I$2021*($F2044-$A$2021),IF($F2044&lt;$C$2021,$F$2021+$J$2021*($F2044-$B$2021),$G$2021+$K$2021*($F2044-$C$2021)))</f>
        <v/>
      </c>
      <c r="P2044" s="208">
        <f>MIN(1,MAX(0,(nr_MEndPm1-$G2044+0.5)/$C$2020))-MIN(1,MAX(0,(nr_MStartPm1-1-$G2044+0.5)/$C$2020))</f>
        <v/>
      </c>
      <c r="Q2044" s="208">
        <f>MIN(1,MAX(0,(nr_MEndP-$G2044+0.5)/$C$2020))-MIN(1,MAX(0,(nr_MStartP-1-$G2044+0.5)/$C$2020))</f>
        <v/>
      </c>
      <c r="R2044" s="208">
        <f>MIN(1,MAX(0,(nr_MEndP1-$G2044+0.5)/$C$2020))-MIN(1,MAX(0,(nr_MStartP1-1-$G2044+0.5)/$C$2020))</f>
        <v/>
      </c>
      <c r="S2044" s="208">
        <f>IF($L$2020,$N2044*IF($O$2020=1,$O2044/$F$2020,1),"")</f>
        <v/>
      </c>
      <c r="T2044" s="208">
        <f>IF(NOT($L$2020),"",IF($G2044&lt;nr_MStartP,$S2044,$T2032*(1+IF($G2044&lt;nr_MStartP1,$M$2020,$N$2020))))</f>
        <v/>
      </c>
      <c r="U2044" s="208">
        <f>IF($L$2020,$T2044,$N2044)</f>
        <v/>
      </c>
    </row>
    <row r="2045">
      <c r="A2045" s="145" t="n">
        <v>23</v>
      </c>
      <c r="B2045" s="204">
        <f>EDATE($B2044,1)</f>
        <v/>
      </c>
      <c r="C2045" s="205">
        <f>EOMONTH($B2045,0)</f>
        <v/>
      </c>
      <c r="D2045" s="201">
        <f>$C2045-$B2045+1</f>
        <v/>
      </c>
      <c r="E2045" s="201">
        <f>MONTH($B2045)</f>
        <v/>
      </c>
      <c r="F2045" s="235">
        <f>($B2045+$C2045+1)/2</f>
        <v/>
      </c>
      <c r="G2045" s="201">
        <f>YEAR($B2045)*12+MONTH($B2045)-1</f>
        <v/>
      </c>
      <c r="H2045" s="207">
        <f>IF(OR(nr_SeasonOn="OFF",$D$2020=0,$E$2020=0),1,12*INDEX(se_block,$D$2020,$E2045)/$E$2020)</f>
        <v/>
      </c>
      <c r="I2045" s="208">
        <f>EXP(SUMPRODUCT((rl_eff&lt;$B2045)*(rl_key=$A$2020)*rl_ln1p))</f>
        <v/>
      </c>
      <c r="J2045" s="208">
        <f>EXP(SUMPRODUCT((rl_eff&lt;=$C2045)*(rl_key=$A$2020)*rl_ln1p))</f>
        <v/>
      </c>
      <c r="K2045" s="201">
        <f>COUNTIFS(rl_key,$A$2020,rl_eff,"&gt;="&amp;$B2045,rl_eff,"&lt;="&amp;$C2045)</f>
        <v/>
      </c>
      <c r="L2045" s="201">
        <f>SUMIFS(rl_daysafter,rl_key,$A$2020,rl_effmonth,$B2045,rl_first,1)</f>
        <v/>
      </c>
      <c r="M2045" s="209">
        <f>IF($K2045=0,0,MIN(1,$L2045/$D2045))</f>
        <v/>
      </c>
      <c r="N2045" s="208">
        <f>IF($K2045=0,$J2045,(1-$M2045)*$I2045+$M2045*$J2045)</f>
        <v/>
      </c>
      <c r="O2045" s="209">
        <f>IF($F2045&lt;$B$2021,$E$2021+$I$2021*($F2045-$A$2021),IF($F2045&lt;$C$2021,$F$2021+$J$2021*($F2045-$B$2021),$G$2021+$K$2021*($F2045-$C$2021)))</f>
        <v/>
      </c>
      <c r="P2045" s="208">
        <f>MIN(1,MAX(0,(nr_MEndPm1-$G2045+0.5)/$C$2020))-MIN(1,MAX(0,(nr_MStartPm1-1-$G2045+0.5)/$C$2020))</f>
        <v/>
      </c>
      <c r="Q2045" s="208">
        <f>MIN(1,MAX(0,(nr_MEndP-$G2045+0.5)/$C$2020))-MIN(1,MAX(0,(nr_MStartP-1-$G2045+0.5)/$C$2020))</f>
        <v/>
      </c>
      <c r="R2045" s="208">
        <f>MIN(1,MAX(0,(nr_MEndP1-$G2045+0.5)/$C$2020))-MIN(1,MAX(0,(nr_MStartP1-1-$G2045+0.5)/$C$2020))</f>
        <v/>
      </c>
      <c r="S2045" s="208">
        <f>IF($L$2020,$N2045*IF($O$2020=1,$O2045/$F$2020,1),"")</f>
        <v/>
      </c>
      <c r="T2045" s="208">
        <f>IF(NOT($L$2020),"",IF($G2045&lt;nr_MStartP,$S2045,$T2033*(1+IF($G2045&lt;nr_MStartP1,$M$2020,$N$2020))))</f>
        <v/>
      </c>
      <c r="U2045" s="208">
        <f>IF($L$2020,$T2045,$N2045)</f>
        <v/>
      </c>
    </row>
    <row r="2046">
      <c r="A2046" s="145" t="n">
        <v>24</v>
      </c>
      <c r="B2046" s="204">
        <f>EDATE($B2045,1)</f>
        <v/>
      </c>
      <c r="C2046" s="205">
        <f>EOMONTH($B2046,0)</f>
        <v/>
      </c>
      <c r="D2046" s="201">
        <f>$C2046-$B2046+1</f>
        <v/>
      </c>
      <c r="E2046" s="201">
        <f>MONTH($B2046)</f>
        <v/>
      </c>
      <c r="F2046" s="235">
        <f>($B2046+$C2046+1)/2</f>
        <v/>
      </c>
      <c r="G2046" s="201">
        <f>YEAR($B2046)*12+MONTH($B2046)-1</f>
        <v/>
      </c>
      <c r="H2046" s="207">
        <f>IF(OR(nr_SeasonOn="OFF",$D$2020=0,$E$2020=0),1,12*INDEX(se_block,$D$2020,$E2046)/$E$2020)</f>
        <v/>
      </c>
      <c r="I2046" s="208">
        <f>EXP(SUMPRODUCT((rl_eff&lt;$B2046)*(rl_key=$A$2020)*rl_ln1p))</f>
        <v/>
      </c>
      <c r="J2046" s="208">
        <f>EXP(SUMPRODUCT((rl_eff&lt;=$C2046)*(rl_key=$A$2020)*rl_ln1p))</f>
        <v/>
      </c>
      <c r="K2046" s="201">
        <f>COUNTIFS(rl_key,$A$2020,rl_eff,"&gt;="&amp;$B2046,rl_eff,"&lt;="&amp;$C2046)</f>
        <v/>
      </c>
      <c r="L2046" s="201">
        <f>SUMIFS(rl_daysafter,rl_key,$A$2020,rl_effmonth,$B2046,rl_first,1)</f>
        <v/>
      </c>
      <c r="M2046" s="209">
        <f>IF($K2046=0,0,MIN(1,$L2046/$D2046))</f>
        <v/>
      </c>
      <c r="N2046" s="208">
        <f>IF($K2046=0,$J2046,(1-$M2046)*$I2046+$M2046*$J2046)</f>
        <v/>
      </c>
      <c r="O2046" s="209">
        <f>IF($F2046&lt;$B$2021,$E$2021+$I$2021*($F2046-$A$2021),IF($F2046&lt;$C$2021,$F$2021+$J$2021*($F2046-$B$2021),$G$2021+$K$2021*($F2046-$C$2021)))</f>
        <v/>
      </c>
      <c r="P2046" s="208">
        <f>MIN(1,MAX(0,(nr_MEndPm1-$G2046+0.5)/$C$2020))-MIN(1,MAX(0,(nr_MStartPm1-1-$G2046+0.5)/$C$2020))</f>
        <v/>
      </c>
      <c r="Q2046" s="208">
        <f>MIN(1,MAX(0,(nr_MEndP-$G2046+0.5)/$C$2020))-MIN(1,MAX(0,(nr_MStartP-1-$G2046+0.5)/$C$2020))</f>
        <v/>
      </c>
      <c r="R2046" s="208">
        <f>MIN(1,MAX(0,(nr_MEndP1-$G2046+0.5)/$C$2020))-MIN(1,MAX(0,(nr_MStartP1-1-$G2046+0.5)/$C$2020))</f>
        <v/>
      </c>
      <c r="S2046" s="208">
        <f>IF($L$2020,$N2046*IF($O$2020=1,$O2046/$F$2020,1),"")</f>
        <v/>
      </c>
      <c r="T2046" s="208">
        <f>IF(NOT($L$2020),"",IF($G2046&lt;nr_MStartP,$S2046,$T2034*(1+IF($G2046&lt;nr_MStartP1,$M$2020,$N$2020))))</f>
        <v/>
      </c>
      <c r="U2046" s="208">
        <f>IF($L$2020,$T2046,$N2046)</f>
        <v/>
      </c>
    </row>
    <row r="2047">
      <c r="A2047" s="145" t="n">
        <v>25</v>
      </c>
      <c r="B2047" s="204">
        <f>EDATE($B2046,1)</f>
        <v/>
      </c>
      <c r="C2047" s="205">
        <f>EOMONTH($B2047,0)</f>
        <v/>
      </c>
      <c r="D2047" s="201">
        <f>$C2047-$B2047+1</f>
        <v/>
      </c>
      <c r="E2047" s="201">
        <f>MONTH($B2047)</f>
        <v/>
      </c>
      <c r="F2047" s="235">
        <f>($B2047+$C2047+1)/2</f>
        <v/>
      </c>
      <c r="G2047" s="201">
        <f>YEAR($B2047)*12+MONTH($B2047)-1</f>
        <v/>
      </c>
      <c r="H2047" s="207">
        <f>IF(OR(nr_SeasonOn="OFF",$D$2020=0,$E$2020=0),1,12*INDEX(se_block,$D$2020,$E2047)/$E$2020)</f>
        <v/>
      </c>
      <c r="I2047" s="208">
        <f>EXP(SUMPRODUCT((rl_eff&lt;$B2047)*(rl_key=$A$2020)*rl_ln1p))</f>
        <v/>
      </c>
      <c r="J2047" s="208">
        <f>EXP(SUMPRODUCT((rl_eff&lt;=$C2047)*(rl_key=$A$2020)*rl_ln1p))</f>
        <v/>
      </c>
      <c r="K2047" s="201">
        <f>COUNTIFS(rl_key,$A$2020,rl_eff,"&gt;="&amp;$B2047,rl_eff,"&lt;="&amp;$C2047)</f>
        <v/>
      </c>
      <c r="L2047" s="201">
        <f>SUMIFS(rl_daysafter,rl_key,$A$2020,rl_effmonth,$B2047,rl_first,1)</f>
        <v/>
      </c>
      <c r="M2047" s="209">
        <f>IF($K2047=0,0,MIN(1,$L2047/$D2047))</f>
        <v/>
      </c>
      <c r="N2047" s="208">
        <f>IF($K2047=0,$J2047,(1-$M2047)*$I2047+$M2047*$J2047)</f>
        <v/>
      </c>
      <c r="O2047" s="209">
        <f>IF($F2047&lt;$B$2021,$E$2021+$I$2021*($F2047-$A$2021),IF($F2047&lt;$C$2021,$F$2021+$J$2021*($F2047-$B$2021),$G$2021+$K$2021*($F2047-$C$2021)))</f>
        <v/>
      </c>
      <c r="P2047" s="208">
        <f>MIN(1,MAX(0,(nr_MEndPm1-$G2047+0.5)/$C$2020))-MIN(1,MAX(0,(nr_MStartPm1-1-$G2047+0.5)/$C$2020))</f>
        <v/>
      </c>
      <c r="Q2047" s="208">
        <f>MIN(1,MAX(0,(nr_MEndP-$G2047+0.5)/$C$2020))-MIN(1,MAX(0,(nr_MStartP-1-$G2047+0.5)/$C$2020))</f>
        <v/>
      </c>
      <c r="R2047" s="208">
        <f>MIN(1,MAX(0,(nr_MEndP1-$G2047+0.5)/$C$2020))-MIN(1,MAX(0,(nr_MStartP1-1-$G2047+0.5)/$C$2020))</f>
        <v/>
      </c>
      <c r="S2047" s="208">
        <f>IF($L$2020,$N2047*IF($O$2020=1,$O2047/$F$2020,1),"")</f>
        <v/>
      </c>
      <c r="T2047" s="208">
        <f>IF(NOT($L$2020),"",IF($G2047&lt;nr_MStartP,$S2047,$T2035*(1+IF($G2047&lt;nr_MStartP1,$M$2020,$N$2020))))</f>
        <v/>
      </c>
      <c r="U2047" s="208">
        <f>IF($L$2020,$T2047,$N2047)</f>
        <v/>
      </c>
    </row>
    <row r="2048">
      <c r="A2048" s="145" t="n">
        <v>26</v>
      </c>
      <c r="B2048" s="204">
        <f>EDATE($B2047,1)</f>
        <v/>
      </c>
      <c r="C2048" s="205">
        <f>EOMONTH($B2048,0)</f>
        <v/>
      </c>
      <c r="D2048" s="201">
        <f>$C2048-$B2048+1</f>
        <v/>
      </c>
      <c r="E2048" s="201">
        <f>MONTH($B2048)</f>
        <v/>
      </c>
      <c r="F2048" s="235">
        <f>($B2048+$C2048+1)/2</f>
        <v/>
      </c>
      <c r="G2048" s="201">
        <f>YEAR($B2048)*12+MONTH($B2048)-1</f>
        <v/>
      </c>
      <c r="H2048" s="207">
        <f>IF(OR(nr_SeasonOn="OFF",$D$2020=0,$E$2020=0),1,12*INDEX(se_block,$D$2020,$E2048)/$E$2020)</f>
        <v/>
      </c>
      <c r="I2048" s="208">
        <f>EXP(SUMPRODUCT((rl_eff&lt;$B2048)*(rl_key=$A$2020)*rl_ln1p))</f>
        <v/>
      </c>
      <c r="J2048" s="208">
        <f>EXP(SUMPRODUCT((rl_eff&lt;=$C2048)*(rl_key=$A$2020)*rl_ln1p))</f>
        <v/>
      </c>
      <c r="K2048" s="201">
        <f>COUNTIFS(rl_key,$A$2020,rl_eff,"&gt;="&amp;$B2048,rl_eff,"&lt;="&amp;$C2048)</f>
        <v/>
      </c>
      <c r="L2048" s="201">
        <f>SUMIFS(rl_daysafter,rl_key,$A$2020,rl_effmonth,$B2048,rl_first,1)</f>
        <v/>
      </c>
      <c r="M2048" s="209">
        <f>IF($K2048=0,0,MIN(1,$L2048/$D2048))</f>
        <v/>
      </c>
      <c r="N2048" s="208">
        <f>IF($K2048=0,$J2048,(1-$M2048)*$I2048+$M2048*$J2048)</f>
        <v/>
      </c>
      <c r="O2048" s="209">
        <f>IF($F2048&lt;$B$2021,$E$2021+$I$2021*($F2048-$A$2021),IF($F2048&lt;$C$2021,$F$2021+$J$2021*($F2048-$B$2021),$G$2021+$K$2021*($F2048-$C$2021)))</f>
        <v/>
      </c>
      <c r="P2048" s="208">
        <f>MIN(1,MAX(0,(nr_MEndPm1-$G2048+0.5)/$C$2020))-MIN(1,MAX(0,(nr_MStartPm1-1-$G2048+0.5)/$C$2020))</f>
        <v/>
      </c>
      <c r="Q2048" s="208">
        <f>MIN(1,MAX(0,(nr_MEndP-$G2048+0.5)/$C$2020))-MIN(1,MAX(0,(nr_MStartP-1-$G2048+0.5)/$C$2020))</f>
        <v/>
      </c>
      <c r="R2048" s="208">
        <f>MIN(1,MAX(0,(nr_MEndP1-$G2048+0.5)/$C$2020))-MIN(1,MAX(0,(nr_MStartP1-1-$G2048+0.5)/$C$2020))</f>
        <v/>
      </c>
      <c r="S2048" s="208">
        <f>IF($L$2020,$N2048*IF($O$2020=1,$O2048/$F$2020,1),"")</f>
        <v/>
      </c>
      <c r="T2048" s="208">
        <f>IF(NOT($L$2020),"",IF($G2048&lt;nr_MStartP,$S2048,$T2036*(1+IF($G2048&lt;nr_MStartP1,$M$2020,$N$2020))))</f>
        <v/>
      </c>
      <c r="U2048" s="208">
        <f>IF($L$2020,$T2048,$N2048)</f>
        <v/>
      </c>
    </row>
    <row r="2049">
      <c r="A2049" s="145" t="n">
        <v>27</v>
      </c>
      <c r="B2049" s="204">
        <f>EDATE($B2048,1)</f>
        <v/>
      </c>
      <c r="C2049" s="205">
        <f>EOMONTH($B2049,0)</f>
        <v/>
      </c>
      <c r="D2049" s="201">
        <f>$C2049-$B2049+1</f>
        <v/>
      </c>
      <c r="E2049" s="201">
        <f>MONTH($B2049)</f>
        <v/>
      </c>
      <c r="F2049" s="235">
        <f>($B2049+$C2049+1)/2</f>
        <v/>
      </c>
      <c r="G2049" s="201">
        <f>YEAR($B2049)*12+MONTH($B2049)-1</f>
        <v/>
      </c>
      <c r="H2049" s="207">
        <f>IF(OR(nr_SeasonOn="OFF",$D$2020=0,$E$2020=0),1,12*INDEX(se_block,$D$2020,$E2049)/$E$2020)</f>
        <v/>
      </c>
      <c r="I2049" s="208">
        <f>EXP(SUMPRODUCT((rl_eff&lt;$B2049)*(rl_key=$A$2020)*rl_ln1p))</f>
        <v/>
      </c>
      <c r="J2049" s="208">
        <f>EXP(SUMPRODUCT((rl_eff&lt;=$C2049)*(rl_key=$A$2020)*rl_ln1p))</f>
        <v/>
      </c>
      <c r="K2049" s="201">
        <f>COUNTIFS(rl_key,$A$2020,rl_eff,"&gt;="&amp;$B2049,rl_eff,"&lt;="&amp;$C2049)</f>
        <v/>
      </c>
      <c r="L2049" s="201">
        <f>SUMIFS(rl_daysafter,rl_key,$A$2020,rl_effmonth,$B2049,rl_first,1)</f>
        <v/>
      </c>
      <c r="M2049" s="209">
        <f>IF($K2049=0,0,MIN(1,$L2049/$D2049))</f>
        <v/>
      </c>
      <c r="N2049" s="208">
        <f>IF($K2049=0,$J2049,(1-$M2049)*$I2049+$M2049*$J2049)</f>
        <v/>
      </c>
      <c r="O2049" s="209">
        <f>IF($F2049&lt;$B$2021,$E$2021+$I$2021*($F2049-$A$2021),IF($F2049&lt;$C$2021,$F$2021+$J$2021*($F2049-$B$2021),$G$2021+$K$2021*($F2049-$C$2021)))</f>
        <v/>
      </c>
      <c r="P2049" s="208">
        <f>MIN(1,MAX(0,(nr_MEndPm1-$G2049+0.5)/$C$2020))-MIN(1,MAX(0,(nr_MStartPm1-1-$G2049+0.5)/$C$2020))</f>
        <v/>
      </c>
      <c r="Q2049" s="208">
        <f>MIN(1,MAX(0,(nr_MEndP-$G2049+0.5)/$C$2020))-MIN(1,MAX(0,(nr_MStartP-1-$G2049+0.5)/$C$2020))</f>
        <v/>
      </c>
      <c r="R2049" s="208">
        <f>MIN(1,MAX(0,(nr_MEndP1-$G2049+0.5)/$C$2020))-MIN(1,MAX(0,(nr_MStartP1-1-$G2049+0.5)/$C$2020))</f>
        <v/>
      </c>
      <c r="S2049" s="208">
        <f>IF($L$2020,$N2049*IF($O$2020=1,$O2049/$F$2020,1),"")</f>
        <v/>
      </c>
      <c r="T2049" s="208">
        <f>IF(NOT($L$2020),"",IF($G2049&lt;nr_MStartP,$S2049,$T2037*(1+IF($G2049&lt;nr_MStartP1,$M$2020,$N$2020))))</f>
        <v/>
      </c>
      <c r="U2049" s="208">
        <f>IF($L$2020,$T2049,$N2049)</f>
        <v/>
      </c>
    </row>
    <row r="2050">
      <c r="A2050" s="145" t="n">
        <v>28</v>
      </c>
      <c r="B2050" s="204">
        <f>EDATE($B2049,1)</f>
        <v/>
      </c>
      <c r="C2050" s="205">
        <f>EOMONTH($B2050,0)</f>
        <v/>
      </c>
      <c r="D2050" s="201">
        <f>$C2050-$B2050+1</f>
        <v/>
      </c>
      <c r="E2050" s="201">
        <f>MONTH($B2050)</f>
        <v/>
      </c>
      <c r="F2050" s="235">
        <f>($B2050+$C2050+1)/2</f>
        <v/>
      </c>
      <c r="G2050" s="201">
        <f>YEAR($B2050)*12+MONTH($B2050)-1</f>
        <v/>
      </c>
      <c r="H2050" s="207">
        <f>IF(OR(nr_SeasonOn="OFF",$D$2020=0,$E$2020=0),1,12*INDEX(se_block,$D$2020,$E2050)/$E$2020)</f>
        <v/>
      </c>
      <c r="I2050" s="208">
        <f>EXP(SUMPRODUCT((rl_eff&lt;$B2050)*(rl_key=$A$2020)*rl_ln1p))</f>
        <v/>
      </c>
      <c r="J2050" s="208">
        <f>EXP(SUMPRODUCT((rl_eff&lt;=$C2050)*(rl_key=$A$2020)*rl_ln1p))</f>
        <v/>
      </c>
      <c r="K2050" s="201">
        <f>COUNTIFS(rl_key,$A$2020,rl_eff,"&gt;="&amp;$B2050,rl_eff,"&lt;="&amp;$C2050)</f>
        <v/>
      </c>
      <c r="L2050" s="201">
        <f>SUMIFS(rl_daysafter,rl_key,$A$2020,rl_effmonth,$B2050,rl_first,1)</f>
        <v/>
      </c>
      <c r="M2050" s="209">
        <f>IF($K2050=0,0,MIN(1,$L2050/$D2050))</f>
        <v/>
      </c>
      <c r="N2050" s="208">
        <f>IF($K2050=0,$J2050,(1-$M2050)*$I2050+$M2050*$J2050)</f>
        <v/>
      </c>
      <c r="O2050" s="209">
        <f>IF($F2050&lt;$B$2021,$E$2021+$I$2021*($F2050-$A$2021),IF($F2050&lt;$C$2021,$F$2021+$J$2021*($F2050-$B$2021),$G$2021+$K$2021*($F2050-$C$2021)))</f>
        <v/>
      </c>
      <c r="P2050" s="208">
        <f>MIN(1,MAX(0,(nr_MEndPm1-$G2050+0.5)/$C$2020))-MIN(1,MAX(0,(nr_MStartPm1-1-$G2050+0.5)/$C$2020))</f>
        <v/>
      </c>
      <c r="Q2050" s="208">
        <f>MIN(1,MAX(0,(nr_MEndP-$G2050+0.5)/$C$2020))-MIN(1,MAX(0,(nr_MStartP-1-$G2050+0.5)/$C$2020))</f>
        <v/>
      </c>
      <c r="R2050" s="208">
        <f>MIN(1,MAX(0,(nr_MEndP1-$G2050+0.5)/$C$2020))-MIN(1,MAX(0,(nr_MStartP1-1-$G2050+0.5)/$C$2020))</f>
        <v/>
      </c>
      <c r="S2050" s="208">
        <f>IF($L$2020,$N2050*IF($O$2020=1,$O2050/$F$2020,1),"")</f>
        <v/>
      </c>
      <c r="T2050" s="208">
        <f>IF(NOT($L$2020),"",IF($G2050&lt;nr_MStartP,$S2050,$T2038*(1+IF($G2050&lt;nr_MStartP1,$M$2020,$N$2020))))</f>
        <v/>
      </c>
      <c r="U2050" s="208">
        <f>IF($L$2020,$T2050,$N2050)</f>
        <v/>
      </c>
    </row>
    <row r="2051">
      <c r="A2051" s="145" t="n">
        <v>29</v>
      </c>
      <c r="B2051" s="204">
        <f>EDATE($B2050,1)</f>
        <v/>
      </c>
      <c r="C2051" s="205">
        <f>EOMONTH($B2051,0)</f>
        <v/>
      </c>
      <c r="D2051" s="201">
        <f>$C2051-$B2051+1</f>
        <v/>
      </c>
      <c r="E2051" s="201">
        <f>MONTH($B2051)</f>
        <v/>
      </c>
      <c r="F2051" s="235">
        <f>($B2051+$C2051+1)/2</f>
        <v/>
      </c>
      <c r="G2051" s="201">
        <f>YEAR($B2051)*12+MONTH($B2051)-1</f>
        <v/>
      </c>
      <c r="H2051" s="207">
        <f>IF(OR(nr_SeasonOn="OFF",$D$2020=0,$E$2020=0),1,12*INDEX(se_block,$D$2020,$E2051)/$E$2020)</f>
        <v/>
      </c>
      <c r="I2051" s="208">
        <f>EXP(SUMPRODUCT((rl_eff&lt;$B2051)*(rl_key=$A$2020)*rl_ln1p))</f>
        <v/>
      </c>
      <c r="J2051" s="208">
        <f>EXP(SUMPRODUCT((rl_eff&lt;=$C2051)*(rl_key=$A$2020)*rl_ln1p))</f>
        <v/>
      </c>
      <c r="K2051" s="201">
        <f>COUNTIFS(rl_key,$A$2020,rl_eff,"&gt;="&amp;$B2051,rl_eff,"&lt;="&amp;$C2051)</f>
        <v/>
      </c>
      <c r="L2051" s="201">
        <f>SUMIFS(rl_daysafter,rl_key,$A$2020,rl_effmonth,$B2051,rl_first,1)</f>
        <v/>
      </c>
      <c r="M2051" s="209">
        <f>IF($K2051=0,0,MIN(1,$L2051/$D2051))</f>
        <v/>
      </c>
      <c r="N2051" s="208">
        <f>IF($K2051=0,$J2051,(1-$M2051)*$I2051+$M2051*$J2051)</f>
        <v/>
      </c>
      <c r="O2051" s="209">
        <f>IF($F2051&lt;$B$2021,$E$2021+$I$2021*($F2051-$A$2021),IF($F2051&lt;$C$2021,$F$2021+$J$2021*($F2051-$B$2021),$G$2021+$K$2021*($F2051-$C$2021)))</f>
        <v/>
      </c>
      <c r="P2051" s="208">
        <f>MIN(1,MAX(0,(nr_MEndPm1-$G2051+0.5)/$C$2020))-MIN(1,MAX(0,(nr_MStartPm1-1-$G2051+0.5)/$C$2020))</f>
        <v/>
      </c>
      <c r="Q2051" s="208">
        <f>MIN(1,MAX(0,(nr_MEndP-$G2051+0.5)/$C$2020))-MIN(1,MAX(0,(nr_MStartP-1-$G2051+0.5)/$C$2020))</f>
        <v/>
      </c>
      <c r="R2051" s="208">
        <f>MIN(1,MAX(0,(nr_MEndP1-$G2051+0.5)/$C$2020))-MIN(1,MAX(0,(nr_MStartP1-1-$G2051+0.5)/$C$2020))</f>
        <v/>
      </c>
      <c r="S2051" s="208">
        <f>IF($L$2020,$N2051*IF($O$2020=1,$O2051/$F$2020,1),"")</f>
        <v/>
      </c>
      <c r="T2051" s="208">
        <f>IF(NOT($L$2020),"",IF($G2051&lt;nr_MStartP,$S2051,$T2039*(1+IF($G2051&lt;nr_MStartP1,$M$2020,$N$2020))))</f>
        <v/>
      </c>
      <c r="U2051" s="208">
        <f>IF($L$2020,$T2051,$N2051)</f>
        <v/>
      </c>
    </row>
    <row r="2052">
      <c r="A2052" s="145" t="n">
        <v>30</v>
      </c>
      <c r="B2052" s="204">
        <f>EDATE($B2051,1)</f>
        <v/>
      </c>
      <c r="C2052" s="205">
        <f>EOMONTH($B2052,0)</f>
        <v/>
      </c>
      <c r="D2052" s="201">
        <f>$C2052-$B2052+1</f>
        <v/>
      </c>
      <c r="E2052" s="201">
        <f>MONTH($B2052)</f>
        <v/>
      </c>
      <c r="F2052" s="235">
        <f>($B2052+$C2052+1)/2</f>
        <v/>
      </c>
      <c r="G2052" s="201">
        <f>YEAR($B2052)*12+MONTH($B2052)-1</f>
        <v/>
      </c>
      <c r="H2052" s="207">
        <f>IF(OR(nr_SeasonOn="OFF",$D$2020=0,$E$2020=0),1,12*INDEX(se_block,$D$2020,$E2052)/$E$2020)</f>
        <v/>
      </c>
      <c r="I2052" s="208">
        <f>EXP(SUMPRODUCT((rl_eff&lt;$B2052)*(rl_key=$A$2020)*rl_ln1p))</f>
        <v/>
      </c>
      <c r="J2052" s="208">
        <f>EXP(SUMPRODUCT((rl_eff&lt;=$C2052)*(rl_key=$A$2020)*rl_ln1p))</f>
        <v/>
      </c>
      <c r="K2052" s="201">
        <f>COUNTIFS(rl_key,$A$2020,rl_eff,"&gt;="&amp;$B2052,rl_eff,"&lt;="&amp;$C2052)</f>
        <v/>
      </c>
      <c r="L2052" s="201">
        <f>SUMIFS(rl_daysafter,rl_key,$A$2020,rl_effmonth,$B2052,rl_first,1)</f>
        <v/>
      </c>
      <c r="M2052" s="209">
        <f>IF($K2052=0,0,MIN(1,$L2052/$D2052))</f>
        <v/>
      </c>
      <c r="N2052" s="208">
        <f>IF($K2052=0,$J2052,(1-$M2052)*$I2052+$M2052*$J2052)</f>
        <v/>
      </c>
      <c r="O2052" s="209">
        <f>IF($F2052&lt;$B$2021,$E$2021+$I$2021*($F2052-$A$2021),IF($F2052&lt;$C$2021,$F$2021+$J$2021*($F2052-$B$2021),$G$2021+$K$2021*($F2052-$C$2021)))</f>
        <v/>
      </c>
      <c r="P2052" s="208">
        <f>MIN(1,MAX(0,(nr_MEndPm1-$G2052+0.5)/$C$2020))-MIN(1,MAX(0,(nr_MStartPm1-1-$G2052+0.5)/$C$2020))</f>
        <v/>
      </c>
      <c r="Q2052" s="208">
        <f>MIN(1,MAX(0,(nr_MEndP-$G2052+0.5)/$C$2020))-MIN(1,MAX(0,(nr_MStartP-1-$G2052+0.5)/$C$2020))</f>
        <v/>
      </c>
      <c r="R2052" s="208">
        <f>MIN(1,MAX(0,(nr_MEndP1-$G2052+0.5)/$C$2020))-MIN(1,MAX(0,(nr_MStartP1-1-$G2052+0.5)/$C$2020))</f>
        <v/>
      </c>
      <c r="S2052" s="208">
        <f>IF($L$2020,$N2052*IF($O$2020=1,$O2052/$F$2020,1),"")</f>
        <v/>
      </c>
      <c r="T2052" s="208">
        <f>IF(NOT($L$2020),"",IF($G2052&lt;nr_MStartP,$S2052,$T2040*(1+IF($G2052&lt;nr_MStartP1,$M$2020,$N$2020))))</f>
        <v/>
      </c>
      <c r="U2052" s="208">
        <f>IF($L$2020,$T2052,$N2052)</f>
        <v/>
      </c>
    </row>
    <row r="2053">
      <c r="A2053" s="145" t="n">
        <v>31</v>
      </c>
      <c r="B2053" s="204">
        <f>EDATE($B2052,1)</f>
        <v/>
      </c>
      <c r="C2053" s="205">
        <f>EOMONTH($B2053,0)</f>
        <v/>
      </c>
      <c r="D2053" s="201">
        <f>$C2053-$B2053+1</f>
        <v/>
      </c>
      <c r="E2053" s="201">
        <f>MONTH($B2053)</f>
        <v/>
      </c>
      <c r="F2053" s="235">
        <f>($B2053+$C2053+1)/2</f>
        <v/>
      </c>
      <c r="G2053" s="201">
        <f>YEAR($B2053)*12+MONTH($B2053)-1</f>
        <v/>
      </c>
      <c r="H2053" s="207">
        <f>IF(OR(nr_SeasonOn="OFF",$D$2020=0,$E$2020=0),1,12*INDEX(se_block,$D$2020,$E2053)/$E$2020)</f>
        <v/>
      </c>
      <c r="I2053" s="208">
        <f>EXP(SUMPRODUCT((rl_eff&lt;$B2053)*(rl_key=$A$2020)*rl_ln1p))</f>
        <v/>
      </c>
      <c r="J2053" s="208">
        <f>EXP(SUMPRODUCT((rl_eff&lt;=$C2053)*(rl_key=$A$2020)*rl_ln1p))</f>
        <v/>
      </c>
      <c r="K2053" s="201">
        <f>COUNTIFS(rl_key,$A$2020,rl_eff,"&gt;="&amp;$B2053,rl_eff,"&lt;="&amp;$C2053)</f>
        <v/>
      </c>
      <c r="L2053" s="201">
        <f>SUMIFS(rl_daysafter,rl_key,$A$2020,rl_effmonth,$B2053,rl_first,1)</f>
        <v/>
      </c>
      <c r="M2053" s="209">
        <f>IF($K2053=0,0,MIN(1,$L2053/$D2053))</f>
        <v/>
      </c>
      <c r="N2053" s="208">
        <f>IF($K2053=0,$J2053,(1-$M2053)*$I2053+$M2053*$J2053)</f>
        <v/>
      </c>
      <c r="O2053" s="209">
        <f>IF($F2053&lt;$B$2021,$E$2021+$I$2021*($F2053-$A$2021),IF($F2053&lt;$C$2021,$F$2021+$J$2021*($F2053-$B$2021),$G$2021+$K$2021*($F2053-$C$2021)))</f>
        <v/>
      </c>
      <c r="P2053" s="208">
        <f>MIN(1,MAX(0,(nr_MEndPm1-$G2053+0.5)/$C$2020))-MIN(1,MAX(0,(nr_MStartPm1-1-$G2053+0.5)/$C$2020))</f>
        <v/>
      </c>
      <c r="Q2053" s="208">
        <f>MIN(1,MAX(0,(nr_MEndP-$G2053+0.5)/$C$2020))-MIN(1,MAX(0,(nr_MStartP-1-$G2053+0.5)/$C$2020))</f>
        <v/>
      </c>
      <c r="R2053" s="208">
        <f>MIN(1,MAX(0,(nr_MEndP1-$G2053+0.5)/$C$2020))-MIN(1,MAX(0,(nr_MStartP1-1-$G2053+0.5)/$C$2020))</f>
        <v/>
      </c>
      <c r="S2053" s="208">
        <f>IF($L$2020,$N2053*IF($O$2020=1,$O2053/$F$2020,1),"")</f>
        <v/>
      </c>
      <c r="T2053" s="208">
        <f>IF(NOT($L$2020),"",IF($G2053&lt;nr_MStartP,$S2053,$T2041*(1+IF($G2053&lt;nr_MStartP1,$M$2020,$N$2020))))</f>
        <v/>
      </c>
      <c r="U2053" s="208">
        <f>IF($L$2020,$T2053,$N2053)</f>
        <v/>
      </c>
    </row>
    <row r="2054">
      <c r="A2054" s="145" t="n">
        <v>32</v>
      </c>
      <c r="B2054" s="204">
        <f>EDATE($B2053,1)</f>
        <v/>
      </c>
      <c r="C2054" s="205">
        <f>EOMONTH($B2054,0)</f>
        <v/>
      </c>
      <c r="D2054" s="201">
        <f>$C2054-$B2054+1</f>
        <v/>
      </c>
      <c r="E2054" s="201">
        <f>MONTH($B2054)</f>
        <v/>
      </c>
      <c r="F2054" s="235">
        <f>($B2054+$C2054+1)/2</f>
        <v/>
      </c>
      <c r="G2054" s="201">
        <f>YEAR($B2054)*12+MONTH($B2054)-1</f>
        <v/>
      </c>
      <c r="H2054" s="207">
        <f>IF(OR(nr_SeasonOn="OFF",$D$2020=0,$E$2020=0),1,12*INDEX(se_block,$D$2020,$E2054)/$E$2020)</f>
        <v/>
      </c>
      <c r="I2054" s="208">
        <f>EXP(SUMPRODUCT((rl_eff&lt;$B2054)*(rl_key=$A$2020)*rl_ln1p))</f>
        <v/>
      </c>
      <c r="J2054" s="208">
        <f>EXP(SUMPRODUCT((rl_eff&lt;=$C2054)*(rl_key=$A$2020)*rl_ln1p))</f>
        <v/>
      </c>
      <c r="K2054" s="201">
        <f>COUNTIFS(rl_key,$A$2020,rl_eff,"&gt;="&amp;$B2054,rl_eff,"&lt;="&amp;$C2054)</f>
        <v/>
      </c>
      <c r="L2054" s="201">
        <f>SUMIFS(rl_daysafter,rl_key,$A$2020,rl_effmonth,$B2054,rl_first,1)</f>
        <v/>
      </c>
      <c r="M2054" s="209">
        <f>IF($K2054=0,0,MIN(1,$L2054/$D2054))</f>
        <v/>
      </c>
      <c r="N2054" s="208">
        <f>IF($K2054=0,$J2054,(1-$M2054)*$I2054+$M2054*$J2054)</f>
        <v/>
      </c>
      <c r="O2054" s="209">
        <f>IF($F2054&lt;$B$2021,$E$2021+$I$2021*($F2054-$A$2021),IF($F2054&lt;$C$2021,$F$2021+$J$2021*($F2054-$B$2021),$G$2021+$K$2021*($F2054-$C$2021)))</f>
        <v/>
      </c>
      <c r="P2054" s="208">
        <f>MIN(1,MAX(0,(nr_MEndPm1-$G2054+0.5)/$C$2020))-MIN(1,MAX(0,(nr_MStartPm1-1-$G2054+0.5)/$C$2020))</f>
        <v/>
      </c>
      <c r="Q2054" s="208">
        <f>MIN(1,MAX(0,(nr_MEndP-$G2054+0.5)/$C$2020))-MIN(1,MAX(0,(nr_MStartP-1-$G2054+0.5)/$C$2020))</f>
        <v/>
      </c>
      <c r="R2054" s="208">
        <f>MIN(1,MAX(0,(nr_MEndP1-$G2054+0.5)/$C$2020))-MIN(1,MAX(0,(nr_MStartP1-1-$G2054+0.5)/$C$2020))</f>
        <v/>
      </c>
      <c r="S2054" s="208">
        <f>IF($L$2020,$N2054*IF($O$2020=1,$O2054/$F$2020,1),"")</f>
        <v/>
      </c>
      <c r="T2054" s="208">
        <f>IF(NOT($L$2020),"",IF($G2054&lt;nr_MStartP,$S2054,$T2042*(1+IF($G2054&lt;nr_MStartP1,$M$2020,$N$2020))))</f>
        <v/>
      </c>
      <c r="U2054" s="208">
        <f>IF($L$2020,$T2054,$N2054)</f>
        <v/>
      </c>
    </row>
    <row r="2055">
      <c r="A2055" s="145" t="n">
        <v>33</v>
      </c>
      <c r="B2055" s="204">
        <f>EDATE($B2054,1)</f>
        <v/>
      </c>
      <c r="C2055" s="205">
        <f>EOMONTH($B2055,0)</f>
        <v/>
      </c>
      <c r="D2055" s="201">
        <f>$C2055-$B2055+1</f>
        <v/>
      </c>
      <c r="E2055" s="201">
        <f>MONTH($B2055)</f>
        <v/>
      </c>
      <c r="F2055" s="235">
        <f>($B2055+$C2055+1)/2</f>
        <v/>
      </c>
      <c r="G2055" s="201">
        <f>YEAR($B2055)*12+MONTH($B2055)-1</f>
        <v/>
      </c>
      <c r="H2055" s="207">
        <f>IF(OR(nr_SeasonOn="OFF",$D$2020=0,$E$2020=0),1,12*INDEX(se_block,$D$2020,$E2055)/$E$2020)</f>
        <v/>
      </c>
      <c r="I2055" s="208">
        <f>EXP(SUMPRODUCT((rl_eff&lt;$B2055)*(rl_key=$A$2020)*rl_ln1p))</f>
        <v/>
      </c>
      <c r="J2055" s="208">
        <f>EXP(SUMPRODUCT((rl_eff&lt;=$C2055)*(rl_key=$A$2020)*rl_ln1p))</f>
        <v/>
      </c>
      <c r="K2055" s="201">
        <f>COUNTIFS(rl_key,$A$2020,rl_eff,"&gt;="&amp;$B2055,rl_eff,"&lt;="&amp;$C2055)</f>
        <v/>
      </c>
      <c r="L2055" s="201">
        <f>SUMIFS(rl_daysafter,rl_key,$A$2020,rl_effmonth,$B2055,rl_first,1)</f>
        <v/>
      </c>
      <c r="M2055" s="209">
        <f>IF($K2055=0,0,MIN(1,$L2055/$D2055))</f>
        <v/>
      </c>
      <c r="N2055" s="208">
        <f>IF($K2055=0,$J2055,(1-$M2055)*$I2055+$M2055*$J2055)</f>
        <v/>
      </c>
      <c r="O2055" s="209">
        <f>IF($F2055&lt;$B$2021,$E$2021+$I$2021*($F2055-$A$2021),IF($F2055&lt;$C$2021,$F$2021+$J$2021*($F2055-$B$2021),$G$2021+$K$2021*($F2055-$C$2021)))</f>
        <v/>
      </c>
      <c r="P2055" s="208">
        <f>MIN(1,MAX(0,(nr_MEndPm1-$G2055+0.5)/$C$2020))-MIN(1,MAX(0,(nr_MStartPm1-1-$G2055+0.5)/$C$2020))</f>
        <v/>
      </c>
      <c r="Q2055" s="208">
        <f>MIN(1,MAX(0,(nr_MEndP-$G2055+0.5)/$C$2020))-MIN(1,MAX(0,(nr_MStartP-1-$G2055+0.5)/$C$2020))</f>
        <v/>
      </c>
      <c r="R2055" s="208">
        <f>MIN(1,MAX(0,(nr_MEndP1-$G2055+0.5)/$C$2020))-MIN(1,MAX(0,(nr_MStartP1-1-$G2055+0.5)/$C$2020))</f>
        <v/>
      </c>
      <c r="S2055" s="208">
        <f>IF($L$2020,$N2055*IF($O$2020=1,$O2055/$F$2020,1),"")</f>
        <v/>
      </c>
      <c r="T2055" s="208">
        <f>IF(NOT($L$2020),"",IF($G2055&lt;nr_MStartP,$S2055,$T2043*(1+IF($G2055&lt;nr_MStartP1,$M$2020,$N$2020))))</f>
        <v/>
      </c>
      <c r="U2055" s="208">
        <f>IF($L$2020,$T2055,$N2055)</f>
        <v/>
      </c>
    </row>
    <row r="2056">
      <c r="A2056" s="145" t="n">
        <v>34</v>
      </c>
      <c r="B2056" s="204">
        <f>EDATE($B2055,1)</f>
        <v/>
      </c>
      <c r="C2056" s="205">
        <f>EOMONTH($B2056,0)</f>
        <v/>
      </c>
      <c r="D2056" s="201">
        <f>$C2056-$B2056+1</f>
        <v/>
      </c>
      <c r="E2056" s="201">
        <f>MONTH($B2056)</f>
        <v/>
      </c>
      <c r="F2056" s="235">
        <f>($B2056+$C2056+1)/2</f>
        <v/>
      </c>
      <c r="G2056" s="201">
        <f>YEAR($B2056)*12+MONTH($B2056)-1</f>
        <v/>
      </c>
      <c r="H2056" s="207">
        <f>IF(OR(nr_SeasonOn="OFF",$D$2020=0,$E$2020=0),1,12*INDEX(se_block,$D$2020,$E2056)/$E$2020)</f>
        <v/>
      </c>
      <c r="I2056" s="208">
        <f>EXP(SUMPRODUCT((rl_eff&lt;$B2056)*(rl_key=$A$2020)*rl_ln1p))</f>
        <v/>
      </c>
      <c r="J2056" s="208">
        <f>EXP(SUMPRODUCT((rl_eff&lt;=$C2056)*(rl_key=$A$2020)*rl_ln1p))</f>
        <v/>
      </c>
      <c r="K2056" s="201">
        <f>COUNTIFS(rl_key,$A$2020,rl_eff,"&gt;="&amp;$B2056,rl_eff,"&lt;="&amp;$C2056)</f>
        <v/>
      </c>
      <c r="L2056" s="201">
        <f>SUMIFS(rl_daysafter,rl_key,$A$2020,rl_effmonth,$B2056,rl_first,1)</f>
        <v/>
      </c>
      <c r="M2056" s="209">
        <f>IF($K2056=0,0,MIN(1,$L2056/$D2056))</f>
        <v/>
      </c>
      <c r="N2056" s="208">
        <f>IF($K2056=0,$J2056,(1-$M2056)*$I2056+$M2056*$J2056)</f>
        <v/>
      </c>
      <c r="O2056" s="209">
        <f>IF($F2056&lt;$B$2021,$E$2021+$I$2021*($F2056-$A$2021),IF($F2056&lt;$C$2021,$F$2021+$J$2021*($F2056-$B$2021),$G$2021+$K$2021*($F2056-$C$2021)))</f>
        <v/>
      </c>
      <c r="P2056" s="208">
        <f>MIN(1,MAX(0,(nr_MEndPm1-$G2056+0.5)/$C$2020))-MIN(1,MAX(0,(nr_MStartPm1-1-$G2056+0.5)/$C$2020))</f>
        <v/>
      </c>
      <c r="Q2056" s="208">
        <f>MIN(1,MAX(0,(nr_MEndP-$G2056+0.5)/$C$2020))-MIN(1,MAX(0,(nr_MStartP-1-$G2056+0.5)/$C$2020))</f>
        <v/>
      </c>
      <c r="R2056" s="208">
        <f>MIN(1,MAX(0,(nr_MEndP1-$G2056+0.5)/$C$2020))-MIN(1,MAX(0,(nr_MStartP1-1-$G2056+0.5)/$C$2020))</f>
        <v/>
      </c>
      <c r="S2056" s="208">
        <f>IF($L$2020,$N2056*IF($O$2020=1,$O2056/$F$2020,1),"")</f>
        <v/>
      </c>
      <c r="T2056" s="208">
        <f>IF(NOT($L$2020),"",IF($G2056&lt;nr_MStartP,$S2056,$T2044*(1+IF($G2056&lt;nr_MStartP1,$M$2020,$N$2020))))</f>
        <v/>
      </c>
      <c r="U2056" s="208">
        <f>IF($L$2020,$T2056,$N2056)</f>
        <v/>
      </c>
    </row>
    <row r="2057">
      <c r="A2057" s="145" t="n">
        <v>35</v>
      </c>
      <c r="B2057" s="204">
        <f>EDATE($B2056,1)</f>
        <v/>
      </c>
      <c r="C2057" s="205">
        <f>EOMONTH($B2057,0)</f>
        <v/>
      </c>
      <c r="D2057" s="201">
        <f>$C2057-$B2057+1</f>
        <v/>
      </c>
      <c r="E2057" s="201">
        <f>MONTH($B2057)</f>
        <v/>
      </c>
      <c r="F2057" s="235">
        <f>($B2057+$C2057+1)/2</f>
        <v/>
      </c>
      <c r="G2057" s="201">
        <f>YEAR($B2057)*12+MONTH($B2057)-1</f>
        <v/>
      </c>
      <c r="H2057" s="207">
        <f>IF(OR(nr_SeasonOn="OFF",$D$2020=0,$E$2020=0),1,12*INDEX(se_block,$D$2020,$E2057)/$E$2020)</f>
        <v/>
      </c>
      <c r="I2057" s="208">
        <f>EXP(SUMPRODUCT((rl_eff&lt;$B2057)*(rl_key=$A$2020)*rl_ln1p))</f>
        <v/>
      </c>
      <c r="J2057" s="208">
        <f>EXP(SUMPRODUCT((rl_eff&lt;=$C2057)*(rl_key=$A$2020)*rl_ln1p))</f>
        <v/>
      </c>
      <c r="K2057" s="201">
        <f>COUNTIFS(rl_key,$A$2020,rl_eff,"&gt;="&amp;$B2057,rl_eff,"&lt;="&amp;$C2057)</f>
        <v/>
      </c>
      <c r="L2057" s="201">
        <f>SUMIFS(rl_daysafter,rl_key,$A$2020,rl_effmonth,$B2057,rl_first,1)</f>
        <v/>
      </c>
      <c r="M2057" s="209">
        <f>IF($K2057=0,0,MIN(1,$L2057/$D2057))</f>
        <v/>
      </c>
      <c r="N2057" s="208">
        <f>IF($K2057=0,$J2057,(1-$M2057)*$I2057+$M2057*$J2057)</f>
        <v/>
      </c>
      <c r="O2057" s="209">
        <f>IF($F2057&lt;$B$2021,$E$2021+$I$2021*($F2057-$A$2021),IF($F2057&lt;$C$2021,$F$2021+$J$2021*($F2057-$B$2021),$G$2021+$K$2021*($F2057-$C$2021)))</f>
        <v/>
      </c>
      <c r="P2057" s="208">
        <f>MIN(1,MAX(0,(nr_MEndPm1-$G2057+0.5)/$C$2020))-MIN(1,MAX(0,(nr_MStartPm1-1-$G2057+0.5)/$C$2020))</f>
        <v/>
      </c>
      <c r="Q2057" s="208">
        <f>MIN(1,MAX(0,(nr_MEndP-$G2057+0.5)/$C$2020))-MIN(1,MAX(0,(nr_MStartP-1-$G2057+0.5)/$C$2020))</f>
        <v/>
      </c>
      <c r="R2057" s="208">
        <f>MIN(1,MAX(0,(nr_MEndP1-$G2057+0.5)/$C$2020))-MIN(1,MAX(0,(nr_MStartP1-1-$G2057+0.5)/$C$2020))</f>
        <v/>
      </c>
      <c r="S2057" s="208">
        <f>IF($L$2020,$N2057*IF($O$2020=1,$O2057/$F$2020,1),"")</f>
        <v/>
      </c>
      <c r="T2057" s="208">
        <f>IF(NOT($L$2020),"",IF($G2057&lt;nr_MStartP,$S2057,$T2045*(1+IF($G2057&lt;nr_MStartP1,$M$2020,$N$2020))))</f>
        <v/>
      </c>
      <c r="U2057" s="208">
        <f>IF($L$2020,$T2057,$N2057)</f>
        <v/>
      </c>
    </row>
    <row r="2058">
      <c r="A2058" s="145" t="n">
        <v>36</v>
      </c>
      <c r="B2058" s="204">
        <f>EDATE($B2057,1)</f>
        <v/>
      </c>
      <c r="C2058" s="205">
        <f>EOMONTH($B2058,0)</f>
        <v/>
      </c>
      <c r="D2058" s="201">
        <f>$C2058-$B2058+1</f>
        <v/>
      </c>
      <c r="E2058" s="201">
        <f>MONTH($B2058)</f>
        <v/>
      </c>
      <c r="F2058" s="235">
        <f>($B2058+$C2058+1)/2</f>
        <v/>
      </c>
      <c r="G2058" s="201">
        <f>YEAR($B2058)*12+MONTH($B2058)-1</f>
        <v/>
      </c>
      <c r="H2058" s="207">
        <f>IF(OR(nr_SeasonOn="OFF",$D$2020=0,$E$2020=0),1,12*INDEX(se_block,$D$2020,$E2058)/$E$2020)</f>
        <v/>
      </c>
      <c r="I2058" s="208">
        <f>EXP(SUMPRODUCT((rl_eff&lt;$B2058)*(rl_key=$A$2020)*rl_ln1p))</f>
        <v/>
      </c>
      <c r="J2058" s="208">
        <f>EXP(SUMPRODUCT((rl_eff&lt;=$C2058)*(rl_key=$A$2020)*rl_ln1p))</f>
        <v/>
      </c>
      <c r="K2058" s="201">
        <f>COUNTIFS(rl_key,$A$2020,rl_eff,"&gt;="&amp;$B2058,rl_eff,"&lt;="&amp;$C2058)</f>
        <v/>
      </c>
      <c r="L2058" s="201">
        <f>SUMIFS(rl_daysafter,rl_key,$A$2020,rl_effmonth,$B2058,rl_first,1)</f>
        <v/>
      </c>
      <c r="M2058" s="209">
        <f>IF($K2058=0,0,MIN(1,$L2058/$D2058))</f>
        <v/>
      </c>
      <c r="N2058" s="208">
        <f>IF($K2058=0,$J2058,(1-$M2058)*$I2058+$M2058*$J2058)</f>
        <v/>
      </c>
      <c r="O2058" s="209">
        <f>IF($F2058&lt;$B$2021,$E$2021+$I$2021*($F2058-$A$2021),IF($F2058&lt;$C$2021,$F$2021+$J$2021*($F2058-$B$2021),$G$2021+$K$2021*($F2058-$C$2021)))</f>
        <v/>
      </c>
      <c r="P2058" s="208">
        <f>MIN(1,MAX(0,(nr_MEndPm1-$G2058+0.5)/$C$2020))-MIN(1,MAX(0,(nr_MStartPm1-1-$G2058+0.5)/$C$2020))</f>
        <v/>
      </c>
      <c r="Q2058" s="208">
        <f>MIN(1,MAX(0,(nr_MEndP-$G2058+0.5)/$C$2020))-MIN(1,MAX(0,(nr_MStartP-1-$G2058+0.5)/$C$2020))</f>
        <v/>
      </c>
      <c r="R2058" s="208">
        <f>MIN(1,MAX(0,(nr_MEndP1-$G2058+0.5)/$C$2020))-MIN(1,MAX(0,(nr_MStartP1-1-$G2058+0.5)/$C$2020))</f>
        <v/>
      </c>
      <c r="S2058" s="208">
        <f>IF($L$2020,$N2058*IF($O$2020=1,$O2058/$F$2020,1),"")</f>
        <v/>
      </c>
      <c r="T2058" s="208">
        <f>IF(NOT($L$2020),"",IF($G2058&lt;nr_MStartP,$S2058,$T2046*(1+IF($G2058&lt;nr_MStartP1,$M$2020,$N$2020))))</f>
        <v/>
      </c>
      <c r="U2058" s="208">
        <f>IF($L$2020,$T2058,$N2058)</f>
        <v/>
      </c>
    </row>
    <row r="2059">
      <c r="A2059" s="145" t="n">
        <v>37</v>
      </c>
      <c r="B2059" s="204">
        <f>EDATE($B2058,1)</f>
        <v/>
      </c>
      <c r="C2059" s="205">
        <f>EOMONTH($B2059,0)</f>
        <v/>
      </c>
      <c r="D2059" s="201">
        <f>$C2059-$B2059+1</f>
        <v/>
      </c>
      <c r="E2059" s="201">
        <f>MONTH($B2059)</f>
        <v/>
      </c>
      <c r="F2059" s="235">
        <f>($B2059+$C2059+1)/2</f>
        <v/>
      </c>
      <c r="G2059" s="201">
        <f>YEAR($B2059)*12+MONTH($B2059)-1</f>
        <v/>
      </c>
      <c r="H2059" s="207">
        <f>IF(OR(nr_SeasonOn="OFF",$D$2020=0,$E$2020=0),1,12*INDEX(se_block,$D$2020,$E2059)/$E$2020)</f>
        <v/>
      </c>
      <c r="I2059" s="208">
        <f>EXP(SUMPRODUCT((rl_eff&lt;$B2059)*(rl_key=$A$2020)*rl_ln1p))</f>
        <v/>
      </c>
      <c r="J2059" s="208">
        <f>EXP(SUMPRODUCT((rl_eff&lt;=$C2059)*(rl_key=$A$2020)*rl_ln1p))</f>
        <v/>
      </c>
      <c r="K2059" s="201">
        <f>COUNTIFS(rl_key,$A$2020,rl_eff,"&gt;="&amp;$B2059,rl_eff,"&lt;="&amp;$C2059)</f>
        <v/>
      </c>
      <c r="L2059" s="201">
        <f>SUMIFS(rl_daysafter,rl_key,$A$2020,rl_effmonth,$B2059,rl_first,1)</f>
        <v/>
      </c>
      <c r="M2059" s="209">
        <f>IF($K2059=0,0,MIN(1,$L2059/$D2059))</f>
        <v/>
      </c>
      <c r="N2059" s="208">
        <f>IF($K2059=0,$J2059,(1-$M2059)*$I2059+$M2059*$J2059)</f>
        <v/>
      </c>
      <c r="O2059" s="209">
        <f>IF($F2059&lt;$B$2021,$E$2021+$I$2021*($F2059-$A$2021),IF($F2059&lt;$C$2021,$F$2021+$J$2021*($F2059-$B$2021),$G$2021+$K$2021*($F2059-$C$2021)))</f>
        <v/>
      </c>
      <c r="P2059" s="208">
        <f>MIN(1,MAX(0,(nr_MEndPm1-$G2059+0.5)/$C$2020))-MIN(1,MAX(0,(nr_MStartPm1-1-$G2059+0.5)/$C$2020))</f>
        <v/>
      </c>
      <c r="Q2059" s="208">
        <f>MIN(1,MAX(0,(nr_MEndP-$G2059+0.5)/$C$2020))-MIN(1,MAX(0,(nr_MStartP-1-$G2059+0.5)/$C$2020))</f>
        <v/>
      </c>
      <c r="R2059" s="208">
        <f>MIN(1,MAX(0,(nr_MEndP1-$G2059+0.5)/$C$2020))-MIN(1,MAX(0,(nr_MStartP1-1-$G2059+0.5)/$C$2020))</f>
        <v/>
      </c>
      <c r="S2059" s="208">
        <f>IF($L$2020,$N2059*IF($O$2020=1,$O2059/$F$2020,1),"")</f>
        <v/>
      </c>
      <c r="T2059" s="208">
        <f>IF(NOT($L$2020),"",IF($G2059&lt;nr_MStartP,$S2059,$T2047*(1+IF($G2059&lt;nr_MStartP1,$M$2020,$N$2020))))</f>
        <v/>
      </c>
      <c r="U2059" s="208">
        <f>IF($L$2020,$T2059,$N2059)</f>
        <v/>
      </c>
    </row>
    <row r="2060">
      <c r="A2060" s="145" t="n">
        <v>38</v>
      </c>
      <c r="B2060" s="204">
        <f>EDATE($B2059,1)</f>
        <v/>
      </c>
      <c r="C2060" s="205">
        <f>EOMONTH($B2060,0)</f>
        <v/>
      </c>
      <c r="D2060" s="201">
        <f>$C2060-$B2060+1</f>
        <v/>
      </c>
      <c r="E2060" s="201">
        <f>MONTH($B2060)</f>
        <v/>
      </c>
      <c r="F2060" s="235">
        <f>($B2060+$C2060+1)/2</f>
        <v/>
      </c>
      <c r="G2060" s="201">
        <f>YEAR($B2060)*12+MONTH($B2060)-1</f>
        <v/>
      </c>
      <c r="H2060" s="207">
        <f>IF(OR(nr_SeasonOn="OFF",$D$2020=0,$E$2020=0),1,12*INDEX(se_block,$D$2020,$E2060)/$E$2020)</f>
        <v/>
      </c>
      <c r="I2060" s="208">
        <f>EXP(SUMPRODUCT((rl_eff&lt;$B2060)*(rl_key=$A$2020)*rl_ln1p))</f>
        <v/>
      </c>
      <c r="J2060" s="208">
        <f>EXP(SUMPRODUCT((rl_eff&lt;=$C2060)*(rl_key=$A$2020)*rl_ln1p))</f>
        <v/>
      </c>
      <c r="K2060" s="201">
        <f>COUNTIFS(rl_key,$A$2020,rl_eff,"&gt;="&amp;$B2060,rl_eff,"&lt;="&amp;$C2060)</f>
        <v/>
      </c>
      <c r="L2060" s="201">
        <f>SUMIFS(rl_daysafter,rl_key,$A$2020,rl_effmonth,$B2060,rl_first,1)</f>
        <v/>
      </c>
      <c r="M2060" s="209">
        <f>IF($K2060=0,0,MIN(1,$L2060/$D2060))</f>
        <v/>
      </c>
      <c r="N2060" s="208">
        <f>IF($K2060=0,$J2060,(1-$M2060)*$I2060+$M2060*$J2060)</f>
        <v/>
      </c>
      <c r="O2060" s="209">
        <f>IF($F2060&lt;$B$2021,$E$2021+$I$2021*($F2060-$A$2021),IF($F2060&lt;$C$2021,$F$2021+$J$2021*($F2060-$B$2021),$G$2021+$K$2021*($F2060-$C$2021)))</f>
        <v/>
      </c>
      <c r="P2060" s="208">
        <f>MIN(1,MAX(0,(nr_MEndPm1-$G2060+0.5)/$C$2020))-MIN(1,MAX(0,(nr_MStartPm1-1-$G2060+0.5)/$C$2020))</f>
        <v/>
      </c>
      <c r="Q2060" s="208">
        <f>MIN(1,MAX(0,(nr_MEndP-$G2060+0.5)/$C$2020))-MIN(1,MAX(0,(nr_MStartP-1-$G2060+0.5)/$C$2020))</f>
        <v/>
      </c>
      <c r="R2060" s="208">
        <f>MIN(1,MAX(0,(nr_MEndP1-$G2060+0.5)/$C$2020))-MIN(1,MAX(0,(nr_MStartP1-1-$G2060+0.5)/$C$2020))</f>
        <v/>
      </c>
      <c r="S2060" s="208">
        <f>IF($L$2020,$N2060*IF($O$2020=1,$O2060/$F$2020,1),"")</f>
        <v/>
      </c>
      <c r="T2060" s="208">
        <f>IF(NOT($L$2020),"",IF($G2060&lt;nr_MStartP,$S2060,$T2048*(1+IF($G2060&lt;nr_MStartP1,$M$2020,$N$2020))))</f>
        <v/>
      </c>
      <c r="U2060" s="208">
        <f>IF($L$2020,$T2060,$N2060)</f>
        <v/>
      </c>
    </row>
    <row r="2061">
      <c r="A2061" s="145" t="n">
        <v>39</v>
      </c>
      <c r="B2061" s="204">
        <f>EDATE($B2060,1)</f>
        <v/>
      </c>
      <c r="C2061" s="205">
        <f>EOMONTH($B2061,0)</f>
        <v/>
      </c>
      <c r="D2061" s="201">
        <f>$C2061-$B2061+1</f>
        <v/>
      </c>
      <c r="E2061" s="201">
        <f>MONTH($B2061)</f>
        <v/>
      </c>
      <c r="F2061" s="235">
        <f>($B2061+$C2061+1)/2</f>
        <v/>
      </c>
      <c r="G2061" s="201">
        <f>YEAR($B2061)*12+MONTH($B2061)-1</f>
        <v/>
      </c>
      <c r="H2061" s="207">
        <f>IF(OR(nr_SeasonOn="OFF",$D$2020=0,$E$2020=0),1,12*INDEX(se_block,$D$2020,$E2061)/$E$2020)</f>
        <v/>
      </c>
      <c r="I2061" s="208">
        <f>EXP(SUMPRODUCT((rl_eff&lt;$B2061)*(rl_key=$A$2020)*rl_ln1p))</f>
        <v/>
      </c>
      <c r="J2061" s="208">
        <f>EXP(SUMPRODUCT((rl_eff&lt;=$C2061)*(rl_key=$A$2020)*rl_ln1p))</f>
        <v/>
      </c>
      <c r="K2061" s="201">
        <f>COUNTIFS(rl_key,$A$2020,rl_eff,"&gt;="&amp;$B2061,rl_eff,"&lt;="&amp;$C2061)</f>
        <v/>
      </c>
      <c r="L2061" s="201">
        <f>SUMIFS(rl_daysafter,rl_key,$A$2020,rl_effmonth,$B2061,rl_first,1)</f>
        <v/>
      </c>
      <c r="M2061" s="209">
        <f>IF($K2061=0,0,MIN(1,$L2061/$D2061))</f>
        <v/>
      </c>
      <c r="N2061" s="208">
        <f>IF($K2061=0,$J2061,(1-$M2061)*$I2061+$M2061*$J2061)</f>
        <v/>
      </c>
      <c r="O2061" s="209">
        <f>IF($F2061&lt;$B$2021,$E$2021+$I$2021*($F2061-$A$2021),IF($F2061&lt;$C$2021,$F$2021+$J$2021*($F2061-$B$2021),$G$2021+$K$2021*($F2061-$C$2021)))</f>
        <v/>
      </c>
      <c r="P2061" s="208">
        <f>MIN(1,MAX(0,(nr_MEndPm1-$G2061+0.5)/$C$2020))-MIN(1,MAX(0,(nr_MStartPm1-1-$G2061+0.5)/$C$2020))</f>
        <v/>
      </c>
      <c r="Q2061" s="208">
        <f>MIN(1,MAX(0,(nr_MEndP-$G2061+0.5)/$C$2020))-MIN(1,MAX(0,(nr_MStartP-1-$G2061+0.5)/$C$2020))</f>
        <v/>
      </c>
      <c r="R2061" s="208">
        <f>MIN(1,MAX(0,(nr_MEndP1-$G2061+0.5)/$C$2020))-MIN(1,MAX(0,(nr_MStartP1-1-$G2061+0.5)/$C$2020))</f>
        <v/>
      </c>
      <c r="S2061" s="208">
        <f>IF($L$2020,$N2061*IF($O$2020=1,$O2061/$F$2020,1),"")</f>
        <v/>
      </c>
      <c r="T2061" s="208">
        <f>IF(NOT($L$2020),"",IF($G2061&lt;nr_MStartP,$S2061,$T2049*(1+IF($G2061&lt;nr_MStartP1,$M$2020,$N$2020))))</f>
        <v/>
      </c>
      <c r="U2061" s="208">
        <f>IF($L$2020,$T2061,$N2061)</f>
        <v/>
      </c>
    </row>
    <row r="2062">
      <c r="A2062" s="145" t="n">
        <v>40</v>
      </c>
      <c r="B2062" s="204">
        <f>EDATE($B2061,1)</f>
        <v/>
      </c>
      <c r="C2062" s="205">
        <f>EOMONTH($B2062,0)</f>
        <v/>
      </c>
      <c r="D2062" s="201">
        <f>$C2062-$B2062+1</f>
        <v/>
      </c>
      <c r="E2062" s="201">
        <f>MONTH($B2062)</f>
        <v/>
      </c>
      <c r="F2062" s="235">
        <f>($B2062+$C2062+1)/2</f>
        <v/>
      </c>
      <c r="G2062" s="201">
        <f>YEAR($B2062)*12+MONTH($B2062)-1</f>
        <v/>
      </c>
      <c r="H2062" s="207">
        <f>IF(OR(nr_SeasonOn="OFF",$D$2020=0,$E$2020=0),1,12*INDEX(se_block,$D$2020,$E2062)/$E$2020)</f>
        <v/>
      </c>
      <c r="I2062" s="208">
        <f>EXP(SUMPRODUCT((rl_eff&lt;$B2062)*(rl_key=$A$2020)*rl_ln1p))</f>
        <v/>
      </c>
      <c r="J2062" s="208">
        <f>EXP(SUMPRODUCT((rl_eff&lt;=$C2062)*(rl_key=$A$2020)*rl_ln1p))</f>
        <v/>
      </c>
      <c r="K2062" s="201">
        <f>COUNTIFS(rl_key,$A$2020,rl_eff,"&gt;="&amp;$B2062,rl_eff,"&lt;="&amp;$C2062)</f>
        <v/>
      </c>
      <c r="L2062" s="201">
        <f>SUMIFS(rl_daysafter,rl_key,$A$2020,rl_effmonth,$B2062,rl_first,1)</f>
        <v/>
      </c>
      <c r="M2062" s="209">
        <f>IF($K2062=0,0,MIN(1,$L2062/$D2062))</f>
        <v/>
      </c>
      <c r="N2062" s="208">
        <f>IF($K2062=0,$J2062,(1-$M2062)*$I2062+$M2062*$J2062)</f>
        <v/>
      </c>
      <c r="O2062" s="209">
        <f>IF($F2062&lt;$B$2021,$E$2021+$I$2021*($F2062-$A$2021),IF($F2062&lt;$C$2021,$F$2021+$J$2021*($F2062-$B$2021),$G$2021+$K$2021*($F2062-$C$2021)))</f>
        <v/>
      </c>
      <c r="P2062" s="208">
        <f>MIN(1,MAX(0,(nr_MEndPm1-$G2062+0.5)/$C$2020))-MIN(1,MAX(0,(nr_MStartPm1-1-$G2062+0.5)/$C$2020))</f>
        <v/>
      </c>
      <c r="Q2062" s="208">
        <f>MIN(1,MAX(0,(nr_MEndP-$G2062+0.5)/$C$2020))-MIN(1,MAX(0,(nr_MStartP-1-$G2062+0.5)/$C$2020))</f>
        <v/>
      </c>
      <c r="R2062" s="208">
        <f>MIN(1,MAX(0,(nr_MEndP1-$G2062+0.5)/$C$2020))-MIN(1,MAX(0,(nr_MStartP1-1-$G2062+0.5)/$C$2020))</f>
        <v/>
      </c>
      <c r="S2062" s="208">
        <f>IF($L$2020,$N2062*IF($O$2020=1,$O2062/$F$2020,1),"")</f>
        <v/>
      </c>
      <c r="T2062" s="208">
        <f>IF(NOT($L$2020),"",IF($G2062&lt;nr_MStartP,$S2062,$T2050*(1+IF($G2062&lt;nr_MStartP1,$M$2020,$N$2020))))</f>
        <v/>
      </c>
      <c r="U2062" s="208">
        <f>IF($L$2020,$T2062,$N2062)</f>
        <v/>
      </c>
    </row>
    <row r="2063">
      <c r="A2063" s="145" t="n">
        <v>41</v>
      </c>
      <c r="B2063" s="204">
        <f>EDATE($B2062,1)</f>
        <v/>
      </c>
      <c r="C2063" s="205">
        <f>EOMONTH($B2063,0)</f>
        <v/>
      </c>
      <c r="D2063" s="201">
        <f>$C2063-$B2063+1</f>
        <v/>
      </c>
      <c r="E2063" s="201">
        <f>MONTH($B2063)</f>
        <v/>
      </c>
      <c r="F2063" s="235">
        <f>($B2063+$C2063+1)/2</f>
        <v/>
      </c>
      <c r="G2063" s="201">
        <f>YEAR($B2063)*12+MONTH($B2063)-1</f>
        <v/>
      </c>
      <c r="H2063" s="207">
        <f>IF(OR(nr_SeasonOn="OFF",$D$2020=0,$E$2020=0),1,12*INDEX(se_block,$D$2020,$E2063)/$E$2020)</f>
        <v/>
      </c>
      <c r="I2063" s="208">
        <f>EXP(SUMPRODUCT((rl_eff&lt;$B2063)*(rl_key=$A$2020)*rl_ln1p))</f>
        <v/>
      </c>
      <c r="J2063" s="208">
        <f>EXP(SUMPRODUCT((rl_eff&lt;=$C2063)*(rl_key=$A$2020)*rl_ln1p))</f>
        <v/>
      </c>
      <c r="K2063" s="201">
        <f>COUNTIFS(rl_key,$A$2020,rl_eff,"&gt;="&amp;$B2063,rl_eff,"&lt;="&amp;$C2063)</f>
        <v/>
      </c>
      <c r="L2063" s="201">
        <f>SUMIFS(rl_daysafter,rl_key,$A$2020,rl_effmonth,$B2063,rl_first,1)</f>
        <v/>
      </c>
      <c r="M2063" s="209">
        <f>IF($K2063=0,0,MIN(1,$L2063/$D2063))</f>
        <v/>
      </c>
      <c r="N2063" s="208">
        <f>IF($K2063=0,$J2063,(1-$M2063)*$I2063+$M2063*$J2063)</f>
        <v/>
      </c>
      <c r="O2063" s="209">
        <f>IF($F2063&lt;$B$2021,$E$2021+$I$2021*($F2063-$A$2021),IF($F2063&lt;$C$2021,$F$2021+$J$2021*($F2063-$B$2021),$G$2021+$K$2021*($F2063-$C$2021)))</f>
        <v/>
      </c>
      <c r="P2063" s="208">
        <f>MIN(1,MAX(0,(nr_MEndPm1-$G2063+0.5)/$C$2020))-MIN(1,MAX(0,(nr_MStartPm1-1-$G2063+0.5)/$C$2020))</f>
        <v/>
      </c>
      <c r="Q2063" s="208">
        <f>MIN(1,MAX(0,(nr_MEndP-$G2063+0.5)/$C$2020))-MIN(1,MAX(0,(nr_MStartP-1-$G2063+0.5)/$C$2020))</f>
        <v/>
      </c>
      <c r="R2063" s="208">
        <f>MIN(1,MAX(0,(nr_MEndP1-$G2063+0.5)/$C$2020))-MIN(1,MAX(0,(nr_MStartP1-1-$G2063+0.5)/$C$2020))</f>
        <v/>
      </c>
      <c r="S2063" s="208">
        <f>IF($L$2020,$N2063*IF($O$2020=1,$O2063/$F$2020,1),"")</f>
        <v/>
      </c>
      <c r="T2063" s="208">
        <f>IF(NOT($L$2020),"",IF($G2063&lt;nr_MStartP,$S2063,$T2051*(1+IF($G2063&lt;nr_MStartP1,$M$2020,$N$2020))))</f>
        <v/>
      </c>
      <c r="U2063" s="208">
        <f>IF($L$2020,$T2063,$N2063)</f>
        <v/>
      </c>
    </row>
    <row r="2064">
      <c r="A2064" s="145" t="n">
        <v>42</v>
      </c>
      <c r="B2064" s="204">
        <f>EDATE($B2063,1)</f>
        <v/>
      </c>
      <c r="C2064" s="205">
        <f>EOMONTH($B2064,0)</f>
        <v/>
      </c>
      <c r="D2064" s="201">
        <f>$C2064-$B2064+1</f>
        <v/>
      </c>
      <c r="E2064" s="201">
        <f>MONTH($B2064)</f>
        <v/>
      </c>
      <c r="F2064" s="235">
        <f>($B2064+$C2064+1)/2</f>
        <v/>
      </c>
      <c r="G2064" s="201">
        <f>YEAR($B2064)*12+MONTH($B2064)-1</f>
        <v/>
      </c>
      <c r="H2064" s="207">
        <f>IF(OR(nr_SeasonOn="OFF",$D$2020=0,$E$2020=0),1,12*INDEX(se_block,$D$2020,$E2064)/$E$2020)</f>
        <v/>
      </c>
      <c r="I2064" s="208">
        <f>EXP(SUMPRODUCT((rl_eff&lt;$B2064)*(rl_key=$A$2020)*rl_ln1p))</f>
        <v/>
      </c>
      <c r="J2064" s="208">
        <f>EXP(SUMPRODUCT((rl_eff&lt;=$C2064)*(rl_key=$A$2020)*rl_ln1p))</f>
        <v/>
      </c>
      <c r="K2064" s="201">
        <f>COUNTIFS(rl_key,$A$2020,rl_eff,"&gt;="&amp;$B2064,rl_eff,"&lt;="&amp;$C2064)</f>
        <v/>
      </c>
      <c r="L2064" s="201">
        <f>SUMIFS(rl_daysafter,rl_key,$A$2020,rl_effmonth,$B2064,rl_first,1)</f>
        <v/>
      </c>
      <c r="M2064" s="209">
        <f>IF($K2064=0,0,MIN(1,$L2064/$D2064))</f>
        <v/>
      </c>
      <c r="N2064" s="208">
        <f>IF($K2064=0,$J2064,(1-$M2064)*$I2064+$M2064*$J2064)</f>
        <v/>
      </c>
      <c r="O2064" s="209">
        <f>IF($F2064&lt;$B$2021,$E$2021+$I$2021*($F2064-$A$2021),IF($F2064&lt;$C$2021,$F$2021+$J$2021*($F2064-$B$2021),$G$2021+$K$2021*($F2064-$C$2021)))</f>
        <v/>
      </c>
      <c r="P2064" s="208">
        <f>MIN(1,MAX(0,(nr_MEndPm1-$G2064+0.5)/$C$2020))-MIN(1,MAX(0,(nr_MStartPm1-1-$G2064+0.5)/$C$2020))</f>
        <v/>
      </c>
      <c r="Q2064" s="208">
        <f>MIN(1,MAX(0,(nr_MEndP-$G2064+0.5)/$C$2020))-MIN(1,MAX(0,(nr_MStartP-1-$G2064+0.5)/$C$2020))</f>
        <v/>
      </c>
      <c r="R2064" s="208">
        <f>MIN(1,MAX(0,(nr_MEndP1-$G2064+0.5)/$C$2020))-MIN(1,MAX(0,(nr_MStartP1-1-$G2064+0.5)/$C$2020))</f>
        <v/>
      </c>
      <c r="S2064" s="208">
        <f>IF($L$2020,$N2064*IF($O$2020=1,$O2064/$F$2020,1),"")</f>
        <v/>
      </c>
      <c r="T2064" s="208">
        <f>IF(NOT($L$2020),"",IF($G2064&lt;nr_MStartP,$S2064,$T2052*(1+IF($G2064&lt;nr_MStartP1,$M$2020,$N$2020))))</f>
        <v/>
      </c>
      <c r="U2064" s="208">
        <f>IF($L$2020,$T2064,$N2064)</f>
        <v/>
      </c>
    </row>
    <row r="2065">
      <c r="A2065" s="145" t="n">
        <v>43</v>
      </c>
      <c r="B2065" s="204">
        <f>EDATE($B2064,1)</f>
        <v/>
      </c>
      <c r="C2065" s="205">
        <f>EOMONTH($B2065,0)</f>
        <v/>
      </c>
      <c r="D2065" s="201">
        <f>$C2065-$B2065+1</f>
        <v/>
      </c>
      <c r="E2065" s="201">
        <f>MONTH($B2065)</f>
        <v/>
      </c>
      <c r="F2065" s="235">
        <f>($B2065+$C2065+1)/2</f>
        <v/>
      </c>
      <c r="G2065" s="201">
        <f>YEAR($B2065)*12+MONTH($B2065)-1</f>
        <v/>
      </c>
      <c r="H2065" s="207">
        <f>IF(OR(nr_SeasonOn="OFF",$D$2020=0,$E$2020=0),1,12*INDEX(se_block,$D$2020,$E2065)/$E$2020)</f>
        <v/>
      </c>
      <c r="I2065" s="208">
        <f>EXP(SUMPRODUCT((rl_eff&lt;$B2065)*(rl_key=$A$2020)*rl_ln1p))</f>
        <v/>
      </c>
      <c r="J2065" s="208">
        <f>EXP(SUMPRODUCT((rl_eff&lt;=$C2065)*(rl_key=$A$2020)*rl_ln1p))</f>
        <v/>
      </c>
      <c r="K2065" s="201">
        <f>COUNTIFS(rl_key,$A$2020,rl_eff,"&gt;="&amp;$B2065,rl_eff,"&lt;="&amp;$C2065)</f>
        <v/>
      </c>
      <c r="L2065" s="201">
        <f>SUMIFS(rl_daysafter,rl_key,$A$2020,rl_effmonth,$B2065,rl_first,1)</f>
        <v/>
      </c>
      <c r="M2065" s="209">
        <f>IF($K2065=0,0,MIN(1,$L2065/$D2065))</f>
        <v/>
      </c>
      <c r="N2065" s="208">
        <f>IF($K2065=0,$J2065,(1-$M2065)*$I2065+$M2065*$J2065)</f>
        <v/>
      </c>
      <c r="O2065" s="209">
        <f>IF($F2065&lt;$B$2021,$E$2021+$I$2021*($F2065-$A$2021),IF($F2065&lt;$C$2021,$F$2021+$J$2021*($F2065-$B$2021),$G$2021+$K$2021*($F2065-$C$2021)))</f>
        <v/>
      </c>
      <c r="P2065" s="208">
        <f>MIN(1,MAX(0,(nr_MEndPm1-$G2065+0.5)/$C$2020))-MIN(1,MAX(0,(nr_MStartPm1-1-$G2065+0.5)/$C$2020))</f>
        <v/>
      </c>
      <c r="Q2065" s="208">
        <f>MIN(1,MAX(0,(nr_MEndP-$G2065+0.5)/$C$2020))-MIN(1,MAX(0,(nr_MStartP-1-$G2065+0.5)/$C$2020))</f>
        <v/>
      </c>
      <c r="R2065" s="208">
        <f>MIN(1,MAX(0,(nr_MEndP1-$G2065+0.5)/$C$2020))-MIN(1,MAX(0,(nr_MStartP1-1-$G2065+0.5)/$C$2020))</f>
        <v/>
      </c>
      <c r="S2065" s="208">
        <f>IF($L$2020,$N2065*IF($O$2020=1,$O2065/$F$2020,1),"")</f>
        <v/>
      </c>
      <c r="T2065" s="208">
        <f>IF(NOT($L$2020),"",IF($G2065&lt;nr_MStartP,$S2065,$T2053*(1+IF($G2065&lt;nr_MStartP1,$M$2020,$N$2020))))</f>
        <v/>
      </c>
      <c r="U2065" s="208">
        <f>IF($L$2020,$T2065,$N2065)</f>
        <v/>
      </c>
    </row>
    <row r="2066">
      <c r="A2066" s="145" t="n">
        <v>44</v>
      </c>
      <c r="B2066" s="204">
        <f>EDATE($B2065,1)</f>
        <v/>
      </c>
      <c r="C2066" s="205">
        <f>EOMONTH($B2066,0)</f>
        <v/>
      </c>
      <c r="D2066" s="201">
        <f>$C2066-$B2066+1</f>
        <v/>
      </c>
      <c r="E2066" s="201">
        <f>MONTH($B2066)</f>
        <v/>
      </c>
      <c r="F2066" s="235">
        <f>($B2066+$C2066+1)/2</f>
        <v/>
      </c>
      <c r="G2066" s="201">
        <f>YEAR($B2066)*12+MONTH($B2066)-1</f>
        <v/>
      </c>
      <c r="H2066" s="207">
        <f>IF(OR(nr_SeasonOn="OFF",$D$2020=0,$E$2020=0),1,12*INDEX(se_block,$D$2020,$E2066)/$E$2020)</f>
        <v/>
      </c>
      <c r="I2066" s="208">
        <f>EXP(SUMPRODUCT((rl_eff&lt;$B2066)*(rl_key=$A$2020)*rl_ln1p))</f>
        <v/>
      </c>
      <c r="J2066" s="208">
        <f>EXP(SUMPRODUCT((rl_eff&lt;=$C2066)*(rl_key=$A$2020)*rl_ln1p))</f>
        <v/>
      </c>
      <c r="K2066" s="201">
        <f>COUNTIFS(rl_key,$A$2020,rl_eff,"&gt;="&amp;$B2066,rl_eff,"&lt;="&amp;$C2066)</f>
        <v/>
      </c>
      <c r="L2066" s="201">
        <f>SUMIFS(rl_daysafter,rl_key,$A$2020,rl_effmonth,$B2066,rl_first,1)</f>
        <v/>
      </c>
      <c r="M2066" s="209">
        <f>IF($K2066=0,0,MIN(1,$L2066/$D2066))</f>
        <v/>
      </c>
      <c r="N2066" s="208">
        <f>IF($K2066=0,$J2066,(1-$M2066)*$I2066+$M2066*$J2066)</f>
        <v/>
      </c>
      <c r="O2066" s="209">
        <f>IF($F2066&lt;$B$2021,$E$2021+$I$2021*($F2066-$A$2021),IF($F2066&lt;$C$2021,$F$2021+$J$2021*($F2066-$B$2021),$G$2021+$K$2021*($F2066-$C$2021)))</f>
        <v/>
      </c>
      <c r="P2066" s="208">
        <f>MIN(1,MAX(0,(nr_MEndPm1-$G2066+0.5)/$C$2020))-MIN(1,MAX(0,(nr_MStartPm1-1-$G2066+0.5)/$C$2020))</f>
        <v/>
      </c>
      <c r="Q2066" s="208">
        <f>MIN(1,MAX(0,(nr_MEndP-$G2066+0.5)/$C$2020))-MIN(1,MAX(0,(nr_MStartP-1-$G2066+0.5)/$C$2020))</f>
        <v/>
      </c>
      <c r="R2066" s="208">
        <f>MIN(1,MAX(0,(nr_MEndP1-$G2066+0.5)/$C$2020))-MIN(1,MAX(0,(nr_MStartP1-1-$G2066+0.5)/$C$2020))</f>
        <v/>
      </c>
      <c r="S2066" s="208">
        <f>IF($L$2020,$N2066*IF($O$2020=1,$O2066/$F$2020,1),"")</f>
        <v/>
      </c>
      <c r="T2066" s="208">
        <f>IF(NOT($L$2020),"",IF($G2066&lt;nr_MStartP,$S2066,$T2054*(1+IF($G2066&lt;nr_MStartP1,$M$2020,$N$2020))))</f>
        <v/>
      </c>
      <c r="U2066" s="208">
        <f>IF($L$2020,$T2066,$N2066)</f>
        <v/>
      </c>
    </row>
    <row r="2067">
      <c r="A2067" s="145" t="n">
        <v>45</v>
      </c>
      <c r="B2067" s="204">
        <f>EDATE($B2066,1)</f>
        <v/>
      </c>
      <c r="C2067" s="205">
        <f>EOMONTH($B2067,0)</f>
        <v/>
      </c>
      <c r="D2067" s="201">
        <f>$C2067-$B2067+1</f>
        <v/>
      </c>
      <c r="E2067" s="201">
        <f>MONTH($B2067)</f>
        <v/>
      </c>
      <c r="F2067" s="235">
        <f>($B2067+$C2067+1)/2</f>
        <v/>
      </c>
      <c r="G2067" s="201">
        <f>YEAR($B2067)*12+MONTH($B2067)-1</f>
        <v/>
      </c>
      <c r="H2067" s="207">
        <f>IF(OR(nr_SeasonOn="OFF",$D$2020=0,$E$2020=0),1,12*INDEX(se_block,$D$2020,$E2067)/$E$2020)</f>
        <v/>
      </c>
      <c r="I2067" s="208">
        <f>EXP(SUMPRODUCT((rl_eff&lt;$B2067)*(rl_key=$A$2020)*rl_ln1p))</f>
        <v/>
      </c>
      <c r="J2067" s="208">
        <f>EXP(SUMPRODUCT((rl_eff&lt;=$C2067)*(rl_key=$A$2020)*rl_ln1p))</f>
        <v/>
      </c>
      <c r="K2067" s="201">
        <f>COUNTIFS(rl_key,$A$2020,rl_eff,"&gt;="&amp;$B2067,rl_eff,"&lt;="&amp;$C2067)</f>
        <v/>
      </c>
      <c r="L2067" s="201">
        <f>SUMIFS(rl_daysafter,rl_key,$A$2020,rl_effmonth,$B2067,rl_first,1)</f>
        <v/>
      </c>
      <c r="M2067" s="209">
        <f>IF($K2067=0,0,MIN(1,$L2067/$D2067))</f>
        <v/>
      </c>
      <c r="N2067" s="208">
        <f>IF($K2067=0,$J2067,(1-$M2067)*$I2067+$M2067*$J2067)</f>
        <v/>
      </c>
      <c r="O2067" s="209">
        <f>IF($F2067&lt;$B$2021,$E$2021+$I$2021*($F2067-$A$2021),IF($F2067&lt;$C$2021,$F$2021+$J$2021*($F2067-$B$2021),$G$2021+$K$2021*($F2067-$C$2021)))</f>
        <v/>
      </c>
      <c r="P2067" s="208">
        <f>MIN(1,MAX(0,(nr_MEndPm1-$G2067+0.5)/$C$2020))-MIN(1,MAX(0,(nr_MStartPm1-1-$G2067+0.5)/$C$2020))</f>
        <v/>
      </c>
      <c r="Q2067" s="208">
        <f>MIN(1,MAX(0,(nr_MEndP-$G2067+0.5)/$C$2020))-MIN(1,MAX(0,(nr_MStartP-1-$G2067+0.5)/$C$2020))</f>
        <v/>
      </c>
      <c r="R2067" s="208">
        <f>MIN(1,MAX(0,(nr_MEndP1-$G2067+0.5)/$C$2020))-MIN(1,MAX(0,(nr_MStartP1-1-$G2067+0.5)/$C$2020))</f>
        <v/>
      </c>
      <c r="S2067" s="208">
        <f>IF($L$2020,$N2067*IF($O$2020=1,$O2067/$F$2020,1),"")</f>
        <v/>
      </c>
      <c r="T2067" s="208">
        <f>IF(NOT($L$2020),"",IF($G2067&lt;nr_MStartP,$S2067,$T2055*(1+IF($G2067&lt;nr_MStartP1,$M$2020,$N$2020))))</f>
        <v/>
      </c>
      <c r="U2067" s="208">
        <f>IF($L$2020,$T2067,$N2067)</f>
        <v/>
      </c>
    </row>
    <row r="2068">
      <c r="A2068" s="145" t="n">
        <v>46</v>
      </c>
      <c r="B2068" s="204">
        <f>EDATE($B2067,1)</f>
        <v/>
      </c>
      <c r="C2068" s="205">
        <f>EOMONTH($B2068,0)</f>
        <v/>
      </c>
      <c r="D2068" s="201">
        <f>$C2068-$B2068+1</f>
        <v/>
      </c>
      <c r="E2068" s="201">
        <f>MONTH($B2068)</f>
        <v/>
      </c>
      <c r="F2068" s="235">
        <f>($B2068+$C2068+1)/2</f>
        <v/>
      </c>
      <c r="G2068" s="201">
        <f>YEAR($B2068)*12+MONTH($B2068)-1</f>
        <v/>
      </c>
      <c r="H2068" s="207">
        <f>IF(OR(nr_SeasonOn="OFF",$D$2020=0,$E$2020=0),1,12*INDEX(se_block,$D$2020,$E2068)/$E$2020)</f>
        <v/>
      </c>
      <c r="I2068" s="208">
        <f>EXP(SUMPRODUCT((rl_eff&lt;$B2068)*(rl_key=$A$2020)*rl_ln1p))</f>
        <v/>
      </c>
      <c r="J2068" s="208">
        <f>EXP(SUMPRODUCT((rl_eff&lt;=$C2068)*(rl_key=$A$2020)*rl_ln1p))</f>
        <v/>
      </c>
      <c r="K2068" s="201">
        <f>COUNTIFS(rl_key,$A$2020,rl_eff,"&gt;="&amp;$B2068,rl_eff,"&lt;="&amp;$C2068)</f>
        <v/>
      </c>
      <c r="L2068" s="201">
        <f>SUMIFS(rl_daysafter,rl_key,$A$2020,rl_effmonth,$B2068,rl_first,1)</f>
        <v/>
      </c>
      <c r="M2068" s="209">
        <f>IF($K2068=0,0,MIN(1,$L2068/$D2068))</f>
        <v/>
      </c>
      <c r="N2068" s="208">
        <f>IF($K2068=0,$J2068,(1-$M2068)*$I2068+$M2068*$J2068)</f>
        <v/>
      </c>
      <c r="O2068" s="209">
        <f>IF($F2068&lt;$B$2021,$E$2021+$I$2021*($F2068-$A$2021),IF($F2068&lt;$C$2021,$F$2021+$J$2021*($F2068-$B$2021),$G$2021+$K$2021*($F2068-$C$2021)))</f>
        <v/>
      </c>
      <c r="P2068" s="208">
        <f>MIN(1,MAX(0,(nr_MEndPm1-$G2068+0.5)/$C$2020))-MIN(1,MAX(0,(nr_MStartPm1-1-$G2068+0.5)/$C$2020))</f>
        <v/>
      </c>
      <c r="Q2068" s="208">
        <f>MIN(1,MAX(0,(nr_MEndP-$G2068+0.5)/$C$2020))-MIN(1,MAX(0,(nr_MStartP-1-$G2068+0.5)/$C$2020))</f>
        <v/>
      </c>
      <c r="R2068" s="208">
        <f>MIN(1,MAX(0,(nr_MEndP1-$G2068+0.5)/$C$2020))-MIN(1,MAX(0,(nr_MStartP1-1-$G2068+0.5)/$C$2020))</f>
        <v/>
      </c>
      <c r="S2068" s="208">
        <f>IF($L$2020,$N2068*IF($O$2020=1,$O2068/$F$2020,1),"")</f>
        <v/>
      </c>
      <c r="T2068" s="208">
        <f>IF(NOT($L$2020),"",IF($G2068&lt;nr_MStartP,$S2068,$T2056*(1+IF($G2068&lt;nr_MStartP1,$M$2020,$N$2020))))</f>
        <v/>
      </c>
      <c r="U2068" s="208">
        <f>IF($L$2020,$T2068,$N2068)</f>
        <v/>
      </c>
    </row>
    <row r="2069">
      <c r="A2069" s="145" t="n">
        <v>47</v>
      </c>
      <c r="B2069" s="204">
        <f>EDATE($B2068,1)</f>
        <v/>
      </c>
      <c r="C2069" s="205">
        <f>EOMONTH($B2069,0)</f>
        <v/>
      </c>
      <c r="D2069" s="201">
        <f>$C2069-$B2069+1</f>
        <v/>
      </c>
      <c r="E2069" s="201">
        <f>MONTH($B2069)</f>
        <v/>
      </c>
      <c r="F2069" s="235">
        <f>($B2069+$C2069+1)/2</f>
        <v/>
      </c>
      <c r="G2069" s="201">
        <f>YEAR($B2069)*12+MONTH($B2069)-1</f>
        <v/>
      </c>
      <c r="H2069" s="207">
        <f>IF(OR(nr_SeasonOn="OFF",$D$2020=0,$E$2020=0),1,12*INDEX(se_block,$D$2020,$E2069)/$E$2020)</f>
        <v/>
      </c>
      <c r="I2069" s="208">
        <f>EXP(SUMPRODUCT((rl_eff&lt;$B2069)*(rl_key=$A$2020)*rl_ln1p))</f>
        <v/>
      </c>
      <c r="J2069" s="208">
        <f>EXP(SUMPRODUCT((rl_eff&lt;=$C2069)*(rl_key=$A$2020)*rl_ln1p))</f>
        <v/>
      </c>
      <c r="K2069" s="201">
        <f>COUNTIFS(rl_key,$A$2020,rl_eff,"&gt;="&amp;$B2069,rl_eff,"&lt;="&amp;$C2069)</f>
        <v/>
      </c>
      <c r="L2069" s="201">
        <f>SUMIFS(rl_daysafter,rl_key,$A$2020,rl_effmonth,$B2069,rl_first,1)</f>
        <v/>
      </c>
      <c r="M2069" s="209">
        <f>IF($K2069=0,0,MIN(1,$L2069/$D2069))</f>
        <v/>
      </c>
      <c r="N2069" s="208">
        <f>IF($K2069=0,$J2069,(1-$M2069)*$I2069+$M2069*$J2069)</f>
        <v/>
      </c>
      <c r="O2069" s="209">
        <f>IF($F2069&lt;$B$2021,$E$2021+$I$2021*($F2069-$A$2021),IF($F2069&lt;$C$2021,$F$2021+$J$2021*($F2069-$B$2021),$G$2021+$K$2021*($F2069-$C$2021)))</f>
        <v/>
      </c>
      <c r="P2069" s="208">
        <f>MIN(1,MAX(0,(nr_MEndPm1-$G2069+0.5)/$C$2020))-MIN(1,MAX(0,(nr_MStartPm1-1-$G2069+0.5)/$C$2020))</f>
        <v/>
      </c>
      <c r="Q2069" s="208">
        <f>MIN(1,MAX(0,(nr_MEndP-$G2069+0.5)/$C$2020))-MIN(1,MAX(0,(nr_MStartP-1-$G2069+0.5)/$C$2020))</f>
        <v/>
      </c>
      <c r="R2069" s="208">
        <f>MIN(1,MAX(0,(nr_MEndP1-$G2069+0.5)/$C$2020))-MIN(1,MAX(0,(nr_MStartP1-1-$G2069+0.5)/$C$2020))</f>
        <v/>
      </c>
      <c r="S2069" s="208">
        <f>IF($L$2020,$N2069*IF($O$2020=1,$O2069/$F$2020,1),"")</f>
        <v/>
      </c>
      <c r="T2069" s="208">
        <f>IF(NOT($L$2020),"",IF($G2069&lt;nr_MStartP,$S2069,$T2057*(1+IF($G2069&lt;nr_MStartP1,$M$2020,$N$2020))))</f>
        <v/>
      </c>
      <c r="U2069" s="208">
        <f>IF($L$2020,$T2069,$N2069)</f>
        <v/>
      </c>
    </row>
    <row r="2070">
      <c r="A2070" s="145" t="n">
        <v>48</v>
      </c>
      <c r="B2070" s="204">
        <f>EDATE($B2069,1)</f>
        <v/>
      </c>
      <c r="C2070" s="205">
        <f>EOMONTH($B2070,0)</f>
        <v/>
      </c>
      <c r="D2070" s="201">
        <f>$C2070-$B2070+1</f>
        <v/>
      </c>
      <c r="E2070" s="201">
        <f>MONTH($B2070)</f>
        <v/>
      </c>
      <c r="F2070" s="235">
        <f>($B2070+$C2070+1)/2</f>
        <v/>
      </c>
      <c r="G2070" s="201">
        <f>YEAR($B2070)*12+MONTH($B2070)-1</f>
        <v/>
      </c>
      <c r="H2070" s="207">
        <f>IF(OR(nr_SeasonOn="OFF",$D$2020=0,$E$2020=0),1,12*INDEX(se_block,$D$2020,$E2070)/$E$2020)</f>
        <v/>
      </c>
      <c r="I2070" s="208">
        <f>EXP(SUMPRODUCT((rl_eff&lt;$B2070)*(rl_key=$A$2020)*rl_ln1p))</f>
        <v/>
      </c>
      <c r="J2070" s="208">
        <f>EXP(SUMPRODUCT((rl_eff&lt;=$C2070)*(rl_key=$A$2020)*rl_ln1p))</f>
        <v/>
      </c>
      <c r="K2070" s="201">
        <f>COUNTIFS(rl_key,$A$2020,rl_eff,"&gt;="&amp;$B2070,rl_eff,"&lt;="&amp;$C2070)</f>
        <v/>
      </c>
      <c r="L2070" s="201">
        <f>SUMIFS(rl_daysafter,rl_key,$A$2020,rl_effmonth,$B2070,rl_first,1)</f>
        <v/>
      </c>
      <c r="M2070" s="209">
        <f>IF($K2070=0,0,MIN(1,$L2070/$D2070))</f>
        <v/>
      </c>
      <c r="N2070" s="208">
        <f>IF($K2070=0,$J2070,(1-$M2070)*$I2070+$M2070*$J2070)</f>
        <v/>
      </c>
      <c r="O2070" s="209">
        <f>IF($F2070&lt;$B$2021,$E$2021+$I$2021*($F2070-$A$2021),IF($F2070&lt;$C$2021,$F$2021+$J$2021*($F2070-$B$2021),$G$2021+$K$2021*($F2070-$C$2021)))</f>
        <v/>
      </c>
      <c r="P2070" s="208">
        <f>MIN(1,MAX(0,(nr_MEndPm1-$G2070+0.5)/$C$2020))-MIN(1,MAX(0,(nr_MStartPm1-1-$G2070+0.5)/$C$2020))</f>
        <v/>
      </c>
      <c r="Q2070" s="208">
        <f>MIN(1,MAX(0,(nr_MEndP-$G2070+0.5)/$C$2020))-MIN(1,MAX(0,(nr_MStartP-1-$G2070+0.5)/$C$2020))</f>
        <v/>
      </c>
      <c r="R2070" s="208">
        <f>MIN(1,MAX(0,(nr_MEndP1-$G2070+0.5)/$C$2020))-MIN(1,MAX(0,(nr_MStartP1-1-$G2070+0.5)/$C$2020))</f>
        <v/>
      </c>
      <c r="S2070" s="208">
        <f>IF($L$2020,$N2070*IF($O$2020=1,$O2070/$F$2020,1),"")</f>
        <v/>
      </c>
      <c r="T2070" s="208">
        <f>IF(NOT($L$2020),"",IF($G2070&lt;nr_MStartP,$S2070,$T2058*(1+IF($G2070&lt;nr_MStartP1,$M$2020,$N$2020))))</f>
        <v/>
      </c>
      <c r="U2070" s="208">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184">
        <f>SUMPRODUCT($H$2023:$H$2070,$Q$2023:$Q$2070,$O$2023:$O$2070)/SUMPRODUCT($H$2023:$H$2070,$Q$2023:$Q$2070)</f>
        <v/>
      </c>
      <c r="G2071" s="184">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184">
        <f>IF(N(INDEX(lr_mind,38))=0,1,INDEX(lr_mind,38))</f>
        <v/>
      </c>
      <c r="G2074" s="184">
        <f>IF(N(INDEX(lr_m0,38))=0,1,INDEX(lr_m0,38))</f>
        <v/>
      </c>
      <c r="H2074" s="73">
        <f>IF(N(INDEX(lr_m0asof,38))=0,DATE(nr_PlanYear-1,10,1),INDEX(lr_m0asof,38))</f>
        <v/>
      </c>
      <c r="I2074" s="184">
        <f>IF(N(INDEX(lr_m1,38))=0,1,INDEX(lr_m1,38))</f>
        <v/>
      </c>
      <c r="J2074" s="184">
        <f>INDEX(lr_mprior,38)</f>
        <v/>
      </c>
      <c r="K2074" s="184">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145" t="n">
        <v>1</v>
      </c>
      <c r="B2077" s="204">
        <f>DATE(nr_PlanYear-2,1,1)</f>
        <v/>
      </c>
      <c r="C2077" s="205">
        <f>EOMONTH($B2077,0)</f>
        <v/>
      </c>
      <c r="D2077" s="201">
        <f>$C2077-$B2077+1</f>
        <v/>
      </c>
      <c r="E2077" s="201">
        <f>MONTH($B2077)</f>
        <v/>
      </c>
      <c r="F2077" s="235">
        <f>($B2077+$C2077+1)/2</f>
        <v/>
      </c>
      <c r="G2077" s="201">
        <f>YEAR($B2077)*12+MONTH($B2077)-1</f>
        <v/>
      </c>
      <c r="H2077" s="207">
        <f>IF(OR(nr_SeasonOn="OFF",$D$2074=0,$E$2074=0),1,12*INDEX(se_block,$D$2074,$E2077)/$E$2074)</f>
        <v/>
      </c>
      <c r="I2077" s="208">
        <f>EXP(SUMPRODUCT((rl_eff&lt;$B2077)*(rl_key=$A$2074)*rl_ln1p))</f>
        <v/>
      </c>
      <c r="J2077" s="208">
        <f>EXP(SUMPRODUCT((rl_eff&lt;=$C2077)*(rl_key=$A$2074)*rl_ln1p))</f>
        <v/>
      </c>
      <c r="K2077" s="201">
        <f>COUNTIFS(rl_key,$A$2074,rl_eff,"&gt;="&amp;$B2077,rl_eff,"&lt;="&amp;$C2077)</f>
        <v/>
      </c>
      <c r="L2077" s="201">
        <f>SUMIFS(rl_daysafter,rl_key,$A$2074,rl_effmonth,$B2077,rl_first,1)</f>
        <v/>
      </c>
      <c r="M2077" s="209">
        <f>IF($K2077=0,0,MIN(1,$L2077/$D2077))</f>
        <v/>
      </c>
      <c r="N2077" s="208">
        <f>IF($K2077=0,$J2077,(1-$M2077)*$I2077+$M2077*$J2077)</f>
        <v/>
      </c>
      <c r="O2077" s="209">
        <f>IF($F2077&lt;$B$2075,$E$2075+$I$2075*($F2077-$A$2075),IF($F2077&lt;$C$2075,$F$2075+$J$2075*($F2077-$B$2075),$G$2075+$K$2075*($F2077-$C$2075)))</f>
        <v/>
      </c>
      <c r="P2077" s="208">
        <f>MIN(1,MAX(0,(nr_MEndPm1-$G2077+0.5)/$C$2074))-MIN(1,MAX(0,(nr_MStartPm1-1-$G2077+0.5)/$C$2074))</f>
        <v/>
      </c>
      <c r="Q2077" s="208">
        <f>MIN(1,MAX(0,(nr_MEndP-$G2077+0.5)/$C$2074))-MIN(1,MAX(0,(nr_MStartP-1-$G2077+0.5)/$C$2074))</f>
        <v/>
      </c>
      <c r="R2077" s="208">
        <f>MIN(1,MAX(0,(nr_MEndP1-$G2077+0.5)/$C$2074))-MIN(1,MAX(0,(nr_MStartP1-1-$G2077+0.5)/$C$2074))</f>
        <v/>
      </c>
      <c r="S2077" s="208">
        <f>IF($L$2074,$N2077*IF($O$2074=1,$O2077/$F$2074,1),"")</f>
        <v/>
      </c>
      <c r="T2077" s="208">
        <f>IF(NOT($L$2074),"",IF($G2077&lt;nr_MStartP,$S2077,$T2065*(1+IF($G2077&lt;nr_MStartP1,$M$2074,$N$2074))))</f>
        <v/>
      </c>
      <c r="U2077" s="208">
        <f>IF($L$2074,$T2077,$N2077)</f>
        <v/>
      </c>
    </row>
    <row r="2078">
      <c r="A2078" s="145" t="n">
        <v>2</v>
      </c>
      <c r="B2078" s="204">
        <f>EDATE($B2077,1)</f>
        <v/>
      </c>
      <c r="C2078" s="205">
        <f>EOMONTH($B2078,0)</f>
        <v/>
      </c>
      <c r="D2078" s="201">
        <f>$C2078-$B2078+1</f>
        <v/>
      </c>
      <c r="E2078" s="201">
        <f>MONTH($B2078)</f>
        <v/>
      </c>
      <c r="F2078" s="235">
        <f>($B2078+$C2078+1)/2</f>
        <v/>
      </c>
      <c r="G2078" s="201">
        <f>YEAR($B2078)*12+MONTH($B2078)-1</f>
        <v/>
      </c>
      <c r="H2078" s="207">
        <f>IF(OR(nr_SeasonOn="OFF",$D$2074=0,$E$2074=0),1,12*INDEX(se_block,$D$2074,$E2078)/$E$2074)</f>
        <v/>
      </c>
      <c r="I2078" s="208">
        <f>EXP(SUMPRODUCT((rl_eff&lt;$B2078)*(rl_key=$A$2074)*rl_ln1p))</f>
        <v/>
      </c>
      <c r="J2078" s="208">
        <f>EXP(SUMPRODUCT((rl_eff&lt;=$C2078)*(rl_key=$A$2074)*rl_ln1p))</f>
        <v/>
      </c>
      <c r="K2078" s="201">
        <f>COUNTIFS(rl_key,$A$2074,rl_eff,"&gt;="&amp;$B2078,rl_eff,"&lt;="&amp;$C2078)</f>
        <v/>
      </c>
      <c r="L2078" s="201">
        <f>SUMIFS(rl_daysafter,rl_key,$A$2074,rl_effmonth,$B2078,rl_first,1)</f>
        <v/>
      </c>
      <c r="M2078" s="209">
        <f>IF($K2078=0,0,MIN(1,$L2078/$D2078))</f>
        <v/>
      </c>
      <c r="N2078" s="208">
        <f>IF($K2078=0,$J2078,(1-$M2078)*$I2078+$M2078*$J2078)</f>
        <v/>
      </c>
      <c r="O2078" s="209">
        <f>IF($F2078&lt;$B$2075,$E$2075+$I$2075*($F2078-$A$2075),IF($F2078&lt;$C$2075,$F$2075+$J$2075*($F2078-$B$2075),$G$2075+$K$2075*($F2078-$C$2075)))</f>
        <v/>
      </c>
      <c r="P2078" s="208">
        <f>MIN(1,MAX(0,(nr_MEndPm1-$G2078+0.5)/$C$2074))-MIN(1,MAX(0,(nr_MStartPm1-1-$G2078+0.5)/$C$2074))</f>
        <v/>
      </c>
      <c r="Q2078" s="208">
        <f>MIN(1,MAX(0,(nr_MEndP-$G2078+0.5)/$C$2074))-MIN(1,MAX(0,(nr_MStartP-1-$G2078+0.5)/$C$2074))</f>
        <v/>
      </c>
      <c r="R2078" s="208">
        <f>MIN(1,MAX(0,(nr_MEndP1-$G2078+0.5)/$C$2074))-MIN(1,MAX(0,(nr_MStartP1-1-$G2078+0.5)/$C$2074))</f>
        <v/>
      </c>
      <c r="S2078" s="208">
        <f>IF($L$2074,$N2078*IF($O$2074=1,$O2078/$F$2074,1),"")</f>
        <v/>
      </c>
      <c r="T2078" s="208">
        <f>IF(NOT($L$2074),"",IF($G2078&lt;nr_MStartP,$S2078,$T2066*(1+IF($G2078&lt;nr_MStartP1,$M$2074,$N$2074))))</f>
        <v/>
      </c>
      <c r="U2078" s="208">
        <f>IF($L$2074,$T2078,$N2078)</f>
        <v/>
      </c>
    </row>
    <row r="2079">
      <c r="A2079" s="145" t="n">
        <v>3</v>
      </c>
      <c r="B2079" s="204">
        <f>EDATE($B2078,1)</f>
        <v/>
      </c>
      <c r="C2079" s="205">
        <f>EOMONTH($B2079,0)</f>
        <v/>
      </c>
      <c r="D2079" s="201">
        <f>$C2079-$B2079+1</f>
        <v/>
      </c>
      <c r="E2079" s="201">
        <f>MONTH($B2079)</f>
        <v/>
      </c>
      <c r="F2079" s="235">
        <f>($B2079+$C2079+1)/2</f>
        <v/>
      </c>
      <c r="G2079" s="201">
        <f>YEAR($B2079)*12+MONTH($B2079)-1</f>
        <v/>
      </c>
      <c r="H2079" s="207">
        <f>IF(OR(nr_SeasonOn="OFF",$D$2074=0,$E$2074=0),1,12*INDEX(se_block,$D$2074,$E2079)/$E$2074)</f>
        <v/>
      </c>
      <c r="I2079" s="208">
        <f>EXP(SUMPRODUCT((rl_eff&lt;$B2079)*(rl_key=$A$2074)*rl_ln1p))</f>
        <v/>
      </c>
      <c r="J2079" s="208">
        <f>EXP(SUMPRODUCT((rl_eff&lt;=$C2079)*(rl_key=$A$2074)*rl_ln1p))</f>
        <v/>
      </c>
      <c r="K2079" s="201">
        <f>COUNTIFS(rl_key,$A$2074,rl_eff,"&gt;="&amp;$B2079,rl_eff,"&lt;="&amp;$C2079)</f>
        <v/>
      </c>
      <c r="L2079" s="201">
        <f>SUMIFS(rl_daysafter,rl_key,$A$2074,rl_effmonth,$B2079,rl_first,1)</f>
        <v/>
      </c>
      <c r="M2079" s="209">
        <f>IF($K2079=0,0,MIN(1,$L2079/$D2079))</f>
        <v/>
      </c>
      <c r="N2079" s="208">
        <f>IF($K2079=0,$J2079,(1-$M2079)*$I2079+$M2079*$J2079)</f>
        <v/>
      </c>
      <c r="O2079" s="209">
        <f>IF($F2079&lt;$B$2075,$E$2075+$I$2075*($F2079-$A$2075),IF($F2079&lt;$C$2075,$F$2075+$J$2075*($F2079-$B$2075),$G$2075+$K$2075*($F2079-$C$2075)))</f>
        <v/>
      </c>
      <c r="P2079" s="208">
        <f>MIN(1,MAX(0,(nr_MEndPm1-$G2079+0.5)/$C$2074))-MIN(1,MAX(0,(nr_MStartPm1-1-$G2079+0.5)/$C$2074))</f>
        <v/>
      </c>
      <c r="Q2079" s="208">
        <f>MIN(1,MAX(0,(nr_MEndP-$G2079+0.5)/$C$2074))-MIN(1,MAX(0,(nr_MStartP-1-$G2079+0.5)/$C$2074))</f>
        <v/>
      </c>
      <c r="R2079" s="208">
        <f>MIN(1,MAX(0,(nr_MEndP1-$G2079+0.5)/$C$2074))-MIN(1,MAX(0,(nr_MStartP1-1-$G2079+0.5)/$C$2074))</f>
        <v/>
      </c>
      <c r="S2079" s="208">
        <f>IF($L$2074,$N2079*IF($O$2074=1,$O2079/$F$2074,1),"")</f>
        <v/>
      </c>
      <c r="T2079" s="208">
        <f>IF(NOT($L$2074),"",IF($G2079&lt;nr_MStartP,$S2079,$T2067*(1+IF($G2079&lt;nr_MStartP1,$M$2074,$N$2074))))</f>
        <v/>
      </c>
      <c r="U2079" s="208">
        <f>IF($L$2074,$T2079,$N2079)</f>
        <v/>
      </c>
    </row>
    <row r="2080">
      <c r="A2080" s="145" t="n">
        <v>4</v>
      </c>
      <c r="B2080" s="204">
        <f>EDATE($B2079,1)</f>
        <v/>
      </c>
      <c r="C2080" s="205">
        <f>EOMONTH($B2080,0)</f>
        <v/>
      </c>
      <c r="D2080" s="201">
        <f>$C2080-$B2080+1</f>
        <v/>
      </c>
      <c r="E2080" s="201">
        <f>MONTH($B2080)</f>
        <v/>
      </c>
      <c r="F2080" s="235">
        <f>($B2080+$C2080+1)/2</f>
        <v/>
      </c>
      <c r="G2080" s="201">
        <f>YEAR($B2080)*12+MONTH($B2080)-1</f>
        <v/>
      </c>
      <c r="H2080" s="207">
        <f>IF(OR(nr_SeasonOn="OFF",$D$2074=0,$E$2074=0),1,12*INDEX(se_block,$D$2074,$E2080)/$E$2074)</f>
        <v/>
      </c>
      <c r="I2080" s="208">
        <f>EXP(SUMPRODUCT((rl_eff&lt;$B2080)*(rl_key=$A$2074)*rl_ln1p))</f>
        <v/>
      </c>
      <c r="J2080" s="208">
        <f>EXP(SUMPRODUCT((rl_eff&lt;=$C2080)*(rl_key=$A$2074)*rl_ln1p))</f>
        <v/>
      </c>
      <c r="K2080" s="201">
        <f>COUNTIFS(rl_key,$A$2074,rl_eff,"&gt;="&amp;$B2080,rl_eff,"&lt;="&amp;$C2080)</f>
        <v/>
      </c>
      <c r="L2080" s="201">
        <f>SUMIFS(rl_daysafter,rl_key,$A$2074,rl_effmonth,$B2080,rl_first,1)</f>
        <v/>
      </c>
      <c r="M2080" s="209">
        <f>IF($K2080=0,0,MIN(1,$L2080/$D2080))</f>
        <v/>
      </c>
      <c r="N2080" s="208">
        <f>IF($K2080=0,$J2080,(1-$M2080)*$I2080+$M2080*$J2080)</f>
        <v/>
      </c>
      <c r="O2080" s="209">
        <f>IF($F2080&lt;$B$2075,$E$2075+$I$2075*($F2080-$A$2075),IF($F2080&lt;$C$2075,$F$2075+$J$2075*($F2080-$B$2075),$G$2075+$K$2075*($F2080-$C$2075)))</f>
        <v/>
      </c>
      <c r="P2080" s="208">
        <f>MIN(1,MAX(0,(nr_MEndPm1-$G2080+0.5)/$C$2074))-MIN(1,MAX(0,(nr_MStartPm1-1-$G2080+0.5)/$C$2074))</f>
        <v/>
      </c>
      <c r="Q2080" s="208">
        <f>MIN(1,MAX(0,(nr_MEndP-$G2080+0.5)/$C$2074))-MIN(1,MAX(0,(nr_MStartP-1-$G2080+0.5)/$C$2074))</f>
        <v/>
      </c>
      <c r="R2080" s="208">
        <f>MIN(1,MAX(0,(nr_MEndP1-$G2080+0.5)/$C$2074))-MIN(1,MAX(0,(nr_MStartP1-1-$G2080+0.5)/$C$2074))</f>
        <v/>
      </c>
      <c r="S2080" s="208">
        <f>IF($L$2074,$N2080*IF($O$2074=1,$O2080/$F$2074,1),"")</f>
        <v/>
      </c>
      <c r="T2080" s="208">
        <f>IF(NOT($L$2074),"",IF($G2080&lt;nr_MStartP,$S2080,$T2068*(1+IF($G2080&lt;nr_MStartP1,$M$2074,$N$2074))))</f>
        <v/>
      </c>
      <c r="U2080" s="208">
        <f>IF($L$2074,$T2080,$N2080)</f>
        <v/>
      </c>
    </row>
    <row r="2081">
      <c r="A2081" s="145" t="n">
        <v>5</v>
      </c>
      <c r="B2081" s="204">
        <f>EDATE($B2080,1)</f>
        <v/>
      </c>
      <c r="C2081" s="205">
        <f>EOMONTH($B2081,0)</f>
        <v/>
      </c>
      <c r="D2081" s="201">
        <f>$C2081-$B2081+1</f>
        <v/>
      </c>
      <c r="E2081" s="201">
        <f>MONTH($B2081)</f>
        <v/>
      </c>
      <c r="F2081" s="235">
        <f>($B2081+$C2081+1)/2</f>
        <v/>
      </c>
      <c r="G2081" s="201">
        <f>YEAR($B2081)*12+MONTH($B2081)-1</f>
        <v/>
      </c>
      <c r="H2081" s="207">
        <f>IF(OR(nr_SeasonOn="OFF",$D$2074=0,$E$2074=0),1,12*INDEX(se_block,$D$2074,$E2081)/$E$2074)</f>
        <v/>
      </c>
      <c r="I2081" s="208">
        <f>EXP(SUMPRODUCT((rl_eff&lt;$B2081)*(rl_key=$A$2074)*rl_ln1p))</f>
        <v/>
      </c>
      <c r="J2081" s="208">
        <f>EXP(SUMPRODUCT((rl_eff&lt;=$C2081)*(rl_key=$A$2074)*rl_ln1p))</f>
        <v/>
      </c>
      <c r="K2081" s="201">
        <f>COUNTIFS(rl_key,$A$2074,rl_eff,"&gt;="&amp;$B2081,rl_eff,"&lt;="&amp;$C2081)</f>
        <v/>
      </c>
      <c r="L2081" s="201">
        <f>SUMIFS(rl_daysafter,rl_key,$A$2074,rl_effmonth,$B2081,rl_first,1)</f>
        <v/>
      </c>
      <c r="M2081" s="209">
        <f>IF($K2081=0,0,MIN(1,$L2081/$D2081))</f>
        <v/>
      </c>
      <c r="N2081" s="208">
        <f>IF($K2081=0,$J2081,(1-$M2081)*$I2081+$M2081*$J2081)</f>
        <v/>
      </c>
      <c r="O2081" s="209">
        <f>IF($F2081&lt;$B$2075,$E$2075+$I$2075*($F2081-$A$2075),IF($F2081&lt;$C$2075,$F$2075+$J$2075*($F2081-$B$2075),$G$2075+$K$2075*($F2081-$C$2075)))</f>
        <v/>
      </c>
      <c r="P2081" s="208">
        <f>MIN(1,MAX(0,(nr_MEndPm1-$G2081+0.5)/$C$2074))-MIN(1,MAX(0,(nr_MStartPm1-1-$G2081+0.5)/$C$2074))</f>
        <v/>
      </c>
      <c r="Q2081" s="208">
        <f>MIN(1,MAX(0,(nr_MEndP-$G2081+0.5)/$C$2074))-MIN(1,MAX(0,(nr_MStartP-1-$G2081+0.5)/$C$2074))</f>
        <v/>
      </c>
      <c r="R2081" s="208">
        <f>MIN(1,MAX(0,(nr_MEndP1-$G2081+0.5)/$C$2074))-MIN(1,MAX(0,(nr_MStartP1-1-$G2081+0.5)/$C$2074))</f>
        <v/>
      </c>
      <c r="S2081" s="208">
        <f>IF($L$2074,$N2081*IF($O$2074=1,$O2081/$F$2074,1),"")</f>
        <v/>
      </c>
      <c r="T2081" s="208">
        <f>IF(NOT($L$2074),"",IF($G2081&lt;nr_MStartP,$S2081,$T2069*(1+IF($G2081&lt;nr_MStartP1,$M$2074,$N$2074))))</f>
        <v/>
      </c>
      <c r="U2081" s="208">
        <f>IF($L$2074,$T2081,$N2081)</f>
        <v/>
      </c>
    </row>
    <row r="2082">
      <c r="A2082" s="145" t="n">
        <v>6</v>
      </c>
      <c r="B2082" s="204">
        <f>EDATE($B2081,1)</f>
        <v/>
      </c>
      <c r="C2082" s="205">
        <f>EOMONTH($B2082,0)</f>
        <v/>
      </c>
      <c r="D2082" s="201">
        <f>$C2082-$B2082+1</f>
        <v/>
      </c>
      <c r="E2082" s="201">
        <f>MONTH($B2082)</f>
        <v/>
      </c>
      <c r="F2082" s="235">
        <f>($B2082+$C2082+1)/2</f>
        <v/>
      </c>
      <c r="G2082" s="201">
        <f>YEAR($B2082)*12+MONTH($B2082)-1</f>
        <v/>
      </c>
      <c r="H2082" s="207">
        <f>IF(OR(nr_SeasonOn="OFF",$D$2074=0,$E$2074=0),1,12*INDEX(se_block,$D$2074,$E2082)/$E$2074)</f>
        <v/>
      </c>
      <c r="I2082" s="208">
        <f>EXP(SUMPRODUCT((rl_eff&lt;$B2082)*(rl_key=$A$2074)*rl_ln1p))</f>
        <v/>
      </c>
      <c r="J2082" s="208">
        <f>EXP(SUMPRODUCT((rl_eff&lt;=$C2082)*(rl_key=$A$2074)*rl_ln1p))</f>
        <v/>
      </c>
      <c r="K2082" s="201">
        <f>COUNTIFS(rl_key,$A$2074,rl_eff,"&gt;="&amp;$B2082,rl_eff,"&lt;="&amp;$C2082)</f>
        <v/>
      </c>
      <c r="L2082" s="201">
        <f>SUMIFS(rl_daysafter,rl_key,$A$2074,rl_effmonth,$B2082,rl_first,1)</f>
        <v/>
      </c>
      <c r="M2082" s="209">
        <f>IF($K2082=0,0,MIN(1,$L2082/$D2082))</f>
        <v/>
      </c>
      <c r="N2082" s="208">
        <f>IF($K2082=0,$J2082,(1-$M2082)*$I2082+$M2082*$J2082)</f>
        <v/>
      </c>
      <c r="O2082" s="209">
        <f>IF($F2082&lt;$B$2075,$E$2075+$I$2075*($F2082-$A$2075),IF($F2082&lt;$C$2075,$F$2075+$J$2075*($F2082-$B$2075),$G$2075+$K$2075*($F2082-$C$2075)))</f>
        <v/>
      </c>
      <c r="P2082" s="208">
        <f>MIN(1,MAX(0,(nr_MEndPm1-$G2082+0.5)/$C$2074))-MIN(1,MAX(0,(nr_MStartPm1-1-$G2082+0.5)/$C$2074))</f>
        <v/>
      </c>
      <c r="Q2082" s="208">
        <f>MIN(1,MAX(0,(nr_MEndP-$G2082+0.5)/$C$2074))-MIN(1,MAX(0,(nr_MStartP-1-$G2082+0.5)/$C$2074))</f>
        <v/>
      </c>
      <c r="R2082" s="208">
        <f>MIN(1,MAX(0,(nr_MEndP1-$G2082+0.5)/$C$2074))-MIN(1,MAX(0,(nr_MStartP1-1-$G2082+0.5)/$C$2074))</f>
        <v/>
      </c>
      <c r="S2082" s="208">
        <f>IF($L$2074,$N2082*IF($O$2074=1,$O2082/$F$2074,1),"")</f>
        <v/>
      </c>
      <c r="T2082" s="208">
        <f>IF(NOT($L$2074),"",IF($G2082&lt;nr_MStartP,$S2082,$T2070*(1+IF($G2082&lt;nr_MStartP1,$M$2074,$N$2074))))</f>
        <v/>
      </c>
      <c r="U2082" s="208">
        <f>IF($L$2074,$T2082,$N2082)</f>
        <v/>
      </c>
    </row>
    <row r="2083">
      <c r="A2083" s="145" t="n">
        <v>7</v>
      </c>
      <c r="B2083" s="204">
        <f>EDATE($B2082,1)</f>
        <v/>
      </c>
      <c r="C2083" s="205">
        <f>EOMONTH($B2083,0)</f>
        <v/>
      </c>
      <c r="D2083" s="201">
        <f>$C2083-$B2083+1</f>
        <v/>
      </c>
      <c r="E2083" s="201">
        <f>MONTH($B2083)</f>
        <v/>
      </c>
      <c r="F2083" s="235">
        <f>($B2083+$C2083+1)/2</f>
        <v/>
      </c>
      <c r="G2083" s="201">
        <f>YEAR($B2083)*12+MONTH($B2083)-1</f>
        <v/>
      </c>
      <c r="H2083" s="207">
        <f>IF(OR(nr_SeasonOn="OFF",$D$2074=0,$E$2074=0),1,12*INDEX(se_block,$D$2074,$E2083)/$E$2074)</f>
        <v/>
      </c>
      <c r="I2083" s="208">
        <f>EXP(SUMPRODUCT((rl_eff&lt;$B2083)*(rl_key=$A$2074)*rl_ln1p))</f>
        <v/>
      </c>
      <c r="J2083" s="208">
        <f>EXP(SUMPRODUCT((rl_eff&lt;=$C2083)*(rl_key=$A$2074)*rl_ln1p))</f>
        <v/>
      </c>
      <c r="K2083" s="201">
        <f>COUNTIFS(rl_key,$A$2074,rl_eff,"&gt;="&amp;$B2083,rl_eff,"&lt;="&amp;$C2083)</f>
        <v/>
      </c>
      <c r="L2083" s="201">
        <f>SUMIFS(rl_daysafter,rl_key,$A$2074,rl_effmonth,$B2083,rl_first,1)</f>
        <v/>
      </c>
      <c r="M2083" s="209">
        <f>IF($K2083=0,0,MIN(1,$L2083/$D2083))</f>
        <v/>
      </c>
      <c r="N2083" s="208">
        <f>IF($K2083=0,$J2083,(1-$M2083)*$I2083+$M2083*$J2083)</f>
        <v/>
      </c>
      <c r="O2083" s="209">
        <f>IF($F2083&lt;$B$2075,$E$2075+$I$2075*($F2083-$A$2075),IF($F2083&lt;$C$2075,$F$2075+$J$2075*($F2083-$B$2075),$G$2075+$K$2075*($F2083-$C$2075)))</f>
        <v/>
      </c>
      <c r="P2083" s="208">
        <f>MIN(1,MAX(0,(nr_MEndPm1-$G2083+0.5)/$C$2074))-MIN(1,MAX(0,(nr_MStartPm1-1-$G2083+0.5)/$C$2074))</f>
        <v/>
      </c>
      <c r="Q2083" s="208">
        <f>MIN(1,MAX(0,(nr_MEndP-$G2083+0.5)/$C$2074))-MIN(1,MAX(0,(nr_MStartP-1-$G2083+0.5)/$C$2074))</f>
        <v/>
      </c>
      <c r="R2083" s="208">
        <f>MIN(1,MAX(0,(nr_MEndP1-$G2083+0.5)/$C$2074))-MIN(1,MAX(0,(nr_MStartP1-1-$G2083+0.5)/$C$2074))</f>
        <v/>
      </c>
      <c r="S2083" s="208">
        <f>IF($L$2074,$N2083*IF($O$2074=1,$O2083/$F$2074,1),"")</f>
        <v/>
      </c>
      <c r="T2083" s="208">
        <f>IF(NOT($L$2074),"",IF($G2083&lt;nr_MStartP,$S2083,$T2071*(1+IF($G2083&lt;nr_MStartP1,$M$2074,$N$2074))))</f>
        <v/>
      </c>
      <c r="U2083" s="208">
        <f>IF($L$2074,$T2083,$N2083)</f>
        <v/>
      </c>
    </row>
    <row r="2084">
      <c r="A2084" s="145" t="n">
        <v>8</v>
      </c>
      <c r="B2084" s="204">
        <f>EDATE($B2083,1)</f>
        <v/>
      </c>
      <c r="C2084" s="205">
        <f>EOMONTH($B2084,0)</f>
        <v/>
      </c>
      <c r="D2084" s="201">
        <f>$C2084-$B2084+1</f>
        <v/>
      </c>
      <c r="E2084" s="201">
        <f>MONTH($B2084)</f>
        <v/>
      </c>
      <c r="F2084" s="235">
        <f>($B2084+$C2084+1)/2</f>
        <v/>
      </c>
      <c r="G2084" s="201">
        <f>YEAR($B2084)*12+MONTH($B2084)-1</f>
        <v/>
      </c>
      <c r="H2084" s="207">
        <f>IF(OR(nr_SeasonOn="OFF",$D$2074=0,$E$2074=0),1,12*INDEX(se_block,$D$2074,$E2084)/$E$2074)</f>
        <v/>
      </c>
      <c r="I2084" s="208">
        <f>EXP(SUMPRODUCT((rl_eff&lt;$B2084)*(rl_key=$A$2074)*rl_ln1p))</f>
        <v/>
      </c>
      <c r="J2084" s="208">
        <f>EXP(SUMPRODUCT((rl_eff&lt;=$C2084)*(rl_key=$A$2074)*rl_ln1p))</f>
        <v/>
      </c>
      <c r="K2084" s="201">
        <f>COUNTIFS(rl_key,$A$2074,rl_eff,"&gt;="&amp;$B2084,rl_eff,"&lt;="&amp;$C2084)</f>
        <v/>
      </c>
      <c r="L2084" s="201">
        <f>SUMIFS(rl_daysafter,rl_key,$A$2074,rl_effmonth,$B2084,rl_first,1)</f>
        <v/>
      </c>
      <c r="M2084" s="209">
        <f>IF($K2084=0,0,MIN(1,$L2084/$D2084))</f>
        <v/>
      </c>
      <c r="N2084" s="208">
        <f>IF($K2084=0,$J2084,(1-$M2084)*$I2084+$M2084*$J2084)</f>
        <v/>
      </c>
      <c r="O2084" s="209">
        <f>IF($F2084&lt;$B$2075,$E$2075+$I$2075*($F2084-$A$2075),IF($F2084&lt;$C$2075,$F$2075+$J$2075*($F2084-$B$2075),$G$2075+$K$2075*($F2084-$C$2075)))</f>
        <v/>
      </c>
      <c r="P2084" s="208">
        <f>MIN(1,MAX(0,(nr_MEndPm1-$G2084+0.5)/$C$2074))-MIN(1,MAX(0,(nr_MStartPm1-1-$G2084+0.5)/$C$2074))</f>
        <v/>
      </c>
      <c r="Q2084" s="208">
        <f>MIN(1,MAX(0,(nr_MEndP-$G2084+0.5)/$C$2074))-MIN(1,MAX(0,(nr_MStartP-1-$G2084+0.5)/$C$2074))</f>
        <v/>
      </c>
      <c r="R2084" s="208">
        <f>MIN(1,MAX(0,(nr_MEndP1-$G2084+0.5)/$C$2074))-MIN(1,MAX(0,(nr_MStartP1-1-$G2084+0.5)/$C$2074))</f>
        <v/>
      </c>
      <c r="S2084" s="208">
        <f>IF($L$2074,$N2084*IF($O$2074=1,$O2084/$F$2074,1),"")</f>
        <v/>
      </c>
      <c r="T2084" s="208">
        <f>IF(NOT($L$2074),"",IF($G2084&lt;nr_MStartP,$S2084,$T2072*(1+IF($G2084&lt;nr_MStartP1,$M$2074,$N$2074))))</f>
        <v/>
      </c>
      <c r="U2084" s="208">
        <f>IF($L$2074,$T2084,$N2084)</f>
        <v/>
      </c>
    </row>
    <row r="2085">
      <c r="A2085" s="145" t="n">
        <v>9</v>
      </c>
      <c r="B2085" s="204">
        <f>EDATE($B2084,1)</f>
        <v/>
      </c>
      <c r="C2085" s="205">
        <f>EOMONTH($B2085,0)</f>
        <v/>
      </c>
      <c r="D2085" s="201">
        <f>$C2085-$B2085+1</f>
        <v/>
      </c>
      <c r="E2085" s="201">
        <f>MONTH($B2085)</f>
        <v/>
      </c>
      <c r="F2085" s="235">
        <f>($B2085+$C2085+1)/2</f>
        <v/>
      </c>
      <c r="G2085" s="201">
        <f>YEAR($B2085)*12+MONTH($B2085)-1</f>
        <v/>
      </c>
      <c r="H2085" s="207">
        <f>IF(OR(nr_SeasonOn="OFF",$D$2074=0,$E$2074=0),1,12*INDEX(se_block,$D$2074,$E2085)/$E$2074)</f>
        <v/>
      </c>
      <c r="I2085" s="208">
        <f>EXP(SUMPRODUCT((rl_eff&lt;$B2085)*(rl_key=$A$2074)*rl_ln1p))</f>
        <v/>
      </c>
      <c r="J2085" s="208">
        <f>EXP(SUMPRODUCT((rl_eff&lt;=$C2085)*(rl_key=$A$2074)*rl_ln1p))</f>
        <v/>
      </c>
      <c r="K2085" s="201">
        <f>COUNTIFS(rl_key,$A$2074,rl_eff,"&gt;="&amp;$B2085,rl_eff,"&lt;="&amp;$C2085)</f>
        <v/>
      </c>
      <c r="L2085" s="201">
        <f>SUMIFS(rl_daysafter,rl_key,$A$2074,rl_effmonth,$B2085,rl_first,1)</f>
        <v/>
      </c>
      <c r="M2085" s="209">
        <f>IF($K2085=0,0,MIN(1,$L2085/$D2085))</f>
        <v/>
      </c>
      <c r="N2085" s="208">
        <f>IF($K2085=0,$J2085,(1-$M2085)*$I2085+$M2085*$J2085)</f>
        <v/>
      </c>
      <c r="O2085" s="209">
        <f>IF($F2085&lt;$B$2075,$E$2075+$I$2075*($F2085-$A$2075),IF($F2085&lt;$C$2075,$F$2075+$J$2075*($F2085-$B$2075),$G$2075+$K$2075*($F2085-$C$2075)))</f>
        <v/>
      </c>
      <c r="P2085" s="208">
        <f>MIN(1,MAX(0,(nr_MEndPm1-$G2085+0.5)/$C$2074))-MIN(1,MAX(0,(nr_MStartPm1-1-$G2085+0.5)/$C$2074))</f>
        <v/>
      </c>
      <c r="Q2085" s="208">
        <f>MIN(1,MAX(0,(nr_MEndP-$G2085+0.5)/$C$2074))-MIN(1,MAX(0,(nr_MStartP-1-$G2085+0.5)/$C$2074))</f>
        <v/>
      </c>
      <c r="R2085" s="208">
        <f>MIN(1,MAX(0,(nr_MEndP1-$G2085+0.5)/$C$2074))-MIN(1,MAX(0,(nr_MStartP1-1-$G2085+0.5)/$C$2074))</f>
        <v/>
      </c>
      <c r="S2085" s="208">
        <f>IF($L$2074,$N2085*IF($O$2074=1,$O2085/$F$2074,1),"")</f>
        <v/>
      </c>
      <c r="T2085" s="208">
        <f>IF(NOT($L$2074),"",IF($G2085&lt;nr_MStartP,$S2085,$T2073*(1+IF($G2085&lt;nr_MStartP1,$M$2074,$N$2074))))</f>
        <v/>
      </c>
      <c r="U2085" s="208">
        <f>IF($L$2074,$T2085,$N2085)</f>
        <v/>
      </c>
    </row>
    <row r="2086">
      <c r="A2086" s="145" t="n">
        <v>10</v>
      </c>
      <c r="B2086" s="204">
        <f>EDATE($B2085,1)</f>
        <v/>
      </c>
      <c r="C2086" s="205">
        <f>EOMONTH($B2086,0)</f>
        <v/>
      </c>
      <c r="D2086" s="201">
        <f>$C2086-$B2086+1</f>
        <v/>
      </c>
      <c r="E2086" s="201">
        <f>MONTH($B2086)</f>
        <v/>
      </c>
      <c r="F2086" s="235">
        <f>($B2086+$C2086+1)/2</f>
        <v/>
      </c>
      <c r="G2086" s="201">
        <f>YEAR($B2086)*12+MONTH($B2086)-1</f>
        <v/>
      </c>
      <c r="H2086" s="207">
        <f>IF(OR(nr_SeasonOn="OFF",$D$2074=0,$E$2074=0),1,12*INDEX(se_block,$D$2074,$E2086)/$E$2074)</f>
        <v/>
      </c>
      <c r="I2086" s="208">
        <f>EXP(SUMPRODUCT((rl_eff&lt;$B2086)*(rl_key=$A$2074)*rl_ln1p))</f>
        <v/>
      </c>
      <c r="J2086" s="208">
        <f>EXP(SUMPRODUCT((rl_eff&lt;=$C2086)*(rl_key=$A$2074)*rl_ln1p))</f>
        <v/>
      </c>
      <c r="K2086" s="201">
        <f>COUNTIFS(rl_key,$A$2074,rl_eff,"&gt;="&amp;$B2086,rl_eff,"&lt;="&amp;$C2086)</f>
        <v/>
      </c>
      <c r="L2086" s="201">
        <f>SUMIFS(rl_daysafter,rl_key,$A$2074,rl_effmonth,$B2086,rl_first,1)</f>
        <v/>
      </c>
      <c r="M2086" s="209">
        <f>IF($K2086=0,0,MIN(1,$L2086/$D2086))</f>
        <v/>
      </c>
      <c r="N2086" s="208">
        <f>IF($K2086=0,$J2086,(1-$M2086)*$I2086+$M2086*$J2086)</f>
        <v/>
      </c>
      <c r="O2086" s="209">
        <f>IF($F2086&lt;$B$2075,$E$2075+$I$2075*($F2086-$A$2075),IF($F2086&lt;$C$2075,$F$2075+$J$2075*($F2086-$B$2075),$G$2075+$K$2075*($F2086-$C$2075)))</f>
        <v/>
      </c>
      <c r="P2086" s="208">
        <f>MIN(1,MAX(0,(nr_MEndPm1-$G2086+0.5)/$C$2074))-MIN(1,MAX(0,(nr_MStartPm1-1-$G2086+0.5)/$C$2074))</f>
        <v/>
      </c>
      <c r="Q2086" s="208">
        <f>MIN(1,MAX(0,(nr_MEndP-$G2086+0.5)/$C$2074))-MIN(1,MAX(0,(nr_MStartP-1-$G2086+0.5)/$C$2074))</f>
        <v/>
      </c>
      <c r="R2086" s="208">
        <f>MIN(1,MAX(0,(nr_MEndP1-$G2086+0.5)/$C$2074))-MIN(1,MAX(0,(nr_MStartP1-1-$G2086+0.5)/$C$2074))</f>
        <v/>
      </c>
      <c r="S2086" s="208">
        <f>IF($L$2074,$N2086*IF($O$2074=1,$O2086/$F$2074,1),"")</f>
        <v/>
      </c>
      <c r="T2086" s="208">
        <f>IF(NOT($L$2074),"",IF($G2086&lt;nr_MStartP,$S2086,$T2074*(1+IF($G2086&lt;nr_MStartP1,$M$2074,$N$2074))))</f>
        <v/>
      </c>
      <c r="U2086" s="208">
        <f>IF($L$2074,$T2086,$N2086)</f>
        <v/>
      </c>
    </row>
    <row r="2087">
      <c r="A2087" s="145" t="n">
        <v>11</v>
      </c>
      <c r="B2087" s="204">
        <f>EDATE($B2086,1)</f>
        <v/>
      </c>
      <c r="C2087" s="205">
        <f>EOMONTH($B2087,0)</f>
        <v/>
      </c>
      <c r="D2087" s="201">
        <f>$C2087-$B2087+1</f>
        <v/>
      </c>
      <c r="E2087" s="201">
        <f>MONTH($B2087)</f>
        <v/>
      </c>
      <c r="F2087" s="235">
        <f>($B2087+$C2087+1)/2</f>
        <v/>
      </c>
      <c r="G2087" s="201">
        <f>YEAR($B2087)*12+MONTH($B2087)-1</f>
        <v/>
      </c>
      <c r="H2087" s="207">
        <f>IF(OR(nr_SeasonOn="OFF",$D$2074=0,$E$2074=0),1,12*INDEX(se_block,$D$2074,$E2087)/$E$2074)</f>
        <v/>
      </c>
      <c r="I2087" s="208">
        <f>EXP(SUMPRODUCT((rl_eff&lt;$B2087)*(rl_key=$A$2074)*rl_ln1p))</f>
        <v/>
      </c>
      <c r="J2087" s="208">
        <f>EXP(SUMPRODUCT((rl_eff&lt;=$C2087)*(rl_key=$A$2074)*rl_ln1p))</f>
        <v/>
      </c>
      <c r="K2087" s="201">
        <f>COUNTIFS(rl_key,$A$2074,rl_eff,"&gt;="&amp;$B2087,rl_eff,"&lt;="&amp;$C2087)</f>
        <v/>
      </c>
      <c r="L2087" s="201">
        <f>SUMIFS(rl_daysafter,rl_key,$A$2074,rl_effmonth,$B2087,rl_first,1)</f>
        <v/>
      </c>
      <c r="M2087" s="209">
        <f>IF($K2087=0,0,MIN(1,$L2087/$D2087))</f>
        <v/>
      </c>
      <c r="N2087" s="208">
        <f>IF($K2087=0,$J2087,(1-$M2087)*$I2087+$M2087*$J2087)</f>
        <v/>
      </c>
      <c r="O2087" s="209">
        <f>IF($F2087&lt;$B$2075,$E$2075+$I$2075*($F2087-$A$2075),IF($F2087&lt;$C$2075,$F$2075+$J$2075*($F2087-$B$2075),$G$2075+$K$2075*($F2087-$C$2075)))</f>
        <v/>
      </c>
      <c r="P2087" s="208">
        <f>MIN(1,MAX(0,(nr_MEndPm1-$G2087+0.5)/$C$2074))-MIN(1,MAX(0,(nr_MStartPm1-1-$G2087+0.5)/$C$2074))</f>
        <v/>
      </c>
      <c r="Q2087" s="208">
        <f>MIN(1,MAX(0,(nr_MEndP-$G2087+0.5)/$C$2074))-MIN(1,MAX(0,(nr_MStartP-1-$G2087+0.5)/$C$2074))</f>
        <v/>
      </c>
      <c r="R2087" s="208">
        <f>MIN(1,MAX(0,(nr_MEndP1-$G2087+0.5)/$C$2074))-MIN(1,MAX(0,(nr_MStartP1-1-$G2087+0.5)/$C$2074))</f>
        <v/>
      </c>
      <c r="S2087" s="208">
        <f>IF($L$2074,$N2087*IF($O$2074=1,$O2087/$F$2074,1),"")</f>
        <v/>
      </c>
      <c r="T2087" s="208">
        <f>IF(NOT($L$2074),"",IF($G2087&lt;nr_MStartP,$S2087,$T2075*(1+IF($G2087&lt;nr_MStartP1,$M$2074,$N$2074))))</f>
        <v/>
      </c>
      <c r="U2087" s="208">
        <f>IF($L$2074,$T2087,$N2087)</f>
        <v/>
      </c>
    </row>
    <row r="2088">
      <c r="A2088" s="145" t="n">
        <v>12</v>
      </c>
      <c r="B2088" s="204">
        <f>EDATE($B2087,1)</f>
        <v/>
      </c>
      <c r="C2088" s="205">
        <f>EOMONTH($B2088,0)</f>
        <v/>
      </c>
      <c r="D2088" s="201">
        <f>$C2088-$B2088+1</f>
        <v/>
      </c>
      <c r="E2088" s="201">
        <f>MONTH($B2088)</f>
        <v/>
      </c>
      <c r="F2088" s="235">
        <f>($B2088+$C2088+1)/2</f>
        <v/>
      </c>
      <c r="G2088" s="201">
        <f>YEAR($B2088)*12+MONTH($B2088)-1</f>
        <v/>
      </c>
      <c r="H2088" s="207">
        <f>IF(OR(nr_SeasonOn="OFF",$D$2074=0,$E$2074=0),1,12*INDEX(se_block,$D$2074,$E2088)/$E$2074)</f>
        <v/>
      </c>
      <c r="I2088" s="208">
        <f>EXP(SUMPRODUCT((rl_eff&lt;$B2088)*(rl_key=$A$2074)*rl_ln1p))</f>
        <v/>
      </c>
      <c r="J2088" s="208">
        <f>EXP(SUMPRODUCT((rl_eff&lt;=$C2088)*(rl_key=$A$2074)*rl_ln1p))</f>
        <v/>
      </c>
      <c r="K2088" s="201">
        <f>COUNTIFS(rl_key,$A$2074,rl_eff,"&gt;="&amp;$B2088,rl_eff,"&lt;="&amp;$C2088)</f>
        <v/>
      </c>
      <c r="L2088" s="201">
        <f>SUMIFS(rl_daysafter,rl_key,$A$2074,rl_effmonth,$B2088,rl_first,1)</f>
        <v/>
      </c>
      <c r="M2088" s="209">
        <f>IF($K2088=0,0,MIN(1,$L2088/$D2088))</f>
        <v/>
      </c>
      <c r="N2088" s="208">
        <f>IF($K2088=0,$J2088,(1-$M2088)*$I2088+$M2088*$J2088)</f>
        <v/>
      </c>
      <c r="O2088" s="209">
        <f>IF($F2088&lt;$B$2075,$E$2075+$I$2075*($F2088-$A$2075),IF($F2088&lt;$C$2075,$F$2075+$J$2075*($F2088-$B$2075),$G$2075+$K$2075*($F2088-$C$2075)))</f>
        <v/>
      </c>
      <c r="P2088" s="208">
        <f>MIN(1,MAX(0,(nr_MEndPm1-$G2088+0.5)/$C$2074))-MIN(1,MAX(0,(nr_MStartPm1-1-$G2088+0.5)/$C$2074))</f>
        <v/>
      </c>
      <c r="Q2088" s="208">
        <f>MIN(1,MAX(0,(nr_MEndP-$G2088+0.5)/$C$2074))-MIN(1,MAX(0,(nr_MStartP-1-$G2088+0.5)/$C$2074))</f>
        <v/>
      </c>
      <c r="R2088" s="208">
        <f>MIN(1,MAX(0,(nr_MEndP1-$G2088+0.5)/$C$2074))-MIN(1,MAX(0,(nr_MStartP1-1-$G2088+0.5)/$C$2074))</f>
        <v/>
      </c>
      <c r="S2088" s="208">
        <f>IF($L$2074,$N2088*IF($O$2074=1,$O2088/$F$2074,1),"")</f>
        <v/>
      </c>
      <c r="T2088" s="208">
        <f>IF(NOT($L$2074),"",IF($G2088&lt;nr_MStartP,$S2088,$T2076*(1+IF($G2088&lt;nr_MStartP1,$M$2074,$N$2074))))</f>
        <v/>
      </c>
      <c r="U2088" s="208">
        <f>IF($L$2074,$T2088,$N2088)</f>
        <v/>
      </c>
    </row>
    <row r="2089">
      <c r="A2089" s="145" t="n">
        <v>13</v>
      </c>
      <c r="B2089" s="204">
        <f>EDATE($B2088,1)</f>
        <v/>
      </c>
      <c r="C2089" s="205">
        <f>EOMONTH($B2089,0)</f>
        <v/>
      </c>
      <c r="D2089" s="201">
        <f>$C2089-$B2089+1</f>
        <v/>
      </c>
      <c r="E2089" s="201">
        <f>MONTH($B2089)</f>
        <v/>
      </c>
      <c r="F2089" s="235">
        <f>($B2089+$C2089+1)/2</f>
        <v/>
      </c>
      <c r="G2089" s="201">
        <f>YEAR($B2089)*12+MONTH($B2089)-1</f>
        <v/>
      </c>
      <c r="H2089" s="207">
        <f>IF(OR(nr_SeasonOn="OFF",$D$2074=0,$E$2074=0),1,12*INDEX(se_block,$D$2074,$E2089)/$E$2074)</f>
        <v/>
      </c>
      <c r="I2089" s="208">
        <f>EXP(SUMPRODUCT((rl_eff&lt;$B2089)*(rl_key=$A$2074)*rl_ln1p))</f>
        <v/>
      </c>
      <c r="J2089" s="208">
        <f>EXP(SUMPRODUCT((rl_eff&lt;=$C2089)*(rl_key=$A$2074)*rl_ln1p))</f>
        <v/>
      </c>
      <c r="K2089" s="201">
        <f>COUNTIFS(rl_key,$A$2074,rl_eff,"&gt;="&amp;$B2089,rl_eff,"&lt;="&amp;$C2089)</f>
        <v/>
      </c>
      <c r="L2089" s="201">
        <f>SUMIFS(rl_daysafter,rl_key,$A$2074,rl_effmonth,$B2089,rl_first,1)</f>
        <v/>
      </c>
      <c r="M2089" s="209">
        <f>IF($K2089=0,0,MIN(1,$L2089/$D2089))</f>
        <v/>
      </c>
      <c r="N2089" s="208">
        <f>IF($K2089=0,$J2089,(1-$M2089)*$I2089+$M2089*$J2089)</f>
        <v/>
      </c>
      <c r="O2089" s="209">
        <f>IF($F2089&lt;$B$2075,$E$2075+$I$2075*($F2089-$A$2075),IF($F2089&lt;$C$2075,$F$2075+$J$2075*($F2089-$B$2075),$G$2075+$K$2075*($F2089-$C$2075)))</f>
        <v/>
      </c>
      <c r="P2089" s="208">
        <f>MIN(1,MAX(0,(nr_MEndPm1-$G2089+0.5)/$C$2074))-MIN(1,MAX(0,(nr_MStartPm1-1-$G2089+0.5)/$C$2074))</f>
        <v/>
      </c>
      <c r="Q2089" s="208">
        <f>MIN(1,MAX(0,(nr_MEndP-$G2089+0.5)/$C$2074))-MIN(1,MAX(0,(nr_MStartP-1-$G2089+0.5)/$C$2074))</f>
        <v/>
      </c>
      <c r="R2089" s="208">
        <f>MIN(1,MAX(0,(nr_MEndP1-$G2089+0.5)/$C$2074))-MIN(1,MAX(0,(nr_MStartP1-1-$G2089+0.5)/$C$2074))</f>
        <v/>
      </c>
      <c r="S2089" s="208">
        <f>IF($L$2074,$N2089*IF($O$2074=1,$O2089/$F$2074,1),"")</f>
        <v/>
      </c>
      <c r="T2089" s="208">
        <f>IF(NOT($L$2074),"",IF($G2089&lt;nr_MStartP,$S2089,$T2077*(1+IF($G2089&lt;nr_MStartP1,$M$2074,$N$2074))))</f>
        <v/>
      </c>
      <c r="U2089" s="208">
        <f>IF($L$2074,$T2089,$N2089)</f>
        <v/>
      </c>
    </row>
    <row r="2090">
      <c r="A2090" s="145" t="n">
        <v>14</v>
      </c>
      <c r="B2090" s="204">
        <f>EDATE($B2089,1)</f>
        <v/>
      </c>
      <c r="C2090" s="205">
        <f>EOMONTH($B2090,0)</f>
        <v/>
      </c>
      <c r="D2090" s="201">
        <f>$C2090-$B2090+1</f>
        <v/>
      </c>
      <c r="E2090" s="201">
        <f>MONTH($B2090)</f>
        <v/>
      </c>
      <c r="F2090" s="235">
        <f>($B2090+$C2090+1)/2</f>
        <v/>
      </c>
      <c r="G2090" s="201">
        <f>YEAR($B2090)*12+MONTH($B2090)-1</f>
        <v/>
      </c>
      <c r="H2090" s="207">
        <f>IF(OR(nr_SeasonOn="OFF",$D$2074=0,$E$2074=0),1,12*INDEX(se_block,$D$2074,$E2090)/$E$2074)</f>
        <v/>
      </c>
      <c r="I2090" s="208">
        <f>EXP(SUMPRODUCT((rl_eff&lt;$B2090)*(rl_key=$A$2074)*rl_ln1p))</f>
        <v/>
      </c>
      <c r="J2090" s="208">
        <f>EXP(SUMPRODUCT((rl_eff&lt;=$C2090)*(rl_key=$A$2074)*rl_ln1p))</f>
        <v/>
      </c>
      <c r="K2090" s="201">
        <f>COUNTIFS(rl_key,$A$2074,rl_eff,"&gt;="&amp;$B2090,rl_eff,"&lt;="&amp;$C2090)</f>
        <v/>
      </c>
      <c r="L2090" s="201">
        <f>SUMIFS(rl_daysafter,rl_key,$A$2074,rl_effmonth,$B2090,rl_first,1)</f>
        <v/>
      </c>
      <c r="M2090" s="209">
        <f>IF($K2090=0,0,MIN(1,$L2090/$D2090))</f>
        <v/>
      </c>
      <c r="N2090" s="208">
        <f>IF($K2090=0,$J2090,(1-$M2090)*$I2090+$M2090*$J2090)</f>
        <v/>
      </c>
      <c r="O2090" s="209">
        <f>IF($F2090&lt;$B$2075,$E$2075+$I$2075*($F2090-$A$2075),IF($F2090&lt;$C$2075,$F$2075+$J$2075*($F2090-$B$2075),$G$2075+$K$2075*($F2090-$C$2075)))</f>
        <v/>
      </c>
      <c r="P2090" s="208">
        <f>MIN(1,MAX(0,(nr_MEndPm1-$G2090+0.5)/$C$2074))-MIN(1,MAX(0,(nr_MStartPm1-1-$G2090+0.5)/$C$2074))</f>
        <v/>
      </c>
      <c r="Q2090" s="208">
        <f>MIN(1,MAX(0,(nr_MEndP-$G2090+0.5)/$C$2074))-MIN(1,MAX(0,(nr_MStartP-1-$G2090+0.5)/$C$2074))</f>
        <v/>
      </c>
      <c r="R2090" s="208">
        <f>MIN(1,MAX(0,(nr_MEndP1-$G2090+0.5)/$C$2074))-MIN(1,MAX(0,(nr_MStartP1-1-$G2090+0.5)/$C$2074))</f>
        <v/>
      </c>
      <c r="S2090" s="208">
        <f>IF($L$2074,$N2090*IF($O$2074=1,$O2090/$F$2074,1),"")</f>
        <v/>
      </c>
      <c r="T2090" s="208">
        <f>IF(NOT($L$2074),"",IF($G2090&lt;nr_MStartP,$S2090,$T2078*(1+IF($G2090&lt;nr_MStartP1,$M$2074,$N$2074))))</f>
        <v/>
      </c>
      <c r="U2090" s="208">
        <f>IF($L$2074,$T2090,$N2090)</f>
        <v/>
      </c>
    </row>
    <row r="2091">
      <c r="A2091" s="145" t="n">
        <v>15</v>
      </c>
      <c r="B2091" s="204">
        <f>EDATE($B2090,1)</f>
        <v/>
      </c>
      <c r="C2091" s="205">
        <f>EOMONTH($B2091,0)</f>
        <v/>
      </c>
      <c r="D2091" s="201">
        <f>$C2091-$B2091+1</f>
        <v/>
      </c>
      <c r="E2091" s="201">
        <f>MONTH($B2091)</f>
        <v/>
      </c>
      <c r="F2091" s="235">
        <f>($B2091+$C2091+1)/2</f>
        <v/>
      </c>
      <c r="G2091" s="201">
        <f>YEAR($B2091)*12+MONTH($B2091)-1</f>
        <v/>
      </c>
      <c r="H2091" s="207">
        <f>IF(OR(nr_SeasonOn="OFF",$D$2074=0,$E$2074=0),1,12*INDEX(se_block,$D$2074,$E2091)/$E$2074)</f>
        <v/>
      </c>
      <c r="I2091" s="208">
        <f>EXP(SUMPRODUCT((rl_eff&lt;$B2091)*(rl_key=$A$2074)*rl_ln1p))</f>
        <v/>
      </c>
      <c r="J2091" s="208">
        <f>EXP(SUMPRODUCT((rl_eff&lt;=$C2091)*(rl_key=$A$2074)*rl_ln1p))</f>
        <v/>
      </c>
      <c r="K2091" s="201">
        <f>COUNTIFS(rl_key,$A$2074,rl_eff,"&gt;="&amp;$B2091,rl_eff,"&lt;="&amp;$C2091)</f>
        <v/>
      </c>
      <c r="L2091" s="201">
        <f>SUMIFS(rl_daysafter,rl_key,$A$2074,rl_effmonth,$B2091,rl_first,1)</f>
        <v/>
      </c>
      <c r="M2091" s="209">
        <f>IF($K2091=0,0,MIN(1,$L2091/$D2091))</f>
        <v/>
      </c>
      <c r="N2091" s="208">
        <f>IF($K2091=0,$J2091,(1-$M2091)*$I2091+$M2091*$J2091)</f>
        <v/>
      </c>
      <c r="O2091" s="209">
        <f>IF($F2091&lt;$B$2075,$E$2075+$I$2075*($F2091-$A$2075),IF($F2091&lt;$C$2075,$F$2075+$J$2075*($F2091-$B$2075),$G$2075+$K$2075*($F2091-$C$2075)))</f>
        <v/>
      </c>
      <c r="P2091" s="208">
        <f>MIN(1,MAX(0,(nr_MEndPm1-$G2091+0.5)/$C$2074))-MIN(1,MAX(0,(nr_MStartPm1-1-$G2091+0.5)/$C$2074))</f>
        <v/>
      </c>
      <c r="Q2091" s="208">
        <f>MIN(1,MAX(0,(nr_MEndP-$G2091+0.5)/$C$2074))-MIN(1,MAX(0,(nr_MStartP-1-$G2091+0.5)/$C$2074))</f>
        <v/>
      </c>
      <c r="R2091" s="208">
        <f>MIN(1,MAX(0,(nr_MEndP1-$G2091+0.5)/$C$2074))-MIN(1,MAX(0,(nr_MStartP1-1-$G2091+0.5)/$C$2074))</f>
        <v/>
      </c>
      <c r="S2091" s="208">
        <f>IF($L$2074,$N2091*IF($O$2074=1,$O2091/$F$2074,1),"")</f>
        <v/>
      </c>
      <c r="T2091" s="208">
        <f>IF(NOT($L$2074),"",IF($G2091&lt;nr_MStartP,$S2091,$T2079*(1+IF($G2091&lt;nr_MStartP1,$M$2074,$N$2074))))</f>
        <v/>
      </c>
      <c r="U2091" s="208">
        <f>IF($L$2074,$T2091,$N2091)</f>
        <v/>
      </c>
    </row>
    <row r="2092">
      <c r="A2092" s="145" t="n">
        <v>16</v>
      </c>
      <c r="B2092" s="204">
        <f>EDATE($B2091,1)</f>
        <v/>
      </c>
      <c r="C2092" s="205">
        <f>EOMONTH($B2092,0)</f>
        <v/>
      </c>
      <c r="D2092" s="201">
        <f>$C2092-$B2092+1</f>
        <v/>
      </c>
      <c r="E2092" s="201">
        <f>MONTH($B2092)</f>
        <v/>
      </c>
      <c r="F2092" s="235">
        <f>($B2092+$C2092+1)/2</f>
        <v/>
      </c>
      <c r="G2092" s="201">
        <f>YEAR($B2092)*12+MONTH($B2092)-1</f>
        <v/>
      </c>
      <c r="H2092" s="207">
        <f>IF(OR(nr_SeasonOn="OFF",$D$2074=0,$E$2074=0),1,12*INDEX(se_block,$D$2074,$E2092)/$E$2074)</f>
        <v/>
      </c>
      <c r="I2092" s="208">
        <f>EXP(SUMPRODUCT((rl_eff&lt;$B2092)*(rl_key=$A$2074)*rl_ln1p))</f>
        <v/>
      </c>
      <c r="J2092" s="208">
        <f>EXP(SUMPRODUCT((rl_eff&lt;=$C2092)*(rl_key=$A$2074)*rl_ln1p))</f>
        <v/>
      </c>
      <c r="K2092" s="201">
        <f>COUNTIFS(rl_key,$A$2074,rl_eff,"&gt;="&amp;$B2092,rl_eff,"&lt;="&amp;$C2092)</f>
        <v/>
      </c>
      <c r="L2092" s="201">
        <f>SUMIFS(rl_daysafter,rl_key,$A$2074,rl_effmonth,$B2092,rl_first,1)</f>
        <v/>
      </c>
      <c r="M2092" s="209">
        <f>IF($K2092=0,0,MIN(1,$L2092/$D2092))</f>
        <v/>
      </c>
      <c r="N2092" s="208">
        <f>IF($K2092=0,$J2092,(1-$M2092)*$I2092+$M2092*$J2092)</f>
        <v/>
      </c>
      <c r="O2092" s="209">
        <f>IF($F2092&lt;$B$2075,$E$2075+$I$2075*($F2092-$A$2075),IF($F2092&lt;$C$2075,$F$2075+$J$2075*($F2092-$B$2075),$G$2075+$K$2075*($F2092-$C$2075)))</f>
        <v/>
      </c>
      <c r="P2092" s="208">
        <f>MIN(1,MAX(0,(nr_MEndPm1-$G2092+0.5)/$C$2074))-MIN(1,MAX(0,(nr_MStartPm1-1-$G2092+0.5)/$C$2074))</f>
        <v/>
      </c>
      <c r="Q2092" s="208">
        <f>MIN(1,MAX(0,(nr_MEndP-$G2092+0.5)/$C$2074))-MIN(1,MAX(0,(nr_MStartP-1-$G2092+0.5)/$C$2074))</f>
        <v/>
      </c>
      <c r="R2092" s="208">
        <f>MIN(1,MAX(0,(nr_MEndP1-$G2092+0.5)/$C$2074))-MIN(1,MAX(0,(nr_MStartP1-1-$G2092+0.5)/$C$2074))</f>
        <v/>
      </c>
      <c r="S2092" s="208">
        <f>IF($L$2074,$N2092*IF($O$2074=1,$O2092/$F$2074,1),"")</f>
        <v/>
      </c>
      <c r="T2092" s="208">
        <f>IF(NOT($L$2074),"",IF($G2092&lt;nr_MStartP,$S2092,$T2080*(1+IF($G2092&lt;nr_MStartP1,$M$2074,$N$2074))))</f>
        <v/>
      </c>
      <c r="U2092" s="208">
        <f>IF($L$2074,$T2092,$N2092)</f>
        <v/>
      </c>
    </row>
    <row r="2093">
      <c r="A2093" s="145" t="n">
        <v>17</v>
      </c>
      <c r="B2093" s="204">
        <f>EDATE($B2092,1)</f>
        <v/>
      </c>
      <c r="C2093" s="205">
        <f>EOMONTH($B2093,0)</f>
        <v/>
      </c>
      <c r="D2093" s="201">
        <f>$C2093-$B2093+1</f>
        <v/>
      </c>
      <c r="E2093" s="201">
        <f>MONTH($B2093)</f>
        <v/>
      </c>
      <c r="F2093" s="235">
        <f>($B2093+$C2093+1)/2</f>
        <v/>
      </c>
      <c r="G2093" s="201">
        <f>YEAR($B2093)*12+MONTH($B2093)-1</f>
        <v/>
      </c>
      <c r="H2093" s="207">
        <f>IF(OR(nr_SeasonOn="OFF",$D$2074=0,$E$2074=0),1,12*INDEX(se_block,$D$2074,$E2093)/$E$2074)</f>
        <v/>
      </c>
      <c r="I2093" s="208">
        <f>EXP(SUMPRODUCT((rl_eff&lt;$B2093)*(rl_key=$A$2074)*rl_ln1p))</f>
        <v/>
      </c>
      <c r="J2093" s="208">
        <f>EXP(SUMPRODUCT((rl_eff&lt;=$C2093)*(rl_key=$A$2074)*rl_ln1p))</f>
        <v/>
      </c>
      <c r="K2093" s="201">
        <f>COUNTIFS(rl_key,$A$2074,rl_eff,"&gt;="&amp;$B2093,rl_eff,"&lt;="&amp;$C2093)</f>
        <v/>
      </c>
      <c r="L2093" s="201">
        <f>SUMIFS(rl_daysafter,rl_key,$A$2074,rl_effmonth,$B2093,rl_first,1)</f>
        <v/>
      </c>
      <c r="M2093" s="209">
        <f>IF($K2093=0,0,MIN(1,$L2093/$D2093))</f>
        <v/>
      </c>
      <c r="N2093" s="208">
        <f>IF($K2093=0,$J2093,(1-$M2093)*$I2093+$M2093*$J2093)</f>
        <v/>
      </c>
      <c r="O2093" s="209">
        <f>IF($F2093&lt;$B$2075,$E$2075+$I$2075*($F2093-$A$2075),IF($F2093&lt;$C$2075,$F$2075+$J$2075*($F2093-$B$2075),$G$2075+$K$2075*($F2093-$C$2075)))</f>
        <v/>
      </c>
      <c r="P2093" s="208">
        <f>MIN(1,MAX(0,(nr_MEndPm1-$G2093+0.5)/$C$2074))-MIN(1,MAX(0,(nr_MStartPm1-1-$G2093+0.5)/$C$2074))</f>
        <v/>
      </c>
      <c r="Q2093" s="208">
        <f>MIN(1,MAX(0,(nr_MEndP-$G2093+0.5)/$C$2074))-MIN(1,MAX(0,(nr_MStartP-1-$G2093+0.5)/$C$2074))</f>
        <v/>
      </c>
      <c r="R2093" s="208">
        <f>MIN(1,MAX(0,(nr_MEndP1-$G2093+0.5)/$C$2074))-MIN(1,MAX(0,(nr_MStartP1-1-$G2093+0.5)/$C$2074))</f>
        <v/>
      </c>
      <c r="S2093" s="208">
        <f>IF($L$2074,$N2093*IF($O$2074=1,$O2093/$F$2074,1),"")</f>
        <v/>
      </c>
      <c r="T2093" s="208">
        <f>IF(NOT($L$2074),"",IF($G2093&lt;nr_MStartP,$S2093,$T2081*(1+IF($G2093&lt;nr_MStartP1,$M$2074,$N$2074))))</f>
        <v/>
      </c>
      <c r="U2093" s="208">
        <f>IF($L$2074,$T2093,$N2093)</f>
        <v/>
      </c>
    </row>
    <row r="2094">
      <c r="A2094" s="145" t="n">
        <v>18</v>
      </c>
      <c r="B2094" s="204">
        <f>EDATE($B2093,1)</f>
        <v/>
      </c>
      <c r="C2094" s="205">
        <f>EOMONTH($B2094,0)</f>
        <v/>
      </c>
      <c r="D2094" s="201">
        <f>$C2094-$B2094+1</f>
        <v/>
      </c>
      <c r="E2094" s="201">
        <f>MONTH($B2094)</f>
        <v/>
      </c>
      <c r="F2094" s="235">
        <f>($B2094+$C2094+1)/2</f>
        <v/>
      </c>
      <c r="G2094" s="201">
        <f>YEAR($B2094)*12+MONTH($B2094)-1</f>
        <v/>
      </c>
      <c r="H2094" s="207">
        <f>IF(OR(nr_SeasonOn="OFF",$D$2074=0,$E$2074=0),1,12*INDEX(se_block,$D$2074,$E2094)/$E$2074)</f>
        <v/>
      </c>
      <c r="I2094" s="208">
        <f>EXP(SUMPRODUCT((rl_eff&lt;$B2094)*(rl_key=$A$2074)*rl_ln1p))</f>
        <v/>
      </c>
      <c r="J2094" s="208">
        <f>EXP(SUMPRODUCT((rl_eff&lt;=$C2094)*(rl_key=$A$2074)*rl_ln1p))</f>
        <v/>
      </c>
      <c r="K2094" s="201">
        <f>COUNTIFS(rl_key,$A$2074,rl_eff,"&gt;="&amp;$B2094,rl_eff,"&lt;="&amp;$C2094)</f>
        <v/>
      </c>
      <c r="L2094" s="201">
        <f>SUMIFS(rl_daysafter,rl_key,$A$2074,rl_effmonth,$B2094,rl_first,1)</f>
        <v/>
      </c>
      <c r="M2094" s="209">
        <f>IF($K2094=0,0,MIN(1,$L2094/$D2094))</f>
        <v/>
      </c>
      <c r="N2094" s="208">
        <f>IF($K2094=0,$J2094,(1-$M2094)*$I2094+$M2094*$J2094)</f>
        <v/>
      </c>
      <c r="O2094" s="209">
        <f>IF($F2094&lt;$B$2075,$E$2075+$I$2075*($F2094-$A$2075),IF($F2094&lt;$C$2075,$F$2075+$J$2075*($F2094-$B$2075),$G$2075+$K$2075*($F2094-$C$2075)))</f>
        <v/>
      </c>
      <c r="P2094" s="208">
        <f>MIN(1,MAX(0,(nr_MEndPm1-$G2094+0.5)/$C$2074))-MIN(1,MAX(0,(nr_MStartPm1-1-$G2094+0.5)/$C$2074))</f>
        <v/>
      </c>
      <c r="Q2094" s="208">
        <f>MIN(1,MAX(0,(nr_MEndP-$G2094+0.5)/$C$2074))-MIN(1,MAX(0,(nr_MStartP-1-$G2094+0.5)/$C$2074))</f>
        <v/>
      </c>
      <c r="R2094" s="208">
        <f>MIN(1,MAX(0,(nr_MEndP1-$G2094+0.5)/$C$2074))-MIN(1,MAX(0,(nr_MStartP1-1-$G2094+0.5)/$C$2074))</f>
        <v/>
      </c>
      <c r="S2094" s="208">
        <f>IF($L$2074,$N2094*IF($O$2074=1,$O2094/$F$2074,1),"")</f>
        <v/>
      </c>
      <c r="T2094" s="208">
        <f>IF(NOT($L$2074),"",IF($G2094&lt;nr_MStartP,$S2094,$T2082*(1+IF($G2094&lt;nr_MStartP1,$M$2074,$N$2074))))</f>
        <v/>
      </c>
      <c r="U2094" s="208">
        <f>IF($L$2074,$T2094,$N2094)</f>
        <v/>
      </c>
    </row>
    <row r="2095">
      <c r="A2095" s="145" t="n">
        <v>19</v>
      </c>
      <c r="B2095" s="204">
        <f>EDATE($B2094,1)</f>
        <v/>
      </c>
      <c r="C2095" s="205">
        <f>EOMONTH($B2095,0)</f>
        <v/>
      </c>
      <c r="D2095" s="201">
        <f>$C2095-$B2095+1</f>
        <v/>
      </c>
      <c r="E2095" s="201">
        <f>MONTH($B2095)</f>
        <v/>
      </c>
      <c r="F2095" s="235">
        <f>($B2095+$C2095+1)/2</f>
        <v/>
      </c>
      <c r="G2095" s="201">
        <f>YEAR($B2095)*12+MONTH($B2095)-1</f>
        <v/>
      </c>
      <c r="H2095" s="207">
        <f>IF(OR(nr_SeasonOn="OFF",$D$2074=0,$E$2074=0),1,12*INDEX(se_block,$D$2074,$E2095)/$E$2074)</f>
        <v/>
      </c>
      <c r="I2095" s="208">
        <f>EXP(SUMPRODUCT((rl_eff&lt;$B2095)*(rl_key=$A$2074)*rl_ln1p))</f>
        <v/>
      </c>
      <c r="J2095" s="208">
        <f>EXP(SUMPRODUCT((rl_eff&lt;=$C2095)*(rl_key=$A$2074)*rl_ln1p))</f>
        <v/>
      </c>
      <c r="K2095" s="201">
        <f>COUNTIFS(rl_key,$A$2074,rl_eff,"&gt;="&amp;$B2095,rl_eff,"&lt;="&amp;$C2095)</f>
        <v/>
      </c>
      <c r="L2095" s="201">
        <f>SUMIFS(rl_daysafter,rl_key,$A$2074,rl_effmonth,$B2095,rl_first,1)</f>
        <v/>
      </c>
      <c r="M2095" s="209">
        <f>IF($K2095=0,0,MIN(1,$L2095/$D2095))</f>
        <v/>
      </c>
      <c r="N2095" s="208">
        <f>IF($K2095=0,$J2095,(1-$M2095)*$I2095+$M2095*$J2095)</f>
        <v/>
      </c>
      <c r="O2095" s="209">
        <f>IF($F2095&lt;$B$2075,$E$2075+$I$2075*($F2095-$A$2075),IF($F2095&lt;$C$2075,$F$2075+$J$2075*($F2095-$B$2075),$G$2075+$K$2075*($F2095-$C$2075)))</f>
        <v/>
      </c>
      <c r="P2095" s="208">
        <f>MIN(1,MAX(0,(nr_MEndPm1-$G2095+0.5)/$C$2074))-MIN(1,MAX(0,(nr_MStartPm1-1-$G2095+0.5)/$C$2074))</f>
        <v/>
      </c>
      <c r="Q2095" s="208">
        <f>MIN(1,MAX(0,(nr_MEndP-$G2095+0.5)/$C$2074))-MIN(1,MAX(0,(nr_MStartP-1-$G2095+0.5)/$C$2074))</f>
        <v/>
      </c>
      <c r="R2095" s="208">
        <f>MIN(1,MAX(0,(nr_MEndP1-$G2095+0.5)/$C$2074))-MIN(1,MAX(0,(nr_MStartP1-1-$G2095+0.5)/$C$2074))</f>
        <v/>
      </c>
      <c r="S2095" s="208">
        <f>IF($L$2074,$N2095*IF($O$2074=1,$O2095/$F$2074,1),"")</f>
        <v/>
      </c>
      <c r="T2095" s="208">
        <f>IF(NOT($L$2074),"",IF($G2095&lt;nr_MStartP,$S2095,$T2083*(1+IF($G2095&lt;nr_MStartP1,$M$2074,$N$2074))))</f>
        <v/>
      </c>
      <c r="U2095" s="208">
        <f>IF($L$2074,$T2095,$N2095)</f>
        <v/>
      </c>
    </row>
    <row r="2096">
      <c r="A2096" s="145" t="n">
        <v>20</v>
      </c>
      <c r="B2096" s="204">
        <f>EDATE($B2095,1)</f>
        <v/>
      </c>
      <c r="C2096" s="205">
        <f>EOMONTH($B2096,0)</f>
        <v/>
      </c>
      <c r="D2096" s="201">
        <f>$C2096-$B2096+1</f>
        <v/>
      </c>
      <c r="E2096" s="201">
        <f>MONTH($B2096)</f>
        <v/>
      </c>
      <c r="F2096" s="235">
        <f>($B2096+$C2096+1)/2</f>
        <v/>
      </c>
      <c r="G2096" s="201">
        <f>YEAR($B2096)*12+MONTH($B2096)-1</f>
        <v/>
      </c>
      <c r="H2096" s="207">
        <f>IF(OR(nr_SeasonOn="OFF",$D$2074=0,$E$2074=0),1,12*INDEX(se_block,$D$2074,$E2096)/$E$2074)</f>
        <v/>
      </c>
      <c r="I2096" s="208">
        <f>EXP(SUMPRODUCT((rl_eff&lt;$B2096)*(rl_key=$A$2074)*rl_ln1p))</f>
        <v/>
      </c>
      <c r="J2096" s="208">
        <f>EXP(SUMPRODUCT((rl_eff&lt;=$C2096)*(rl_key=$A$2074)*rl_ln1p))</f>
        <v/>
      </c>
      <c r="K2096" s="201">
        <f>COUNTIFS(rl_key,$A$2074,rl_eff,"&gt;="&amp;$B2096,rl_eff,"&lt;="&amp;$C2096)</f>
        <v/>
      </c>
      <c r="L2096" s="201">
        <f>SUMIFS(rl_daysafter,rl_key,$A$2074,rl_effmonth,$B2096,rl_first,1)</f>
        <v/>
      </c>
      <c r="M2096" s="209">
        <f>IF($K2096=0,0,MIN(1,$L2096/$D2096))</f>
        <v/>
      </c>
      <c r="N2096" s="208">
        <f>IF($K2096=0,$J2096,(1-$M2096)*$I2096+$M2096*$J2096)</f>
        <v/>
      </c>
      <c r="O2096" s="209">
        <f>IF($F2096&lt;$B$2075,$E$2075+$I$2075*($F2096-$A$2075),IF($F2096&lt;$C$2075,$F$2075+$J$2075*($F2096-$B$2075),$G$2075+$K$2075*($F2096-$C$2075)))</f>
        <v/>
      </c>
      <c r="P2096" s="208">
        <f>MIN(1,MAX(0,(nr_MEndPm1-$G2096+0.5)/$C$2074))-MIN(1,MAX(0,(nr_MStartPm1-1-$G2096+0.5)/$C$2074))</f>
        <v/>
      </c>
      <c r="Q2096" s="208">
        <f>MIN(1,MAX(0,(nr_MEndP-$G2096+0.5)/$C$2074))-MIN(1,MAX(0,(nr_MStartP-1-$G2096+0.5)/$C$2074))</f>
        <v/>
      </c>
      <c r="R2096" s="208">
        <f>MIN(1,MAX(0,(nr_MEndP1-$G2096+0.5)/$C$2074))-MIN(1,MAX(0,(nr_MStartP1-1-$G2096+0.5)/$C$2074))</f>
        <v/>
      </c>
      <c r="S2096" s="208">
        <f>IF($L$2074,$N2096*IF($O$2074=1,$O2096/$F$2074,1),"")</f>
        <v/>
      </c>
      <c r="T2096" s="208">
        <f>IF(NOT($L$2074),"",IF($G2096&lt;nr_MStartP,$S2096,$T2084*(1+IF($G2096&lt;nr_MStartP1,$M$2074,$N$2074))))</f>
        <v/>
      </c>
      <c r="U2096" s="208">
        <f>IF($L$2074,$T2096,$N2096)</f>
        <v/>
      </c>
    </row>
    <row r="2097">
      <c r="A2097" s="145" t="n">
        <v>21</v>
      </c>
      <c r="B2097" s="204">
        <f>EDATE($B2096,1)</f>
        <v/>
      </c>
      <c r="C2097" s="205">
        <f>EOMONTH($B2097,0)</f>
        <v/>
      </c>
      <c r="D2097" s="201">
        <f>$C2097-$B2097+1</f>
        <v/>
      </c>
      <c r="E2097" s="201">
        <f>MONTH($B2097)</f>
        <v/>
      </c>
      <c r="F2097" s="235">
        <f>($B2097+$C2097+1)/2</f>
        <v/>
      </c>
      <c r="G2097" s="201">
        <f>YEAR($B2097)*12+MONTH($B2097)-1</f>
        <v/>
      </c>
      <c r="H2097" s="207">
        <f>IF(OR(nr_SeasonOn="OFF",$D$2074=0,$E$2074=0),1,12*INDEX(se_block,$D$2074,$E2097)/$E$2074)</f>
        <v/>
      </c>
      <c r="I2097" s="208">
        <f>EXP(SUMPRODUCT((rl_eff&lt;$B2097)*(rl_key=$A$2074)*rl_ln1p))</f>
        <v/>
      </c>
      <c r="J2097" s="208">
        <f>EXP(SUMPRODUCT((rl_eff&lt;=$C2097)*(rl_key=$A$2074)*rl_ln1p))</f>
        <v/>
      </c>
      <c r="K2097" s="201">
        <f>COUNTIFS(rl_key,$A$2074,rl_eff,"&gt;="&amp;$B2097,rl_eff,"&lt;="&amp;$C2097)</f>
        <v/>
      </c>
      <c r="L2097" s="201">
        <f>SUMIFS(rl_daysafter,rl_key,$A$2074,rl_effmonth,$B2097,rl_first,1)</f>
        <v/>
      </c>
      <c r="M2097" s="209">
        <f>IF($K2097=0,0,MIN(1,$L2097/$D2097))</f>
        <v/>
      </c>
      <c r="N2097" s="208">
        <f>IF($K2097=0,$J2097,(1-$M2097)*$I2097+$M2097*$J2097)</f>
        <v/>
      </c>
      <c r="O2097" s="209">
        <f>IF($F2097&lt;$B$2075,$E$2075+$I$2075*($F2097-$A$2075),IF($F2097&lt;$C$2075,$F$2075+$J$2075*($F2097-$B$2075),$G$2075+$K$2075*($F2097-$C$2075)))</f>
        <v/>
      </c>
      <c r="P2097" s="208">
        <f>MIN(1,MAX(0,(nr_MEndPm1-$G2097+0.5)/$C$2074))-MIN(1,MAX(0,(nr_MStartPm1-1-$G2097+0.5)/$C$2074))</f>
        <v/>
      </c>
      <c r="Q2097" s="208">
        <f>MIN(1,MAX(0,(nr_MEndP-$G2097+0.5)/$C$2074))-MIN(1,MAX(0,(nr_MStartP-1-$G2097+0.5)/$C$2074))</f>
        <v/>
      </c>
      <c r="R2097" s="208">
        <f>MIN(1,MAX(0,(nr_MEndP1-$G2097+0.5)/$C$2074))-MIN(1,MAX(0,(nr_MStartP1-1-$G2097+0.5)/$C$2074))</f>
        <v/>
      </c>
      <c r="S2097" s="208">
        <f>IF($L$2074,$N2097*IF($O$2074=1,$O2097/$F$2074,1),"")</f>
        <v/>
      </c>
      <c r="T2097" s="208">
        <f>IF(NOT($L$2074),"",IF($G2097&lt;nr_MStartP,$S2097,$T2085*(1+IF($G2097&lt;nr_MStartP1,$M$2074,$N$2074))))</f>
        <v/>
      </c>
      <c r="U2097" s="208">
        <f>IF($L$2074,$T2097,$N2097)</f>
        <v/>
      </c>
    </row>
    <row r="2098">
      <c r="A2098" s="145" t="n">
        <v>22</v>
      </c>
      <c r="B2098" s="204">
        <f>EDATE($B2097,1)</f>
        <v/>
      </c>
      <c r="C2098" s="205">
        <f>EOMONTH($B2098,0)</f>
        <v/>
      </c>
      <c r="D2098" s="201">
        <f>$C2098-$B2098+1</f>
        <v/>
      </c>
      <c r="E2098" s="201">
        <f>MONTH($B2098)</f>
        <v/>
      </c>
      <c r="F2098" s="235">
        <f>($B2098+$C2098+1)/2</f>
        <v/>
      </c>
      <c r="G2098" s="201">
        <f>YEAR($B2098)*12+MONTH($B2098)-1</f>
        <v/>
      </c>
      <c r="H2098" s="207">
        <f>IF(OR(nr_SeasonOn="OFF",$D$2074=0,$E$2074=0),1,12*INDEX(se_block,$D$2074,$E2098)/$E$2074)</f>
        <v/>
      </c>
      <c r="I2098" s="208">
        <f>EXP(SUMPRODUCT((rl_eff&lt;$B2098)*(rl_key=$A$2074)*rl_ln1p))</f>
        <v/>
      </c>
      <c r="J2098" s="208">
        <f>EXP(SUMPRODUCT((rl_eff&lt;=$C2098)*(rl_key=$A$2074)*rl_ln1p))</f>
        <v/>
      </c>
      <c r="K2098" s="201">
        <f>COUNTIFS(rl_key,$A$2074,rl_eff,"&gt;="&amp;$B2098,rl_eff,"&lt;="&amp;$C2098)</f>
        <v/>
      </c>
      <c r="L2098" s="201">
        <f>SUMIFS(rl_daysafter,rl_key,$A$2074,rl_effmonth,$B2098,rl_first,1)</f>
        <v/>
      </c>
      <c r="M2098" s="209">
        <f>IF($K2098=0,0,MIN(1,$L2098/$D2098))</f>
        <v/>
      </c>
      <c r="N2098" s="208">
        <f>IF($K2098=0,$J2098,(1-$M2098)*$I2098+$M2098*$J2098)</f>
        <v/>
      </c>
      <c r="O2098" s="209">
        <f>IF($F2098&lt;$B$2075,$E$2075+$I$2075*($F2098-$A$2075),IF($F2098&lt;$C$2075,$F$2075+$J$2075*($F2098-$B$2075),$G$2075+$K$2075*($F2098-$C$2075)))</f>
        <v/>
      </c>
      <c r="P2098" s="208">
        <f>MIN(1,MAX(0,(nr_MEndPm1-$G2098+0.5)/$C$2074))-MIN(1,MAX(0,(nr_MStartPm1-1-$G2098+0.5)/$C$2074))</f>
        <v/>
      </c>
      <c r="Q2098" s="208">
        <f>MIN(1,MAX(0,(nr_MEndP-$G2098+0.5)/$C$2074))-MIN(1,MAX(0,(nr_MStartP-1-$G2098+0.5)/$C$2074))</f>
        <v/>
      </c>
      <c r="R2098" s="208">
        <f>MIN(1,MAX(0,(nr_MEndP1-$G2098+0.5)/$C$2074))-MIN(1,MAX(0,(nr_MStartP1-1-$G2098+0.5)/$C$2074))</f>
        <v/>
      </c>
      <c r="S2098" s="208">
        <f>IF($L$2074,$N2098*IF($O$2074=1,$O2098/$F$2074,1),"")</f>
        <v/>
      </c>
      <c r="T2098" s="208">
        <f>IF(NOT($L$2074),"",IF($G2098&lt;nr_MStartP,$S2098,$T2086*(1+IF($G2098&lt;nr_MStartP1,$M$2074,$N$2074))))</f>
        <v/>
      </c>
      <c r="U2098" s="208">
        <f>IF($L$2074,$T2098,$N2098)</f>
        <v/>
      </c>
    </row>
    <row r="2099">
      <c r="A2099" s="145" t="n">
        <v>23</v>
      </c>
      <c r="B2099" s="204">
        <f>EDATE($B2098,1)</f>
        <v/>
      </c>
      <c r="C2099" s="205">
        <f>EOMONTH($B2099,0)</f>
        <v/>
      </c>
      <c r="D2099" s="201">
        <f>$C2099-$B2099+1</f>
        <v/>
      </c>
      <c r="E2099" s="201">
        <f>MONTH($B2099)</f>
        <v/>
      </c>
      <c r="F2099" s="235">
        <f>($B2099+$C2099+1)/2</f>
        <v/>
      </c>
      <c r="G2099" s="201">
        <f>YEAR($B2099)*12+MONTH($B2099)-1</f>
        <v/>
      </c>
      <c r="H2099" s="207">
        <f>IF(OR(nr_SeasonOn="OFF",$D$2074=0,$E$2074=0),1,12*INDEX(se_block,$D$2074,$E2099)/$E$2074)</f>
        <v/>
      </c>
      <c r="I2099" s="208">
        <f>EXP(SUMPRODUCT((rl_eff&lt;$B2099)*(rl_key=$A$2074)*rl_ln1p))</f>
        <v/>
      </c>
      <c r="J2099" s="208">
        <f>EXP(SUMPRODUCT((rl_eff&lt;=$C2099)*(rl_key=$A$2074)*rl_ln1p))</f>
        <v/>
      </c>
      <c r="K2099" s="201">
        <f>COUNTIFS(rl_key,$A$2074,rl_eff,"&gt;="&amp;$B2099,rl_eff,"&lt;="&amp;$C2099)</f>
        <v/>
      </c>
      <c r="L2099" s="201">
        <f>SUMIFS(rl_daysafter,rl_key,$A$2074,rl_effmonth,$B2099,rl_first,1)</f>
        <v/>
      </c>
      <c r="M2099" s="209">
        <f>IF($K2099=0,0,MIN(1,$L2099/$D2099))</f>
        <v/>
      </c>
      <c r="N2099" s="208">
        <f>IF($K2099=0,$J2099,(1-$M2099)*$I2099+$M2099*$J2099)</f>
        <v/>
      </c>
      <c r="O2099" s="209">
        <f>IF($F2099&lt;$B$2075,$E$2075+$I$2075*($F2099-$A$2075),IF($F2099&lt;$C$2075,$F$2075+$J$2075*($F2099-$B$2075),$G$2075+$K$2075*($F2099-$C$2075)))</f>
        <v/>
      </c>
      <c r="P2099" s="208">
        <f>MIN(1,MAX(0,(nr_MEndPm1-$G2099+0.5)/$C$2074))-MIN(1,MAX(0,(nr_MStartPm1-1-$G2099+0.5)/$C$2074))</f>
        <v/>
      </c>
      <c r="Q2099" s="208">
        <f>MIN(1,MAX(0,(nr_MEndP-$G2099+0.5)/$C$2074))-MIN(1,MAX(0,(nr_MStartP-1-$G2099+0.5)/$C$2074))</f>
        <v/>
      </c>
      <c r="R2099" s="208">
        <f>MIN(1,MAX(0,(nr_MEndP1-$G2099+0.5)/$C$2074))-MIN(1,MAX(0,(nr_MStartP1-1-$G2099+0.5)/$C$2074))</f>
        <v/>
      </c>
      <c r="S2099" s="208">
        <f>IF($L$2074,$N2099*IF($O$2074=1,$O2099/$F$2074,1),"")</f>
        <v/>
      </c>
      <c r="T2099" s="208">
        <f>IF(NOT($L$2074),"",IF($G2099&lt;nr_MStartP,$S2099,$T2087*(1+IF($G2099&lt;nr_MStartP1,$M$2074,$N$2074))))</f>
        <v/>
      </c>
      <c r="U2099" s="208">
        <f>IF($L$2074,$T2099,$N2099)</f>
        <v/>
      </c>
    </row>
    <row r="2100">
      <c r="A2100" s="145" t="n">
        <v>24</v>
      </c>
      <c r="B2100" s="204">
        <f>EDATE($B2099,1)</f>
        <v/>
      </c>
      <c r="C2100" s="205">
        <f>EOMONTH($B2100,0)</f>
        <v/>
      </c>
      <c r="D2100" s="201">
        <f>$C2100-$B2100+1</f>
        <v/>
      </c>
      <c r="E2100" s="201">
        <f>MONTH($B2100)</f>
        <v/>
      </c>
      <c r="F2100" s="235">
        <f>($B2100+$C2100+1)/2</f>
        <v/>
      </c>
      <c r="G2100" s="201">
        <f>YEAR($B2100)*12+MONTH($B2100)-1</f>
        <v/>
      </c>
      <c r="H2100" s="207">
        <f>IF(OR(nr_SeasonOn="OFF",$D$2074=0,$E$2074=0),1,12*INDEX(se_block,$D$2074,$E2100)/$E$2074)</f>
        <v/>
      </c>
      <c r="I2100" s="208">
        <f>EXP(SUMPRODUCT((rl_eff&lt;$B2100)*(rl_key=$A$2074)*rl_ln1p))</f>
        <v/>
      </c>
      <c r="J2100" s="208">
        <f>EXP(SUMPRODUCT((rl_eff&lt;=$C2100)*(rl_key=$A$2074)*rl_ln1p))</f>
        <v/>
      </c>
      <c r="K2100" s="201">
        <f>COUNTIFS(rl_key,$A$2074,rl_eff,"&gt;="&amp;$B2100,rl_eff,"&lt;="&amp;$C2100)</f>
        <v/>
      </c>
      <c r="L2100" s="201">
        <f>SUMIFS(rl_daysafter,rl_key,$A$2074,rl_effmonth,$B2100,rl_first,1)</f>
        <v/>
      </c>
      <c r="M2100" s="209">
        <f>IF($K2100=0,0,MIN(1,$L2100/$D2100))</f>
        <v/>
      </c>
      <c r="N2100" s="208">
        <f>IF($K2100=0,$J2100,(1-$M2100)*$I2100+$M2100*$J2100)</f>
        <v/>
      </c>
      <c r="O2100" s="209">
        <f>IF($F2100&lt;$B$2075,$E$2075+$I$2075*($F2100-$A$2075),IF($F2100&lt;$C$2075,$F$2075+$J$2075*($F2100-$B$2075),$G$2075+$K$2075*($F2100-$C$2075)))</f>
        <v/>
      </c>
      <c r="P2100" s="208">
        <f>MIN(1,MAX(0,(nr_MEndPm1-$G2100+0.5)/$C$2074))-MIN(1,MAX(0,(nr_MStartPm1-1-$G2100+0.5)/$C$2074))</f>
        <v/>
      </c>
      <c r="Q2100" s="208">
        <f>MIN(1,MAX(0,(nr_MEndP-$G2100+0.5)/$C$2074))-MIN(1,MAX(0,(nr_MStartP-1-$G2100+0.5)/$C$2074))</f>
        <v/>
      </c>
      <c r="R2100" s="208">
        <f>MIN(1,MAX(0,(nr_MEndP1-$G2100+0.5)/$C$2074))-MIN(1,MAX(0,(nr_MStartP1-1-$G2100+0.5)/$C$2074))</f>
        <v/>
      </c>
      <c r="S2100" s="208">
        <f>IF($L$2074,$N2100*IF($O$2074=1,$O2100/$F$2074,1),"")</f>
        <v/>
      </c>
      <c r="T2100" s="208">
        <f>IF(NOT($L$2074),"",IF($G2100&lt;nr_MStartP,$S2100,$T2088*(1+IF($G2100&lt;nr_MStartP1,$M$2074,$N$2074))))</f>
        <v/>
      </c>
      <c r="U2100" s="208">
        <f>IF($L$2074,$T2100,$N2100)</f>
        <v/>
      </c>
    </row>
    <row r="2101">
      <c r="A2101" s="145" t="n">
        <v>25</v>
      </c>
      <c r="B2101" s="204">
        <f>EDATE($B2100,1)</f>
        <v/>
      </c>
      <c r="C2101" s="205">
        <f>EOMONTH($B2101,0)</f>
        <v/>
      </c>
      <c r="D2101" s="201">
        <f>$C2101-$B2101+1</f>
        <v/>
      </c>
      <c r="E2101" s="201">
        <f>MONTH($B2101)</f>
        <v/>
      </c>
      <c r="F2101" s="235">
        <f>($B2101+$C2101+1)/2</f>
        <v/>
      </c>
      <c r="G2101" s="201">
        <f>YEAR($B2101)*12+MONTH($B2101)-1</f>
        <v/>
      </c>
      <c r="H2101" s="207">
        <f>IF(OR(nr_SeasonOn="OFF",$D$2074=0,$E$2074=0),1,12*INDEX(se_block,$D$2074,$E2101)/$E$2074)</f>
        <v/>
      </c>
      <c r="I2101" s="208">
        <f>EXP(SUMPRODUCT((rl_eff&lt;$B2101)*(rl_key=$A$2074)*rl_ln1p))</f>
        <v/>
      </c>
      <c r="J2101" s="208">
        <f>EXP(SUMPRODUCT((rl_eff&lt;=$C2101)*(rl_key=$A$2074)*rl_ln1p))</f>
        <v/>
      </c>
      <c r="K2101" s="201">
        <f>COUNTIFS(rl_key,$A$2074,rl_eff,"&gt;="&amp;$B2101,rl_eff,"&lt;="&amp;$C2101)</f>
        <v/>
      </c>
      <c r="L2101" s="201">
        <f>SUMIFS(rl_daysafter,rl_key,$A$2074,rl_effmonth,$B2101,rl_first,1)</f>
        <v/>
      </c>
      <c r="M2101" s="209">
        <f>IF($K2101=0,0,MIN(1,$L2101/$D2101))</f>
        <v/>
      </c>
      <c r="N2101" s="208">
        <f>IF($K2101=0,$J2101,(1-$M2101)*$I2101+$M2101*$J2101)</f>
        <v/>
      </c>
      <c r="O2101" s="209">
        <f>IF($F2101&lt;$B$2075,$E$2075+$I$2075*($F2101-$A$2075),IF($F2101&lt;$C$2075,$F$2075+$J$2075*($F2101-$B$2075),$G$2075+$K$2075*($F2101-$C$2075)))</f>
        <v/>
      </c>
      <c r="P2101" s="208">
        <f>MIN(1,MAX(0,(nr_MEndPm1-$G2101+0.5)/$C$2074))-MIN(1,MAX(0,(nr_MStartPm1-1-$G2101+0.5)/$C$2074))</f>
        <v/>
      </c>
      <c r="Q2101" s="208">
        <f>MIN(1,MAX(0,(nr_MEndP-$G2101+0.5)/$C$2074))-MIN(1,MAX(0,(nr_MStartP-1-$G2101+0.5)/$C$2074))</f>
        <v/>
      </c>
      <c r="R2101" s="208">
        <f>MIN(1,MAX(0,(nr_MEndP1-$G2101+0.5)/$C$2074))-MIN(1,MAX(0,(nr_MStartP1-1-$G2101+0.5)/$C$2074))</f>
        <v/>
      </c>
      <c r="S2101" s="208">
        <f>IF($L$2074,$N2101*IF($O$2074=1,$O2101/$F$2074,1),"")</f>
        <v/>
      </c>
      <c r="T2101" s="208">
        <f>IF(NOT($L$2074),"",IF($G2101&lt;nr_MStartP,$S2101,$T2089*(1+IF($G2101&lt;nr_MStartP1,$M$2074,$N$2074))))</f>
        <v/>
      </c>
      <c r="U2101" s="208">
        <f>IF($L$2074,$T2101,$N2101)</f>
        <v/>
      </c>
    </row>
    <row r="2102">
      <c r="A2102" s="145" t="n">
        <v>26</v>
      </c>
      <c r="B2102" s="204">
        <f>EDATE($B2101,1)</f>
        <v/>
      </c>
      <c r="C2102" s="205">
        <f>EOMONTH($B2102,0)</f>
        <v/>
      </c>
      <c r="D2102" s="201">
        <f>$C2102-$B2102+1</f>
        <v/>
      </c>
      <c r="E2102" s="201">
        <f>MONTH($B2102)</f>
        <v/>
      </c>
      <c r="F2102" s="235">
        <f>($B2102+$C2102+1)/2</f>
        <v/>
      </c>
      <c r="G2102" s="201">
        <f>YEAR($B2102)*12+MONTH($B2102)-1</f>
        <v/>
      </c>
      <c r="H2102" s="207">
        <f>IF(OR(nr_SeasonOn="OFF",$D$2074=0,$E$2074=0),1,12*INDEX(se_block,$D$2074,$E2102)/$E$2074)</f>
        <v/>
      </c>
      <c r="I2102" s="208">
        <f>EXP(SUMPRODUCT((rl_eff&lt;$B2102)*(rl_key=$A$2074)*rl_ln1p))</f>
        <v/>
      </c>
      <c r="J2102" s="208">
        <f>EXP(SUMPRODUCT((rl_eff&lt;=$C2102)*(rl_key=$A$2074)*rl_ln1p))</f>
        <v/>
      </c>
      <c r="K2102" s="201">
        <f>COUNTIFS(rl_key,$A$2074,rl_eff,"&gt;="&amp;$B2102,rl_eff,"&lt;="&amp;$C2102)</f>
        <v/>
      </c>
      <c r="L2102" s="201">
        <f>SUMIFS(rl_daysafter,rl_key,$A$2074,rl_effmonth,$B2102,rl_first,1)</f>
        <v/>
      </c>
      <c r="M2102" s="209">
        <f>IF($K2102=0,0,MIN(1,$L2102/$D2102))</f>
        <v/>
      </c>
      <c r="N2102" s="208">
        <f>IF($K2102=0,$J2102,(1-$M2102)*$I2102+$M2102*$J2102)</f>
        <v/>
      </c>
      <c r="O2102" s="209">
        <f>IF($F2102&lt;$B$2075,$E$2075+$I$2075*($F2102-$A$2075),IF($F2102&lt;$C$2075,$F$2075+$J$2075*($F2102-$B$2075),$G$2075+$K$2075*($F2102-$C$2075)))</f>
        <v/>
      </c>
      <c r="P2102" s="208">
        <f>MIN(1,MAX(0,(nr_MEndPm1-$G2102+0.5)/$C$2074))-MIN(1,MAX(0,(nr_MStartPm1-1-$G2102+0.5)/$C$2074))</f>
        <v/>
      </c>
      <c r="Q2102" s="208">
        <f>MIN(1,MAX(0,(nr_MEndP-$G2102+0.5)/$C$2074))-MIN(1,MAX(0,(nr_MStartP-1-$G2102+0.5)/$C$2074))</f>
        <v/>
      </c>
      <c r="R2102" s="208">
        <f>MIN(1,MAX(0,(nr_MEndP1-$G2102+0.5)/$C$2074))-MIN(1,MAX(0,(nr_MStartP1-1-$G2102+0.5)/$C$2074))</f>
        <v/>
      </c>
      <c r="S2102" s="208">
        <f>IF($L$2074,$N2102*IF($O$2074=1,$O2102/$F$2074,1),"")</f>
        <v/>
      </c>
      <c r="T2102" s="208">
        <f>IF(NOT($L$2074),"",IF($G2102&lt;nr_MStartP,$S2102,$T2090*(1+IF($G2102&lt;nr_MStartP1,$M$2074,$N$2074))))</f>
        <v/>
      </c>
      <c r="U2102" s="208">
        <f>IF($L$2074,$T2102,$N2102)</f>
        <v/>
      </c>
    </row>
    <row r="2103">
      <c r="A2103" s="145" t="n">
        <v>27</v>
      </c>
      <c r="B2103" s="204">
        <f>EDATE($B2102,1)</f>
        <v/>
      </c>
      <c r="C2103" s="205">
        <f>EOMONTH($B2103,0)</f>
        <v/>
      </c>
      <c r="D2103" s="201">
        <f>$C2103-$B2103+1</f>
        <v/>
      </c>
      <c r="E2103" s="201">
        <f>MONTH($B2103)</f>
        <v/>
      </c>
      <c r="F2103" s="235">
        <f>($B2103+$C2103+1)/2</f>
        <v/>
      </c>
      <c r="G2103" s="201">
        <f>YEAR($B2103)*12+MONTH($B2103)-1</f>
        <v/>
      </c>
      <c r="H2103" s="207">
        <f>IF(OR(nr_SeasonOn="OFF",$D$2074=0,$E$2074=0),1,12*INDEX(se_block,$D$2074,$E2103)/$E$2074)</f>
        <v/>
      </c>
      <c r="I2103" s="208">
        <f>EXP(SUMPRODUCT((rl_eff&lt;$B2103)*(rl_key=$A$2074)*rl_ln1p))</f>
        <v/>
      </c>
      <c r="J2103" s="208">
        <f>EXP(SUMPRODUCT((rl_eff&lt;=$C2103)*(rl_key=$A$2074)*rl_ln1p))</f>
        <v/>
      </c>
      <c r="K2103" s="201">
        <f>COUNTIFS(rl_key,$A$2074,rl_eff,"&gt;="&amp;$B2103,rl_eff,"&lt;="&amp;$C2103)</f>
        <v/>
      </c>
      <c r="L2103" s="201">
        <f>SUMIFS(rl_daysafter,rl_key,$A$2074,rl_effmonth,$B2103,rl_first,1)</f>
        <v/>
      </c>
      <c r="M2103" s="209">
        <f>IF($K2103=0,0,MIN(1,$L2103/$D2103))</f>
        <v/>
      </c>
      <c r="N2103" s="208">
        <f>IF($K2103=0,$J2103,(1-$M2103)*$I2103+$M2103*$J2103)</f>
        <v/>
      </c>
      <c r="O2103" s="209">
        <f>IF($F2103&lt;$B$2075,$E$2075+$I$2075*($F2103-$A$2075),IF($F2103&lt;$C$2075,$F$2075+$J$2075*($F2103-$B$2075),$G$2075+$K$2075*($F2103-$C$2075)))</f>
        <v/>
      </c>
      <c r="P2103" s="208">
        <f>MIN(1,MAX(0,(nr_MEndPm1-$G2103+0.5)/$C$2074))-MIN(1,MAX(0,(nr_MStartPm1-1-$G2103+0.5)/$C$2074))</f>
        <v/>
      </c>
      <c r="Q2103" s="208">
        <f>MIN(1,MAX(0,(nr_MEndP-$G2103+0.5)/$C$2074))-MIN(1,MAX(0,(nr_MStartP-1-$G2103+0.5)/$C$2074))</f>
        <v/>
      </c>
      <c r="R2103" s="208">
        <f>MIN(1,MAX(0,(nr_MEndP1-$G2103+0.5)/$C$2074))-MIN(1,MAX(0,(nr_MStartP1-1-$G2103+0.5)/$C$2074))</f>
        <v/>
      </c>
      <c r="S2103" s="208">
        <f>IF($L$2074,$N2103*IF($O$2074=1,$O2103/$F$2074,1),"")</f>
        <v/>
      </c>
      <c r="T2103" s="208">
        <f>IF(NOT($L$2074),"",IF($G2103&lt;nr_MStartP,$S2103,$T2091*(1+IF($G2103&lt;nr_MStartP1,$M$2074,$N$2074))))</f>
        <v/>
      </c>
      <c r="U2103" s="208">
        <f>IF($L$2074,$T2103,$N2103)</f>
        <v/>
      </c>
    </row>
    <row r="2104">
      <c r="A2104" s="145" t="n">
        <v>28</v>
      </c>
      <c r="B2104" s="204">
        <f>EDATE($B2103,1)</f>
        <v/>
      </c>
      <c r="C2104" s="205">
        <f>EOMONTH($B2104,0)</f>
        <v/>
      </c>
      <c r="D2104" s="201">
        <f>$C2104-$B2104+1</f>
        <v/>
      </c>
      <c r="E2104" s="201">
        <f>MONTH($B2104)</f>
        <v/>
      </c>
      <c r="F2104" s="235">
        <f>($B2104+$C2104+1)/2</f>
        <v/>
      </c>
      <c r="G2104" s="201">
        <f>YEAR($B2104)*12+MONTH($B2104)-1</f>
        <v/>
      </c>
      <c r="H2104" s="207">
        <f>IF(OR(nr_SeasonOn="OFF",$D$2074=0,$E$2074=0),1,12*INDEX(se_block,$D$2074,$E2104)/$E$2074)</f>
        <v/>
      </c>
      <c r="I2104" s="208">
        <f>EXP(SUMPRODUCT((rl_eff&lt;$B2104)*(rl_key=$A$2074)*rl_ln1p))</f>
        <v/>
      </c>
      <c r="J2104" s="208">
        <f>EXP(SUMPRODUCT((rl_eff&lt;=$C2104)*(rl_key=$A$2074)*rl_ln1p))</f>
        <v/>
      </c>
      <c r="K2104" s="201">
        <f>COUNTIFS(rl_key,$A$2074,rl_eff,"&gt;="&amp;$B2104,rl_eff,"&lt;="&amp;$C2104)</f>
        <v/>
      </c>
      <c r="L2104" s="201">
        <f>SUMIFS(rl_daysafter,rl_key,$A$2074,rl_effmonth,$B2104,rl_first,1)</f>
        <v/>
      </c>
      <c r="M2104" s="209">
        <f>IF($K2104=0,0,MIN(1,$L2104/$D2104))</f>
        <v/>
      </c>
      <c r="N2104" s="208">
        <f>IF($K2104=0,$J2104,(1-$M2104)*$I2104+$M2104*$J2104)</f>
        <v/>
      </c>
      <c r="O2104" s="209">
        <f>IF($F2104&lt;$B$2075,$E$2075+$I$2075*($F2104-$A$2075),IF($F2104&lt;$C$2075,$F$2075+$J$2075*($F2104-$B$2075),$G$2075+$K$2075*($F2104-$C$2075)))</f>
        <v/>
      </c>
      <c r="P2104" s="208">
        <f>MIN(1,MAX(0,(nr_MEndPm1-$G2104+0.5)/$C$2074))-MIN(1,MAX(0,(nr_MStartPm1-1-$G2104+0.5)/$C$2074))</f>
        <v/>
      </c>
      <c r="Q2104" s="208">
        <f>MIN(1,MAX(0,(nr_MEndP-$G2104+0.5)/$C$2074))-MIN(1,MAX(0,(nr_MStartP-1-$G2104+0.5)/$C$2074))</f>
        <v/>
      </c>
      <c r="R2104" s="208">
        <f>MIN(1,MAX(0,(nr_MEndP1-$G2104+0.5)/$C$2074))-MIN(1,MAX(0,(nr_MStartP1-1-$G2104+0.5)/$C$2074))</f>
        <v/>
      </c>
      <c r="S2104" s="208">
        <f>IF($L$2074,$N2104*IF($O$2074=1,$O2104/$F$2074,1),"")</f>
        <v/>
      </c>
      <c r="T2104" s="208">
        <f>IF(NOT($L$2074),"",IF($G2104&lt;nr_MStartP,$S2104,$T2092*(1+IF($G2104&lt;nr_MStartP1,$M$2074,$N$2074))))</f>
        <v/>
      </c>
      <c r="U2104" s="208">
        <f>IF($L$2074,$T2104,$N2104)</f>
        <v/>
      </c>
    </row>
    <row r="2105">
      <c r="A2105" s="145" t="n">
        <v>29</v>
      </c>
      <c r="B2105" s="204">
        <f>EDATE($B2104,1)</f>
        <v/>
      </c>
      <c r="C2105" s="205">
        <f>EOMONTH($B2105,0)</f>
        <v/>
      </c>
      <c r="D2105" s="201">
        <f>$C2105-$B2105+1</f>
        <v/>
      </c>
      <c r="E2105" s="201">
        <f>MONTH($B2105)</f>
        <v/>
      </c>
      <c r="F2105" s="235">
        <f>($B2105+$C2105+1)/2</f>
        <v/>
      </c>
      <c r="G2105" s="201">
        <f>YEAR($B2105)*12+MONTH($B2105)-1</f>
        <v/>
      </c>
      <c r="H2105" s="207">
        <f>IF(OR(nr_SeasonOn="OFF",$D$2074=0,$E$2074=0),1,12*INDEX(se_block,$D$2074,$E2105)/$E$2074)</f>
        <v/>
      </c>
      <c r="I2105" s="208">
        <f>EXP(SUMPRODUCT((rl_eff&lt;$B2105)*(rl_key=$A$2074)*rl_ln1p))</f>
        <v/>
      </c>
      <c r="J2105" s="208">
        <f>EXP(SUMPRODUCT((rl_eff&lt;=$C2105)*(rl_key=$A$2074)*rl_ln1p))</f>
        <v/>
      </c>
      <c r="K2105" s="201">
        <f>COUNTIFS(rl_key,$A$2074,rl_eff,"&gt;="&amp;$B2105,rl_eff,"&lt;="&amp;$C2105)</f>
        <v/>
      </c>
      <c r="L2105" s="201">
        <f>SUMIFS(rl_daysafter,rl_key,$A$2074,rl_effmonth,$B2105,rl_first,1)</f>
        <v/>
      </c>
      <c r="M2105" s="209">
        <f>IF($K2105=0,0,MIN(1,$L2105/$D2105))</f>
        <v/>
      </c>
      <c r="N2105" s="208">
        <f>IF($K2105=0,$J2105,(1-$M2105)*$I2105+$M2105*$J2105)</f>
        <v/>
      </c>
      <c r="O2105" s="209">
        <f>IF($F2105&lt;$B$2075,$E$2075+$I$2075*($F2105-$A$2075),IF($F2105&lt;$C$2075,$F$2075+$J$2075*($F2105-$B$2075),$G$2075+$K$2075*($F2105-$C$2075)))</f>
        <v/>
      </c>
      <c r="P2105" s="208">
        <f>MIN(1,MAX(0,(nr_MEndPm1-$G2105+0.5)/$C$2074))-MIN(1,MAX(0,(nr_MStartPm1-1-$G2105+0.5)/$C$2074))</f>
        <v/>
      </c>
      <c r="Q2105" s="208">
        <f>MIN(1,MAX(0,(nr_MEndP-$G2105+0.5)/$C$2074))-MIN(1,MAX(0,(nr_MStartP-1-$G2105+0.5)/$C$2074))</f>
        <v/>
      </c>
      <c r="R2105" s="208">
        <f>MIN(1,MAX(0,(nr_MEndP1-$G2105+0.5)/$C$2074))-MIN(1,MAX(0,(nr_MStartP1-1-$G2105+0.5)/$C$2074))</f>
        <v/>
      </c>
      <c r="S2105" s="208">
        <f>IF($L$2074,$N2105*IF($O$2074=1,$O2105/$F$2074,1),"")</f>
        <v/>
      </c>
      <c r="T2105" s="208">
        <f>IF(NOT($L$2074),"",IF($G2105&lt;nr_MStartP,$S2105,$T2093*(1+IF($G2105&lt;nr_MStartP1,$M$2074,$N$2074))))</f>
        <v/>
      </c>
      <c r="U2105" s="208">
        <f>IF($L$2074,$T2105,$N2105)</f>
        <v/>
      </c>
    </row>
    <row r="2106">
      <c r="A2106" s="145" t="n">
        <v>30</v>
      </c>
      <c r="B2106" s="204">
        <f>EDATE($B2105,1)</f>
        <v/>
      </c>
      <c r="C2106" s="205">
        <f>EOMONTH($B2106,0)</f>
        <v/>
      </c>
      <c r="D2106" s="201">
        <f>$C2106-$B2106+1</f>
        <v/>
      </c>
      <c r="E2106" s="201">
        <f>MONTH($B2106)</f>
        <v/>
      </c>
      <c r="F2106" s="235">
        <f>($B2106+$C2106+1)/2</f>
        <v/>
      </c>
      <c r="G2106" s="201">
        <f>YEAR($B2106)*12+MONTH($B2106)-1</f>
        <v/>
      </c>
      <c r="H2106" s="207">
        <f>IF(OR(nr_SeasonOn="OFF",$D$2074=0,$E$2074=0),1,12*INDEX(se_block,$D$2074,$E2106)/$E$2074)</f>
        <v/>
      </c>
      <c r="I2106" s="208">
        <f>EXP(SUMPRODUCT((rl_eff&lt;$B2106)*(rl_key=$A$2074)*rl_ln1p))</f>
        <v/>
      </c>
      <c r="J2106" s="208">
        <f>EXP(SUMPRODUCT((rl_eff&lt;=$C2106)*(rl_key=$A$2074)*rl_ln1p))</f>
        <v/>
      </c>
      <c r="K2106" s="201">
        <f>COUNTIFS(rl_key,$A$2074,rl_eff,"&gt;="&amp;$B2106,rl_eff,"&lt;="&amp;$C2106)</f>
        <v/>
      </c>
      <c r="L2106" s="201">
        <f>SUMIFS(rl_daysafter,rl_key,$A$2074,rl_effmonth,$B2106,rl_first,1)</f>
        <v/>
      </c>
      <c r="M2106" s="209">
        <f>IF($K2106=0,0,MIN(1,$L2106/$D2106))</f>
        <v/>
      </c>
      <c r="N2106" s="208">
        <f>IF($K2106=0,$J2106,(1-$M2106)*$I2106+$M2106*$J2106)</f>
        <v/>
      </c>
      <c r="O2106" s="209">
        <f>IF($F2106&lt;$B$2075,$E$2075+$I$2075*($F2106-$A$2075),IF($F2106&lt;$C$2075,$F$2075+$J$2075*($F2106-$B$2075),$G$2075+$K$2075*($F2106-$C$2075)))</f>
        <v/>
      </c>
      <c r="P2106" s="208">
        <f>MIN(1,MAX(0,(nr_MEndPm1-$G2106+0.5)/$C$2074))-MIN(1,MAX(0,(nr_MStartPm1-1-$G2106+0.5)/$C$2074))</f>
        <v/>
      </c>
      <c r="Q2106" s="208">
        <f>MIN(1,MAX(0,(nr_MEndP-$G2106+0.5)/$C$2074))-MIN(1,MAX(0,(nr_MStartP-1-$G2106+0.5)/$C$2074))</f>
        <v/>
      </c>
      <c r="R2106" s="208">
        <f>MIN(1,MAX(0,(nr_MEndP1-$G2106+0.5)/$C$2074))-MIN(1,MAX(0,(nr_MStartP1-1-$G2106+0.5)/$C$2074))</f>
        <v/>
      </c>
      <c r="S2106" s="208">
        <f>IF($L$2074,$N2106*IF($O$2074=1,$O2106/$F$2074,1),"")</f>
        <v/>
      </c>
      <c r="T2106" s="208">
        <f>IF(NOT($L$2074),"",IF($G2106&lt;nr_MStartP,$S2106,$T2094*(1+IF($G2106&lt;nr_MStartP1,$M$2074,$N$2074))))</f>
        <v/>
      </c>
      <c r="U2106" s="208">
        <f>IF($L$2074,$T2106,$N2106)</f>
        <v/>
      </c>
    </row>
    <row r="2107">
      <c r="A2107" s="145" t="n">
        <v>31</v>
      </c>
      <c r="B2107" s="204">
        <f>EDATE($B2106,1)</f>
        <v/>
      </c>
      <c r="C2107" s="205">
        <f>EOMONTH($B2107,0)</f>
        <v/>
      </c>
      <c r="D2107" s="201">
        <f>$C2107-$B2107+1</f>
        <v/>
      </c>
      <c r="E2107" s="201">
        <f>MONTH($B2107)</f>
        <v/>
      </c>
      <c r="F2107" s="235">
        <f>($B2107+$C2107+1)/2</f>
        <v/>
      </c>
      <c r="G2107" s="201">
        <f>YEAR($B2107)*12+MONTH($B2107)-1</f>
        <v/>
      </c>
      <c r="H2107" s="207">
        <f>IF(OR(nr_SeasonOn="OFF",$D$2074=0,$E$2074=0),1,12*INDEX(se_block,$D$2074,$E2107)/$E$2074)</f>
        <v/>
      </c>
      <c r="I2107" s="208">
        <f>EXP(SUMPRODUCT((rl_eff&lt;$B2107)*(rl_key=$A$2074)*rl_ln1p))</f>
        <v/>
      </c>
      <c r="J2107" s="208">
        <f>EXP(SUMPRODUCT((rl_eff&lt;=$C2107)*(rl_key=$A$2074)*rl_ln1p))</f>
        <v/>
      </c>
      <c r="K2107" s="201">
        <f>COUNTIFS(rl_key,$A$2074,rl_eff,"&gt;="&amp;$B2107,rl_eff,"&lt;="&amp;$C2107)</f>
        <v/>
      </c>
      <c r="L2107" s="201">
        <f>SUMIFS(rl_daysafter,rl_key,$A$2074,rl_effmonth,$B2107,rl_first,1)</f>
        <v/>
      </c>
      <c r="M2107" s="209">
        <f>IF($K2107=0,0,MIN(1,$L2107/$D2107))</f>
        <v/>
      </c>
      <c r="N2107" s="208">
        <f>IF($K2107=0,$J2107,(1-$M2107)*$I2107+$M2107*$J2107)</f>
        <v/>
      </c>
      <c r="O2107" s="209">
        <f>IF($F2107&lt;$B$2075,$E$2075+$I$2075*($F2107-$A$2075),IF($F2107&lt;$C$2075,$F$2075+$J$2075*($F2107-$B$2075),$G$2075+$K$2075*($F2107-$C$2075)))</f>
        <v/>
      </c>
      <c r="P2107" s="208">
        <f>MIN(1,MAX(0,(nr_MEndPm1-$G2107+0.5)/$C$2074))-MIN(1,MAX(0,(nr_MStartPm1-1-$G2107+0.5)/$C$2074))</f>
        <v/>
      </c>
      <c r="Q2107" s="208">
        <f>MIN(1,MAX(0,(nr_MEndP-$G2107+0.5)/$C$2074))-MIN(1,MAX(0,(nr_MStartP-1-$G2107+0.5)/$C$2074))</f>
        <v/>
      </c>
      <c r="R2107" s="208">
        <f>MIN(1,MAX(0,(nr_MEndP1-$G2107+0.5)/$C$2074))-MIN(1,MAX(0,(nr_MStartP1-1-$G2107+0.5)/$C$2074))</f>
        <v/>
      </c>
      <c r="S2107" s="208">
        <f>IF($L$2074,$N2107*IF($O$2074=1,$O2107/$F$2074,1),"")</f>
        <v/>
      </c>
      <c r="T2107" s="208">
        <f>IF(NOT($L$2074),"",IF($G2107&lt;nr_MStartP,$S2107,$T2095*(1+IF($G2107&lt;nr_MStartP1,$M$2074,$N$2074))))</f>
        <v/>
      </c>
      <c r="U2107" s="208">
        <f>IF($L$2074,$T2107,$N2107)</f>
        <v/>
      </c>
    </row>
    <row r="2108">
      <c r="A2108" s="145" t="n">
        <v>32</v>
      </c>
      <c r="B2108" s="204">
        <f>EDATE($B2107,1)</f>
        <v/>
      </c>
      <c r="C2108" s="205">
        <f>EOMONTH($B2108,0)</f>
        <v/>
      </c>
      <c r="D2108" s="201">
        <f>$C2108-$B2108+1</f>
        <v/>
      </c>
      <c r="E2108" s="201">
        <f>MONTH($B2108)</f>
        <v/>
      </c>
      <c r="F2108" s="235">
        <f>($B2108+$C2108+1)/2</f>
        <v/>
      </c>
      <c r="G2108" s="201">
        <f>YEAR($B2108)*12+MONTH($B2108)-1</f>
        <v/>
      </c>
      <c r="H2108" s="207">
        <f>IF(OR(nr_SeasonOn="OFF",$D$2074=0,$E$2074=0),1,12*INDEX(se_block,$D$2074,$E2108)/$E$2074)</f>
        <v/>
      </c>
      <c r="I2108" s="208">
        <f>EXP(SUMPRODUCT((rl_eff&lt;$B2108)*(rl_key=$A$2074)*rl_ln1p))</f>
        <v/>
      </c>
      <c r="J2108" s="208">
        <f>EXP(SUMPRODUCT((rl_eff&lt;=$C2108)*(rl_key=$A$2074)*rl_ln1p))</f>
        <v/>
      </c>
      <c r="K2108" s="201">
        <f>COUNTIFS(rl_key,$A$2074,rl_eff,"&gt;="&amp;$B2108,rl_eff,"&lt;="&amp;$C2108)</f>
        <v/>
      </c>
      <c r="L2108" s="201">
        <f>SUMIFS(rl_daysafter,rl_key,$A$2074,rl_effmonth,$B2108,rl_first,1)</f>
        <v/>
      </c>
      <c r="M2108" s="209">
        <f>IF($K2108=0,0,MIN(1,$L2108/$D2108))</f>
        <v/>
      </c>
      <c r="N2108" s="208">
        <f>IF($K2108=0,$J2108,(1-$M2108)*$I2108+$M2108*$J2108)</f>
        <v/>
      </c>
      <c r="O2108" s="209">
        <f>IF($F2108&lt;$B$2075,$E$2075+$I$2075*($F2108-$A$2075),IF($F2108&lt;$C$2075,$F$2075+$J$2075*($F2108-$B$2075),$G$2075+$K$2075*($F2108-$C$2075)))</f>
        <v/>
      </c>
      <c r="P2108" s="208">
        <f>MIN(1,MAX(0,(nr_MEndPm1-$G2108+0.5)/$C$2074))-MIN(1,MAX(0,(nr_MStartPm1-1-$G2108+0.5)/$C$2074))</f>
        <v/>
      </c>
      <c r="Q2108" s="208">
        <f>MIN(1,MAX(0,(nr_MEndP-$G2108+0.5)/$C$2074))-MIN(1,MAX(0,(nr_MStartP-1-$G2108+0.5)/$C$2074))</f>
        <v/>
      </c>
      <c r="R2108" s="208">
        <f>MIN(1,MAX(0,(nr_MEndP1-$G2108+0.5)/$C$2074))-MIN(1,MAX(0,(nr_MStartP1-1-$G2108+0.5)/$C$2074))</f>
        <v/>
      </c>
      <c r="S2108" s="208">
        <f>IF($L$2074,$N2108*IF($O$2074=1,$O2108/$F$2074,1),"")</f>
        <v/>
      </c>
      <c r="T2108" s="208">
        <f>IF(NOT($L$2074),"",IF($G2108&lt;nr_MStartP,$S2108,$T2096*(1+IF($G2108&lt;nr_MStartP1,$M$2074,$N$2074))))</f>
        <v/>
      </c>
      <c r="U2108" s="208">
        <f>IF($L$2074,$T2108,$N2108)</f>
        <v/>
      </c>
    </row>
    <row r="2109">
      <c r="A2109" s="145" t="n">
        <v>33</v>
      </c>
      <c r="B2109" s="204">
        <f>EDATE($B2108,1)</f>
        <v/>
      </c>
      <c r="C2109" s="205">
        <f>EOMONTH($B2109,0)</f>
        <v/>
      </c>
      <c r="D2109" s="201">
        <f>$C2109-$B2109+1</f>
        <v/>
      </c>
      <c r="E2109" s="201">
        <f>MONTH($B2109)</f>
        <v/>
      </c>
      <c r="F2109" s="235">
        <f>($B2109+$C2109+1)/2</f>
        <v/>
      </c>
      <c r="G2109" s="201">
        <f>YEAR($B2109)*12+MONTH($B2109)-1</f>
        <v/>
      </c>
      <c r="H2109" s="207">
        <f>IF(OR(nr_SeasonOn="OFF",$D$2074=0,$E$2074=0),1,12*INDEX(se_block,$D$2074,$E2109)/$E$2074)</f>
        <v/>
      </c>
      <c r="I2109" s="208">
        <f>EXP(SUMPRODUCT((rl_eff&lt;$B2109)*(rl_key=$A$2074)*rl_ln1p))</f>
        <v/>
      </c>
      <c r="J2109" s="208">
        <f>EXP(SUMPRODUCT((rl_eff&lt;=$C2109)*(rl_key=$A$2074)*rl_ln1p))</f>
        <v/>
      </c>
      <c r="K2109" s="201">
        <f>COUNTIFS(rl_key,$A$2074,rl_eff,"&gt;="&amp;$B2109,rl_eff,"&lt;="&amp;$C2109)</f>
        <v/>
      </c>
      <c r="L2109" s="201">
        <f>SUMIFS(rl_daysafter,rl_key,$A$2074,rl_effmonth,$B2109,rl_first,1)</f>
        <v/>
      </c>
      <c r="M2109" s="209">
        <f>IF($K2109=0,0,MIN(1,$L2109/$D2109))</f>
        <v/>
      </c>
      <c r="N2109" s="208">
        <f>IF($K2109=0,$J2109,(1-$M2109)*$I2109+$M2109*$J2109)</f>
        <v/>
      </c>
      <c r="O2109" s="209">
        <f>IF($F2109&lt;$B$2075,$E$2075+$I$2075*($F2109-$A$2075),IF($F2109&lt;$C$2075,$F$2075+$J$2075*($F2109-$B$2075),$G$2075+$K$2075*($F2109-$C$2075)))</f>
        <v/>
      </c>
      <c r="P2109" s="208">
        <f>MIN(1,MAX(0,(nr_MEndPm1-$G2109+0.5)/$C$2074))-MIN(1,MAX(0,(nr_MStartPm1-1-$G2109+0.5)/$C$2074))</f>
        <v/>
      </c>
      <c r="Q2109" s="208">
        <f>MIN(1,MAX(0,(nr_MEndP-$G2109+0.5)/$C$2074))-MIN(1,MAX(0,(nr_MStartP-1-$G2109+0.5)/$C$2074))</f>
        <v/>
      </c>
      <c r="R2109" s="208">
        <f>MIN(1,MAX(0,(nr_MEndP1-$G2109+0.5)/$C$2074))-MIN(1,MAX(0,(nr_MStartP1-1-$G2109+0.5)/$C$2074))</f>
        <v/>
      </c>
      <c r="S2109" s="208">
        <f>IF($L$2074,$N2109*IF($O$2074=1,$O2109/$F$2074,1),"")</f>
        <v/>
      </c>
      <c r="T2109" s="208">
        <f>IF(NOT($L$2074),"",IF($G2109&lt;nr_MStartP,$S2109,$T2097*(1+IF($G2109&lt;nr_MStartP1,$M$2074,$N$2074))))</f>
        <v/>
      </c>
      <c r="U2109" s="208">
        <f>IF($L$2074,$T2109,$N2109)</f>
        <v/>
      </c>
    </row>
    <row r="2110">
      <c r="A2110" s="145" t="n">
        <v>34</v>
      </c>
      <c r="B2110" s="204">
        <f>EDATE($B2109,1)</f>
        <v/>
      </c>
      <c r="C2110" s="205">
        <f>EOMONTH($B2110,0)</f>
        <v/>
      </c>
      <c r="D2110" s="201">
        <f>$C2110-$B2110+1</f>
        <v/>
      </c>
      <c r="E2110" s="201">
        <f>MONTH($B2110)</f>
        <v/>
      </c>
      <c r="F2110" s="235">
        <f>($B2110+$C2110+1)/2</f>
        <v/>
      </c>
      <c r="G2110" s="201">
        <f>YEAR($B2110)*12+MONTH($B2110)-1</f>
        <v/>
      </c>
      <c r="H2110" s="207">
        <f>IF(OR(nr_SeasonOn="OFF",$D$2074=0,$E$2074=0),1,12*INDEX(se_block,$D$2074,$E2110)/$E$2074)</f>
        <v/>
      </c>
      <c r="I2110" s="208">
        <f>EXP(SUMPRODUCT((rl_eff&lt;$B2110)*(rl_key=$A$2074)*rl_ln1p))</f>
        <v/>
      </c>
      <c r="J2110" s="208">
        <f>EXP(SUMPRODUCT((rl_eff&lt;=$C2110)*(rl_key=$A$2074)*rl_ln1p))</f>
        <v/>
      </c>
      <c r="K2110" s="201">
        <f>COUNTIFS(rl_key,$A$2074,rl_eff,"&gt;="&amp;$B2110,rl_eff,"&lt;="&amp;$C2110)</f>
        <v/>
      </c>
      <c r="L2110" s="201">
        <f>SUMIFS(rl_daysafter,rl_key,$A$2074,rl_effmonth,$B2110,rl_first,1)</f>
        <v/>
      </c>
      <c r="M2110" s="209">
        <f>IF($K2110=0,0,MIN(1,$L2110/$D2110))</f>
        <v/>
      </c>
      <c r="N2110" s="208">
        <f>IF($K2110=0,$J2110,(1-$M2110)*$I2110+$M2110*$J2110)</f>
        <v/>
      </c>
      <c r="O2110" s="209">
        <f>IF($F2110&lt;$B$2075,$E$2075+$I$2075*($F2110-$A$2075),IF($F2110&lt;$C$2075,$F$2075+$J$2075*($F2110-$B$2075),$G$2075+$K$2075*($F2110-$C$2075)))</f>
        <v/>
      </c>
      <c r="P2110" s="208">
        <f>MIN(1,MAX(0,(nr_MEndPm1-$G2110+0.5)/$C$2074))-MIN(1,MAX(0,(nr_MStartPm1-1-$G2110+0.5)/$C$2074))</f>
        <v/>
      </c>
      <c r="Q2110" s="208">
        <f>MIN(1,MAX(0,(nr_MEndP-$G2110+0.5)/$C$2074))-MIN(1,MAX(0,(nr_MStartP-1-$G2110+0.5)/$C$2074))</f>
        <v/>
      </c>
      <c r="R2110" s="208">
        <f>MIN(1,MAX(0,(nr_MEndP1-$G2110+0.5)/$C$2074))-MIN(1,MAX(0,(nr_MStartP1-1-$G2110+0.5)/$C$2074))</f>
        <v/>
      </c>
      <c r="S2110" s="208">
        <f>IF($L$2074,$N2110*IF($O$2074=1,$O2110/$F$2074,1),"")</f>
        <v/>
      </c>
      <c r="T2110" s="208">
        <f>IF(NOT($L$2074),"",IF($G2110&lt;nr_MStartP,$S2110,$T2098*(1+IF($G2110&lt;nr_MStartP1,$M$2074,$N$2074))))</f>
        <v/>
      </c>
      <c r="U2110" s="208">
        <f>IF($L$2074,$T2110,$N2110)</f>
        <v/>
      </c>
    </row>
    <row r="2111">
      <c r="A2111" s="145" t="n">
        <v>35</v>
      </c>
      <c r="B2111" s="204">
        <f>EDATE($B2110,1)</f>
        <v/>
      </c>
      <c r="C2111" s="205">
        <f>EOMONTH($B2111,0)</f>
        <v/>
      </c>
      <c r="D2111" s="201">
        <f>$C2111-$B2111+1</f>
        <v/>
      </c>
      <c r="E2111" s="201">
        <f>MONTH($B2111)</f>
        <v/>
      </c>
      <c r="F2111" s="235">
        <f>($B2111+$C2111+1)/2</f>
        <v/>
      </c>
      <c r="G2111" s="201">
        <f>YEAR($B2111)*12+MONTH($B2111)-1</f>
        <v/>
      </c>
      <c r="H2111" s="207">
        <f>IF(OR(nr_SeasonOn="OFF",$D$2074=0,$E$2074=0),1,12*INDEX(se_block,$D$2074,$E2111)/$E$2074)</f>
        <v/>
      </c>
      <c r="I2111" s="208">
        <f>EXP(SUMPRODUCT((rl_eff&lt;$B2111)*(rl_key=$A$2074)*rl_ln1p))</f>
        <v/>
      </c>
      <c r="J2111" s="208">
        <f>EXP(SUMPRODUCT((rl_eff&lt;=$C2111)*(rl_key=$A$2074)*rl_ln1p))</f>
        <v/>
      </c>
      <c r="K2111" s="201">
        <f>COUNTIFS(rl_key,$A$2074,rl_eff,"&gt;="&amp;$B2111,rl_eff,"&lt;="&amp;$C2111)</f>
        <v/>
      </c>
      <c r="L2111" s="201">
        <f>SUMIFS(rl_daysafter,rl_key,$A$2074,rl_effmonth,$B2111,rl_first,1)</f>
        <v/>
      </c>
      <c r="M2111" s="209">
        <f>IF($K2111=0,0,MIN(1,$L2111/$D2111))</f>
        <v/>
      </c>
      <c r="N2111" s="208">
        <f>IF($K2111=0,$J2111,(1-$M2111)*$I2111+$M2111*$J2111)</f>
        <v/>
      </c>
      <c r="O2111" s="209">
        <f>IF($F2111&lt;$B$2075,$E$2075+$I$2075*($F2111-$A$2075),IF($F2111&lt;$C$2075,$F$2075+$J$2075*($F2111-$B$2075),$G$2075+$K$2075*($F2111-$C$2075)))</f>
        <v/>
      </c>
      <c r="P2111" s="208">
        <f>MIN(1,MAX(0,(nr_MEndPm1-$G2111+0.5)/$C$2074))-MIN(1,MAX(0,(nr_MStartPm1-1-$G2111+0.5)/$C$2074))</f>
        <v/>
      </c>
      <c r="Q2111" s="208">
        <f>MIN(1,MAX(0,(nr_MEndP-$G2111+0.5)/$C$2074))-MIN(1,MAX(0,(nr_MStartP-1-$G2111+0.5)/$C$2074))</f>
        <v/>
      </c>
      <c r="R2111" s="208">
        <f>MIN(1,MAX(0,(nr_MEndP1-$G2111+0.5)/$C$2074))-MIN(1,MAX(0,(nr_MStartP1-1-$G2111+0.5)/$C$2074))</f>
        <v/>
      </c>
      <c r="S2111" s="208">
        <f>IF($L$2074,$N2111*IF($O$2074=1,$O2111/$F$2074,1),"")</f>
        <v/>
      </c>
      <c r="T2111" s="208">
        <f>IF(NOT($L$2074),"",IF($G2111&lt;nr_MStartP,$S2111,$T2099*(1+IF($G2111&lt;nr_MStartP1,$M$2074,$N$2074))))</f>
        <v/>
      </c>
      <c r="U2111" s="208">
        <f>IF($L$2074,$T2111,$N2111)</f>
        <v/>
      </c>
    </row>
    <row r="2112">
      <c r="A2112" s="145" t="n">
        <v>36</v>
      </c>
      <c r="B2112" s="204">
        <f>EDATE($B2111,1)</f>
        <v/>
      </c>
      <c r="C2112" s="205">
        <f>EOMONTH($B2112,0)</f>
        <v/>
      </c>
      <c r="D2112" s="201">
        <f>$C2112-$B2112+1</f>
        <v/>
      </c>
      <c r="E2112" s="201">
        <f>MONTH($B2112)</f>
        <v/>
      </c>
      <c r="F2112" s="235">
        <f>($B2112+$C2112+1)/2</f>
        <v/>
      </c>
      <c r="G2112" s="201">
        <f>YEAR($B2112)*12+MONTH($B2112)-1</f>
        <v/>
      </c>
      <c r="H2112" s="207">
        <f>IF(OR(nr_SeasonOn="OFF",$D$2074=0,$E$2074=0),1,12*INDEX(se_block,$D$2074,$E2112)/$E$2074)</f>
        <v/>
      </c>
      <c r="I2112" s="208">
        <f>EXP(SUMPRODUCT((rl_eff&lt;$B2112)*(rl_key=$A$2074)*rl_ln1p))</f>
        <v/>
      </c>
      <c r="J2112" s="208">
        <f>EXP(SUMPRODUCT((rl_eff&lt;=$C2112)*(rl_key=$A$2074)*rl_ln1p))</f>
        <v/>
      </c>
      <c r="K2112" s="201">
        <f>COUNTIFS(rl_key,$A$2074,rl_eff,"&gt;="&amp;$B2112,rl_eff,"&lt;="&amp;$C2112)</f>
        <v/>
      </c>
      <c r="L2112" s="201">
        <f>SUMIFS(rl_daysafter,rl_key,$A$2074,rl_effmonth,$B2112,rl_first,1)</f>
        <v/>
      </c>
      <c r="M2112" s="209">
        <f>IF($K2112=0,0,MIN(1,$L2112/$D2112))</f>
        <v/>
      </c>
      <c r="N2112" s="208">
        <f>IF($K2112=0,$J2112,(1-$M2112)*$I2112+$M2112*$J2112)</f>
        <v/>
      </c>
      <c r="O2112" s="209">
        <f>IF($F2112&lt;$B$2075,$E$2075+$I$2075*($F2112-$A$2075),IF($F2112&lt;$C$2075,$F$2075+$J$2075*($F2112-$B$2075),$G$2075+$K$2075*($F2112-$C$2075)))</f>
        <v/>
      </c>
      <c r="P2112" s="208">
        <f>MIN(1,MAX(0,(nr_MEndPm1-$G2112+0.5)/$C$2074))-MIN(1,MAX(0,(nr_MStartPm1-1-$G2112+0.5)/$C$2074))</f>
        <v/>
      </c>
      <c r="Q2112" s="208">
        <f>MIN(1,MAX(0,(nr_MEndP-$G2112+0.5)/$C$2074))-MIN(1,MAX(0,(nr_MStartP-1-$G2112+0.5)/$C$2074))</f>
        <v/>
      </c>
      <c r="R2112" s="208">
        <f>MIN(1,MAX(0,(nr_MEndP1-$G2112+0.5)/$C$2074))-MIN(1,MAX(0,(nr_MStartP1-1-$G2112+0.5)/$C$2074))</f>
        <v/>
      </c>
      <c r="S2112" s="208">
        <f>IF($L$2074,$N2112*IF($O$2074=1,$O2112/$F$2074,1),"")</f>
        <v/>
      </c>
      <c r="T2112" s="208">
        <f>IF(NOT($L$2074),"",IF($G2112&lt;nr_MStartP,$S2112,$T2100*(1+IF($G2112&lt;nr_MStartP1,$M$2074,$N$2074))))</f>
        <v/>
      </c>
      <c r="U2112" s="208">
        <f>IF($L$2074,$T2112,$N2112)</f>
        <v/>
      </c>
    </row>
    <row r="2113">
      <c r="A2113" s="145" t="n">
        <v>37</v>
      </c>
      <c r="B2113" s="204">
        <f>EDATE($B2112,1)</f>
        <v/>
      </c>
      <c r="C2113" s="205">
        <f>EOMONTH($B2113,0)</f>
        <v/>
      </c>
      <c r="D2113" s="201">
        <f>$C2113-$B2113+1</f>
        <v/>
      </c>
      <c r="E2113" s="201">
        <f>MONTH($B2113)</f>
        <v/>
      </c>
      <c r="F2113" s="235">
        <f>($B2113+$C2113+1)/2</f>
        <v/>
      </c>
      <c r="G2113" s="201">
        <f>YEAR($B2113)*12+MONTH($B2113)-1</f>
        <v/>
      </c>
      <c r="H2113" s="207">
        <f>IF(OR(nr_SeasonOn="OFF",$D$2074=0,$E$2074=0),1,12*INDEX(se_block,$D$2074,$E2113)/$E$2074)</f>
        <v/>
      </c>
      <c r="I2113" s="208">
        <f>EXP(SUMPRODUCT((rl_eff&lt;$B2113)*(rl_key=$A$2074)*rl_ln1p))</f>
        <v/>
      </c>
      <c r="J2113" s="208">
        <f>EXP(SUMPRODUCT((rl_eff&lt;=$C2113)*(rl_key=$A$2074)*rl_ln1p))</f>
        <v/>
      </c>
      <c r="K2113" s="201">
        <f>COUNTIFS(rl_key,$A$2074,rl_eff,"&gt;="&amp;$B2113,rl_eff,"&lt;="&amp;$C2113)</f>
        <v/>
      </c>
      <c r="L2113" s="201">
        <f>SUMIFS(rl_daysafter,rl_key,$A$2074,rl_effmonth,$B2113,rl_first,1)</f>
        <v/>
      </c>
      <c r="M2113" s="209">
        <f>IF($K2113=0,0,MIN(1,$L2113/$D2113))</f>
        <v/>
      </c>
      <c r="N2113" s="208">
        <f>IF($K2113=0,$J2113,(1-$M2113)*$I2113+$M2113*$J2113)</f>
        <v/>
      </c>
      <c r="O2113" s="209">
        <f>IF($F2113&lt;$B$2075,$E$2075+$I$2075*($F2113-$A$2075),IF($F2113&lt;$C$2075,$F$2075+$J$2075*($F2113-$B$2075),$G$2075+$K$2075*($F2113-$C$2075)))</f>
        <v/>
      </c>
      <c r="P2113" s="208">
        <f>MIN(1,MAX(0,(nr_MEndPm1-$G2113+0.5)/$C$2074))-MIN(1,MAX(0,(nr_MStartPm1-1-$G2113+0.5)/$C$2074))</f>
        <v/>
      </c>
      <c r="Q2113" s="208">
        <f>MIN(1,MAX(0,(nr_MEndP-$G2113+0.5)/$C$2074))-MIN(1,MAX(0,(nr_MStartP-1-$G2113+0.5)/$C$2074))</f>
        <v/>
      </c>
      <c r="R2113" s="208">
        <f>MIN(1,MAX(0,(nr_MEndP1-$G2113+0.5)/$C$2074))-MIN(1,MAX(0,(nr_MStartP1-1-$G2113+0.5)/$C$2074))</f>
        <v/>
      </c>
      <c r="S2113" s="208">
        <f>IF($L$2074,$N2113*IF($O$2074=1,$O2113/$F$2074,1),"")</f>
        <v/>
      </c>
      <c r="T2113" s="208">
        <f>IF(NOT($L$2074),"",IF($G2113&lt;nr_MStartP,$S2113,$T2101*(1+IF($G2113&lt;nr_MStartP1,$M$2074,$N$2074))))</f>
        <v/>
      </c>
      <c r="U2113" s="208">
        <f>IF($L$2074,$T2113,$N2113)</f>
        <v/>
      </c>
    </row>
    <row r="2114">
      <c r="A2114" s="145" t="n">
        <v>38</v>
      </c>
      <c r="B2114" s="204">
        <f>EDATE($B2113,1)</f>
        <v/>
      </c>
      <c r="C2114" s="205">
        <f>EOMONTH($B2114,0)</f>
        <v/>
      </c>
      <c r="D2114" s="201">
        <f>$C2114-$B2114+1</f>
        <v/>
      </c>
      <c r="E2114" s="201">
        <f>MONTH($B2114)</f>
        <v/>
      </c>
      <c r="F2114" s="235">
        <f>($B2114+$C2114+1)/2</f>
        <v/>
      </c>
      <c r="G2114" s="201">
        <f>YEAR($B2114)*12+MONTH($B2114)-1</f>
        <v/>
      </c>
      <c r="H2114" s="207">
        <f>IF(OR(nr_SeasonOn="OFF",$D$2074=0,$E$2074=0),1,12*INDEX(se_block,$D$2074,$E2114)/$E$2074)</f>
        <v/>
      </c>
      <c r="I2114" s="208">
        <f>EXP(SUMPRODUCT((rl_eff&lt;$B2114)*(rl_key=$A$2074)*rl_ln1p))</f>
        <v/>
      </c>
      <c r="J2114" s="208">
        <f>EXP(SUMPRODUCT((rl_eff&lt;=$C2114)*(rl_key=$A$2074)*rl_ln1p))</f>
        <v/>
      </c>
      <c r="K2114" s="201">
        <f>COUNTIFS(rl_key,$A$2074,rl_eff,"&gt;="&amp;$B2114,rl_eff,"&lt;="&amp;$C2114)</f>
        <v/>
      </c>
      <c r="L2114" s="201">
        <f>SUMIFS(rl_daysafter,rl_key,$A$2074,rl_effmonth,$B2114,rl_first,1)</f>
        <v/>
      </c>
      <c r="M2114" s="209">
        <f>IF($K2114=0,0,MIN(1,$L2114/$D2114))</f>
        <v/>
      </c>
      <c r="N2114" s="208">
        <f>IF($K2114=0,$J2114,(1-$M2114)*$I2114+$M2114*$J2114)</f>
        <v/>
      </c>
      <c r="O2114" s="209">
        <f>IF($F2114&lt;$B$2075,$E$2075+$I$2075*($F2114-$A$2075),IF($F2114&lt;$C$2075,$F$2075+$J$2075*($F2114-$B$2075),$G$2075+$K$2075*($F2114-$C$2075)))</f>
        <v/>
      </c>
      <c r="P2114" s="208">
        <f>MIN(1,MAX(0,(nr_MEndPm1-$G2114+0.5)/$C$2074))-MIN(1,MAX(0,(nr_MStartPm1-1-$G2114+0.5)/$C$2074))</f>
        <v/>
      </c>
      <c r="Q2114" s="208">
        <f>MIN(1,MAX(0,(nr_MEndP-$G2114+0.5)/$C$2074))-MIN(1,MAX(0,(nr_MStartP-1-$G2114+0.5)/$C$2074))</f>
        <v/>
      </c>
      <c r="R2114" s="208">
        <f>MIN(1,MAX(0,(nr_MEndP1-$G2114+0.5)/$C$2074))-MIN(1,MAX(0,(nr_MStartP1-1-$G2114+0.5)/$C$2074))</f>
        <v/>
      </c>
      <c r="S2114" s="208">
        <f>IF($L$2074,$N2114*IF($O$2074=1,$O2114/$F$2074,1),"")</f>
        <v/>
      </c>
      <c r="T2114" s="208">
        <f>IF(NOT($L$2074),"",IF($G2114&lt;nr_MStartP,$S2114,$T2102*(1+IF($G2114&lt;nr_MStartP1,$M$2074,$N$2074))))</f>
        <v/>
      </c>
      <c r="U2114" s="208">
        <f>IF($L$2074,$T2114,$N2114)</f>
        <v/>
      </c>
    </row>
    <row r="2115">
      <c r="A2115" s="145" t="n">
        <v>39</v>
      </c>
      <c r="B2115" s="204">
        <f>EDATE($B2114,1)</f>
        <v/>
      </c>
      <c r="C2115" s="205">
        <f>EOMONTH($B2115,0)</f>
        <v/>
      </c>
      <c r="D2115" s="201">
        <f>$C2115-$B2115+1</f>
        <v/>
      </c>
      <c r="E2115" s="201">
        <f>MONTH($B2115)</f>
        <v/>
      </c>
      <c r="F2115" s="235">
        <f>($B2115+$C2115+1)/2</f>
        <v/>
      </c>
      <c r="G2115" s="201">
        <f>YEAR($B2115)*12+MONTH($B2115)-1</f>
        <v/>
      </c>
      <c r="H2115" s="207">
        <f>IF(OR(nr_SeasonOn="OFF",$D$2074=0,$E$2074=0),1,12*INDEX(se_block,$D$2074,$E2115)/$E$2074)</f>
        <v/>
      </c>
      <c r="I2115" s="208">
        <f>EXP(SUMPRODUCT((rl_eff&lt;$B2115)*(rl_key=$A$2074)*rl_ln1p))</f>
        <v/>
      </c>
      <c r="J2115" s="208">
        <f>EXP(SUMPRODUCT((rl_eff&lt;=$C2115)*(rl_key=$A$2074)*rl_ln1p))</f>
        <v/>
      </c>
      <c r="K2115" s="201">
        <f>COUNTIFS(rl_key,$A$2074,rl_eff,"&gt;="&amp;$B2115,rl_eff,"&lt;="&amp;$C2115)</f>
        <v/>
      </c>
      <c r="L2115" s="201">
        <f>SUMIFS(rl_daysafter,rl_key,$A$2074,rl_effmonth,$B2115,rl_first,1)</f>
        <v/>
      </c>
      <c r="M2115" s="209">
        <f>IF($K2115=0,0,MIN(1,$L2115/$D2115))</f>
        <v/>
      </c>
      <c r="N2115" s="208">
        <f>IF($K2115=0,$J2115,(1-$M2115)*$I2115+$M2115*$J2115)</f>
        <v/>
      </c>
      <c r="O2115" s="209">
        <f>IF($F2115&lt;$B$2075,$E$2075+$I$2075*($F2115-$A$2075),IF($F2115&lt;$C$2075,$F$2075+$J$2075*($F2115-$B$2075),$G$2075+$K$2075*($F2115-$C$2075)))</f>
        <v/>
      </c>
      <c r="P2115" s="208">
        <f>MIN(1,MAX(0,(nr_MEndPm1-$G2115+0.5)/$C$2074))-MIN(1,MAX(0,(nr_MStartPm1-1-$G2115+0.5)/$C$2074))</f>
        <v/>
      </c>
      <c r="Q2115" s="208">
        <f>MIN(1,MAX(0,(nr_MEndP-$G2115+0.5)/$C$2074))-MIN(1,MAX(0,(nr_MStartP-1-$G2115+0.5)/$C$2074))</f>
        <v/>
      </c>
      <c r="R2115" s="208">
        <f>MIN(1,MAX(0,(nr_MEndP1-$G2115+0.5)/$C$2074))-MIN(1,MAX(0,(nr_MStartP1-1-$G2115+0.5)/$C$2074))</f>
        <v/>
      </c>
      <c r="S2115" s="208">
        <f>IF($L$2074,$N2115*IF($O$2074=1,$O2115/$F$2074,1),"")</f>
        <v/>
      </c>
      <c r="T2115" s="208">
        <f>IF(NOT($L$2074),"",IF($G2115&lt;nr_MStartP,$S2115,$T2103*(1+IF($G2115&lt;nr_MStartP1,$M$2074,$N$2074))))</f>
        <v/>
      </c>
      <c r="U2115" s="208">
        <f>IF($L$2074,$T2115,$N2115)</f>
        <v/>
      </c>
    </row>
    <row r="2116">
      <c r="A2116" s="145" t="n">
        <v>40</v>
      </c>
      <c r="B2116" s="204">
        <f>EDATE($B2115,1)</f>
        <v/>
      </c>
      <c r="C2116" s="205">
        <f>EOMONTH($B2116,0)</f>
        <v/>
      </c>
      <c r="D2116" s="201">
        <f>$C2116-$B2116+1</f>
        <v/>
      </c>
      <c r="E2116" s="201">
        <f>MONTH($B2116)</f>
        <v/>
      </c>
      <c r="F2116" s="235">
        <f>($B2116+$C2116+1)/2</f>
        <v/>
      </c>
      <c r="G2116" s="201">
        <f>YEAR($B2116)*12+MONTH($B2116)-1</f>
        <v/>
      </c>
      <c r="H2116" s="207">
        <f>IF(OR(nr_SeasonOn="OFF",$D$2074=0,$E$2074=0),1,12*INDEX(se_block,$D$2074,$E2116)/$E$2074)</f>
        <v/>
      </c>
      <c r="I2116" s="208">
        <f>EXP(SUMPRODUCT((rl_eff&lt;$B2116)*(rl_key=$A$2074)*rl_ln1p))</f>
        <v/>
      </c>
      <c r="J2116" s="208">
        <f>EXP(SUMPRODUCT((rl_eff&lt;=$C2116)*(rl_key=$A$2074)*rl_ln1p))</f>
        <v/>
      </c>
      <c r="K2116" s="201">
        <f>COUNTIFS(rl_key,$A$2074,rl_eff,"&gt;="&amp;$B2116,rl_eff,"&lt;="&amp;$C2116)</f>
        <v/>
      </c>
      <c r="L2116" s="201">
        <f>SUMIFS(rl_daysafter,rl_key,$A$2074,rl_effmonth,$B2116,rl_first,1)</f>
        <v/>
      </c>
      <c r="M2116" s="209">
        <f>IF($K2116=0,0,MIN(1,$L2116/$D2116))</f>
        <v/>
      </c>
      <c r="N2116" s="208">
        <f>IF($K2116=0,$J2116,(1-$M2116)*$I2116+$M2116*$J2116)</f>
        <v/>
      </c>
      <c r="O2116" s="209">
        <f>IF($F2116&lt;$B$2075,$E$2075+$I$2075*($F2116-$A$2075),IF($F2116&lt;$C$2075,$F$2075+$J$2075*($F2116-$B$2075),$G$2075+$K$2075*($F2116-$C$2075)))</f>
        <v/>
      </c>
      <c r="P2116" s="208">
        <f>MIN(1,MAX(0,(nr_MEndPm1-$G2116+0.5)/$C$2074))-MIN(1,MAX(0,(nr_MStartPm1-1-$G2116+0.5)/$C$2074))</f>
        <v/>
      </c>
      <c r="Q2116" s="208">
        <f>MIN(1,MAX(0,(nr_MEndP-$G2116+0.5)/$C$2074))-MIN(1,MAX(0,(nr_MStartP-1-$G2116+0.5)/$C$2074))</f>
        <v/>
      </c>
      <c r="R2116" s="208">
        <f>MIN(1,MAX(0,(nr_MEndP1-$G2116+0.5)/$C$2074))-MIN(1,MAX(0,(nr_MStartP1-1-$G2116+0.5)/$C$2074))</f>
        <v/>
      </c>
      <c r="S2116" s="208">
        <f>IF($L$2074,$N2116*IF($O$2074=1,$O2116/$F$2074,1),"")</f>
        <v/>
      </c>
      <c r="T2116" s="208">
        <f>IF(NOT($L$2074),"",IF($G2116&lt;nr_MStartP,$S2116,$T2104*(1+IF($G2116&lt;nr_MStartP1,$M$2074,$N$2074))))</f>
        <v/>
      </c>
      <c r="U2116" s="208">
        <f>IF($L$2074,$T2116,$N2116)</f>
        <v/>
      </c>
    </row>
    <row r="2117">
      <c r="A2117" s="145" t="n">
        <v>41</v>
      </c>
      <c r="B2117" s="204">
        <f>EDATE($B2116,1)</f>
        <v/>
      </c>
      <c r="C2117" s="205">
        <f>EOMONTH($B2117,0)</f>
        <v/>
      </c>
      <c r="D2117" s="201">
        <f>$C2117-$B2117+1</f>
        <v/>
      </c>
      <c r="E2117" s="201">
        <f>MONTH($B2117)</f>
        <v/>
      </c>
      <c r="F2117" s="235">
        <f>($B2117+$C2117+1)/2</f>
        <v/>
      </c>
      <c r="G2117" s="201">
        <f>YEAR($B2117)*12+MONTH($B2117)-1</f>
        <v/>
      </c>
      <c r="H2117" s="207">
        <f>IF(OR(nr_SeasonOn="OFF",$D$2074=0,$E$2074=0),1,12*INDEX(se_block,$D$2074,$E2117)/$E$2074)</f>
        <v/>
      </c>
      <c r="I2117" s="208">
        <f>EXP(SUMPRODUCT((rl_eff&lt;$B2117)*(rl_key=$A$2074)*rl_ln1p))</f>
        <v/>
      </c>
      <c r="J2117" s="208">
        <f>EXP(SUMPRODUCT((rl_eff&lt;=$C2117)*(rl_key=$A$2074)*rl_ln1p))</f>
        <v/>
      </c>
      <c r="K2117" s="201">
        <f>COUNTIFS(rl_key,$A$2074,rl_eff,"&gt;="&amp;$B2117,rl_eff,"&lt;="&amp;$C2117)</f>
        <v/>
      </c>
      <c r="L2117" s="201">
        <f>SUMIFS(rl_daysafter,rl_key,$A$2074,rl_effmonth,$B2117,rl_first,1)</f>
        <v/>
      </c>
      <c r="M2117" s="209">
        <f>IF($K2117=0,0,MIN(1,$L2117/$D2117))</f>
        <v/>
      </c>
      <c r="N2117" s="208">
        <f>IF($K2117=0,$J2117,(1-$M2117)*$I2117+$M2117*$J2117)</f>
        <v/>
      </c>
      <c r="O2117" s="209">
        <f>IF($F2117&lt;$B$2075,$E$2075+$I$2075*($F2117-$A$2075),IF($F2117&lt;$C$2075,$F$2075+$J$2075*($F2117-$B$2075),$G$2075+$K$2075*($F2117-$C$2075)))</f>
        <v/>
      </c>
      <c r="P2117" s="208">
        <f>MIN(1,MAX(0,(nr_MEndPm1-$G2117+0.5)/$C$2074))-MIN(1,MAX(0,(nr_MStartPm1-1-$G2117+0.5)/$C$2074))</f>
        <v/>
      </c>
      <c r="Q2117" s="208">
        <f>MIN(1,MAX(0,(nr_MEndP-$G2117+0.5)/$C$2074))-MIN(1,MAX(0,(nr_MStartP-1-$G2117+0.5)/$C$2074))</f>
        <v/>
      </c>
      <c r="R2117" s="208">
        <f>MIN(1,MAX(0,(nr_MEndP1-$G2117+0.5)/$C$2074))-MIN(1,MAX(0,(nr_MStartP1-1-$G2117+0.5)/$C$2074))</f>
        <v/>
      </c>
      <c r="S2117" s="208">
        <f>IF($L$2074,$N2117*IF($O$2074=1,$O2117/$F$2074,1),"")</f>
        <v/>
      </c>
      <c r="T2117" s="208">
        <f>IF(NOT($L$2074),"",IF($G2117&lt;nr_MStartP,$S2117,$T2105*(1+IF($G2117&lt;nr_MStartP1,$M$2074,$N$2074))))</f>
        <v/>
      </c>
      <c r="U2117" s="208">
        <f>IF($L$2074,$T2117,$N2117)</f>
        <v/>
      </c>
    </row>
    <row r="2118">
      <c r="A2118" s="145" t="n">
        <v>42</v>
      </c>
      <c r="B2118" s="204">
        <f>EDATE($B2117,1)</f>
        <v/>
      </c>
      <c r="C2118" s="205">
        <f>EOMONTH($B2118,0)</f>
        <v/>
      </c>
      <c r="D2118" s="201">
        <f>$C2118-$B2118+1</f>
        <v/>
      </c>
      <c r="E2118" s="201">
        <f>MONTH($B2118)</f>
        <v/>
      </c>
      <c r="F2118" s="235">
        <f>($B2118+$C2118+1)/2</f>
        <v/>
      </c>
      <c r="G2118" s="201">
        <f>YEAR($B2118)*12+MONTH($B2118)-1</f>
        <v/>
      </c>
      <c r="H2118" s="207">
        <f>IF(OR(nr_SeasonOn="OFF",$D$2074=0,$E$2074=0),1,12*INDEX(se_block,$D$2074,$E2118)/$E$2074)</f>
        <v/>
      </c>
      <c r="I2118" s="208">
        <f>EXP(SUMPRODUCT((rl_eff&lt;$B2118)*(rl_key=$A$2074)*rl_ln1p))</f>
        <v/>
      </c>
      <c r="J2118" s="208">
        <f>EXP(SUMPRODUCT((rl_eff&lt;=$C2118)*(rl_key=$A$2074)*rl_ln1p))</f>
        <v/>
      </c>
      <c r="K2118" s="201">
        <f>COUNTIFS(rl_key,$A$2074,rl_eff,"&gt;="&amp;$B2118,rl_eff,"&lt;="&amp;$C2118)</f>
        <v/>
      </c>
      <c r="L2118" s="201">
        <f>SUMIFS(rl_daysafter,rl_key,$A$2074,rl_effmonth,$B2118,rl_first,1)</f>
        <v/>
      </c>
      <c r="M2118" s="209">
        <f>IF($K2118=0,0,MIN(1,$L2118/$D2118))</f>
        <v/>
      </c>
      <c r="N2118" s="208">
        <f>IF($K2118=0,$J2118,(1-$M2118)*$I2118+$M2118*$J2118)</f>
        <v/>
      </c>
      <c r="O2118" s="209">
        <f>IF($F2118&lt;$B$2075,$E$2075+$I$2075*($F2118-$A$2075),IF($F2118&lt;$C$2075,$F$2075+$J$2075*($F2118-$B$2075),$G$2075+$K$2075*($F2118-$C$2075)))</f>
        <v/>
      </c>
      <c r="P2118" s="208">
        <f>MIN(1,MAX(0,(nr_MEndPm1-$G2118+0.5)/$C$2074))-MIN(1,MAX(0,(nr_MStartPm1-1-$G2118+0.5)/$C$2074))</f>
        <v/>
      </c>
      <c r="Q2118" s="208">
        <f>MIN(1,MAX(0,(nr_MEndP-$G2118+0.5)/$C$2074))-MIN(1,MAX(0,(nr_MStartP-1-$G2118+0.5)/$C$2074))</f>
        <v/>
      </c>
      <c r="R2118" s="208">
        <f>MIN(1,MAX(0,(nr_MEndP1-$G2118+0.5)/$C$2074))-MIN(1,MAX(0,(nr_MStartP1-1-$G2118+0.5)/$C$2074))</f>
        <v/>
      </c>
      <c r="S2118" s="208">
        <f>IF($L$2074,$N2118*IF($O$2074=1,$O2118/$F$2074,1),"")</f>
        <v/>
      </c>
      <c r="T2118" s="208">
        <f>IF(NOT($L$2074),"",IF($G2118&lt;nr_MStartP,$S2118,$T2106*(1+IF($G2118&lt;nr_MStartP1,$M$2074,$N$2074))))</f>
        <v/>
      </c>
      <c r="U2118" s="208">
        <f>IF($L$2074,$T2118,$N2118)</f>
        <v/>
      </c>
    </row>
    <row r="2119">
      <c r="A2119" s="145" t="n">
        <v>43</v>
      </c>
      <c r="B2119" s="204">
        <f>EDATE($B2118,1)</f>
        <v/>
      </c>
      <c r="C2119" s="205">
        <f>EOMONTH($B2119,0)</f>
        <v/>
      </c>
      <c r="D2119" s="201">
        <f>$C2119-$B2119+1</f>
        <v/>
      </c>
      <c r="E2119" s="201">
        <f>MONTH($B2119)</f>
        <v/>
      </c>
      <c r="F2119" s="235">
        <f>($B2119+$C2119+1)/2</f>
        <v/>
      </c>
      <c r="G2119" s="201">
        <f>YEAR($B2119)*12+MONTH($B2119)-1</f>
        <v/>
      </c>
      <c r="H2119" s="207">
        <f>IF(OR(nr_SeasonOn="OFF",$D$2074=0,$E$2074=0),1,12*INDEX(se_block,$D$2074,$E2119)/$E$2074)</f>
        <v/>
      </c>
      <c r="I2119" s="208">
        <f>EXP(SUMPRODUCT((rl_eff&lt;$B2119)*(rl_key=$A$2074)*rl_ln1p))</f>
        <v/>
      </c>
      <c r="J2119" s="208">
        <f>EXP(SUMPRODUCT((rl_eff&lt;=$C2119)*(rl_key=$A$2074)*rl_ln1p))</f>
        <v/>
      </c>
      <c r="K2119" s="201">
        <f>COUNTIFS(rl_key,$A$2074,rl_eff,"&gt;="&amp;$B2119,rl_eff,"&lt;="&amp;$C2119)</f>
        <v/>
      </c>
      <c r="L2119" s="201">
        <f>SUMIFS(rl_daysafter,rl_key,$A$2074,rl_effmonth,$B2119,rl_first,1)</f>
        <v/>
      </c>
      <c r="M2119" s="209">
        <f>IF($K2119=0,0,MIN(1,$L2119/$D2119))</f>
        <v/>
      </c>
      <c r="N2119" s="208">
        <f>IF($K2119=0,$J2119,(1-$M2119)*$I2119+$M2119*$J2119)</f>
        <v/>
      </c>
      <c r="O2119" s="209">
        <f>IF($F2119&lt;$B$2075,$E$2075+$I$2075*($F2119-$A$2075),IF($F2119&lt;$C$2075,$F$2075+$J$2075*($F2119-$B$2075),$G$2075+$K$2075*($F2119-$C$2075)))</f>
        <v/>
      </c>
      <c r="P2119" s="208">
        <f>MIN(1,MAX(0,(nr_MEndPm1-$G2119+0.5)/$C$2074))-MIN(1,MAX(0,(nr_MStartPm1-1-$G2119+0.5)/$C$2074))</f>
        <v/>
      </c>
      <c r="Q2119" s="208">
        <f>MIN(1,MAX(0,(nr_MEndP-$G2119+0.5)/$C$2074))-MIN(1,MAX(0,(nr_MStartP-1-$G2119+0.5)/$C$2074))</f>
        <v/>
      </c>
      <c r="R2119" s="208">
        <f>MIN(1,MAX(0,(nr_MEndP1-$G2119+0.5)/$C$2074))-MIN(1,MAX(0,(nr_MStartP1-1-$G2119+0.5)/$C$2074))</f>
        <v/>
      </c>
      <c r="S2119" s="208">
        <f>IF($L$2074,$N2119*IF($O$2074=1,$O2119/$F$2074,1),"")</f>
        <v/>
      </c>
      <c r="T2119" s="208">
        <f>IF(NOT($L$2074),"",IF($G2119&lt;nr_MStartP,$S2119,$T2107*(1+IF($G2119&lt;nr_MStartP1,$M$2074,$N$2074))))</f>
        <v/>
      </c>
      <c r="U2119" s="208">
        <f>IF($L$2074,$T2119,$N2119)</f>
        <v/>
      </c>
    </row>
    <row r="2120">
      <c r="A2120" s="145" t="n">
        <v>44</v>
      </c>
      <c r="B2120" s="204">
        <f>EDATE($B2119,1)</f>
        <v/>
      </c>
      <c r="C2120" s="205">
        <f>EOMONTH($B2120,0)</f>
        <v/>
      </c>
      <c r="D2120" s="201">
        <f>$C2120-$B2120+1</f>
        <v/>
      </c>
      <c r="E2120" s="201">
        <f>MONTH($B2120)</f>
        <v/>
      </c>
      <c r="F2120" s="235">
        <f>($B2120+$C2120+1)/2</f>
        <v/>
      </c>
      <c r="G2120" s="201">
        <f>YEAR($B2120)*12+MONTH($B2120)-1</f>
        <v/>
      </c>
      <c r="H2120" s="207">
        <f>IF(OR(nr_SeasonOn="OFF",$D$2074=0,$E$2074=0),1,12*INDEX(se_block,$D$2074,$E2120)/$E$2074)</f>
        <v/>
      </c>
      <c r="I2120" s="208">
        <f>EXP(SUMPRODUCT((rl_eff&lt;$B2120)*(rl_key=$A$2074)*rl_ln1p))</f>
        <v/>
      </c>
      <c r="J2120" s="208">
        <f>EXP(SUMPRODUCT((rl_eff&lt;=$C2120)*(rl_key=$A$2074)*rl_ln1p))</f>
        <v/>
      </c>
      <c r="K2120" s="201">
        <f>COUNTIFS(rl_key,$A$2074,rl_eff,"&gt;="&amp;$B2120,rl_eff,"&lt;="&amp;$C2120)</f>
        <v/>
      </c>
      <c r="L2120" s="201">
        <f>SUMIFS(rl_daysafter,rl_key,$A$2074,rl_effmonth,$B2120,rl_first,1)</f>
        <v/>
      </c>
      <c r="M2120" s="209">
        <f>IF($K2120=0,0,MIN(1,$L2120/$D2120))</f>
        <v/>
      </c>
      <c r="N2120" s="208">
        <f>IF($K2120=0,$J2120,(1-$M2120)*$I2120+$M2120*$J2120)</f>
        <v/>
      </c>
      <c r="O2120" s="209">
        <f>IF($F2120&lt;$B$2075,$E$2075+$I$2075*($F2120-$A$2075),IF($F2120&lt;$C$2075,$F$2075+$J$2075*($F2120-$B$2075),$G$2075+$K$2075*($F2120-$C$2075)))</f>
        <v/>
      </c>
      <c r="P2120" s="208">
        <f>MIN(1,MAX(0,(nr_MEndPm1-$G2120+0.5)/$C$2074))-MIN(1,MAX(0,(nr_MStartPm1-1-$G2120+0.5)/$C$2074))</f>
        <v/>
      </c>
      <c r="Q2120" s="208">
        <f>MIN(1,MAX(0,(nr_MEndP-$G2120+0.5)/$C$2074))-MIN(1,MAX(0,(nr_MStartP-1-$G2120+0.5)/$C$2074))</f>
        <v/>
      </c>
      <c r="R2120" s="208">
        <f>MIN(1,MAX(0,(nr_MEndP1-$G2120+0.5)/$C$2074))-MIN(1,MAX(0,(nr_MStartP1-1-$G2120+0.5)/$C$2074))</f>
        <v/>
      </c>
      <c r="S2120" s="208">
        <f>IF($L$2074,$N2120*IF($O$2074=1,$O2120/$F$2074,1),"")</f>
        <v/>
      </c>
      <c r="T2120" s="208">
        <f>IF(NOT($L$2074),"",IF($G2120&lt;nr_MStartP,$S2120,$T2108*(1+IF($G2120&lt;nr_MStartP1,$M$2074,$N$2074))))</f>
        <v/>
      </c>
      <c r="U2120" s="208">
        <f>IF($L$2074,$T2120,$N2120)</f>
        <v/>
      </c>
    </row>
    <row r="2121">
      <c r="A2121" s="145" t="n">
        <v>45</v>
      </c>
      <c r="B2121" s="204">
        <f>EDATE($B2120,1)</f>
        <v/>
      </c>
      <c r="C2121" s="205">
        <f>EOMONTH($B2121,0)</f>
        <v/>
      </c>
      <c r="D2121" s="201">
        <f>$C2121-$B2121+1</f>
        <v/>
      </c>
      <c r="E2121" s="201">
        <f>MONTH($B2121)</f>
        <v/>
      </c>
      <c r="F2121" s="235">
        <f>($B2121+$C2121+1)/2</f>
        <v/>
      </c>
      <c r="G2121" s="201">
        <f>YEAR($B2121)*12+MONTH($B2121)-1</f>
        <v/>
      </c>
      <c r="H2121" s="207">
        <f>IF(OR(nr_SeasonOn="OFF",$D$2074=0,$E$2074=0),1,12*INDEX(se_block,$D$2074,$E2121)/$E$2074)</f>
        <v/>
      </c>
      <c r="I2121" s="208">
        <f>EXP(SUMPRODUCT((rl_eff&lt;$B2121)*(rl_key=$A$2074)*rl_ln1p))</f>
        <v/>
      </c>
      <c r="J2121" s="208">
        <f>EXP(SUMPRODUCT((rl_eff&lt;=$C2121)*(rl_key=$A$2074)*rl_ln1p))</f>
        <v/>
      </c>
      <c r="K2121" s="201">
        <f>COUNTIFS(rl_key,$A$2074,rl_eff,"&gt;="&amp;$B2121,rl_eff,"&lt;="&amp;$C2121)</f>
        <v/>
      </c>
      <c r="L2121" s="201">
        <f>SUMIFS(rl_daysafter,rl_key,$A$2074,rl_effmonth,$B2121,rl_first,1)</f>
        <v/>
      </c>
      <c r="M2121" s="209">
        <f>IF($K2121=0,0,MIN(1,$L2121/$D2121))</f>
        <v/>
      </c>
      <c r="N2121" s="208">
        <f>IF($K2121=0,$J2121,(1-$M2121)*$I2121+$M2121*$J2121)</f>
        <v/>
      </c>
      <c r="O2121" s="209">
        <f>IF($F2121&lt;$B$2075,$E$2075+$I$2075*($F2121-$A$2075),IF($F2121&lt;$C$2075,$F$2075+$J$2075*($F2121-$B$2075),$G$2075+$K$2075*($F2121-$C$2075)))</f>
        <v/>
      </c>
      <c r="P2121" s="208">
        <f>MIN(1,MAX(0,(nr_MEndPm1-$G2121+0.5)/$C$2074))-MIN(1,MAX(0,(nr_MStartPm1-1-$G2121+0.5)/$C$2074))</f>
        <v/>
      </c>
      <c r="Q2121" s="208">
        <f>MIN(1,MAX(0,(nr_MEndP-$G2121+0.5)/$C$2074))-MIN(1,MAX(0,(nr_MStartP-1-$G2121+0.5)/$C$2074))</f>
        <v/>
      </c>
      <c r="R2121" s="208">
        <f>MIN(1,MAX(0,(nr_MEndP1-$G2121+0.5)/$C$2074))-MIN(1,MAX(0,(nr_MStartP1-1-$G2121+0.5)/$C$2074))</f>
        <v/>
      </c>
      <c r="S2121" s="208">
        <f>IF($L$2074,$N2121*IF($O$2074=1,$O2121/$F$2074,1),"")</f>
        <v/>
      </c>
      <c r="T2121" s="208">
        <f>IF(NOT($L$2074),"",IF($G2121&lt;nr_MStartP,$S2121,$T2109*(1+IF($G2121&lt;nr_MStartP1,$M$2074,$N$2074))))</f>
        <v/>
      </c>
      <c r="U2121" s="208">
        <f>IF($L$2074,$T2121,$N2121)</f>
        <v/>
      </c>
    </row>
    <row r="2122">
      <c r="A2122" s="145" t="n">
        <v>46</v>
      </c>
      <c r="B2122" s="204">
        <f>EDATE($B2121,1)</f>
        <v/>
      </c>
      <c r="C2122" s="205">
        <f>EOMONTH($B2122,0)</f>
        <v/>
      </c>
      <c r="D2122" s="201">
        <f>$C2122-$B2122+1</f>
        <v/>
      </c>
      <c r="E2122" s="201">
        <f>MONTH($B2122)</f>
        <v/>
      </c>
      <c r="F2122" s="235">
        <f>($B2122+$C2122+1)/2</f>
        <v/>
      </c>
      <c r="G2122" s="201">
        <f>YEAR($B2122)*12+MONTH($B2122)-1</f>
        <v/>
      </c>
      <c r="H2122" s="207">
        <f>IF(OR(nr_SeasonOn="OFF",$D$2074=0,$E$2074=0),1,12*INDEX(se_block,$D$2074,$E2122)/$E$2074)</f>
        <v/>
      </c>
      <c r="I2122" s="208">
        <f>EXP(SUMPRODUCT((rl_eff&lt;$B2122)*(rl_key=$A$2074)*rl_ln1p))</f>
        <v/>
      </c>
      <c r="J2122" s="208">
        <f>EXP(SUMPRODUCT((rl_eff&lt;=$C2122)*(rl_key=$A$2074)*rl_ln1p))</f>
        <v/>
      </c>
      <c r="K2122" s="201">
        <f>COUNTIFS(rl_key,$A$2074,rl_eff,"&gt;="&amp;$B2122,rl_eff,"&lt;="&amp;$C2122)</f>
        <v/>
      </c>
      <c r="L2122" s="201">
        <f>SUMIFS(rl_daysafter,rl_key,$A$2074,rl_effmonth,$B2122,rl_first,1)</f>
        <v/>
      </c>
      <c r="M2122" s="209">
        <f>IF($K2122=0,0,MIN(1,$L2122/$D2122))</f>
        <v/>
      </c>
      <c r="N2122" s="208">
        <f>IF($K2122=0,$J2122,(1-$M2122)*$I2122+$M2122*$J2122)</f>
        <v/>
      </c>
      <c r="O2122" s="209">
        <f>IF($F2122&lt;$B$2075,$E$2075+$I$2075*($F2122-$A$2075),IF($F2122&lt;$C$2075,$F$2075+$J$2075*($F2122-$B$2075),$G$2075+$K$2075*($F2122-$C$2075)))</f>
        <v/>
      </c>
      <c r="P2122" s="208">
        <f>MIN(1,MAX(0,(nr_MEndPm1-$G2122+0.5)/$C$2074))-MIN(1,MAX(0,(nr_MStartPm1-1-$G2122+0.5)/$C$2074))</f>
        <v/>
      </c>
      <c r="Q2122" s="208">
        <f>MIN(1,MAX(0,(nr_MEndP-$G2122+0.5)/$C$2074))-MIN(1,MAX(0,(nr_MStartP-1-$G2122+0.5)/$C$2074))</f>
        <v/>
      </c>
      <c r="R2122" s="208">
        <f>MIN(1,MAX(0,(nr_MEndP1-$G2122+0.5)/$C$2074))-MIN(1,MAX(0,(nr_MStartP1-1-$G2122+0.5)/$C$2074))</f>
        <v/>
      </c>
      <c r="S2122" s="208">
        <f>IF($L$2074,$N2122*IF($O$2074=1,$O2122/$F$2074,1),"")</f>
        <v/>
      </c>
      <c r="T2122" s="208">
        <f>IF(NOT($L$2074),"",IF($G2122&lt;nr_MStartP,$S2122,$T2110*(1+IF($G2122&lt;nr_MStartP1,$M$2074,$N$2074))))</f>
        <v/>
      </c>
      <c r="U2122" s="208">
        <f>IF($L$2074,$T2122,$N2122)</f>
        <v/>
      </c>
    </row>
    <row r="2123">
      <c r="A2123" s="145" t="n">
        <v>47</v>
      </c>
      <c r="B2123" s="204">
        <f>EDATE($B2122,1)</f>
        <v/>
      </c>
      <c r="C2123" s="205">
        <f>EOMONTH($B2123,0)</f>
        <v/>
      </c>
      <c r="D2123" s="201">
        <f>$C2123-$B2123+1</f>
        <v/>
      </c>
      <c r="E2123" s="201">
        <f>MONTH($B2123)</f>
        <v/>
      </c>
      <c r="F2123" s="235">
        <f>($B2123+$C2123+1)/2</f>
        <v/>
      </c>
      <c r="G2123" s="201">
        <f>YEAR($B2123)*12+MONTH($B2123)-1</f>
        <v/>
      </c>
      <c r="H2123" s="207">
        <f>IF(OR(nr_SeasonOn="OFF",$D$2074=0,$E$2074=0),1,12*INDEX(se_block,$D$2074,$E2123)/$E$2074)</f>
        <v/>
      </c>
      <c r="I2123" s="208">
        <f>EXP(SUMPRODUCT((rl_eff&lt;$B2123)*(rl_key=$A$2074)*rl_ln1p))</f>
        <v/>
      </c>
      <c r="J2123" s="208">
        <f>EXP(SUMPRODUCT((rl_eff&lt;=$C2123)*(rl_key=$A$2074)*rl_ln1p))</f>
        <v/>
      </c>
      <c r="K2123" s="201">
        <f>COUNTIFS(rl_key,$A$2074,rl_eff,"&gt;="&amp;$B2123,rl_eff,"&lt;="&amp;$C2123)</f>
        <v/>
      </c>
      <c r="L2123" s="201">
        <f>SUMIFS(rl_daysafter,rl_key,$A$2074,rl_effmonth,$B2123,rl_first,1)</f>
        <v/>
      </c>
      <c r="M2123" s="209">
        <f>IF($K2123=0,0,MIN(1,$L2123/$D2123))</f>
        <v/>
      </c>
      <c r="N2123" s="208">
        <f>IF($K2123=0,$J2123,(1-$M2123)*$I2123+$M2123*$J2123)</f>
        <v/>
      </c>
      <c r="O2123" s="209">
        <f>IF($F2123&lt;$B$2075,$E$2075+$I$2075*($F2123-$A$2075),IF($F2123&lt;$C$2075,$F$2075+$J$2075*($F2123-$B$2075),$G$2075+$K$2075*($F2123-$C$2075)))</f>
        <v/>
      </c>
      <c r="P2123" s="208">
        <f>MIN(1,MAX(0,(nr_MEndPm1-$G2123+0.5)/$C$2074))-MIN(1,MAX(0,(nr_MStartPm1-1-$G2123+0.5)/$C$2074))</f>
        <v/>
      </c>
      <c r="Q2123" s="208">
        <f>MIN(1,MAX(0,(nr_MEndP-$G2123+0.5)/$C$2074))-MIN(1,MAX(0,(nr_MStartP-1-$G2123+0.5)/$C$2074))</f>
        <v/>
      </c>
      <c r="R2123" s="208">
        <f>MIN(1,MAX(0,(nr_MEndP1-$G2123+0.5)/$C$2074))-MIN(1,MAX(0,(nr_MStartP1-1-$G2123+0.5)/$C$2074))</f>
        <v/>
      </c>
      <c r="S2123" s="208">
        <f>IF($L$2074,$N2123*IF($O$2074=1,$O2123/$F$2074,1),"")</f>
        <v/>
      </c>
      <c r="T2123" s="208">
        <f>IF(NOT($L$2074),"",IF($G2123&lt;nr_MStartP,$S2123,$T2111*(1+IF($G2123&lt;nr_MStartP1,$M$2074,$N$2074))))</f>
        <v/>
      </c>
      <c r="U2123" s="208">
        <f>IF($L$2074,$T2123,$N2123)</f>
        <v/>
      </c>
    </row>
    <row r="2124">
      <c r="A2124" s="145" t="n">
        <v>48</v>
      </c>
      <c r="B2124" s="204">
        <f>EDATE($B2123,1)</f>
        <v/>
      </c>
      <c r="C2124" s="205">
        <f>EOMONTH($B2124,0)</f>
        <v/>
      </c>
      <c r="D2124" s="201">
        <f>$C2124-$B2124+1</f>
        <v/>
      </c>
      <c r="E2124" s="201">
        <f>MONTH($B2124)</f>
        <v/>
      </c>
      <c r="F2124" s="235">
        <f>($B2124+$C2124+1)/2</f>
        <v/>
      </c>
      <c r="G2124" s="201">
        <f>YEAR($B2124)*12+MONTH($B2124)-1</f>
        <v/>
      </c>
      <c r="H2124" s="207">
        <f>IF(OR(nr_SeasonOn="OFF",$D$2074=0,$E$2074=0),1,12*INDEX(se_block,$D$2074,$E2124)/$E$2074)</f>
        <v/>
      </c>
      <c r="I2124" s="208">
        <f>EXP(SUMPRODUCT((rl_eff&lt;$B2124)*(rl_key=$A$2074)*rl_ln1p))</f>
        <v/>
      </c>
      <c r="J2124" s="208">
        <f>EXP(SUMPRODUCT((rl_eff&lt;=$C2124)*(rl_key=$A$2074)*rl_ln1p))</f>
        <v/>
      </c>
      <c r="K2124" s="201">
        <f>COUNTIFS(rl_key,$A$2074,rl_eff,"&gt;="&amp;$B2124,rl_eff,"&lt;="&amp;$C2124)</f>
        <v/>
      </c>
      <c r="L2124" s="201">
        <f>SUMIFS(rl_daysafter,rl_key,$A$2074,rl_effmonth,$B2124,rl_first,1)</f>
        <v/>
      </c>
      <c r="M2124" s="209">
        <f>IF($K2124=0,0,MIN(1,$L2124/$D2124))</f>
        <v/>
      </c>
      <c r="N2124" s="208">
        <f>IF($K2124=0,$J2124,(1-$M2124)*$I2124+$M2124*$J2124)</f>
        <v/>
      </c>
      <c r="O2124" s="209">
        <f>IF($F2124&lt;$B$2075,$E$2075+$I$2075*($F2124-$A$2075),IF($F2124&lt;$C$2075,$F$2075+$J$2075*($F2124-$B$2075),$G$2075+$K$2075*($F2124-$C$2075)))</f>
        <v/>
      </c>
      <c r="P2124" s="208">
        <f>MIN(1,MAX(0,(nr_MEndPm1-$G2124+0.5)/$C$2074))-MIN(1,MAX(0,(nr_MStartPm1-1-$G2124+0.5)/$C$2074))</f>
        <v/>
      </c>
      <c r="Q2124" s="208">
        <f>MIN(1,MAX(0,(nr_MEndP-$G2124+0.5)/$C$2074))-MIN(1,MAX(0,(nr_MStartP-1-$G2124+0.5)/$C$2074))</f>
        <v/>
      </c>
      <c r="R2124" s="208">
        <f>MIN(1,MAX(0,(nr_MEndP1-$G2124+0.5)/$C$2074))-MIN(1,MAX(0,(nr_MStartP1-1-$G2124+0.5)/$C$2074))</f>
        <v/>
      </c>
      <c r="S2124" s="208">
        <f>IF($L$2074,$N2124*IF($O$2074=1,$O2124/$F$2074,1),"")</f>
        <v/>
      </c>
      <c r="T2124" s="208">
        <f>IF(NOT($L$2074),"",IF($G2124&lt;nr_MStartP,$S2124,$T2112*(1+IF($G2124&lt;nr_MStartP1,$M$2074,$N$2074))))</f>
        <v/>
      </c>
      <c r="U2124" s="208">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184">
        <f>SUMPRODUCT($H$2077:$H$2124,$Q$2077:$Q$2124,$O$2077:$O$2124)/SUMPRODUCT($H$2077:$H$2124,$Q$2077:$Q$2124)</f>
        <v/>
      </c>
      <c r="G2125" s="184">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184">
        <f>IF(N(INDEX(lr_mind,39))=0,1,INDEX(lr_mind,39))</f>
        <v/>
      </c>
      <c r="G2128" s="184">
        <f>IF(N(INDEX(lr_m0,39))=0,1,INDEX(lr_m0,39))</f>
        <v/>
      </c>
      <c r="H2128" s="73">
        <f>IF(N(INDEX(lr_m0asof,39))=0,DATE(nr_PlanYear-1,10,1),INDEX(lr_m0asof,39))</f>
        <v/>
      </c>
      <c r="I2128" s="184">
        <f>IF(N(INDEX(lr_m1,39))=0,1,INDEX(lr_m1,39))</f>
        <v/>
      </c>
      <c r="J2128" s="184">
        <f>INDEX(lr_mprior,39)</f>
        <v/>
      </c>
      <c r="K2128" s="184">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145" t="n">
        <v>1</v>
      </c>
      <c r="B2131" s="204">
        <f>DATE(nr_PlanYear-2,1,1)</f>
        <v/>
      </c>
      <c r="C2131" s="205">
        <f>EOMONTH($B2131,0)</f>
        <v/>
      </c>
      <c r="D2131" s="201">
        <f>$C2131-$B2131+1</f>
        <v/>
      </c>
      <c r="E2131" s="201">
        <f>MONTH($B2131)</f>
        <v/>
      </c>
      <c r="F2131" s="235">
        <f>($B2131+$C2131+1)/2</f>
        <v/>
      </c>
      <c r="G2131" s="201">
        <f>YEAR($B2131)*12+MONTH($B2131)-1</f>
        <v/>
      </c>
      <c r="H2131" s="207">
        <f>IF(OR(nr_SeasonOn="OFF",$D$2128=0,$E$2128=0),1,12*INDEX(se_block,$D$2128,$E2131)/$E$2128)</f>
        <v/>
      </c>
      <c r="I2131" s="208">
        <f>EXP(SUMPRODUCT((rl_eff&lt;$B2131)*(rl_key=$A$2128)*rl_ln1p))</f>
        <v/>
      </c>
      <c r="J2131" s="208">
        <f>EXP(SUMPRODUCT((rl_eff&lt;=$C2131)*(rl_key=$A$2128)*rl_ln1p))</f>
        <v/>
      </c>
      <c r="K2131" s="201">
        <f>COUNTIFS(rl_key,$A$2128,rl_eff,"&gt;="&amp;$B2131,rl_eff,"&lt;="&amp;$C2131)</f>
        <v/>
      </c>
      <c r="L2131" s="201">
        <f>SUMIFS(rl_daysafter,rl_key,$A$2128,rl_effmonth,$B2131,rl_first,1)</f>
        <v/>
      </c>
      <c r="M2131" s="209">
        <f>IF($K2131=0,0,MIN(1,$L2131/$D2131))</f>
        <v/>
      </c>
      <c r="N2131" s="208">
        <f>IF($K2131=0,$J2131,(1-$M2131)*$I2131+$M2131*$J2131)</f>
        <v/>
      </c>
      <c r="O2131" s="209">
        <f>IF($F2131&lt;$B$2129,$E$2129+$I$2129*($F2131-$A$2129),IF($F2131&lt;$C$2129,$F$2129+$J$2129*($F2131-$B$2129),$G$2129+$K$2129*($F2131-$C$2129)))</f>
        <v/>
      </c>
      <c r="P2131" s="208">
        <f>MIN(1,MAX(0,(nr_MEndPm1-$G2131+0.5)/$C$2128))-MIN(1,MAX(0,(nr_MStartPm1-1-$G2131+0.5)/$C$2128))</f>
        <v/>
      </c>
      <c r="Q2131" s="208">
        <f>MIN(1,MAX(0,(nr_MEndP-$G2131+0.5)/$C$2128))-MIN(1,MAX(0,(nr_MStartP-1-$G2131+0.5)/$C$2128))</f>
        <v/>
      </c>
      <c r="R2131" s="208">
        <f>MIN(1,MAX(0,(nr_MEndP1-$G2131+0.5)/$C$2128))-MIN(1,MAX(0,(nr_MStartP1-1-$G2131+0.5)/$C$2128))</f>
        <v/>
      </c>
      <c r="S2131" s="208">
        <f>IF($L$2128,$N2131*IF($O$2128=1,$O2131/$F$2128,1),"")</f>
        <v/>
      </c>
      <c r="T2131" s="208">
        <f>IF(NOT($L$2128),"",IF($G2131&lt;nr_MStartP,$S2131,$T2119*(1+IF($G2131&lt;nr_MStartP1,$M$2128,$N$2128))))</f>
        <v/>
      </c>
      <c r="U2131" s="208">
        <f>IF($L$2128,$T2131,$N2131)</f>
        <v/>
      </c>
    </row>
    <row r="2132">
      <c r="A2132" s="145" t="n">
        <v>2</v>
      </c>
      <c r="B2132" s="204">
        <f>EDATE($B2131,1)</f>
        <v/>
      </c>
      <c r="C2132" s="205">
        <f>EOMONTH($B2132,0)</f>
        <v/>
      </c>
      <c r="D2132" s="201">
        <f>$C2132-$B2132+1</f>
        <v/>
      </c>
      <c r="E2132" s="201">
        <f>MONTH($B2132)</f>
        <v/>
      </c>
      <c r="F2132" s="235">
        <f>($B2132+$C2132+1)/2</f>
        <v/>
      </c>
      <c r="G2132" s="201">
        <f>YEAR($B2132)*12+MONTH($B2132)-1</f>
        <v/>
      </c>
      <c r="H2132" s="207">
        <f>IF(OR(nr_SeasonOn="OFF",$D$2128=0,$E$2128=0),1,12*INDEX(se_block,$D$2128,$E2132)/$E$2128)</f>
        <v/>
      </c>
      <c r="I2132" s="208">
        <f>EXP(SUMPRODUCT((rl_eff&lt;$B2132)*(rl_key=$A$2128)*rl_ln1p))</f>
        <v/>
      </c>
      <c r="J2132" s="208">
        <f>EXP(SUMPRODUCT((rl_eff&lt;=$C2132)*(rl_key=$A$2128)*rl_ln1p))</f>
        <v/>
      </c>
      <c r="K2132" s="201">
        <f>COUNTIFS(rl_key,$A$2128,rl_eff,"&gt;="&amp;$B2132,rl_eff,"&lt;="&amp;$C2132)</f>
        <v/>
      </c>
      <c r="L2132" s="201">
        <f>SUMIFS(rl_daysafter,rl_key,$A$2128,rl_effmonth,$B2132,rl_first,1)</f>
        <v/>
      </c>
      <c r="M2132" s="209">
        <f>IF($K2132=0,0,MIN(1,$L2132/$D2132))</f>
        <v/>
      </c>
      <c r="N2132" s="208">
        <f>IF($K2132=0,$J2132,(1-$M2132)*$I2132+$M2132*$J2132)</f>
        <v/>
      </c>
      <c r="O2132" s="209">
        <f>IF($F2132&lt;$B$2129,$E$2129+$I$2129*($F2132-$A$2129),IF($F2132&lt;$C$2129,$F$2129+$J$2129*($F2132-$B$2129),$G$2129+$K$2129*($F2132-$C$2129)))</f>
        <v/>
      </c>
      <c r="P2132" s="208">
        <f>MIN(1,MAX(0,(nr_MEndPm1-$G2132+0.5)/$C$2128))-MIN(1,MAX(0,(nr_MStartPm1-1-$G2132+0.5)/$C$2128))</f>
        <v/>
      </c>
      <c r="Q2132" s="208">
        <f>MIN(1,MAX(0,(nr_MEndP-$G2132+0.5)/$C$2128))-MIN(1,MAX(0,(nr_MStartP-1-$G2132+0.5)/$C$2128))</f>
        <v/>
      </c>
      <c r="R2132" s="208">
        <f>MIN(1,MAX(0,(nr_MEndP1-$G2132+0.5)/$C$2128))-MIN(1,MAX(0,(nr_MStartP1-1-$G2132+0.5)/$C$2128))</f>
        <v/>
      </c>
      <c r="S2132" s="208">
        <f>IF($L$2128,$N2132*IF($O$2128=1,$O2132/$F$2128,1),"")</f>
        <v/>
      </c>
      <c r="T2132" s="208">
        <f>IF(NOT($L$2128),"",IF($G2132&lt;nr_MStartP,$S2132,$T2120*(1+IF($G2132&lt;nr_MStartP1,$M$2128,$N$2128))))</f>
        <v/>
      </c>
      <c r="U2132" s="208">
        <f>IF($L$2128,$T2132,$N2132)</f>
        <v/>
      </c>
    </row>
    <row r="2133">
      <c r="A2133" s="145" t="n">
        <v>3</v>
      </c>
      <c r="B2133" s="204">
        <f>EDATE($B2132,1)</f>
        <v/>
      </c>
      <c r="C2133" s="205">
        <f>EOMONTH($B2133,0)</f>
        <v/>
      </c>
      <c r="D2133" s="201">
        <f>$C2133-$B2133+1</f>
        <v/>
      </c>
      <c r="E2133" s="201">
        <f>MONTH($B2133)</f>
        <v/>
      </c>
      <c r="F2133" s="235">
        <f>($B2133+$C2133+1)/2</f>
        <v/>
      </c>
      <c r="G2133" s="201">
        <f>YEAR($B2133)*12+MONTH($B2133)-1</f>
        <v/>
      </c>
      <c r="H2133" s="207">
        <f>IF(OR(nr_SeasonOn="OFF",$D$2128=0,$E$2128=0),1,12*INDEX(se_block,$D$2128,$E2133)/$E$2128)</f>
        <v/>
      </c>
      <c r="I2133" s="208">
        <f>EXP(SUMPRODUCT((rl_eff&lt;$B2133)*(rl_key=$A$2128)*rl_ln1p))</f>
        <v/>
      </c>
      <c r="J2133" s="208">
        <f>EXP(SUMPRODUCT((rl_eff&lt;=$C2133)*(rl_key=$A$2128)*rl_ln1p))</f>
        <v/>
      </c>
      <c r="K2133" s="201">
        <f>COUNTIFS(rl_key,$A$2128,rl_eff,"&gt;="&amp;$B2133,rl_eff,"&lt;="&amp;$C2133)</f>
        <v/>
      </c>
      <c r="L2133" s="201">
        <f>SUMIFS(rl_daysafter,rl_key,$A$2128,rl_effmonth,$B2133,rl_first,1)</f>
        <v/>
      </c>
      <c r="M2133" s="209">
        <f>IF($K2133=0,0,MIN(1,$L2133/$D2133))</f>
        <v/>
      </c>
      <c r="N2133" s="208">
        <f>IF($K2133=0,$J2133,(1-$M2133)*$I2133+$M2133*$J2133)</f>
        <v/>
      </c>
      <c r="O2133" s="209">
        <f>IF($F2133&lt;$B$2129,$E$2129+$I$2129*($F2133-$A$2129),IF($F2133&lt;$C$2129,$F$2129+$J$2129*($F2133-$B$2129),$G$2129+$K$2129*($F2133-$C$2129)))</f>
        <v/>
      </c>
      <c r="P2133" s="208">
        <f>MIN(1,MAX(0,(nr_MEndPm1-$G2133+0.5)/$C$2128))-MIN(1,MAX(0,(nr_MStartPm1-1-$G2133+0.5)/$C$2128))</f>
        <v/>
      </c>
      <c r="Q2133" s="208">
        <f>MIN(1,MAX(0,(nr_MEndP-$G2133+0.5)/$C$2128))-MIN(1,MAX(0,(nr_MStartP-1-$G2133+0.5)/$C$2128))</f>
        <v/>
      </c>
      <c r="R2133" s="208">
        <f>MIN(1,MAX(0,(nr_MEndP1-$G2133+0.5)/$C$2128))-MIN(1,MAX(0,(nr_MStartP1-1-$G2133+0.5)/$C$2128))</f>
        <v/>
      </c>
      <c r="S2133" s="208">
        <f>IF($L$2128,$N2133*IF($O$2128=1,$O2133/$F$2128,1),"")</f>
        <v/>
      </c>
      <c r="T2133" s="208">
        <f>IF(NOT($L$2128),"",IF($G2133&lt;nr_MStartP,$S2133,$T2121*(1+IF($G2133&lt;nr_MStartP1,$M$2128,$N$2128))))</f>
        <v/>
      </c>
      <c r="U2133" s="208">
        <f>IF($L$2128,$T2133,$N2133)</f>
        <v/>
      </c>
    </row>
    <row r="2134">
      <c r="A2134" s="145" t="n">
        <v>4</v>
      </c>
      <c r="B2134" s="204">
        <f>EDATE($B2133,1)</f>
        <v/>
      </c>
      <c r="C2134" s="205">
        <f>EOMONTH($B2134,0)</f>
        <v/>
      </c>
      <c r="D2134" s="201">
        <f>$C2134-$B2134+1</f>
        <v/>
      </c>
      <c r="E2134" s="201">
        <f>MONTH($B2134)</f>
        <v/>
      </c>
      <c r="F2134" s="235">
        <f>($B2134+$C2134+1)/2</f>
        <v/>
      </c>
      <c r="G2134" s="201">
        <f>YEAR($B2134)*12+MONTH($B2134)-1</f>
        <v/>
      </c>
      <c r="H2134" s="207">
        <f>IF(OR(nr_SeasonOn="OFF",$D$2128=0,$E$2128=0),1,12*INDEX(se_block,$D$2128,$E2134)/$E$2128)</f>
        <v/>
      </c>
      <c r="I2134" s="208">
        <f>EXP(SUMPRODUCT((rl_eff&lt;$B2134)*(rl_key=$A$2128)*rl_ln1p))</f>
        <v/>
      </c>
      <c r="J2134" s="208">
        <f>EXP(SUMPRODUCT((rl_eff&lt;=$C2134)*(rl_key=$A$2128)*rl_ln1p))</f>
        <v/>
      </c>
      <c r="K2134" s="201">
        <f>COUNTIFS(rl_key,$A$2128,rl_eff,"&gt;="&amp;$B2134,rl_eff,"&lt;="&amp;$C2134)</f>
        <v/>
      </c>
      <c r="L2134" s="201">
        <f>SUMIFS(rl_daysafter,rl_key,$A$2128,rl_effmonth,$B2134,rl_first,1)</f>
        <v/>
      </c>
      <c r="M2134" s="209">
        <f>IF($K2134=0,0,MIN(1,$L2134/$D2134))</f>
        <v/>
      </c>
      <c r="N2134" s="208">
        <f>IF($K2134=0,$J2134,(1-$M2134)*$I2134+$M2134*$J2134)</f>
        <v/>
      </c>
      <c r="O2134" s="209">
        <f>IF($F2134&lt;$B$2129,$E$2129+$I$2129*($F2134-$A$2129),IF($F2134&lt;$C$2129,$F$2129+$J$2129*($F2134-$B$2129),$G$2129+$K$2129*($F2134-$C$2129)))</f>
        <v/>
      </c>
      <c r="P2134" s="208">
        <f>MIN(1,MAX(0,(nr_MEndPm1-$G2134+0.5)/$C$2128))-MIN(1,MAX(0,(nr_MStartPm1-1-$G2134+0.5)/$C$2128))</f>
        <v/>
      </c>
      <c r="Q2134" s="208">
        <f>MIN(1,MAX(0,(nr_MEndP-$G2134+0.5)/$C$2128))-MIN(1,MAX(0,(nr_MStartP-1-$G2134+0.5)/$C$2128))</f>
        <v/>
      </c>
      <c r="R2134" s="208">
        <f>MIN(1,MAX(0,(nr_MEndP1-$G2134+0.5)/$C$2128))-MIN(1,MAX(0,(nr_MStartP1-1-$G2134+0.5)/$C$2128))</f>
        <v/>
      </c>
      <c r="S2134" s="208">
        <f>IF($L$2128,$N2134*IF($O$2128=1,$O2134/$F$2128,1),"")</f>
        <v/>
      </c>
      <c r="T2134" s="208">
        <f>IF(NOT($L$2128),"",IF($G2134&lt;nr_MStartP,$S2134,$T2122*(1+IF($G2134&lt;nr_MStartP1,$M$2128,$N$2128))))</f>
        <v/>
      </c>
      <c r="U2134" s="208">
        <f>IF($L$2128,$T2134,$N2134)</f>
        <v/>
      </c>
    </row>
    <row r="2135">
      <c r="A2135" s="145" t="n">
        <v>5</v>
      </c>
      <c r="B2135" s="204">
        <f>EDATE($B2134,1)</f>
        <v/>
      </c>
      <c r="C2135" s="205">
        <f>EOMONTH($B2135,0)</f>
        <v/>
      </c>
      <c r="D2135" s="201">
        <f>$C2135-$B2135+1</f>
        <v/>
      </c>
      <c r="E2135" s="201">
        <f>MONTH($B2135)</f>
        <v/>
      </c>
      <c r="F2135" s="235">
        <f>($B2135+$C2135+1)/2</f>
        <v/>
      </c>
      <c r="G2135" s="201">
        <f>YEAR($B2135)*12+MONTH($B2135)-1</f>
        <v/>
      </c>
      <c r="H2135" s="207">
        <f>IF(OR(nr_SeasonOn="OFF",$D$2128=0,$E$2128=0),1,12*INDEX(se_block,$D$2128,$E2135)/$E$2128)</f>
        <v/>
      </c>
      <c r="I2135" s="208">
        <f>EXP(SUMPRODUCT((rl_eff&lt;$B2135)*(rl_key=$A$2128)*rl_ln1p))</f>
        <v/>
      </c>
      <c r="J2135" s="208">
        <f>EXP(SUMPRODUCT((rl_eff&lt;=$C2135)*(rl_key=$A$2128)*rl_ln1p))</f>
        <v/>
      </c>
      <c r="K2135" s="201">
        <f>COUNTIFS(rl_key,$A$2128,rl_eff,"&gt;="&amp;$B2135,rl_eff,"&lt;="&amp;$C2135)</f>
        <v/>
      </c>
      <c r="L2135" s="201">
        <f>SUMIFS(rl_daysafter,rl_key,$A$2128,rl_effmonth,$B2135,rl_first,1)</f>
        <v/>
      </c>
      <c r="M2135" s="209">
        <f>IF($K2135=0,0,MIN(1,$L2135/$D2135))</f>
        <v/>
      </c>
      <c r="N2135" s="208">
        <f>IF($K2135=0,$J2135,(1-$M2135)*$I2135+$M2135*$J2135)</f>
        <v/>
      </c>
      <c r="O2135" s="209">
        <f>IF($F2135&lt;$B$2129,$E$2129+$I$2129*($F2135-$A$2129),IF($F2135&lt;$C$2129,$F$2129+$J$2129*($F2135-$B$2129),$G$2129+$K$2129*($F2135-$C$2129)))</f>
        <v/>
      </c>
      <c r="P2135" s="208">
        <f>MIN(1,MAX(0,(nr_MEndPm1-$G2135+0.5)/$C$2128))-MIN(1,MAX(0,(nr_MStartPm1-1-$G2135+0.5)/$C$2128))</f>
        <v/>
      </c>
      <c r="Q2135" s="208">
        <f>MIN(1,MAX(0,(nr_MEndP-$G2135+0.5)/$C$2128))-MIN(1,MAX(0,(nr_MStartP-1-$G2135+0.5)/$C$2128))</f>
        <v/>
      </c>
      <c r="R2135" s="208">
        <f>MIN(1,MAX(0,(nr_MEndP1-$G2135+0.5)/$C$2128))-MIN(1,MAX(0,(nr_MStartP1-1-$G2135+0.5)/$C$2128))</f>
        <v/>
      </c>
      <c r="S2135" s="208">
        <f>IF($L$2128,$N2135*IF($O$2128=1,$O2135/$F$2128,1),"")</f>
        <v/>
      </c>
      <c r="T2135" s="208">
        <f>IF(NOT($L$2128),"",IF($G2135&lt;nr_MStartP,$S2135,$T2123*(1+IF($G2135&lt;nr_MStartP1,$M$2128,$N$2128))))</f>
        <v/>
      </c>
      <c r="U2135" s="208">
        <f>IF($L$2128,$T2135,$N2135)</f>
        <v/>
      </c>
    </row>
    <row r="2136">
      <c r="A2136" s="145" t="n">
        <v>6</v>
      </c>
      <c r="B2136" s="204">
        <f>EDATE($B2135,1)</f>
        <v/>
      </c>
      <c r="C2136" s="205">
        <f>EOMONTH($B2136,0)</f>
        <v/>
      </c>
      <c r="D2136" s="201">
        <f>$C2136-$B2136+1</f>
        <v/>
      </c>
      <c r="E2136" s="201">
        <f>MONTH($B2136)</f>
        <v/>
      </c>
      <c r="F2136" s="235">
        <f>($B2136+$C2136+1)/2</f>
        <v/>
      </c>
      <c r="G2136" s="201">
        <f>YEAR($B2136)*12+MONTH($B2136)-1</f>
        <v/>
      </c>
      <c r="H2136" s="207">
        <f>IF(OR(nr_SeasonOn="OFF",$D$2128=0,$E$2128=0),1,12*INDEX(se_block,$D$2128,$E2136)/$E$2128)</f>
        <v/>
      </c>
      <c r="I2136" s="208">
        <f>EXP(SUMPRODUCT((rl_eff&lt;$B2136)*(rl_key=$A$2128)*rl_ln1p))</f>
        <v/>
      </c>
      <c r="J2136" s="208">
        <f>EXP(SUMPRODUCT((rl_eff&lt;=$C2136)*(rl_key=$A$2128)*rl_ln1p))</f>
        <v/>
      </c>
      <c r="K2136" s="201">
        <f>COUNTIFS(rl_key,$A$2128,rl_eff,"&gt;="&amp;$B2136,rl_eff,"&lt;="&amp;$C2136)</f>
        <v/>
      </c>
      <c r="L2136" s="201">
        <f>SUMIFS(rl_daysafter,rl_key,$A$2128,rl_effmonth,$B2136,rl_first,1)</f>
        <v/>
      </c>
      <c r="M2136" s="209">
        <f>IF($K2136=0,0,MIN(1,$L2136/$D2136))</f>
        <v/>
      </c>
      <c r="N2136" s="208">
        <f>IF($K2136=0,$J2136,(1-$M2136)*$I2136+$M2136*$J2136)</f>
        <v/>
      </c>
      <c r="O2136" s="209">
        <f>IF($F2136&lt;$B$2129,$E$2129+$I$2129*($F2136-$A$2129),IF($F2136&lt;$C$2129,$F$2129+$J$2129*($F2136-$B$2129),$G$2129+$K$2129*($F2136-$C$2129)))</f>
        <v/>
      </c>
      <c r="P2136" s="208">
        <f>MIN(1,MAX(0,(nr_MEndPm1-$G2136+0.5)/$C$2128))-MIN(1,MAX(0,(nr_MStartPm1-1-$G2136+0.5)/$C$2128))</f>
        <v/>
      </c>
      <c r="Q2136" s="208">
        <f>MIN(1,MAX(0,(nr_MEndP-$G2136+0.5)/$C$2128))-MIN(1,MAX(0,(nr_MStartP-1-$G2136+0.5)/$C$2128))</f>
        <v/>
      </c>
      <c r="R2136" s="208">
        <f>MIN(1,MAX(0,(nr_MEndP1-$G2136+0.5)/$C$2128))-MIN(1,MAX(0,(nr_MStartP1-1-$G2136+0.5)/$C$2128))</f>
        <v/>
      </c>
      <c r="S2136" s="208">
        <f>IF($L$2128,$N2136*IF($O$2128=1,$O2136/$F$2128,1),"")</f>
        <v/>
      </c>
      <c r="T2136" s="208">
        <f>IF(NOT($L$2128),"",IF($G2136&lt;nr_MStartP,$S2136,$T2124*(1+IF($G2136&lt;nr_MStartP1,$M$2128,$N$2128))))</f>
        <v/>
      </c>
      <c r="U2136" s="208">
        <f>IF($L$2128,$T2136,$N2136)</f>
        <v/>
      </c>
    </row>
    <row r="2137">
      <c r="A2137" s="145" t="n">
        <v>7</v>
      </c>
      <c r="B2137" s="204">
        <f>EDATE($B2136,1)</f>
        <v/>
      </c>
      <c r="C2137" s="205">
        <f>EOMONTH($B2137,0)</f>
        <v/>
      </c>
      <c r="D2137" s="201">
        <f>$C2137-$B2137+1</f>
        <v/>
      </c>
      <c r="E2137" s="201">
        <f>MONTH($B2137)</f>
        <v/>
      </c>
      <c r="F2137" s="235">
        <f>($B2137+$C2137+1)/2</f>
        <v/>
      </c>
      <c r="G2137" s="201">
        <f>YEAR($B2137)*12+MONTH($B2137)-1</f>
        <v/>
      </c>
      <c r="H2137" s="207">
        <f>IF(OR(nr_SeasonOn="OFF",$D$2128=0,$E$2128=0),1,12*INDEX(se_block,$D$2128,$E2137)/$E$2128)</f>
        <v/>
      </c>
      <c r="I2137" s="208">
        <f>EXP(SUMPRODUCT((rl_eff&lt;$B2137)*(rl_key=$A$2128)*rl_ln1p))</f>
        <v/>
      </c>
      <c r="J2137" s="208">
        <f>EXP(SUMPRODUCT((rl_eff&lt;=$C2137)*(rl_key=$A$2128)*rl_ln1p))</f>
        <v/>
      </c>
      <c r="K2137" s="201">
        <f>COUNTIFS(rl_key,$A$2128,rl_eff,"&gt;="&amp;$B2137,rl_eff,"&lt;="&amp;$C2137)</f>
        <v/>
      </c>
      <c r="L2137" s="201">
        <f>SUMIFS(rl_daysafter,rl_key,$A$2128,rl_effmonth,$B2137,rl_first,1)</f>
        <v/>
      </c>
      <c r="M2137" s="209">
        <f>IF($K2137=0,0,MIN(1,$L2137/$D2137))</f>
        <v/>
      </c>
      <c r="N2137" s="208">
        <f>IF($K2137=0,$J2137,(1-$M2137)*$I2137+$M2137*$J2137)</f>
        <v/>
      </c>
      <c r="O2137" s="209">
        <f>IF($F2137&lt;$B$2129,$E$2129+$I$2129*($F2137-$A$2129),IF($F2137&lt;$C$2129,$F$2129+$J$2129*($F2137-$B$2129),$G$2129+$K$2129*($F2137-$C$2129)))</f>
        <v/>
      </c>
      <c r="P2137" s="208">
        <f>MIN(1,MAX(0,(nr_MEndPm1-$G2137+0.5)/$C$2128))-MIN(1,MAX(0,(nr_MStartPm1-1-$G2137+0.5)/$C$2128))</f>
        <v/>
      </c>
      <c r="Q2137" s="208">
        <f>MIN(1,MAX(0,(nr_MEndP-$G2137+0.5)/$C$2128))-MIN(1,MAX(0,(nr_MStartP-1-$G2137+0.5)/$C$2128))</f>
        <v/>
      </c>
      <c r="R2137" s="208">
        <f>MIN(1,MAX(0,(nr_MEndP1-$G2137+0.5)/$C$2128))-MIN(1,MAX(0,(nr_MStartP1-1-$G2137+0.5)/$C$2128))</f>
        <v/>
      </c>
      <c r="S2137" s="208">
        <f>IF($L$2128,$N2137*IF($O$2128=1,$O2137/$F$2128,1),"")</f>
        <v/>
      </c>
      <c r="T2137" s="208">
        <f>IF(NOT($L$2128),"",IF($G2137&lt;nr_MStartP,$S2137,$T2125*(1+IF($G2137&lt;nr_MStartP1,$M$2128,$N$2128))))</f>
        <v/>
      </c>
      <c r="U2137" s="208">
        <f>IF($L$2128,$T2137,$N2137)</f>
        <v/>
      </c>
    </row>
    <row r="2138">
      <c r="A2138" s="145" t="n">
        <v>8</v>
      </c>
      <c r="B2138" s="204">
        <f>EDATE($B2137,1)</f>
        <v/>
      </c>
      <c r="C2138" s="205">
        <f>EOMONTH($B2138,0)</f>
        <v/>
      </c>
      <c r="D2138" s="201">
        <f>$C2138-$B2138+1</f>
        <v/>
      </c>
      <c r="E2138" s="201">
        <f>MONTH($B2138)</f>
        <v/>
      </c>
      <c r="F2138" s="235">
        <f>($B2138+$C2138+1)/2</f>
        <v/>
      </c>
      <c r="G2138" s="201">
        <f>YEAR($B2138)*12+MONTH($B2138)-1</f>
        <v/>
      </c>
      <c r="H2138" s="207">
        <f>IF(OR(nr_SeasonOn="OFF",$D$2128=0,$E$2128=0),1,12*INDEX(se_block,$D$2128,$E2138)/$E$2128)</f>
        <v/>
      </c>
      <c r="I2138" s="208">
        <f>EXP(SUMPRODUCT((rl_eff&lt;$B2138)*(rl_key=$A$2128)*rl_ln1p))</f>
        <v/>
      </c>
      <c r="J2138" s="208">
        <f>EXP(SUMPRODUCT((rl_eff&lt;=$C2138)*(rl_key=$A$2128)*rl_ln1p))</f>
        <v/>
      </c>
      <c r="K2138" s="201">
        <f>COUNTIFS(rl_key,$A$2128,rl_eff,"&gt;="&amp;$B2138,rl_eff,"&lt;="&amp;$C2138)</f>
        <v/>
      </c>
      <c r="L2138" s="201">
        <f>SUMIFS(rl_daysafter,rl_key,$A$2128,rl_effmonth,$B2138,rl_first,1)</f>
        <v/>
      </c>
      <c r="M2138" s="209">
        <f>IF($K2138=0,0,MIN(1,$L2138/$D2138))</f>
        <v/>
      </c>
      <c r="N2138" s="208">
        <f>IF($K2138=0,$J2138,(1-$M2138)*$I2138+$M2138*$J2138)</f>
        <v/>
      </c>
      <c r="O2138" s="209">
        <f>IF($F2138&lt;$B$2129,$E$2129+$I$2129*($F2138-$A$2129),IF($F2138&lt;$C$2129,$F$2129+$J$2129*($F2138-$B$2129),$G$2129+$K$2129*($F2138-$C$2129)))</f>
        <v/>
      </c>
      <c r="P2138" s="208">
        <f>MIN(1,MAX(0,(nr_MEndPm1-$G2138+0.5)/$C$2128))-MIN(1,MAX(0,(nr_MStartPm1-1-$G2138+0.5)/$C$2128))</f>
        <v/>
      </c>
      <c r="Q2138" s="208">
        <f>MIN(1,MAX(0,(nr_MEndP-$G2138+0.5)/$C$2128))-MIN(1,MAX(0,(nr_MStartP-1-$G2138+0.5)/$C$2128))</f>
        <v/>
      </c>
      <c r="R2138" s="208">
        <f>MIN(1,MAX(0,(nr_MEndP1-$G2138+0.5)/$C$2128))-MIN(1,MAX(0,(nr_MStartP1-1-$G2138+0.5)/$C$2128))</f>
        <v/>
      </c>
      <c r="S2138" s="208">
        <f>IF($L$2128,$N2138*IF($O$2128=1,$O2138/$F$2128,1),"")</f>
        <v/>
      </c>
      <c r="T2138" s="208">
        <f>IF(NOT($L$2128),"",IF($G2138&lt;nr_MStartP,$S2138,$T2126*(1+IF($G2138&lt;nr_MStartP1,$M$2128,$N$2128))))</f>
        <v/>
      </c>
      <c r="U2138" s="208">
        <f>IF($L$2128,$T2138,$N2138)</f>
        <v/>
      </c>
    </row>
    <row r="2139">
      <c r="A2139" s="145" t="n">
        <v>9</v>
      </c>
      <c r="B2139" s="204">
        <f>EDATE($B2138,1)</f>
        <v/>
      </c>
      <c r="C2139" s="205">
        <f>EOMONTH($B2139,0)</f>
        <v/>
      </c>
      <c r="D2139" s="201">
        <f>$C2139-$B2139+1</f>
        <v/>
      </c>
      <c r="E2139" s="201">
        <f>MONTH($B2139)</f>
        <v/>
      </c>
      <c r="F2139" s="235">
        <f>($B2139+$C2139+1)/2</f>
        <v/>
      </c>
      <c r="G2139" s="201">
        <f>YEAR($B2139)*12+MONTH($B2139)-1</f>
        <v/>
      </c>
      <c r="H2139" s="207">
        <f>IF(OR(nr_SeasonOn="OFF",$D$2128=0,$E$2128=0),1,12*INDEX(se_block,$D$2128,$E2139)/$E$2128)</f>
        <v/>
      </c>
      <c r="I2139" s="208">
        <f>EXP(SUMPRODUCT((rl_eff&lt;$B2139)*(rl_key=$A$2128)*rl_ln1p))</f>
        <v/>
      </c>
      <c r="J2139" s="208">
        <f>EXP(SUMPRODUCT((rl_eff&lt;=$C2139)*(rl_key=$A$2128)*rl_ln1p))</f>
        <v/>
      </c>
      <c r="K2139" s="201">
        <f>COUNTIFS(rl_key,$A$2128,rl_eff,"&gt;="&amp;$B2139,rl_eff,"&lt;="&amp;$C2139)</f>
        <v/>
      </c>
      <c r="L2139" s="201">
        <f>SUMIFS(rl_daysafter,rl_key,$A$2128,rl_effmonth,$B2139,rl_first,1)</f>
        <v/>
      </c>
      <c r="M2139" s="209">
        <f>IF($K2139=0,0,MIN(1,$L2139/$D2139))</f>
        <v/>
      </c>
      <c r="N2139" s="208">
        <f>IF($K2139=0,$J2139,(1-$M2139)*$I2139+$M2139*$J2139)</f>
        <v/>
      </c>
      <c r="O2139" s="209">
        <f>IF($F2139&lt;$B$2129,$E$2129+$I$2129*($F2139-$A$2129),IF($F2139&lt;$C$2129,$F$2129+$J$2129*($F2139-$B$2129),$G$2129+$K$2129*($F2139-$C$2129)))</f>
        <v/>
      </c>
      <c r="P2139" s="208">
        <f>MIN(1,MAX(0,(nr_MEndPm1-$G2139+0.5)/$C$2128))-MIN(1,MAX(0,(nr_MStartPm1-1-$G2139+0.5)/$C$2128))</f>
        <v/>
      </c>
      <c r="Q2139" s="208">
        <f>MIN(1,MAX(0,(nr_MEndP-$G2139+0.5)/$C$2128))-MIN(1,MAX(0,(nr_MStartP-1-$G2139+0.5)/$C$2128))</f>
        <v/>
      </c>
      <c r="R2139" s="208">
        <f>MIN(1,MAX(0,(nr_MEndP1-$G2139+0.5)/$C$2128))-MIN(1,MAX(0,(nr_MStartP1-1-$G2139+0.5)/$C$2128))</f>
        <v/>
      </c>
      <c r="S2139" s="208">
        <f>IF($L$2128,$N2139*IF($O$2128=1,$O2139/$F$2128,1),"")</f>
        <v/>
      </c>
      <c r="T2139" s="208">
        <f>IF(NOT($L$2128),"",IF($G2139&lt;nr_MStartP,$S2139,$T2127*(1+IF($G2139&lt;nr_MStartP1,$M$2128,$N$2128))))</f>
        <v/>
      </c>
      <c r="U2139" s="208">
        <f>IF($L$2128,$T2139,$N2139)</f>
        <v/>
      </c>
    </row>
    <row r="2140">
      <c r="A2140" s="145" t="n">
        <v>10</v>
      </c>
      <c r="B2140" s="204">
        <f>EDATE($B2139,1)</f>
        <v/>
      </c>
      <c r="C2140" s="205">
        <f>EOMONTH($B2140,0)</f>
        <v/>
      </c>
      <c r="D2140" s="201">
        <f>$C2140-$B2140+1</f>
        <v/>
      </c>
      <c r="E2140" s="201">
        <f>MONTH($B2140)</f>
        <v/>
      </c>
      <c r="F2140" s="235">
        <f>($B2140+$C2140+1)/2</f>
        <v/>
      </c>
      <c r="G2140" s="201">
        <f>YEAR($B2140)*12+MONTH($B2140)-1</f>
        <v/>
      </c>
      <c r="H2140" s="207">
        <f>IF(OR(nr_SeasonOn="OFF",$D$2128=0,$E$2128=0),1,12*INDEX(se_block,$D$2128,$E2140)/$E$2128)</f>
        <v/>
      </c>
      <c r="I2140" s="208">
        <f>EXP(SUMPRODUCT((rl_eff&lt;$B2140)*(rl_key=$A$2128)*rl_ln1p))</f>
        <v/>
      </c>
      <c r="J2140" s="208">
        <f>EXP(SUMPRODUCT((rl_eff&lt;=$C2140)*(rl_key=$A$2128)*rl_ln1p))</f>
        <v/>
      </c>
      <c r="K2140" s="201">
        <f>COUNTIFS(rl_key,$A$2128,rl_eff,"&gt;="&amp;$B2140,rl_eff,"&lt;="&amp;$C2140)</f>
        <v/>
      </c>
      <c r="L2140" s="201">
        <f>SUMIFS(rl_daysafter,rl_key,$A$2128,rl_effmonth,$B2140,rl_first,1)</f>
        <v/>
      </c>
      <c r="M2140" s="209">
        <f>IF($K2140=0,0,MIN(1,$L2140/$D2140))</f>
        <v/>
      </c>
      <c r="N2140" s="208">
        <f>IF($K2140=0,$J2140,(1-$M2140)*$I2140+$M2140*$J2140)</f>
        <v/>
      </c>
      <c r="O2140" s="209">
        <f>IF($F2140&lt;$B$2129,$E$2129+$I$2129*($F2140-$A$2129),IF($F2140&lt;$C$2129,$F$2129+$J$2129*($F2140-$B$2129),$G$2129+$K$2129*($F2140-$C$2129)))</f>
        <v/>
      </c>
      <c r="P2140" s="208">
        <f>MIN(1,MAX(0,(nr_MEndPm1-$G2140+0.5)/$C$2128))-MIN(1,MAX(0,(nr_MStartPm1-1-$G2140+0.5)/$C$2128))</f>
        <v/>
      </c>
      <c r="Q2140" s="208">
        <f>MIN(1,MAX(0,(nr_MEndP-$G2140+0.5)/$C$2128))-MIN(1,MAX(0,(nr_MStartP-1-$G2140+0.5)/$C$2128))</f>
        <v/>
      </c>
      <c r="R2140" s="208">
        <f>MIN(1,MAX(0,(nr_MEndP1-$G2140+0.5)/$C$2128))-MIN(1,MAX(0,(nr_MStartP1-1-$G2140+0.5)/$C$2128))</f>
        <v/>
      </c>
      <c r="S2140" s="208">
        <f>IF($L$2128,$N2140*IF($O$2128=1,$O2140/$F$2128,1),"")</f>
        <v/>
      </c>
      <c r="T2140" s="208">
        <f>IF(NOT($L$2128),"",IF($G2140&lt;nr_MStartP,$S2140,$T2128*(1+IF($G2140&lt;nr_MStartP1,$M$2128,$N$2128))))</f>
        <v/>
      </c>
      <c r="U2140" s="208">
        <f>IF($L$2128,$T2140,$N2140)</f>
        <v/>
      </c>
    </row>
    <row r="2141">
      <c r="A2141" s="145" t="n">
        <v>11</v>
      </c>
      <c r="B2141" s="204">
        <f>EDATE($B2140,1)</f>
        <v/>
      </c>
      <c r="C2141" s="205">
        <f>EOMONTH($B2141,0)</f>
        <v/>
      </c>
      <c r="D2141" s="201">
        <f>$C2141-$B2141+1</f>
        <v/>
      </c>
      <c r="E2141" s="201">
        <f>MONTH($B2141)</f>
        <v/>
      </c>
      <c r="F2141" s="235">
        <f>($B2141+$C2141+1)/2</f>
        <v/>
      </c>
      <c r="G2141" s="201">
        <f>YEAR($B2141)*12+MONTH($B2141)-1</f>
        <v/>
      </c>
      <c r="H2141" s="207">
        <f>IF(OR(nr_SeasonOn="OFF",$D$2128=0,$E$2128=0),1,12*INDEX(se_block,$D$2128,$E2141)/$E$2128)</f>
        <v/>
      </c>
      <c r="I2141" s="208">
        <f>EXP(SUMPRODUCT((rl_eff&lt;$B2141)*(rl_key=$A$2128)*rl_ln1p))</f>
        <v/>
      </c>
      <c r="J2141" s="208">
        <f>EXP(SUMPRODUCT((rl_eff&lt;=$C2141)*(rl_key=$A$2128)*rl_ln1p))</f>
        <v/>
      </c>
      <c r="K2141" s="201">
        <f>COUNTIFS(rl_key,$A$2128,rl_eff,"&gt;="&amp;$B2141,rl_eff,"&lt;="&amp;$C2141)</f>
        <v/>
      </c>
      <c r="L2141" s="201">
        <f>SUMIFS(rl_daysafter,rl_key,$A$2128,rl_effmonth,$B2141,rl_first,1)</f>
        <v/>
      </c>
      <c r="M2141" s="209">
        <f>IF($K2141=0,0,MIN(1,$L2141/$D2141))</f>
        <v/>
      </c>
      <c r="N2141" s="208">
        <f>IF($K2141=0,$J2141,(1-$M2141)*$I2141+$M2141*$J2141)</f>
        <v/>
      </c>
      <c r="O2141" s="209">
        <f>IF($F2141&lt;$B$2129,$E$2129+$I$2129*($F2141-$A$2129),IF($F2141&lt;$C$2129,$F$2129+$J$2129*($F2141-$B$2129),$G$2129+$K$2129*($F2141-$C$2129)))</f>
        <v/>
      </c>
      <c r="P2141" s="208">
        <f>MIN(1,MAX(0,(nr_MEndPm1-$G2141+0.5)/$C$2128))-MIN(1,MAX(0,(nr_MStartPm1-1-$G2141+0.5)/$C$2128))</f>
        <v/>
      </c>
      <c r="Q2141" s="208">
        <f>MIN(1,MAX(0,(nr_MEndP-$G2141+0.5)/$C$2128))-MIN(1,MAX(0,(nr_MStartP-1-$G2141+0.5)/$C$2128))</f>
        <v/>
      </c>
      <c r="R2141" s="208">
        <f>MIN(1,MAX(0,(nr_MEndP1-$G2141+0.5)/$C$2128))-MIN(1,MAX(0,(nr_MStartP1-1-$G2141+0.5)/$C$2128))</f>
        <v/>
      </c>
      <c r="S2141" s="208">
        <f>IF($L$2128,$N2141*IF($O$2128=1,$O2141/$F$2128,1),"")</f>
        <v/>
      </c>
      <c r="T2141" s="208">
        <f>IF(NOT($L$2128),"",IF($G2141&lt;nr_MStartP,$S2141,$T2129*(1+IF($G2141&lt;nr_MStartP1,$M$2128,$N$2128))))</f>
        <v/>
      </c>
      <c r="U2141" s="208">
        <f>IF($L$2128,$T2141,$N2141)</f>
        <v/>
      </c>
    </row>
    <row r="2142">
      <c r="A2142" s="145" t="n">
        <v>12</v>
      </c>
      <c r="B2142" s="204">
        <f>EDATE($B2141,1)</f>
        <v/>
      </c>
      <c r="C2142" s="205">
        <f>EOMONTH($B2142,0)</f>
        <v/>
      </c>
      <c r="D2142" s="201">
        <f>$C2142-$B2142+1</f>
        <v/>
      </c>
      <c r="E2142" s="201">
        <f>MONTH($B2142)</f>
        <v/>
      </c>
      <c r="F2142" s="235">
        <f>($B2142+$C2142+1)/2</f>
        <v/>
      </c>
      <c r="G2142" s="201">
        <f>YEAR($B2142)*12+MONTH($B2142)-1</f>
        <v/>
      </c>
      <c r="H2142" s="207">
        <f>IF(OR(nr_SeasonOn="OFF",$D$2128=0,$E$2128=0),1,12*INDEX(se_block,$D$2128,$E2142)/$E$2128)</f>
        <v/>
      </c>
      <c r="I2142" s="208">
        <f>EXP(SUMPRODUCT((rl_eff&lt;$B2142)*(rl_key=$A$2128)*rl_ln1p))</f>
        <v/>
      </c>
      <c r="J2142" s="208">
        <f>EXP(SUMPRODUCT((rl_eff&lt;=$C2142)*(rl_key=$A$2128)*rl_ln1p))</f>
        <v/>
      </c>
      <c r="K2142" s="201">
        <f>COUNTIFS(rl_key,$A$2128,rl_eff,"&gt;="&amp;$B2142,rl_eff,"&lt;="&amp;$C2142)</f>
        <v/>
      </c>
      <c r="L2142" s="201">
        <f>SUMIFS(rl_daysafter,rl_key,$A$2128,rl_effmonth,$B2142,rl_first,1)</f>
        <v/>
      </c>
      <c r="M2142" s="209">
        <f>IF($K2142=0,0,MIN(1,$L2142/$D2142))</f>
        <v/>
      </c>
      <c r="N2142" s="208">
        <f>IF($K2142=0,$J2142,(1-$M2142)*$I2142+$M2142*$J2142)</f>
        <v/>
      </c>
      <c r="O2142" s="209">
        <f>IF($F2142&lt;$B$2129,$E$2129+$I$2129*($F2142-$A$2129),IF($F2142&lt;$C$2129,$F$2129+$J$2129*($F2142-$B$2129),$G$2129+$K$2129*($F2142-$C$2129)))</f>
        <v/>
      </c>
      <c r="P2142" s="208">
        <f>MIN(1,MAX(0,(nr_MEndPm1-$G2142+0.5)/$C$2128))-MIN(1,MAX(0,(nr_MStartPm1-1-$G2142+0.5)/$C$2128))</f>
        <v/>
      </c>
      <c r="Q2142" s="208">
        <f>MIN(1,MAX(0,(nr_MEndP-$G2142+0.5)/$C$2128))-MIN(1,MAX(0,(nr_MStartP-1-$G2142+0.5)/$C$2128))</f>
        <v/>
      </c>
      <c r="R2142" s="208">
        <f>MIN(1,MAX(0,(nr_MEndP1-$G2142+0.5)/$C$2128))-MIN(1,MAX(0,(nr_MStartP1-1-$G2142+0.5)/$C$2128))</f>
        <v/>
      </c>
      <c r="S2142" s="208">
        <f>IF($L$2128,$N2142*IF($O$2128=1,$O2142/$F$2128,1),"")</f>
        <v/>
      </c>
      <c r="T2142" s="208">
        <f>IF(NOT($L$2128),"",IF($G2142&lt;nr_MStartP,$S2142,$T2130*(1+IF($G2142&lt;nr_MStartP1,$M$2128,$N$2128))))</f>
        <v/>
      </c>
      <c r="U2142" s="208">
        <f>IF($L$2128,$T2142,$N2142)</f>
        <v/>
      </c>
    </row>
    <row r="2143">
      <c r="A2143" s="145" t="n">
        <v>13</v>
      </c>
      <c r="B2143" s="204">
        <f>EDATE($B2142,1)</f>
        <v/>
      </c>
      <c r="C2143" s="205">
        <f>EOMONTH($B2143,0)</f>
        <v/>
      </c>
      <c r="D2143" s="201">
        <f>$C2143-$B2143+1</f>
        <v/>
      </c>
      <c r="E2143" s="201">
        <f>MONTH($B2143)</f>
        <v/>
      </c>
      <c r="F2143" s="235">
        <f>($B2143+$C2143+1)/2</f>
        <v/>
      </c>
      <c r="G2143" s="201">
        <f>YEAR($B2143)*12+MONTH($B2143)-1</f>
        <v/>
      </c>
      <c r="H2143" s="207">
        <f>IF(OR(nr_SeasonOn="OFF",$D$2128=0,$E$2128=0),1,12*INDEX(se_block,$D$2128,$E2143)/$E$2128)</f>
        <v/>
      </c>
      <c r="I2143" s="208">
        <f>EXP(SUMPRODUCT((rl_eff&lt;$B2143)*(rl_key=$A$2128)*rl_ln1p))</f>
        <v/>
      </c>
      <c r="J2143" s="208">
        <f>EXP(SUMPRODUCT((rl_eff&lt;=$C2143)*(rl_key=$A$2128)*rl_ln1p))</f>
        <v/>
      </c>
      <c r="K2143" s="201">
        <f>COUNTIFS(rl_key,$A$2128,rl_eff,"&gt;="&amp;$B2143,rl_eff,"&lt;="&amp;$C2143)</f>
        <v/>
      </c>
      <c r="L2143" s="201">
        <f>SUMIFS(rl_daysafter,rl_key,$A$2128,rl_effmonth,$B2143,rl_first,1)</f>
        <v/>
      </c>
      <c r="M2143" s="209">
        <f>IF($K2143=0,0,MIN(1,$L2143/$D2143))</f>
        <v/>
      </c>
      <c r="N2143" s="208">
        <f>IF($K2143=0,$J2143,(1-$M2143)*$I2143+$M2143*$J2143)</f>
        <v/>
      </c>
      <c r="O2143" s="209">
        <f>IF($F2143&lt;$B$2129,$E$2129+$I$2129*($F2143-$A$2129),IF($F2143&lt;$C$2129,$F$2129+$J$2129*($F2143-$B$2129),$G$2129+$K$2129*($F2143-$C$2129)))</f>
        <v/>
      </c>
      <c r="P2143" s="208">
        <f>MIN(1,MAX(0,(nr_MEndPm1-$G2143+0.5)/$C$2128))-MIN(1,MAX(0,(nr_MStartPm1-1-$G2143+0.5)/$C$2128))</f>
        <v/>
      </c>
      <c r="Q2143" s="208">
        <f>MIN(1,MAX(0,(nr_MEndP-$G2143+0.5)/$C$2128))-MIN(1,MAX(0,(nr_MStartP-1-$G2143+0.5)/$C$2128))</f>
        <v/>
      </c>
      <c r="R2143" s="208">
        <f>MIN(1,MAX(0,(nr_MEndP1-$G2143+0.5)/$C$2128))-MIN(1,MAX(0,(nr_MStartP1-1-$G2143+0.5)/$C$2128))</f>
        <v/>
      </c>
      <c r="S2143" s="208">
        <f>IF($L$2128,$N2143*IF($O$2128=1,$O2143/$F$2128,1),"")</f>
        <v/>
      </c>
      <c r="T2143" s="208">
        <f>IF(NOT($L$2128),"",IF($G2143&lt;nr_MStartP,$S2143,$T2131*(1+IF($G2143&lt;nr_MStartP1,$M$2128,$N$2128))))</f>
        <v/>
      </c>
      <c r="U2143" s="208">
        <f>IF($L$2128,$T2143,$N2143)</f>
        <v/>
      </c>
    </row>
    <row r="2144">
      <c r="A2144" s="145" t="n">
        <v>14</v>
      </c>
      <c r="B2144" s="204">
        <f>EDATE($B2143,1)</f>
        <v/>
      </c>
      <c r="C2144" s="205">
        <f>EOMONTH($B2144,0)</f>
        <v/>
      </c>
      <c r="D2144" s="201">
        <f>$C2144-$B2144+1</f>
        <v/>
      </c>
      <c r="E2144" s="201">
        <f>MONTH($B2144)</f>
        <v/>
      </c>
      <c r="F2144" s="235">
        <f>($B2144+$C2144+1)/2</f>
        <v/>
      </c>
      <c r="G2144" s="201">
        <f>YEAR($B2144)*12+MONTH($B2144)-1</f>
        <v/>
      </c>
      <c r="H2144" s="207">
        <f>IF(OR(nr_SeasonOn="OFF",$D$2128=0,$E$2128=0),1,12*INDEX(se_block,$D$2128,$E2144)/$E$2128)</f>
        <v/>
      </c>
      <c r="I2144" s="208">
        <f>EXP(SUMPRODUCT((rl_eff&lt;$B2144)*(rl_key=$A$2128)*rl_ln1p))</f>
        <v/>
      </c>
      <c r="J2144" s="208">
        <f>EXP(SUMPRODUCT((rl_eff&lt;=$C2144)*(rl_key=$A$2128)*rl_ln1p))</f>
        <v/>
      </c>
      <c r="K2144" s="201">
        <f>COUNTIFS(rl_key,$A$2128,rl_eff,"&gt;="&amp;$B2144,rl_eff,"&lt;="&amp;$C2144)</f>
        <v/>
      </c>
      <c r="L2144" s="201">
        <f>SUMIFS(rl_daysafter,rl_key,$A$2128,rl_effmonth,$B2144,rl_first,1)</f>
        <v/>
      </c>
      <c r="M2144" s="209">
        <f>IF($K2144=0,0,MIN(1,$L2144/$D2144))</f>
        <v/>
      </c>
      <c r="N2144" s="208">
        <f>IF($K2144=0,$J2144,(1-$M2144)*$I2144+$M2144*$J2144)</f>
        <v/>
      </c>
      <c r="O2144" s="209">
        <f>IF($F2144&lt;$B$2129,$E$2129+$I$2129*($F2144-$A$2129),IF($F2144&lt;$C$2129,$F$2129+$J$2129*($F2144-$B$2129),$G$2129+$K$2129*($F2144-$C$2129)))</f>
        <v/>
      </c>
      <c r="P2144" s="208">
        <f>MIN(1,MAX(0,(nr_MEndPm1-$G2144+0.5)/$C$2128))-MIN(1,MAX(0,(nr_MStartPm1-1-$G2144+0.5)/$C$2128))</f>
        <v/>
      </c>
      <c r="Q2144" s="208">
        <f>MIN(1,MAX(0,(nr_MEndP-$G2144+0.5)/$C$2128))-MIN(1,MAX(0,(nr_MStartP-1-$G2144+0.5)/$C$2128))</f>
        <v/>
      </c>
      <c r="R2144" s="208">
        <f>MIN(1,MAX(0,(nr_MEndP1-$G2144+0.5)/$C$2128))-MIN(1,MAX(0,(nr_MStartP1-1-$G2144+0.5)/$C$2128))</f>
        <v/>
      </c>
      <c r="S2144" s="208">
        <f>IF($L$2128,$N2144*IF($O$2128=1,$O2144/$F$2128,1),"")</f>
        <v/>
      </c>
      <c r="T2144" s="208">
        <f>IF(NOT($L$2128),"",IF($G2144&lt;nr_MStartP,$S2144,$T2132*(1+IF($G2144&lt;nr_MStartP1,$M$2128,$N$2128))))</f>
        <v/>
      </c>
      <c r="U2144" s="208">
        <f>IF($L$2128,$T2144,$N2144)</f>
        <v/>
      </c>
    </row>
    <row r="2145">
      <c r="A2145" s="145" t="n">
        <v>15</v>
      </c>
      <c r="B2145" s="204">
        <f>EDATE($B2144,1)</f>
        <v/>
      </c>
      <c r="C2145" s="205">
        <f>EOMONTH($B2145,0)</f>
        <v/>
      </c>
      <c r="D2145" s="201">
        <f>$C2145-$B2145+1</f>
        <v/>
      </c>
      <c r="E2145" s="201">
        <f>MONTH($B2145)</f>
        <v/>
      </c>
      <c r="F2145" s="235">
        <f>($B2145+$C2145+1)/2</f>
        <v/>
      </c>
      <c r="G2145" s="201">
        <f>YEAR($B2145)*12+MONTH($B2145)-1</f>
        <v/>
      </c>
      <c r="H2145" s="207">
        <f>IF(OR(nr_SeasonOn="OFF",$D$2128=0,$E$2128=0),1,12*INDEX(se_block,$D$2128,$E2145)/$E$2128)</f>
        <v/>
      </c>
      <c r="I2145" s="208">
        <f>EXP(SUMPRODUCT((rl_eff&lt;$B2145)*(rl_key=$A$2128)*rl_ln1p))</f>
        <v/>
      </c>
      <c r="J2145" s="208">
        <f>EXP(SUMPRODUCT((rl_eff&lt;=$C2145)*(rl_key=$A$2128)*rl_ln1p))</f>
        <v/>
      </c>
      <c r="K2145" s="201">
        <f>COUNTIFS(rl_key,$A$2128,rl_eff,"&gt;="&amp;$B2145,rl_eff,"&lt;="&amp;$C2145)</f>
        <v/>
      </c>
      <c r="L2145" s="201">
        <f>SUMIFS(rl_daysafter,rl_key,$A$2128,rl_effmonth,$B2145,rl_first,1)</f>
        <v/>
      </c>
      <c r="M2145" s="209">
        <f>IF($K2145=0,0,MIN(1,$L2145/$D2145))</f>
        <v/>
      </c>
      <c r="N2145" s="208">
        <f>IF($K2145=0,$J2145,(1-$M2145)*$I2145+$M2145*$J2145)</f>
        <v/>
      </c>
      <c r="O2145" s="209">
        <f>IF($F2145&lt;$B$2129,$E$2129+$I$2129*($F2145-$A$2129),IF($F2145&lt;$C$2129,$F$2129+$J$2129*($F2145-$B$2129),$G$2129+$K$2129*($F2145-$C$2129)))</f>
        <v/>
      </c>
      <c r="P2145" s="208">
        <f>MIN(1,MAX(0,(nr_MEndPm1-$G2145+0.5)/$C$2128))-MIN(1,MAX(0,(nr_MStartPm1-1-$G2145+0.5)/$C$2128))</f>
        <v/>
      </c>
      <c r="Q2145" s="208">
        <f>MIN(1,MAX(0,(nr_MEndP-$G2145+0.5)/$C$2128))-MIN(1,MAX(0,(nr_MStartP-1-$G2145+0.5)/$C$2128))</f>
        <v/>
      </c>
      <c r="R2145" s="208">
        <f>MIN(1,MAX(0,(nr_MEndP1-$G2145+0.5)/$C$2128))-MIN(1,MAX(0,(nr_MStartP1-1-$G2145+0.5)/$C$2128))</f>
        <v/>
      </c>
      <c r="S2145" s="208">
        <f>IF($L$2128,$N2145*IF($O$2128=1,$O2145/$F$2128,1),"")</f>
        <v/>
      </c>
      <c r="T2145" s="208">
        <f>IF(NOT($L$2128),"",IF($G2145&lt;nr_MStartP,$S2145,$T2133*(1+IF($G2145&lt;nr_MStartP1,$M$2128,$N$2128))))</f>
        <v/>
      </c>
      <c r="U2145" s="208">
        <f>IF($L$2128,$T2145,$N2145)</f>
        <v/>
      </c>
    </row>
    <row r="2146">
      <c r="A2146" s="145" t="n">
        <v>16</v>
      </c>
      <c r="B2146" s="204">
        <f>EDATE($B2145,1)</f>
        <v/>
      </c>
      <c r="C2146" s="205">
        <f>EOMONTH($B2146,0)</f>
        <v/>
      </c>
      <c r="D2146" s="201">
        <f>$C2146-$B2146+1</f>
        <v/>
      </c>
      <c r="E2146" s="201">
        <f>MONTH($B2146)</f>
        <v/>
      </c>
      <c r="F2146" s="235">
        <f>($B2146+$C2146+1)/2</f>
        <v/>
      </c>
      <c r="G2146" s="201">
        <f>YEAR($B2146)*12+MONTH($B2146)-1</f>
        <v/>
      </c>
      <c r="H2146" s="207">
        <f>IF(OR(nr_SeasonOn="OFF",$D$2128=0,$E$2128=0),1,12*INDEX(se_block,$D$2128,$E2146)/$E$2128)</f>
        <v/>
      </c>
      <c r="I2146" s="208">
        <f>EXP(SUMPRODUCT((rl_eff&lt;$B2146)*(rl_key=$A$2128)*rl_ln1p))</f>
        <v/>
      </c>
      <c r="J2146" s="208">
        <f>EXP(SUMPRODUCT((rl_eff&lt;=$C2146)*(rl_key=$A$2128)*rl_ln1p))</f>
        <v/>
      </c>
      <c r="K2146" s="201">
        <f>COUNTIFS(rl_key,$A$2128,rl_eff,"&gt;="&amp;$B2146,rl_eff,"&lt;="&amp;$C2146)</f>
        <v/>
      </c>
      <c r="L2146" s="201">
        <f>SUMIFS(rl_daysafter,rl_key,$A$2128,rl_effmonth,$B2146,rl_first,1)</f>
        <v/>
      </c>
      <c r="M2146" s="209">
        <f>IF($K2146=0,0,MIN(1,$L2146/$D2146))</f>
        <v/>
      </c>
      <c r="N2146" s="208">
        <f>IF($K2146=0,$J2146,(1-$M2146)*$I2146+$M2146*$J2146)</f>
        <v/>
      </c>
      <c r="O2146" s="209">
        <f>IF($F2146&lt;$B$2129,$E$2129+$I$2129*($F2146-$A$2129),IF($F2146&lt;$C$2129,$F$2129+$J$2129*($F2146-$B$2129),$G$2129+$K$2129*($F2146-$C$2129)))</f>
        <v/>
      </c>
      <c r="P2146" s="208">
        <f>MIN(1,MAX(0,(nr_MEndPm1-$G2146+0.5)/$C$2128))-MIN(1,MAX(0,(nr_MStartPm1-1-$G2146+0.5)/$C$2128))</f>
        <v/>
      </c>
      <c r="Q2146" s="208">
        <f>MIN(1,MAX(0,(nr_MEndP-$G2146+0.5)/$C$2128))-MIN(1,MAX(0,(nr_MStartP-1-$G2146+0.5)/$C$2128))</f>
        <v/>
      </c>
      <c r="R2146" s="208">
        <f>MIN(1,MAX(0,(nr_MEndP1-$G2146+0.5)/$C$2128))-MIN(1,MAX(0,(nr_MStartP1-1-$G2146+0.5)/$C$2128))</f>
        <v/>
      </c>
      <c r="S2146" s="208">
        <f>IF($L$2128,$N2146*IF($O$2128=1,$O2146/$F$2128,1),"")</f>
        <v/>
      </c>
      <c r="T2146" s="208">
        <f>IF(NOT($L$2128),"",IF($G2146&lt;nr_MStartP,$S2146,$T2134*(1+IF($G2146&lt;nr_MStartP1,$M$2128,$N$2128))))</f>
        <v/>
      </c>
      <c r="U2146" s="208">
        <f>IF($L$2128,$T2146,$N2146)</f>
        <v/>
      </c>
    </row>
    <row r="2147">
      <c r="A2147" s="145" t="n">
        <v>17</v>
      </c>
      <c r="B2147" s="204">
        <f>EDATE($B2146,1)</f>
        <v/>
      </c>
      <c r="C2147" s="205">
        <f>EOMONTH($B2147,0)</f>
        <v/>
      </c>
      <c r="D2147" s="201">
        <f>$C2147-$B2147+1</f>
        <v/>
      </c>
      <c r="E2147" s="201">
        <f>MONTH($B2147)</f>
        <v/>
      </c>
      <c r="F2147" s="235">
        <f>($B2147+$C2147+1)/2</f>
        <v/>
      </c>
      <c r="G2147" s="201">
        <f>YEAR($B2147)*12+MONTH($B2147)-1</f>
        <v/>
      </c>
      <c r="H2147" s="207">
        <f>IF(OR(nr_SeasonOn="OFF",$D$2128=0,$E$2128=0),1,12*INDEX(se_block,$D$2128,$E2147)/$E$2128)</f>
        <v/>
      </c>
      <c r="I2147" s="208">
        <f>EXP(SUMPRODUCT((rl_eff&lt;$B2147)*(rl_key=$A$2128)*rl_ln1p))</f>
        <v/>
      </c>
      <c r="J2147" s="208">
        <f>EXP(SUMPRODUCT((rl_eff&lt;=$C2147)*(rl_key=$A$2128)*rl_ln1p))</f>
        <v/>
      </c>
      <c r="K2147" s="201">
        <f>COUNTIFS(rl_key,$A$2128,rl_eff,"&gt;="&amp;$B2147,rl_eff,"&lt;="&amp;$C2147)</f>
        <v/>
      </c>
      <c r="L2147" s="201">
        <f>SUMIFS(rl_daysafter,rl_key,$A$2128,rl_effmonth,$B2147,rl_first,1)</f>
        <v/>
      </c>
      <c r="M2147" s="209">
        <f>IF($K2147=0,0,MIN(1,$L2147/$D2147))</f>
        <v/>
      </c>
      <c r="N2147" s="208">
        <f>IF($K2147=0,$J2147,(1-$M2147)*$I2147+$M2147*$J2147)</f>
        <v/>
      </c>
      <c r="O2147" s="209">
        <f>IF($F2147&lt;$B$2129,$E$2129+$I$2129*($F2147-$A$2129),IF($F2147&lt;$C$2129,$F$2129+$J$2129*($F2147-$B$2129),$G$2129+$K$2129*($F2147-$C$2129)))</f>
        <v/>
      </c>
      <c r="P2147" s="208">
        <f>MIN(1,MAX(0,(nr_MEndPm1-$G2147+0.5)/$C$2128))-MIN(1,MAX(0,(nr_MStartPm1-1-$G2147+0.5)/$C$2128))</f>
        <v/>
      </c>
      <c r="Q2147" s="208">
        <f>MIN(1,MAX(0,(nr_MEndP-$G2147+0.5)/$C$2128))-MIN(1,MAX(0,(nr_MStartP-1-$G2147+0.5)/$C$2128))</f>
        <v/>
      </c>
      <c r="R2147" s="208">
        <f>MIN(1,MAX(0,(nr_MEndP1-$G2147+0.5)/$C$2128))-MIN(1,MAX(0,(nr_MStartP1-1-$G2147+0.5)/$C$2128))</f>
        <v/>
      </c>
      <c r="S2147" s="208">
        <f>IF($L$2128,$N2147*IF($O$2128=1,$O2147/$F$2128,1),"")</f>
        <v/>
      </c>
      <c r="T2147" s="208">
        <f>IF(NOT($L$2128),"",IF($G2147&lt;nr_MStartP,$S2147,$T2135*(1+IF($G2147&lt;nr_MStartP1,$M$2128,$N$2128))))</f>
        <v/>
      </c>
      <c r="U2147" s="208">
        <f>IF($L$2128,$T2147,$N2147)</f>
        <v/>
      </c>
    </row>
    <row r="2148">
      <c r="A2148" s="145" t="n">
        <v>18</v>
      </c>
      <c r="B2148" s="204">
        <f>EDATE($B2147,1)</f>
        <v/>
      </c>
      <c r="C2148" s="205">
        <f>EOMONTH($B2148,0)</f>
        <v/>
      </c>
      <c r="D2148" s="201">
        <f>$C2148-$B2148+1</f>
        <v/>
      </c>
      <c r="E2148" s="201">
        <f>MONTH($B2148)</f>
        <v/>
      </c>
      <c r="F2148" s="235">
        <f>($B2148+$C2148+1)/2</f>
        <v/>
      </c>
      <c r="G2148" s="201">
        <f>YEAR($B2148)*12+MONTH($B2148)-1</f>
        <v/>
      </c>
      <c r="H2148" s="207">
        <f>IF(OR(nr_SeasonOn="OFF",$D$2128=0,$E$2128=0),1,12*INDEX(se_block,$D$2128,$E2148)/$E$2128)</f>
        <v/>
      </c>
      <c r="I2148" s="208">
        <f>EXP(SUMPRODUCT((rl_eff&lt;$B2148)*(rl_key=$A$2128)*rl_ln1p))</f>
        <v/>
      </c>
      <c r="J2148" s="208">
        <f>EXP(SUMPRODUCT((rl_eff&lt;=$C2148)*(rl_key=$A$2128)*rl_ln1p))</f>
        <v/>
      </c>
      <c r="K2148" s="201">
        <f>COUNTIFS(rl_key,$A$2128,rl_eff,"&gt;="&amp;$B2148,rl_eff,"&lt;="&amp;$C2148)</f>
        <v/>
      </c>
      <c r="L2148" s="201">
        <f>SUMIFS(rl_daysafter,rl_key,$A$2128,rl_effmonth,$B2148,rl_first,1)</f>
        <v/>
      </c>
      <c r="M2148" s="209">
        <f>IF($K2148=0,0,MIN(1,$L2148/$D2148))</f>
        <v/>
      </c>
      <c r="N2148" s="208">
        <f>IF($K2148=0,$J2148,(1-$M2148)*$I2148+$M2148*$J2148)</f>
        <v/>
      </c>
      <c r="O2148" s="209">
        <f>IF($F2148&lt;$B$2129,$E$2129+$I$2129*($F2148-$A$2129),IF($F2148&lt;$C$2129,$F$2129+$J$2129*($F2148-$B$2129),$G$2129+$K$2129*($F2148-$C$2129)))</f>
        <v/>
      </c>
      <c r="P2148" s="208">
        <f>MIN(1,MAX(0,(nr_MEndPm1-$G2148+0.5)/$C$2128))-MIN(1,MAX(0,(nr_MStartPm1-1-$G2148+0.5)/$C$2128))</f>
        <v/>
      </c>
      <c r="Q2148" s="208">
        <f>MIN(1,MAX(0,(nr_MEndP-$G2148+0.5)/$C$2128))-MIN(1,MAX(0,(nr_MStartP-1-$G2148+0.5)/$C$2128))</f>
        <v/>
      </c>
      <c r="R2148" s="208">
        <f>MIN(1,MAX(0,(nr_MEndP1-$G2148+0.5)/$C$2128))-MIN(1,MAX(0,(nr_MStartP1-1-$G2148+0.5)/$C$2128))</f>
        <v/>
      </c>
      <c r="S2148" s="208">
        <f>IF($L$2128,$N2148*IF($O$2128=1,$O2148/$F$2128,1),"")</f>
        <v/>
      </c>
      <c r="T2148" s="208">
        <f>IF(NOT($L$2128),"",IF($G2148&lt;nr_MStartP,$S2148,$T2136*(1+IF($G2148&lt;nr_MStartP1,$M$2128,$N$2128))))</f>
        <v/>
      </c>
      <c r="U2148" s="208">
        <f>IF($L$2128,$T2148,$N2148)</f>
        <v/>
      </c>
    </row>
    <row r="2149">
      <c r="A2149" s="145" t="n">
        <v>19</v>
      </c>
      <c r="B2149" s="204">
        <f>EDATE($B2148,1)</f>
        <v/>
      </c>
      <c r="C2149" s="205">
        <f>EOMONTH($B2149,0)</f>
        <v/>
      </c>
      <c r="D2149" s="201">
        <f>$C2149-$B2149+1</f>
        <v/>
      </c>
      <c r="E2149" s="201">
        <f>MONTH($B2149)</f>
        <v/>
      </c>
      <c r="F2149" s="235">
        <f>($B2149+$C2149+1)/2</f>
        <v/>
      </c>
      <c r="G2149" s="201">
        <f>YEAR($B2149)*12+MONTH($B2149)-1</f>
        <v/>
      </c>
      <c r="H2149" s="207">
        <f>IF(OR(nr_SeasonOn="OFF",$D$2128=0,$E$2128=0),1,12*INDEX(se_block,$D$2128,$E2149)/$E$2128)</f>
        <v/>
      </c>
      <c r="I2149" s="208">
        <f>EXP(SUMPRODUCT((rl_eff&lt;$B2149)*(rl_key=$A$2128)*rl_ln1p))</f>
        <v/>
      </c>
      <c r="J2149" s="208">
        <f>EXP(SUMPRODUCT((rl_eff&lt;=$C2149)*(rl_key=$A$2128)*rl_ln1p))</f>
        <v/>
      </c>
      <c r="K2149" s="201">
        <f>COUNTIFS(rl_key,$A$2128,rl_eff,"&gt;="&amp;$B2149,rl_eff,"&lt;="&amp;$C2149)</f>
        <v/>
      </c>
      <c r="L2149" s="201">
        <f>SUMIFS(rl_daysafter,rl_key,$A$2128,rl_effmonth,$B2149,rl_first,1)</f>
        <v/>
      </c>
      <c r="M2149" s="209">
        <f>IF($K2149=0,0,MIN(1,$L2149/$D2149))</f>
        <v/>
      </c>
      <c r="N2149" s="208">
        <f>IF($K2149=0,$J2149,(1-$M2149)*$I2149+$M2149*$J2149)</f>
        <v/>
      </c>
      <c r="O2149" s="209">
        <f>IF($F2149&lt;$B$2129,$E$2129+$I$2129*($F2149-$A$2129),IF($F2149&lt;$C$2129,$F$2129+$J$2129*($F2149-$B$2129),$G$2129+$K$2129*($F2149-$C$2129)))</f>
        <v/>
      </c>
      <c r="P2149" s="208">
        <f>MIN(1,MAX(0,(nr_MEndPm1-$G2149+0.5)/$C$2128))-MIN(1,MAX(0,(nr_MStartPm1-1-$G2149+0.5)/$C$2128))</f>
        <v/>
      </c>
      <c r="Q2149" s="208">
        <f>MIN(1,MAX(0,(nr_MEndP-$G2149+0.5)/$C$2128))-MIN(1,MAX(0,(nr_MStartP-1-$G2149+0.5)/$C$2128))</f>
        <v/>
      </c>
      <c r="R2149" s="208">
        <f>MIN(1,MAX(0,(nr_MEndP1-$G2149+0.5)/$C$2128))-MIN(1,MAX(0,(nr_MStartP1-1-$G2149+0.5)/$C$2128))</f>
        <v/>
      </c>
      <c r="S2149" s="208">
        <f>IF($L$2128,$N2149*IF($O$2128=1,$O2149/$F$2128,1),"")</f>
        <v/>
      </c>
      <c r="T2149" s="208">
        <f>IF(NOT($L$2128),"",IF($G2149&lt;nr_MStartP,$S2149,$T2137*(1+IF($G2149&lt;nr_MStartP1,$M$2128,$N$2128))))</f>
        <v/>
      </c>
      <c r="U2149" s="208">
        <f>IF($L$2128,$T2149,$N2149)</f>
        <v/>
      </c>
    </row>
    <row r="2150">
      <c r="A2150" s="145" t="n">
        <v>20</v>
      </c>
      <c r="B2150" s="204">
        <f>EDATE($B2149,1)</f>
        <v/>
      </c>
      <c r="C2150" s="205">
        <f>EOMONTH($B2150,0)</f>
        <v/>
      </c>
      <c r="D2150" s="201">
        <f>$C2150-$B2150+1</f>
        <v/>
      </c>
      <c r="E2150" s="201">
        <f>MONTH($B2150)</f>
        <v/>
      </c>
      <c r="F2150" s="235">
        <f>($B2150+$C2150+1)/2</f>
        <v/>
      </c>
      <c r="G2150" s="201">
        <f>YEAR($B2150)*12+MONTH($B2150)-1</f>
        <v/>
      </c>
      <c r="H2150" s="207">
        <f>IF(OR(nr_SeasonOn="OFF",$D$2128=0,$E$2128=0),1,12*INDEX(se_block,$D$2128,$E2150)/$E$2128)</f>
        <v/>
      </c>
      <c r="I2150" s="208">
        <f>EXP(SUMPRODUCT((rl_eff&lt;$B2150)*(rl_key=$A$2128)*rl_ln1p))</f>
        <v/>
      </c>
      <c r="J2150" s="208">
        <f>EXP(SUMPRODUCT((rl_eff&lt;=$C2150)*(rl_key=$A$2128)*rl_ln1p))</f>
        <v/>
      </c>
      <c r="K2150" s="201">
        <f>COUNTIFS(rl_key,$A$2128,rl_eff,"&gt;="&amp;$B2150,rl_eff,"&lt;="&amp;$C2150)</f>
        <v/>
      </c>
      <c r="L2150" s="201">
        <f>SUMIFS(rl_daysafter,rl_key,$A$2128,rl_effmonth,$B2150,rl_first,1)</f>
        <v/>
      </c>
      <c r="M2150" s="209">
        <f>IF($K2150=0,0,MIN(1,$L2150/$D2150))</f>
        <v/>
      </c>
      <c r="N2150" s="208">
        <f>IF($K2150=0,$J2150,(1-$M2150)*$I2150+$M2150*$J2150)</f>
        <v/>
      </c>
      <c r="O2150" s="209">
        <f>IF($F2150&lt;$B$2129,$E$2129+$I$2129*($F2150-$A$2129),IF($F2150&lt;$C$2129,$F$2129+$J$2129*($F2150-$B$2129),$G$2129+$K$2129*($F2150-$C$2129)))</f>
        <v/>
      </c>
      <c r="P2150" s="208">
        <f>MIN(1,MAX(0,(nr_MEndPm1-$G2150+0.5)/$C$2128))-MIN(1,MAX(0,(nr_MStartPm1-1-$G2150+0.5)/$C$2128))</f>
        <v/>
      </c>
      <c r="Q2150" s="208">
        <f>MIN(1,MAX(0,(nr_MEndP-$G2150+0.5)/$C$2128))-MIN(1,MAX(0,(nr_MStartP-1-$G2150+0.5)/$C$2128))</f>
        <v/>
      </c>
      <c r="R2150" s="208">
        <f>MIN(1,MAX(0,(nr_MEndP1-$G2150+0.5)/$C$2128))-MIN(1,MAX(0,(nr_MStartP1-1-$G2150+0.5)/$C$2128))</f>
        <v/>
      </c>
      <c r="S2150" s="208">
        <f>IF($L$2128,$N2150*IF($O$2128=1,$O2150/$F$2128,1),"")</f>
        <v/>
      </c>
      <c r="T2150" s="208">
        <f>IF(NOT($L$2128),"",IF($G2150&lt;nr_MStartP,$S2150,$T2138*(1+IF($G2150&lt;nr_MStartP1,$M$2128,$N$2128))))</f>
        <v/>
      </c>
      <c r="U2150" s="208">
        <f>IF($L$2128,$T2150,$N2150)</f>
        <v/>
      </c>
    </row>
    <row r="2151">
      <c r="A2151" s="145" t="n">
        <v>21</v>
      </c>
      <c r="B2151" s="204">
        <f>EDATE($B2150,1)</f>
        <v/>
      </c>
      <c r="C2151" s="205">
        <f>EOMONTH($B2151,0)</f>
        <v/>
      </c>
      <c r="D2151" s="201">
        <f>$C2151-$B2151+1</f>
        <v/>
      </c>
      <c r="E2151" s="201">
        <f>MONTH($B2151)</f>
        <v/>
      </c>
      <c r="F2151" s="235">
        <f>($B2151+$C2151+1)/2</f>
        <v/>
      </c>
      <c r="G2151" s="201">
        <f>YEAR($B2151)*12+MONTH($B2151)-1</f>
        <v/>
      </c>
      <c r="H2151" s="207">
        <f>IF(OR(nr_SeasonOn="OFF",$D$2128=0,$E$2128=0),1,12*INDEX(se_block,$D$2128,$E2151)/$E$2128)</f>
        <v/>
      </c>
      <c r="I2151" s="208">
        <f>EXP(SUMPRODUCT((rl_eff&lt;$B2151)*(rl_key=$A$2128)*rl_ln1p))</f>
        <v/>
      </c>
      <c r="J2151" s="208">
        <f>EXP(SUMPRODUCT((rl_eff&lt;=$C2151)*(rl_key=$A$2128)*rl_ln1p))</f>
        <v/>
      </c>
      <c r="K2151" s="201">
        <f>COUNTIFS(rl_key,$A$2128,rl_eff,"&gt;="&amp;$B2151,rl_eff,"&lt;="&amp;$C2151)</f>
        <v/>
      </c>
      <c r="L2151" s="201">
        <f>SUMIFS(rl_daysafter,rl_key,$A$2128,rl_effmonth,$B2151,rl_first,1)</f>
        <v/>
      </c>
      <c r="M2151" s="209">
        <f>IF($K2151=0,0,MIN(1,$L2151/$D2151))</f>
        <v/>
      </c>
      <c r="N2151" s="208">
        <f>IF($K2151=0,$J2151,(1-$M2151)*$I2151+$M2151*$J2151)</f>
        <v/>
      </c>
      <c r="O2151" s="209">
        <f>IF($F2151&lt;$B$2129,$E$2129+$I$2129*($F2151-$A$2129),IF($F2151&lt;$C$2129,$F$2129+$J$2129*($F2151-$B$2129),$G$2129+$K$2129*($F2151-$C$2129)))</f>
        <v/>
      </c>
      <c r="P2151" s="208">
        <f>MIN(1,MAX(0,(nr_MEndPm1-$G2151+0.5)/$C$2128))-MIN(1,MAX(0,(nr_MStartPm1-1-$G2151+0.5)/$C$2128))</f>
        <v/>
      </c>
      <c r="Q2151" s="208">
        <f>MIN(1,MAX(0,(nr_MEndP-$G2151+0.5)/$C$2128))-MIN(1,MAX(0,(nr_MStartP-1-$G2151+0.5)/$C$2128))</f>
        <v/>
      </c>
      <c r="R2151" s="208">
        <f>MIN(1,MAX(0,(nr_MEndP1-$G2151+0.5)/$C$2128))-MIN(1,MAX(0,(nr_MStartP1-1-$G2151+0.5)/$C$2128))</f>
        <v/>
      </c>
      <c r="S2151" s="208">
        <f>IF($L$2128,$N2151*IF($O$2128=1,$O2151/$F$2128,1),"")</f>
        <v/>
      </c>
      <c r="T2151" s="208">
        <f>IF(NOT($L$2128),"",IF($G2151&lt;nr_MStartP,$S2151,$T2139*(1+IF($G2151&lt;nr_MStartP1,$M$2128,$N$2128))))</f>
        <v/>
      </c>
      <c r="U2151" s="208">
        <f>IF($L$2128,$T2151,$N2151)</f>
        <v/>
      </c>
    </row>
    <row r="2152">
      <c r="A2152" s="145" t="n">
        <v>22</v>
      </c>
      <c r="B2152" s="204">
        <f>EDATE($B2151,1)</f>
        <v/>
      </c>
      <c r="C2152" s="205">
        <f>EOMONTH($B2152,0)</f>
        <v/>
      </c>
      <c r="D2152" s="201">
        <f>$C2152-$B2152+1</f>
        <v/>
      </c>
      <c r="E2152" s="201">
        <f>MONTH($B2152)</f>
        <v/>
      </c>
      <c r="F2152" s="235">
        <f>($B2152+$C2152+1)/2</f>
        <v/>
      </c>
      <c r="G2152" s="201">
        <f>YEAR($B2152)*12+MONTH($B2152)-1</f>
        <v/>
      </c>
      <c r="H2152" s="207">
        <f>IF(OR(nr_SeasonOn="OFF",$D$2128=0,$E$2128=0),1,12*INDEX(se_block,$D$2128,$E2152)/$E$2128)</f>
        <v/>
      </c>
      <c r="I2152" s="208">
        <f>EXP(SUMPRODUCT((rl_eff&lt;$B2152)*(rl_key=$A$2128)*rl_ln1p))</f>
        <v/>
      </c>
      <c r="J2152" s="208">
        <f>EXP(SUMPRODUCT((rl_eff&lt;=$C2152)*(rl_key=$A$2128)*rl_ln1p))</f>
        <v/>
      </c>
      <c r="K2152" s="201">
        <f>COUNTIFS(rl_key,$A$2128,rl_eff,"&gt;="&amp;$B2152,rl_eff,"&lt;="&amp;$C2152)</f>
        <v/>
      </c>
      <c r="L2152" s="201">
        <f>SUMIFS(rl_daysafter,rl_key,$A$2128,rl_effmonth,$B2152,rl_first,1)</f>
        <v/>
      </c>
      <c r="M2152" s="209">
        <f>IF($K2152=0,0,MIN(1,$L2152/$D2152))</f>
        <v/>
      </c>
      <c r="N2152" s="208">
        <f>IF($K2152=0,$J2152,(1-$M2152)*$I2152+$M2152*$J2152)</f>
        <v/>
      </c>
      <c r="O2152" s="209">
        <f>IF($F2152&lt;$B$2129,$E$2129+$I$2129*($F2152-$A$2129),IF($F2152&lt;$C$2129,$F$2129+$J$2129*($F2152-$B$2129),$G$2129+$K$2129*($F2152-$C$2129)))</f>
        <v/>
      </c>
      <c r="P2152" s="208">
        <f>MIN(1,MAX(0,(nr_MEndPm1-$G2152+0.5)/$C$2128))-MIN(1,MAX(0,(nr_MStartPm1-1-$G2152+0.5)/$C$2128))</f>
        <v/>
      </c>
      <c r="Q2152" s="208">
        <f>MIN(1,MAX(0,(nr_MEndP-$G2152+0.5)/$C$2128))-MIN(1,MAX(0,(nr_MStartP-1-$G2152+0.5)/$C$2128))</f>
        <v/>
      </c>
      <c r="R2152" s="208">
        <f>MIN(1,MAX(0,(nr_MEndP1-$G2152+0.5)/$C$2128))-MIN(1,MAX(0,(nr_MStartP1-1-$G2152+0.5)/$C$2128))</f>
        <v/>
      </c>
      <c r="S2152" s="208">
        <f>IF($L$2128,$N2152*IF($O$2128=1,$O2152/$F$2128,1),"")</f>
        <v/>
      </c>
      <c r="T2152" s="208">
        <f>IF(NOT($L$2128),"",IF($G2152&lt;nr_MStartP,$S2152,$T2140*(1+IF($G2152&lt;nr_MStartP1,$M$2128,$N$2128))))</f>
        <v/>
      </c>
      <c r="U2152" s="208">
        <f>IF($L$2128,$T2152,$N2152)</f>
        <v/>
      </c>
    </row>
    <row r="2153">
      <c r="A2153" s="145" t="n">
        <v>23</v>
      </c>
      <c r="B2153" s="204">
        <f>EDATE($B2152,1)</f>
        <v/>
      </c>
      <c r="C2153" s="205">
        <f>EOMONTH($B2153,0)</f>
        <v/>
      </c>
      <c r="D2153" s="201">
        <f>$C2153-$B2153+1</f>
        <v/>
      </c>
      <c r="E2153" s="201">
        <f>MONTH($B2153)</f>
        <v/>
      </c>
      <c r="F2153" s="235">
        <f>($B2153+$C2153+1)/2</f>
        <v/>
      </c>
      <c r="G2153" s="201">
        <f>YEAR($B2153)*12+MONTH($B2153)-1</f>
        <v/>
      </c>
      <c r="H2153" s="207">
        <f>IF(OR(nr_SeasonOn="OFF",$D$2128=0,$E$2128=0),1,12*INDEX(se_block,$D$2128,$E2153)/$E$2128)</f>
        <v/>
      </c>
      <c r="I2153" s="208">
        <f>EXP(SUMPRODUCT((rl_eff&lt;$B2153)*(rl_key=$A$2128)*rl_ln1p))</f>
        <v/>
      </c>
      <c r="J2153" s="208">
        <f>EXP(SUMPRODUCT((rl_eff&lt;=$C2153)*(rl_key=$A$2128)*rl_ln1p))</f>
        <v/>
      </c>
      <c r="K2153" s="201">
        <f>COUNTIFS(rl_key,$A$2128,rl_eff,"&gt;="&amp;$B2153,rl_eff,"&lt;="&amp;$C2153)</f>
        <v/>
      </c>
      <c r="L2153" s="201">
        <f>SUMIFS(rl_daysafter,rl_key,$A$2128,rl_effmonth,$B2153,rl_first,1)</f>
        <v/>
      </c>
      <c r="M2153" s="209">
        <f>IF($K2153=0,0,MIN(1,$L2153/$D2153))</f>
        <v/>
      </c>
      <c r="N2153" s="208">
        <f>IF($K2153=0,$J2153,(1-$M2153)*$I2153+$M2153*$J2153)</f>
        <v/>
      </c>
      <c r="O2153" s="209">
        <f>IF($F2153&lt;$B$2129,$E$2129+$I$2129*($F2153-$A$2129),IF($F2153&lt;$C$2129,$F$2129+$J$2129*($F2153-$B$2129),$G$2129+$K$2129*($F2153-$C$2129)))</f>
        <v/>
      </c>
      <c r="P2153" s="208">
        <f>MIN(1,MAX(0,(nr_MEndPm1-$G2153+0.5)/$C$2128))-MIN(1,MAX(0,(nr_MStartPm1-1-$G2153+0.5)/$C$2128))</f>
        <v/>
      </c>
      <c r="Q2153" s="208">
        <f>MIN(1,MAX(0,(nr_MEndP-$G2153+0.5)/$C$2128))-MIN(1,MAX(0,(nr_MStartP-1-$G2153+0.5)/$C$2128))</f>
        <v/>
      </c>
      <c r="R2153" s="208">
        <f>MIN(1,MAX(0,(nr_MEndP1-$G2153+0.5)/$C$2128))-MIN(1,MAX(0,(nr_MStartP1-1-$G2153+0.5)/$C$2128))</f>
        <v/>
      </c>
      <c r="S2153" s="208">
        <f>IF($L$2128,$N2153*IF($O$2128=1,$O2153/$F$2128,1),"")</f>
        <v/>
      </c>
      <c r="T2153" s="208">
        <f>IF(NOT($L$2128),"",IF($G2153&lt;nr_MStartP,$S2153,$T2141*(1+IF($G2153&lt;nr_MStartP1,$M$2128,$N$2128))))</f>
        <v/>
      </c>
      <c r="U2153" s="208">
        <f>IF($L$2128,$T2153,$N2153)</f>
        <v/>
      </c>
    </row>
    <row r="2154">
      <c r="A2154" s="145" t="n">
        <v>24</v>
      </c>
      <c r="B2154" s="204">
        <f>EDATE($B2153,1)</f>
        <v/>
      </c>
      <c r="C2154" s="205">
        <f>EOMONTH($B2154,0)</f>
        <v/>
      </c>
      <c r="D2154" s="201">
        <f>$C2154-$B2154+1</f>
        <v/>
      </c>
      <c r="E2154" s="201">
        <f>MONTH($B2154)</f>
        <v/>
      </c>
      <c r="F2154" s="235">
        <f>($B2154+$C2154+1)/2</f>
        <v/>
      </c>
      <c r="G2154" s="201">
        <f>YEAR($B2154)*12+MONTH($B2154)-1</f>
        <v/>
      </c>
      <c r="H2154" s="207">
        <f>IF(OR(nr_SeasonOn="OFF",$D$2128=0,$E$2128=0),1,12*INDEX(se_block,$D$2128,$E2154)/$E$2128)</f>
        <v/>
      </c>
      <c r="I2154" s="208">
        <f>EXP(SUMPRODUCT((rl_eff&lt;$B2154)*(rl_key=$A$2128)*rl_ln1p))</f>
        <v/>
      </c>
      <c r="J2154" s="208">
        <f>EXP(SUMPRODUCT((rl_eff&lt;=$C2154)*(rl_key=$A$2128)*rl_ln1p))</f>
        <v/>
      </c>
      <c r="K2154" s="201">
        <f>COUNTIFS(rl_key,$A$2128,rl_eff,"&gt;="&amp;$B2154,rl_eff,"&lt;="&amp;$C2154)</f>
        <v/>
      </c>
      <c r="L2154" s="201">
        <f>SUMIFS(rl_daysafter,rl_key,$A$2128,rl_effmonth,$B2154,rl_first,1)</f>
        <v/>
      </c>
      <c r="M2154" s="209">
        <f>IF($K2154=0,0,MIN(1,$L2154/$D2154))</f>
        <v/>
      </c>
      <c r="N2154" s="208">
        <f>IF($K2154=0,$J2154,(1-$M2154)*$I2154+$M2154*$J2154)</f>
        <v/>
      </c>
      <c r="O2154" s="209">
        <f>IF($F2154&lt;$B$2129,$E$2129+$I$2129*($F2154-$A$2129),IF($F2154&lt;$C$2129,$F$2129+$J$2129*($F2154-$B$2129),$G$2129+$K$2129*($F2154-$C$2129)))</f>
        <v/>
      </c>
      <c r="P2154" s="208">
        <f>MIN(1,MAX(0,(nr_MEndPm1-$G2154+0.5)/$C$2128))-MIN(1,MAX(0,(nr_MStartPm1-1-$G2154+0.5)/$C$2128))</f>
        <v/>
      </c>
      <c r="Q2154" s="208">
        <f>MIN(1,MAX(0,(nr_MEndP-$G2154+0.5)/$C$2128))-MIN(1,MAX(0,(nr_MStartP-1-$G2154+0.5)/$C$2128))</f>
        <v/>
      </c>
      <c r="R2154" s="208">
        <f>MIN(1,MAX(0,(nr_MEndP1-$G2154+0.5)/$C$2128))-MIN(1,MAX(0,(nr_MStartP1-1-$G2154+0.5)/$C$2128))</f>
        <v/>
      </c>
      <c r="S2154" s="208">
        <f>IF($L$2128,$N2154*IF($O$2128=1,$O2154/$F$2128,1),"")</f>
        <v/>
      </c>
      <c r="T2154" s="208">
        <f>IF(NOT($L$2128),"",IF($G2154&lt;nr_MStartP,$S2154,$T2142*(1+IF($G2154&lt;nr_MStartP1,$M$2128,$N$2128))))</f>
        <v/>
      </c>
      <c r="U2154" s="208">
        <f>IF($L$2128,$T2154,$N2154)</f>
        <v/>
      </c>
    </row>
    <row r="2155">
      <c r="A2155" s="145" t="n">
        <v>25</v>
      </c>
      <c r="B2155" s="204">
        <f>EDATE($B2154,1)</f>
        <v/>
      </c>
      <c r="C2155" s="205">
        <f>EOMONTH($B2155,0)</f>
        <v/>
      </c>
      <c r="D2155" s="201">
        <f>$C2155-$B2155+1</f>
        <v/>
      </c>
      <c r="E2155" s="201">
        <f>MONTH($B2155)</f>
        <v/>
      </c>
      <c r="F2155" s="235">
        <f>($B2155+$C2155+1)/2</f>
        <v/>
      </c>
      <c r="G2155" s="201">
        <f>YEAR($B2155)*12+MONTH($B2155)-1</f>
        <v/>
      </c>
      <c r="H2155" s="207">
        <f>IF(OR(nr_SeasonOn="OFF",$D$2128=0,$E$2128=0),1,12*INDEX(se_block,$D$2128,$E2155)/$E$2128)</f>
        <v/>
      </c>
      <c r="I2155" s="208">
        <f>EXP(SUMPRODUCT((rl_eff&lt;$B2155)*(rl_key=$A$2128)*rl_ln1p))</f>
        <v/>
      </c>
      <c r="J2155" s="208">
        <f>EXP(SUMPRODUCT((rl_eff&lt;=$C2155)*(rl_key=$A$2128)*rl_ln1p))</f>
        <v/>
      </c>
      <c r="K2155" s="201">
        <f>COUNTIFS(rl_key,$A$2128,rl_eff,"&gt;="&amp;$B2155,rl_eff,"&lt;="&amp;$C2155)</f>
        <v/>
      </c>
      <c r="L2155" s="201">
        <f>SUMIFS(rl_daysafter,rl_key,$A$2128,rl_effmonth,$B2155,rl_first,1)</f>
        <v/>
      </c>
      <c r="M2155" s="209">
        <f>IF($K2155=0,0,MIN(1,$L2155/$D2155))</f>
        <v/>
      </c>
      <c r="N2155" s="208">
        <f>IF($K2155=0,$J2155,(1-$M2155)*$I2155+$M2155*$J2155)</f>
        <v/>
      </c>
      <c r="O2155" s="209">
        <f>IF($F2155&lt;$B$2129,$E$2129+$I$2129*($F2155-$A$2129),IF($F2155&lt;$C$2129,$F$2129+$J$2129*($F2155-$B$2129),$G$2129+$K$2129*($F2155-$C$2129)))</f>
        <v/>
      </c>
      <c r="P2155" s="208">
        <f>MIN(1,MAX(0,(nr_MEndPm1-$G2155+0.5)/$C$2128))-MIN(1,MAX(0,(nr_MStartPm1-1-$G2155+0.5)/$C$2128))</f>
        <v/>
      </c>
      <c r="Q2155" s="208">
        <f>MIN(1,MAX(0,(nr_MEndP-$G2155+0.5)/$C$2128))-MIN(1,MAX(0,(nr_MStartP-1-$G2155+0.5)/$C$2128))</f>
        <v/>
      </c>
      <c r="R2155" s="208">
        <f>MIN(1,MAX(0,(nr_MEndP1-$G2155+0.5)/$C$2128))-MIN(1,MAX(0,(nr_MStartP1-1-$G2155+0.5)/$C$2128))</f>
        <v/>
      </c>
      <c r="S2155" s="208">
        <f>IF($L$2128,$N2155*IF($O$2128=1,$O2155/$F$2128,1),"")</f>
        <v/>
      </c>
      <c r="T2155" s="208">
        <f>IF(NOT($L$2128),"",IF($G2155&lt;nr_MStartP,$S2155,$T2143*(1+IF($G2155&lt;nr_MStartP1,$M$2128,$N$2128))))</f>
        <v/>
      </c>
      <c r="U2155" s="208">
        <f>IF($L$2128,$T2155,$N2155)</f>
        <v/>
      </c>
    </row>
    <row r="2156">
      <c r="A2156" s="145" t="n">
        <v>26</v>
      </c>
      <c r="B2156" s="204">
        <f>EDATE($B2155,1)</f>
        <v/>
      </c>
      <c r="C2156" s="205">
        <f>EOMONTH($B2156,0)</f>
        <v/>
      </c>
      <c r="D2156" s="201">
        <f>$C2156-$B2156+1</f>
        <v/>
      </c>
      <c r="E2156" s="201">
        <f>MONTH($B2156)</f>
        <v/>
      </c>
      <c r="F2156" s="235">
        <f>($B2156+$C2156+1)/2</f>
        <v/>
      </c>
      <c r="G2156" s="201">
        <f>YEAR($B2156)*12+MONTH($B2156)-1</f>
        <v/>
      </c>
      <c r="H2156" s="207">
        <f>IF(OR(nr_SeasonOn="OFF",$D$2128=0,$E$2128=0),1,12*INDEX(se_block,$D$2128,$E2156)/$E$2128)</f>
        <v/>
      </c>
      <c r="I2156" s="208">
        <f>EXP(SUMPRODUCT((rl_eff&lt;$B2156)*(rl_key=$A$2128)*rl_ln1p))</f>
        <v/>
      </c>
      <c r="J2156" s="208">
        <f>EXP(SUMPRODUCT((rl_eff&lt;=$C2156)*(rl_key=$A$2128)*rl_ln1p))</f>
        <v/>
      </c>
      <c r="K2156" s="201">
        <f>COUNTIFS(rl_key,$A$2128,rl_eff,"&gt;="&amp;$B2156,rl_eff,"&lt;="&amp;$C2156)</f>
        <v/>
      </c>
      <c r="L2156" s="201">
        <f>SUMIFS(rl_daysafter,rl_key,$A$2128,rl_effmonth,$B2156,rl_first,1)</f>
        <v/>
      </c>
      <c r="M2156" s="209">
        <f>IF($K2156=0,0,MIN(1,$L2156/$D2156))</f>
        <v/>
      </c>
      <c r="N2156" s="208">
        <f>IF($K2156=0,$J2156,(1-$M2156)*$I2156+$M2156*$J2156)</f>
        <v/>
      </c>
      <c r="O2156" s="209">
        <f>IF($F2156&lt;$B$2129,$E$2129+$I$2129*($F2156-$A$2129),IF($F2156&lt;$C$2129,$F$2129+$J$2129*($F2156-$B$2129),$G$2129+$K$2129*($F2156-$C$2129)))</f>
        <v/>
      </c>
      <c r="P2156" s="208">
        <f>MIN(1,MAX(0,(nr_MEndPm1-$G2156+0.5)/$C$2128))-MIN(1,MAX(0,(nr_MStartPm1-1-$G2156+0.5)/$C$2128))</f>
        <v/>
      </c>
      <c r="Q2156" s="208">
        <f>MIN(1,MAX(0,(nr_MEndP-$G2156+0.5)/$C$2128))-MIN(1,MAX(0,(nr_MStartP-1-$G2156+0.5)/$C$2128))</f>
        <v/>
      </c>
      <c r="R2156" s="208">
        <f>MIN(1,MAX(0,(nr_MEndP1-$G2156+0.5)/$C$2128))-MIN(1,MAX(0,(nr_MStartP1-1-$G2156+0.5)/$C$2128))</f>
        <v/>
      </c>
      <c r="S2156" s="208">
        <f>IF($L$2128,$N2156*IF($O$2128=1,$O2156/$F$2128,1),"")</f>
        <v/>
      </c>
      <c r="T2156" s="208">
        <f>IF(NOT($L$2128),"",IF($G2156&lt;nr_MStartP,$S2156,$T2144*(1+IF($G2156&lt;nr_MStartP1,$M$2128,$N$2128))))</f>
        <v/>
      </c>
      <c r="U2156" s="208">
        <f>IF($L$2128,$T2156,$N2156)</f>
        <v/>
      </c>
    </row>
    <row r="2157">
      <c r="A2157" s="145" t="n">
        <v>27</v>
      </c>
      <c r="B2157" s="204">
        <f>EDATE($B2156,1)</f>
        <v/>
      </c>
      <c r="C2157" s="205">
        <f>EOMONTH($B2157,0)</f>
        <v/>
      </c>
      <c r="D2157" s="201">
        <f>$C2157-$B2157+1</f>
        <v/>
      </c>
      <c r="E2157" s="201">
        <f>MONTH($B2157)</f>
        <v/>
      </c>
      <c r="F2157" s="235">
        <f>($B2157+$C2157+1)/2</f>
        <v/>
      </c>
      <c r="G2157" s="201">
        <f>YEAR($B2157)*12+MONTH($B2157)-1</f>
        <v/>
      </c>
      <c r="H2157" s="207">
        <f>IF(OR(nr_SeasonOn="OFF",$D$2128=0,$E$2128=0),1,12*INDEX(se_block,$D$2128,$E2157)/$E$2128)</f>
        <v/>
      </c>
      <c r="I2157" s="208">
        <f>EXP(SUMPRODUCT((rl_eff&lt;$B2157)*(rl_key=$A$2128)*rl_ln1p))</f>
        <v/>
      </c>
      <c r="J2157" s="208">
        <f>EXP(SUMPRODUCT((rl_eff&lt;=$C2157)*(rl_key=$A$2128)*rl_ln1p))</f>
        <v/>
      </c>
      <c r="K2157" s="201">
        <f>COUNTIFS(rl_key,$A$2128,rl_eff,"&gt;="&amp;$B2157,rl_eff,"&lt;="&amp;$C2157)</f>
        <v/>
      </c>
      <c r="L2157" s="201">
        <f>SUMIFS(rl_daysafter,rl_key,$A$2128,rl_effmonth,$B2157,rl_first,1)</f>
        <v/>
      </c>
      <c r="M2157" s="209">
        <f>IF($K2157=0,0,MIN(1,$L2157/$D2157))</f>
        <v/>
      </c>
      <c r="N2157" s="208">
        <f>IF($K2157=0,$J2157,(1-$M2157)*$I2157+$M2157*$J2157)</f>
        <v/>
      </c>
      <c r="O2157" s="209">
        <f>IF($F2157&lt;$B$2129,$E$2129+$I$2129*($F2157-$A$2129),IF($F2157&lt;$C$2129,$F$2129+$J$2129*($F2157-$B$2129),$G$2129+$K$2129*($F2157-$C$2129)))</f>
        <v/>
      </c>
      <c r="P2157" s="208">
        <f>MIN(1,MAX(0,(nr_MEndPm1-$G2157+0.5)/$C$2128))-MIN(1,MAX(0,(nr_MStartPm1-1-$G2157+0.5)/$C$2128))</f>
        <v/>
      </c>
      <c r="Q2157" s="208">
        <f>MIN(1,MAX(0,(nr_MEndP-$G2157+0.5)/$C$2128))-MIN(1,MAX(0,(nr_MStartP-1-$G2157+0.5)/$C$2128))</f>
        <v/>
      </c>
      <c r="R2157" s="208">
        <f>MIN(1,MAX(0,(nr_MEndP1-$G2157+0.5)/$C$2128))-MIN(1,MAX(0,(nr_MStartP1-1-$G2157+0.5)/$C$2128))</f>
        <v/>
      </c>
      <c r="S2157" s="208">
        <f>IF($L$2128,$N2157*IF($O$2128=1,$O2157/$F$2128,1),"")</f>
        <v/>
      </c>
      <c r="T2157" s="208">
        <f>IF(NOT($L$2128),"",IF($G2157&lt;nr_MStartP,$S2157,$T2145*(1+IF($G2157&lt;nr_MStartP1,$M$2128,$N$2128))))</f>
        <v/>
      </c>
      <c r="U2157" s="208">
        <f>IF($L$2128,$T2157,$N2157)</f>
        <v/>
      </c>
    </row>
    <row r="2158">
      <c r="A2158" s="145" t="n">
        <v>28</v>
      </c>
      <c r="B2158" s="204">
        <f>EDATE($B2157,1)</f>
        <v/>
      </c>
      <c r="C2158" s="205">
        <f>EOMONTH($B2158,0)</f>
        <v/>
      </c>
      <c r="D2158" s="201">
        <f>$C2158-$B2158+1</f>
        <v/>
      </c>
      <c r="E2158" s="201">
        <f>MONTH($B2158)</f>
        <v/>
      </c>
      <c r="F2158" s="235">
        <f>($B2158+$C2158+1)/2</f>
        <v/>
      </c>
      <c r="G2158" s="201">
        <f>YEAR($B2158)*12+MONTH($B2158)-1</f>
        <v/>
      </c>
      <c r="H2158" s="207">
        <f>IF(OR(nr_SeasonOn="OFF",$D$2128=0,$E$2128=0),1,12*INDEX(se_block,$D$2128,$E2158)/$E$2128)</f>
        <v/>
      </c>
      <c r="I2158" s="208">
        <f>EXP(SUMPRODUCT((rl_eff&lt;$B2158)*(rl_key=$A$2128)*rl_ln1p))</f>
        <v/>
      </c>
      <c r="J2158" s="208">
        <f>EXP(SUMPRODUCT((rl_eff&lt;=$C2158)*(rl_key=$A$2128)*rl_ln1p))</f>
        <v/>
      </c>
      <c r="K2158" s="201">
        <f>COUNTIFS(rl_key,$A$2128,rl_eff,"&gt;="&amp;$B2158,rl_eff,"&lt;="&amp;$C2158)</f>
        <v/>
      </c>
      <c r="L2158" s="201">
        <f>SUMIFS(rl_daysafter,rl_key,$A$2128,rl_effmonth,$B2158,rl_first,1)</f>
        <v/>
      </c>
      <c r="M2158" s="209">
        <f>IF($K2158=0,0,MIN(1,$L2158/$D2158))</f>
        <v/>
      </c>
      <c r="N2158" s="208">
        <f>IF($K2158=0,$J2158,(1-$M2158)*$I2158+$M2158*$J2158)</f>
        <v/>
      </c>
      <c r="O2158" s="209">
        <f>IF($F2158&lt;$B$2129,$E$2129+$I$2129*($F2158-$A$2129),IF($F2158&lt;$C$2129,$F$2129+$J$2129*($F2158-$B$2129),$G$2129+$K$2129*($F2158-$C$2129)))</f>
        <v/>
      </c>
      <c r="P2158" s="208">
        <f>MIN(1,MAX(0,(nr_MEndPm1-$G2158+0.5)/$C$2128))-MIN(1,MAX(0,(nr_MStartPm1-1-$G2158+0.5)/$C$2128))</f>
        <v/>
      </c>
      <c r="Q2158" s="208">
        <f>MIN(1,MAX(0,(nr_MEndP-$G2158+0.5)/$C$2128))-MIN(1,MAX(0,(nr_MStartP-1-$G2158+0.5)/$C$2128))</f>
        <v/>
      </c>
      <c r="R2158" s="208">
        <f>MIN(1,MAX(0,(nr_MEndP1-$G2158+0.5)/$C$2128))-MIN(1,MAX(0,(nr_MStartP1-1-$G2158+0.5)/$C$2128))</f>
        <v/>
      </c>
      <c r="S2158" s="208">
        <f>IF($L$2128,$N2158*IF($O$2128=1,$O2158/$F$2128,1),"")</f>
        <v/>
      </c>
      <c r="T2158" s="208">
        <f>IF(NOT($L$2128),"",IF($G2158&lt;nr_MStartP,$S2158,$T2146*(1+IF($G2158&lt;nr_MStartP1,$M$2128,$N$2128))))</f>
        <v/>
      </c>
      <c r="U2158" s="208">
        <f>IF($L$2128,$T2158,$N2158)</f>
        <v/>
      </c>
    </row>
    <row r="2159">
      <c r="A2159" s="145" t="n">
        <v>29</v>
      </c>
      <c r="B2159" s="204">
        <f>EDATE($B2158,1)</f>
        <v/>
      </c>
      <c r="C2159" s="205">
        <f>EOMONTH($B2159,0)</f>
        <v/>
      </c>
      <c r="D2159" s="201">
        <f>$C2159-$B2159+1</f>
        <v/>
      </c>
      <c r="E2159" s="201">
        <f>MONTH($B2159)</f>
        <v/>
      </c>
      <c r="F2159" s="235">
        <f>($B2159+$C2159+1)/2</f>
        <v/>
      </c>
      <c r="G2159" s="201">
        <f>YEAR($B2159)*12+MONTH($B2159)-1</f>
        <v/>
      </c>
      <c r="H2159" s="207">
        <f>IF(OR(nr_SeasonOn="OFF",$D$2128=0,$E$2128=0),1,12*INDEX(se_block,$D$2128,$E2159)/$E$2128)</f>
        <v/>
      </c>
      <c r="I2159" s="208">
        <f>EXP(SUMPRODUCT((rl_eff&lt;$B2159)*(rl_key=$A$2128)*rl_ln1p))</f>
        <v/>
      </c>
      <c r="J2159" s="208">
        <f>EXP(SUMPRODUCT((rl_eff&lt;=$C2159)*(rl_key=$A$2128)*rl_ln1p))</f>
        <v/>
      </c>
      <c r="K2159" s="201">
        <f>COUNTIFS(rl_key,$A$2128,rl_eff,"&gt;="&amp;$B2159,rl_eff,"&lt;="&amp;$C2159)</f>
        <v/>
      </c>
      <c r="L2159" s="201">
        <f>SUMIFS(rl_daysafter,rl_key,$A$2128,rl_effmonth,$B2159,rl_first,1)</f>
        <v/>
      </c>
      <c r="M2159" s="209">
        <f>IF($K2159=0,0,MIN(1,$L2159/$D2159))</f>
        <v/>
      </c>
      <c r="N2159" s="208">
        <f>IF($K2159=0,$J2159,(1-$M2159)*$I2159+$M2159*$J2159)</f>
        <v/>
      </c>
      <c r="O2159" s="209">
        <f>IF($F2159&lt;$B$2129,$E$2129+$I$2129*($F2159-$A$2129),IF($F2159&lt;$C$2129,$F$2129+$J$2129*($F2159-$B$2129),$G$2129+$K$2129*($F2159-$C$2129)))</f>
        <v/>
      </c>
      <c r="P2159" s="208">
        <f>MIN(1,MAX(0,(nr_MEndPm1-$G2159+0.5)/$C$2128))-MIN(1,MAX(0,(nr_MStartPm1-1-$G2159+0.5)/$C$2128))</f>
        <v/>
      </c>
      <c r="Q2159" s="208">
        <f>MIN(1,MAX(0,(nr_MEndP-$G2159+0.5)/$C$2128))-MIN(1,MAX(0,(nr_MStartP-1-$G2159+0.5)/$C$2128))</f>
        <v/>
      </c>
      <c r="R2159" s="208">
        <f>MIN(1,MAX(0,(nr_MEndP1-$G2159+0.5)/$C$2128))-MIN(1,MAX(0,(nr_MStartP1-1-$G2159+0.5)/$C$2128))</f>
        <v/>
      </c>
      <c r="S2159" s="208">
        <f>IF($L$2128,$N2159*IF($O$2128=1,$O2159/$F$2128,1),"")</f>
        <v/>
      </c>
      <c r="T2159" s="208">
        <f>IF(NOT($L$2128),"",IF($G2159&lt;nr_MStartP,$S2159,$T2147*(1+IF($G2159&lt;nr_MStartP1,$M$2128,$N$2128))))</f>
        <v/>
      </c>
      <c r="U2159" s="208">
        <f>IF($L$2128,$T2159,$N2159)</f>
        <v/>
      </c>
    </row>
    <row r="2160">
      <c r="A2160" s="145" t="n">
        <v>30</v>
      </c>
      <c r="B2160" s="204">
        <f>EDATE($B2159,1)</f>
        <v/>
      </c>
      <c r="C2160" s="205">
        <f>EOMONTH($B2160,0)</f>
        <v/>
      </c>
      <c r="D2160" s="201">
        <f>$C2160-$B2160+1</f>
        <v/>
      </c>
      <c r="E2160" s="201">
        <f>MONTH($B2160)</f>
        <v/>
      </c>
      <c r="F2160" s="235">
        <f>($B2160+$C2160+1)/2</f>
        <v/>
      </c>
      <c r="G2160" s="201">
        <f>YEAR($B2160)*12+MONTH($B2160)-1</f>
        <v/>
      </c>
      <c r="H2160" s="207">
        <f>IF(OR(nr_SeasonOn="OFF",$D$2128=0,$E$2128=0),1,12*INDEX(se_block,$D$2128,$E2160)/$E$2128)</f>
        <v/>
      </c>
      <c r="I2160" s="208">
        <f>EXP(SUMPRODUCT((rl_eff&lt;$B2160)*(rl_key=$A$2128)*rl_ln1p))</f>
        <v/>
      </c>
      <c r="J2160" s="208">
        <f>EXP(SUMPRODUCT((rl_eff&lt;=$C2160)*(rl_key=$A$2128)*rl_ln1p))</f>
        <v/>
      </c>
      <c r="K2160" s="201">
        <f>COUNTIFS(rl_key,$A$2128,rl_eff,"&gt;="&amp;$B2160,rl_eff,"&lt;="&amp;$C2160)</f>
        <v/>
      </c>
      <c r="L2160" s="201">
        <f>SUMIFS(rl_daysafter,rl_key,$A$2128,rl_effmonth,$B2160,rl_first,1)</f>
        <v/>
      </c>
      <c r="M2160" s="209">
        <f>IF($K2160=0,0,MIN(1,$L2160/$D2160))</f>
        <v/>
      </c>
      <c r="N2160" s="208">
        <f>IF($K2160=0,$J2160,(1-$M2160)*$I2160+$M2160*$J2160)</f>
        <v/>
      </c>
      <c r="O2160" s="209">
        <f>IF($F2160&lt;$B$2129,$E$2129+$I$2129*($F2160-$A$2129),IF($F2160&lt;$C$2129,$F$2129+$J$2129*($F2160-$B$2129),$G$2129+$K$2129*($F2160-$C$2129)))</f>
        <v/>
      </c>
      <c r="P2160" s="208">
        <f>MIN(1,MAX(0,(nr_MEndPm1-$G2160+0.5)/$C$2128))-MIN(1,MAX(0,(nr_MStartPm1-1-$G2160+0.5)/$C$2128))</f>
        <v/>
      </c>
      <c r="Q2160" s="208">
        <f>MIN(1,MAX(0,(nr_MEndP-$G2160+0.5)/$C$2128))-MIN(1,MAX(0,(nr_MStartP-1-$G2160+0.5)/$C$2128))</f>
        <v/>
      </c>
      <c r="R2160" s="208">
        <f>MIN(1,MAX(0,(nr_MEndP1-$G2160+0.5)/$C$2128))-MIN(1,MAX(0,(nr_MStartP1-1-$G2160+0.5)/$C$2128))</f>
        <v/>
      </c>
      <c r="S2160" s="208">
        <f>IF($L$2128,$N2160*IF($O$2128=1,$O2160/$F$2128,1),"")</f>
        <v/>
      </c>
      <c r="T2160" s="208">
        <f>IF(NOT($L$2128),"",IF($G2160&lt;nr_MStartP,$S2160,$T2148*(1+IF($G2160&lt;nr_MStartP1,$M$2128,$N$2128))))</f>
        <v/>
      </c>
      <c r="U2160" s="208">
        <f>IF($L$2128,$T2160,$N2160)</f>
        <v/>
      </c>
    </row>
    <row r="2161">
      <c r="A2161" s="145" t="n">
        <v>31</v>
      </c>
      <c r="B2161" s="204">
        <f>EDATE($B2160,1)</f>
        <v/>
      </c>
      <c r="C2161" s="205">
        <f>EOMONTH($B2161,0)</f>
        <v/>
      </c>
      <c r="D2161" s="201">
        <f>$C2161-$B2161+1</f>
        <v/>
      </c>
      <c r="E2161" s="201">
        <f>MONTH($B2161)</f>
        <v/>
      </c>
      <c r="F2161" s="235">
        <f>($B2161+$C2161+1)/2</f>
        <v/>
      </c>
      <c r="G2161" s="201">
        <f>YEAR($B2161)*12+MONTH($B2161)-1</f>
        <v/>
      </c>
      <c r="H2161" s="207">
        <f>IF(OR(nr_SeasonOn="OFF",$D$2128=0,$E$2128=0),1,12*INDEX(se_block,$D$2128,$E2161)/$E$2128)</f>
        <v/>
      </c>
      <c r="I2161" s="208">
        <f>EXP(SUMPRODUCT((rl_eff&lt;$B2161)*(rl_key=$A$2128)*rl_ln1p))</f>
        <v/>
      </c>
      <c r="J2161" s="208">
        <f>EXP(SUMPRODUCT((rl_eff&lt;=$C2161)*(rl_key=$A$2128)*rl_ln1p))</f>
        <v/>
      </c>
      <c r="K2161" s="201">
        <f>COUNTIFS(rl_key,$A$2128,rl_eff,"&gt;="&amp;$B2161,rl_eff,"&lt;="&amp;$C2161)</f>
        <v/>
      </c>
      <c r="L2161" s="201">
        <f>SUMIFS(rl_daysafter,rl_key,$A$2128,rl_effmonth,$B2161,rl_first,1)</f>
        <v/>
      </c>
      <c r="M2161" s="209">
        <f>IF($K2161=0,0,MIN(1,$L2161/$D2161))</f>
        <v/>
      </c>
      <c r="N2161" s="208">
        <f>IF($K2161=0,$J2161,(1-$M2161)*$I2161+$M2161*$J2161)</f>
        <v/>
      </c>
      <c r="O2161" s="209">
        <f>IF($F2161&lt;$B$2129,$E$2129+$I$2129*($F2161-$A$2129),IF($F2161&lt;$C$2129,$F$2129+$J$2129*($F2161-$B$2129),$G$2129+$K$2129*($F2161-$C$2129)))</f>
        <v/>
      </c>
      <c r="P2161" s="208">
        <f>MIN(1,MAX(0,(nr_MEndPm1-$G2161+0.5)/$C$2128))-MIN(1,MAX(0,(nr_MStartPm1-1-$G2161+0.5)/$C$2128))</f>
        <v/>
      </c>
      <c r="Q2161" s="208">
        <f>MIN(1,MAX(0,(nr_MEndP-$G2161+0.5)/$C$2128))-MIN(1,MAX(0,(nr_MStartP-1-$G2161+0.5)/$C$2128))</f>
        <v/>
      </c>
      <c r="R2161" s="208">
        <f>MIN(1,MAX(0,(nr_MEndP1-$G2161+0.5)/$C$2128))-MIN(1,MAX(0,(nr_MStartP1-1-$G2161+0.5)/$C$2128))</f>
        <v/>
      </c>
      <c r="S2161" s="208">
        <f>IF($L$2128,$N2161*IF($O$2128=1,$O2161/$F$2128,1),"")</f>
        <v/>
      </c>
      <c r="T2161" s="208">
        <f>IF(NOT($L$2128),"",IF($G2161&lt;nr_MStartP,$S2161,$T2149*(1+IF($G2161&lt;nr_MStartP1,$M$2128,$N$2128))))</f>
        <v/>
      </c>
      <c r="U2161" s="208">
        <f>IF($L$2128,$T2161,$N2161)</f>
        <v/>
      </c>
    </row>
    <row r="2162">
      <c r="A2162" s="145" t="n">
        <v>32</v>
      </c>
      <c r="B2162" s="204">
        <f>EDATE($B2161,1)</f>
        <v/>
      </c>
      <c r="C2162" s="205">
        <f>EOMONTH($B2162,0)</f>
        <v/>
      </c>
      <c r="D2162" s="201">
        <f>$C2162-$B2162+1</f>
        <v/>
      </c>
      <c r="E2162" s="201">
        <f>MONTH($B2162)</f>
        <v/>
      </c>
      <c r="F2162" s="235">
        <f>($B2162+$C2162+1)/2</f>
        <v/>
      </c>
      <c r="G2162" s="201">
        <f>YEAR($B2162)*12+MONTH($B2162)-1</f>
        <v/>
      </c>
      <c r="H2162" s="207">
        <f>IF(OR(nr_SeasonOn="OFF",$D$2128=0,$E$2128=0),1,12*INDEX(se_block,$D$2128,$E2162)/$E$2128)</f>
        <v/>
      </c>
      <c r="I2162" s="208">
        <f>EXP(SUMPRODUCT((rl_eff&lt;$B2162)*(rl_key=$A$2128)*rl_ln1p))</f>
        <v/>
      </c>
      <c r="J2162" s="208">
        <f>EXP(SUMPRODUCT((rl_eff&lt;=$C2162)*(rl_key=$A$2128)*rl_ln1p))</f>
        <v/>
      </c>
      <c r="K2162" s="201">
        <f>COUNTIFS(rl_key,$A$2128,rl_eff,"&gt;="&amp;$B2162,rl_eff,"&lt;="&amp;$C2162)</f>
        <v/>
      </c>
      <c r="L2162" s="201">
        <f>SUMIFS(rl_daysafter,rl_key,$A$2128,rl_effmonth,$B2162,rl_first,1)</f>
        <v/>
      </c>
      <c r="M2162" s="209">
        <f>IF($K2162=0,0,MIN(1,$L2162/$D2162))</f>
        <v/>
      </c>
      <c r="N2162" s="208">
        <f>IF($K2162=0,$J2162,(1-$M2162)*$I2162+$M2162*$J2162)</f>
        <v/>
      </c>
      <c r="O2162" s="209">
        <f>IF($F2162&lt;$B$2129,$E$2129+$I$2129*($F2162-$A$2129),IF($F2162&lt;$C$2129,$F$2129+$J$2129*($F2162-$B$2129),$G$2129+$K$2129*($F2162-$C$2129)))</f>
        <v/>
      </c>
      <c r="P2162" s="208">
        <f>MIN(1,MAX(0,(nr_MEndPm1-$G2162+0.5)/$C$2128))-MIN(1,MAX(0,(nr_MStartPm1-1-$G2162+0.5)/$C$2128))</f>
        <v/>
      </c>
      <c r="Q2162" s="208">
        <f>MIN(1,MAX(0,(nr_MEndP-$G2162+0.5)/$C$2128))-MIN(1,MAX(0,(nr_MStartP-1-$G2162+0.5)/$C$2128))</f>
        <v/>
      </c>
      <c r="R2162" s="208">
        <f>MIN(1,MAX(0,(nr_MEndP1-$G2162+0.5)/$C$2128))-MIN(1,MAX(0,(nr_MStartP1-1-$G2162+0.5)/$C$2128))</f>
        <v/>
      </c>
      <c r="S2162" s="208">
        <f>IF($L$2128,$N2162*IF($O$2128=1,$O2162/$F$2128,1),"")</f>
        <v/>
      </c>
      <c r="T2162" s="208">
        <f>IF(NOT($L$2128),"",IF($G2162&lt;nr_MStartP,$S2162,$T2150*(1+IF($G2162&lt;nr_MStartP1,$M$2128,$N$2128))))</f>
        <v/>
      </c>
      <c r="U2162" s="208">
        <f>IF($L$2128,$T2162,$N2162)</f>
        <v/>
      </c>
    </row>
    <row r="2163">
      <c r="A2163" s="145" t="n">
        <v>33</v>
      </c>
      <c r="B2163" s="204">
        <f>EDATE($B2162,1)</f>
        <v/>
      </c>
      <c r="C2163" s="205">
        <f>EOMONTH($B2163,0)</f>
        <v/>
      </c>
      <c r="D2163" s="201">
        <f>$C2163-$B2163+1</f>
        <v/>
      </c>
      <c r="E2163" s="201">
        <f>MONTH($B2163)</f>
        <v/>
      </c>
      <c r="F2163" s="235">
        <f>($B2163+$C2163+1)/2</f>
        <v/>
      </c>
      <c r="G2163" s="201">
        <f>YEAR($B2163)*12+MONTH($B2163)-1</f>
        <v/>
      </c>
      <c r="H2163" s="207">
        <f>IF(OR(nr_SeasonOn="OFF",$D$2128=0,$E$2128=0),1,12*INDEX(se_block,$D$2128,$E2163)/$E$2128)</f>
        <v/>
      </c>
      <c r="I2163" s="208">
        <f>EXP(SUMPRODUCT((rl_eff&lt;$B2163)*(rl_key=$A$2128)*rl_ln1p))</f>
        <v/>
      </c>
      <c r="J2163" s="208">
        <f>EXP(SUMPRODUCT((rl_eff&lt;=$C2163)*(rl_key=$A$2128)*rl_ln1p))</f>
        <v/>
      </c>
      <c r="K2163" s="201">
        <f>COUNTIFS(rl_key,$A$2128,rl_eff,"&gt;="&amp;$B2163,rl_eff,"&lt;="&amp;$C2163)</f>
        <v/>
      </c>
      <c r="L2163" s="201">
        <f>SUMIFS(rl_daysafter,rl_key,$A$2128,rl_effmonth,$B2163,rl_first,1)</f>
        <v/>
      </c>
      <c r="M2163" s="209">
        <f>IF($K2163=0,0,MIN(1,$L2163/$D2163))</f>
        <v/>
      </c>
      <c r="N2163" s="208">
        <f>IF($K2163=0,$J2163,(1-$M2163)*$I2163+$M2163*$J2163)</f>
        <v/>
      </c>
      <c r="O2163" s="209">
        <f>IF($F2163&lt;$B$2129,$E$2129+$I$2129*($F2163-$A$2129),IF($F2163&lt;$C$2129,$F$2129+$J$2129*($F2163-$B$2129),$G$2129+$K$2129*($F2163-$C$2129)))</f>
        <v/>
      </c>
      <c r="P2163" s="208">
        <f>MIN(1,MAX(0,(nr_MEndPm1-$G2163+0.5)/$C$2128))-MIN(1,MAX(0,(nr_MStartPm1-1-$G2163+0.5)/$C$2128))</f>
        <v/>
      </c>
      <c r="Q2163" s="208">
        <f>MIN(1,MAX(0,(nr_MEndP-$G2163+0.5)/$C$2128))-MIN(1,MAX(0,(nr_MStartP-1-$G2163+0.5)/$C$2128))</f>
        <v/>
      </c>
      <c r="R2163" s="208">
        <f>MIN(1,MAX(0,(nr_MEndP1-$G2163+0.5)/$C$2128))-MIN(1,MAX(0,(nr_MStartP1-1-$G2163+0.5)/$C$2128))</f>
        <v/>
      </c>
      <c r="S2163" s="208">
        <f>IF($L$2128,$N2163*IF($O$2128=1,$O2163/$F$2128,1),"")</f>
        <v/>
      </c>
      <c r="T2163" s="208">
        <f>IF(NOT($L$2128),"",IF($G2163&lt;nr_MStartP,$S2163,$T2151*(1+IF($G2163&lt;nr_MStartP1,$M$2128,$N$2128))))</f>
        <v/>
      </c>
      <c r="U2163" s="208">
        <f>IF($L$2128,$T2163,$N2163)</f>
        <v/>
      </c>
    </row>
    <row r="2164">
      <c r="A2164" s="145" t="n">
        <v>34</v>
      </c>
      <c r="B2164" s="204">
        <f>EDATE($B2163,1)</f>
        <v/>
      </c>
      <c r="C2164" s="205">
        <f>EOMONTH($B2164,0)</f>
        <v/>
      </c>
      <c r="D2164" s="201">
        <f>$C2164-$B2164+1</f>
        <v/>
      </c>
      <c r="E2164" s="201">
        <f>MONTH($B2164)</f>
        <v/>
      </c>
      <c r="F2164" s="235">
        <f>($B2164+$C2164+1)/2</f>
        <v/>
      </c>
      <c r="G2164" s="201">
        <f>YEAR($B2164)*12+MONTH($B2164)-1</f>
        <v/>
      </c>
      <c r="H2164" s="207">
        <f>IF(OR(nr_SeasonOn="OFF",$D$2128=0,$E$2128=0),1,12*INDEX(se_block,$D$2128,$E2164)/$E$2128)</f>
        <v/>
      </c>
      <c r="I2164" s="208">
        <f>EXP(SUMPRODUCT((rl_eff&lt;$B2164)*(rl_key=$A$2128)*rl_ln1p))</f>
        <v/>
      </c>
      <c r="J2164" s="208">
        <f>EXP(SUMPRODUCT((rl_eff&lt;=$C2164)*(rl_key=$A$2128)*rl_ln1p))</f>
        <v/>
      </c>
      <c r="K2164" s="201">
        <f>COUNTIFS(rl_key,$A$2128,rl_eff,"&gt;="&amp;$B2164,rl_eff,"&lt;="&amp;$C2164)</f>
        <v/>
      </c>
      <c r="L2164" s="201">
        <f>SUMIFS(rl_daysafter,rl_key,$A$2128,rl_effmonth,$B2164,rl_first,1)</f>
        <v/>
      </c>
      <c r="M2164" s="209">
        <f>IF($K2164=0,0,MIN(1,$L2164/$D2164))</f>
        <v/>
      </c>
      <c r="N2164" s="208">
        <f>IF($K2164=0,$J2164,(1-$M2164)*$I2164+$M2164*$J2164)</f>
        <v/>
      </c>
      <c r="O2164" s="209">
        <f>IF($F2164&lt;$B$2129,$E$2129+$I$2129*($F2164-$A$2129),IF($F2164&lt;$C$2129,$F$2129+$J$2129*($F2164-$B$2129),$G$2129+$K$2129*($F2164-$C$2129)))</f>
        <v/>
      </c>
      <c r="P2164" s="208">
        <f>MIN(1,MAX(0,(nr_MEndPm1-$G2164+0.5)/$C$2128))-MIN(1,MAX(0,(nr_MStartPm1-1-$G2164+0.5)/$C$2128))</f>
        <v/>
      </c>
      <c r="Q2164" s="208">
        <f>MIN(1,MAX(0,(nr_MEndP-$G2164+0.5)/$C$2128))-MIN(1,MAX(0,(nr_MStartP-1-$G2164+0.5)/$C$2128))</f>
        <v/>
      </c>
      <c r="R2164" s="208">
        <f>MIN(1,MAX(0,(nr_MEndP1-$G2164+0.5)/$C$2128))-MIN(1,MAX(0,(nr_MStartP1-1-$G2164+0.5)/$C$2128))</f>
        <v/>
      </c>
      <c r="S2164" s="208">
        <f>IF($L$2128,$N2164*IF($O$2128=1,$O2164/$F$2128,1),"")</f>
        <v/>
      </c>
      <c r="T2164" s="208">
        <f>IF(NOT($L$2128),"",IF($G2164&lt;nr_MStartP,$S2164,$T2152*(1+IF($G2164&lt;nr_MStartP1,$M$2128,$N$2128))))</f>
        <v/>
      </c>
      <c r="U2164" s="208">
        <f>IF($L$2128,$T2164,$N2164)</f>
        <v/>
      </c>
    </row>
    <row r="2165">
      <c r="A2165" s="145" t="n">
        <v>35</v>
      </c>
      <c r="B2165" s="204">
        <f>EDATE($B2164,1)</f>
        <v/>
      </c>
      <c r="C2165" s="205">
        <f>EOMONTH($B2165,0)</f>
        <v/>
      </c>
      <c r="D2165" s="201">
        <f>$C2165-$B2165+1</f>
        <v/>
      </c>
      <c r="E2165" s="201">
        <f>MONTH($B2165)</f>
        <v/>
      </c>
      <c r="F2165" s="235">
        <f>($B2165+$C2165+1)/2</f>
        <v/>
      </c>
      <c r="G2165" s="201">
        <f>YEAR($B2165)*12+MONTH($B2165)-1</f>
        <v/>
      </c>
      <c r="H2165" s="207">
        <f>IF(OR(nr_SeasonOn="OFF",$D$2128=0,$E$2128=0),1,12*INDEX(se_block,$D$2128,$E2165)/$E$2128)</f>
        <v/>
      </c>
      <c r="I2165" s="208">
        <f>EXP(SUMPRODUCT((rl_eff&lt;$B2165)*(rl_key=$A$2128)*rl_ln1p))</f>
        <v/>
      </c>
      <c r="J2165" s="208">
        <f>EXP(SUMPRODUCT((rl_eff&lt;=$C2165)*(rl_key=$A$2128)*rl_ln1p))</f>
        <v/>
      </c>
      <c r="K2165" s="201">
        <f>COUNTIFS(rl_key,$A$2128,rl_eff,"&gt;="&amp;$B2165,rl_eff,"&lt;="&amp;$C2165)</f>
        <v/>
      </c>
      <c r="L2165" s="201">
        <f>SUMIFS(rl_daysafter,rl_key,$A$2128,rl_effmonth,$B2165,rl_first,1)</f>
        <v/>
      </c>
      <c r="M2165" s="209">
        <f>IF($K2165=0,0,MIN(1,$L2165/$D2165))</f>
        <v/>
      </c>
      <c r="N2165" s="208">
        <f>IF($K2165=0,$J2165,(1-$M2165)*$I2165+$M2165*$J2165)</f>
        <v/>
      </c>
      <c r="O2165" s="209">
        <f>IF($F2165&lt;$B$2129,$E$2129+$I$2129*($F2165-$A$2129),IF($F2165&lt;$C$2129,$F$2129+$J$2129*($F2165-$B$2129),$G$2129+$K$2129*($F2165-$C$2129)))</f>
        <v/>
      </c>
      <c r="P2165" s="208">
        <f>MIN(1,MAX(0,(nr_MEndPm1-$G2165+0.5)/$C$2128))-MIN(1,MAX(0,(nr_MStartPm1-1-$G2165+0.5)/$C$2128))</f>
        <v/>
      </c>
      <c r="Q2165" s="208">
        <f>MIN(1,MAX(0,(nr_MEndP-$G2165+0.5)/$C$2128))-MIN(1,MAX(0,(nr_MStartP-1-$G2165+0.5)/$C$2128))</f>
        <v/>
      </c>
      <c r="R2165" s="208">
        <f>MIN(1,MAX(0,(nr_MEndP1-$G2165+0.5)/$C$2128))-MIN(1,MAX(0,(nr_MStartP1-1-$G2165+0.5)/$C$2128))</f>
        <v/>
      </c>
      <c r="S2165" s="208">
        <f>IF($L$2128,$N2165*IF($O$2128=1,$O2165/$F$2128,1),"")</f>
        <v/>
      </c>
      <c r="T2165" s="208">
        <f>IF(NOT($L$2128),"",IF($G2165&lt;nr_MStartP,$S2165,$T2153*(1+IF($G2165&lt;nr_MStartP1,$M$2128,$N$2128))))</f>
        <v/>
      </c>
      <c r="U2165" s="208">
        <f>IF($L$2128,$T2165,$N2165)</f>
        <v/>
      </c>
    </row>
    <row r="2166">
      <c r="A2166" s="145" t="n">
        <v>36</v>
      </c>
      <c r="B2166" s="204">
        <f>EDATE($B2165,1)</f>
        <v/>
      </c>
      <c r="C2166" s="205">
        <f>EOMONTH($B2166,0)</f>
        <v/>
      </c>
      <c r="D2166" s="201">
        <f>$C2166-$B2166+1</f>
        <v/>
      </c>
      <c r="E2166" s="201">
        <f>MONTH($B2166)</f>
        <v/>
      </c>
      <c r="F2166" s="235">
        <f>($B2166+$C2166+1)/2</f>
        <v/>
      </c>
      <c r="G2166" s="201">
        <f>YEAR($B2166)*12+MONTH($B2166)-1</f>
        <v/>
      </c>
      <c r="H2166" s="207">
        <f>IF(OR(nr_SeasonOn="OFF",$D$2128=0,$E$2128=0),1,12*INDEX(se_block,$D$2128,$E2166)/$E$2128)</f>
        <v/>
      </c>
      <c r="I2166" s="208">
        <f>EXP(SUMPRODUCT((rl_eff&lt;$B2166)*(rl_key=$A$2128)*rl_ln1p))</f>
        <v/>
      </c>
      <c r="J2166" s="208">
        <f>EXP(SUMPRODUCT((rl_eff&lt;=$C2166)*(rl_key=$A$2128)*rl_ln1p))</f>
        <v/>
      </c>
      <c r="K2166" s="201">
        <f>COUNTIFS(rl_key,$A$2128,rl_eff,"&gt;="&amp;$B2166,rl_eff,"&lt;="&amp;$C2166)</f>
        <v/>
      </c>
      <c r="L2166" s="201">
        <f>SUMIFS(rl_daysafter,rl_key,$A$2128,rl_effmonth,$B2166,rl_first,1)</f>
        <v/>
      </c>
      <c r="M2166" s="209">
        <f>IF($K2166=0,0,MIN(1,$L2166/$D2166))</f>
        <v/>
      </c>
      <c r="N2166" s="208">
        <f>IF($K2166=0,$J2166,(1-$M2166)*$I2166+$M2166*$J2166)</f>
        <v/>
      </c>
      <c r="O2166" s="209">
        <f>IF($F2166&lt;$B$2129,$E$2129+$I$2129*($F2166-$A$2129),IF($F2166&lt;$C$2129,$F$2129+$J$2129*($F2166-$B$2129),$G$2129+$K$2129*($F2166-$C$2129)))</f>
        <v/>
      </c>
      <c r="P2166" s="208">
        <f>MIN(1,MAX(0,(nr_MEndPm1-$G2166+0.5)/$C$2128))-MIN(1,MAX(0,(nr_MStartPm1-1-$G2166+0.5)/$C$2128))</f>
        <v/>
      </c>
      <c r="Q2166" s="208">
        <f>MIN(1,MAX(0,(nr_MEndP-$G2166+0.5)/$C$2128))-MIN(1,MAX(0,(nr_MStartP-1-$G2166+0.5)/$C$2128))</f>
        <v/>
      </c>
      <c r="R2166" s="208">
        <f>MIN(1,MAX(0,(nr_MEndP1-$G2166+0.5)/$C$2128))-MIN(1,MAX(0,(nr_MStartP1-1-$G2166+0.5)/$C$2128))</f>
        <v/>
      </c>
      <c r="S2166" s="208">
        <f>IF($L$2128,$N2166*IF($O$2128=1,$O2166/$F$2128,1),"")</f>
        <v/>
      </c>
      <c r="T2166" s="208">
        <f>IF(NOT($L$2128),"",IF($G2166&lt;nr_MStartP,$S2166,$T2154*(1+IF($G2166&lt;nr_MStartP1,$M$2128,$N$2128))))</f>
        <v/>
      </c>
      <c r="U2166" s="208">
        <f>IF($L$2128,$T2166,$N2166)</f>
        <v/>
      </c>
    </row>
    <row r="2167">
      <c r="A2167" s="145" t="n">
        <v>37</v>
      </c>
      <c r="B2167" s="204">
        <f>EDATE($B2166,1)</f>
        <v/>
      </c>
      <c r="C2167" s="205">
        <f>EOMONTH($B2167,0)</f>
        <v/>
      </c>
      <c r="D2167" s="201">
        <f>$C2167-$B2167+1</f>
        <v/>
      </c>
      <c r="E2167" s="201">
        <f>MONTH($B2167)</f>
        <v/>
      </c>
      <c r="F2167" s="235">
        <f>($B2167+$C2167+1)/2</f>
        <v/>
      </c>
      <c r="G2167" s="201">
        <f>YEAR($B2167)*12+MONTH($B2167)-1</f>
        <v/>
      </c>
      <c r="H2167" s="207">
        <f>IF(OR(nr_SeasonOn="OFF",$D$2128=0,$E$2128=0),1,12*INDEX(se_block,$D$2128,$E2167)/$E$2128)</f>
        <v/>
      </c>
      <c r="I2167" s="208">
        <f>EXP(SUMPRODUCT((rl_eff&lt;$B2167)*(rl_key=$A$2128)*rl_ln1p))</f>
        <v/>
      </c>
      <c r="J2167" s="208">
        <f>EXP(SUMPRODUCT((rl_eff&lt;=$C2167)*(rl_key=$A$2128)*rl_ln1p))</f>
        <v/>
      </c>
      <c r="K2167" s="201">
        <f>COUNTIFS(rl_key,$A$2128,rl_eff,"&gt;="&amp;$B2167,rl_eff,"&lt;="&amp;$C2167)</f>
        <v/>
      </c>
      <c r="L2167" s="201">
        <f>SUMIFS(rl_daysafter,rl_key,$A$2128,rl_effmonth,$B2167,rl_first,1)</f>
        <v/>
      </c>
      <c r="M2167" s="209">
        <f>IF($K2167=0,0,MIN(1,$L2167/$D2167))</f>
        <v/>
      </c>
      <c r="N2167" s="208">
        <f>IF($K2167=0,$J2167,(1-$M2167)*$I2167+$M2167*$J2167)</f>
        <v/>
      </c>
      <c r="O2167" s="209">
        <f>IF($F2167&lt;$B$2129,$E$2129+$I$2129*($F2167-$A$2129),IF($F2167&lt;$C$2129,$F$2129+$J$2129*($F2167-$B$2129),$G$2129+$K$2129*($F2167-$C$2129)))</f>
        <v/>
      </c>
      <c r="P2167" s="208">
        <f>MIN(1,MAX(0,(nr_MEndPm1-$G2167+0.5)/$C$2128))-MIN(1,MAX(0,(nr_MStartPm1-1-$G2167+0.5)/$C$2128))</f>
        <v/>
      </c>
      <c r="Q2167" s="208">
        <f>MIN(1,MAX(0,(nr_MEndP-$G2167+0.5)/$C$2128))-MIN(1,MAX(0,(nr_MStartP-1-$G2167+0.5)/$C$2128))</f>
        <v/>
      </c>
      <c r="R2167" s="208">
        <f>MIN(1,MAX(0,(nr_MEndP1-$G2167+0.5)/$C$2128))-MIN(1,MAX(0,(nr_MStartP1-1-$G2167+0.5)/$C$2128))</f>
        <v/>
      </c>
      <c r="S2167" s="208">
        <f>IF($L$2128,$N2167*IF($O$2128=1,$O2167/$F$2128,1),"")</f>
        <v/>
      </c>
      <c r="T2167" s="208">
        <f>IF(NOT($L$2128),"",IF($G2167&lt;nr_MStartP,$S2167,$T2155*(1+IF($G2167&lt;nr_MStartP1,$M$2128,$N$2128))))</f>
        <v/>
      </c>
      <c r="U2167" s="208">
        <f>IF($L$2128,$T2167,$N2167)</f>
        <v/>
      </c>
    </row>
    <row r="2168">
      <c r="A2168" s="145" t="n">
        <v>38</v>
      </c>
      <c r="B2168" s="204">
        <f>EDATE($B2167,1)</f>
        <v/>
      </c>
      <c r="C2168" s="205">
        <f>EOMONTH($B2168,0)</f>
        <v/>
      </c>
      <c r="D2168" s="201">
        <f>$C2168-$B2168+1</f>
        <v/>
      </c>
      <c r="E2168" s="201">
        <f>MONTH($B2168)</f>
        <v/>
      </c>
      <c r="F2168" s="235">
        <f>($B2168+$C2168+1)/2</f>
        <v/>
      </c>
      <c r="G2168" s="201">
        <f>YEAR($B2168)*12+MONTH($B2168)-1</f>
        <v/>
      </c>
      <c r="H2168" s="207">
        <f>IF(OR(nr_SeasonOn="OFF",$D$2128=0,$E$2128=0),1,12*INDEX(se_block,$D$2128,$E2168)/$E$2128)</f>
        <v/>
      </c>
      <c r="I2168" s="208">
        <f>EXP(SUMPRODUCT((rl_eff&lt;$B2168)*(rl_key=$A$2128)*rl_ln1p))</f>
        <v/>
      </c>
      <c r="J2168" s="208">
        <f>EXP(SUMPRODUCT((rl_eff&lt;=$C2168)*(rl_key=$A$2128)*rl_ln1p))</f>
        <v/>
      </c>
      <c r="K2168" s="201">
        <f>COUNTIFS(rl_key,$A$2128,rl_eff,"&gt;="&amp;$B2168,rl_eff,"&lt;="&amp;$C2168)</f>
        <v/>
      </c>
      <c r="L2168" s="201">
        <f>SUMIFS(rl_daysafter,rl_key,$A$2128,rl_effmonth,$B2168,rl_first,1)</f>
        <v/>
      </c>
      <c r="M2168" s="209">
        <f>IF($K2168=0,0,MIN(1,$L2168/$D2168))</f>
        <v/>
      </c>
      <c r="N2168" s="208">
        <f>IF($K2168=0,$J2168,(1-$M2168)*$I2168+$M2168*$J2168)</f>
        <v/>
      </c>
      <c r="O2168" s="209">
        <f>IF($F2168&lt;$B$2129,$E$2129+$I$2129*($F2168-$A$2129),IF($F2168&lt;$C$2129,$F$2129+$J$2129*($F2168-$B$2129),$G$2129+$K$2129*($F2168-$C$2129)))</f>
        <v/>
      </c>
      <c r="P2168" s="208">
        <f>MIN(1,MAX(0,(nr_MEndPm1-$G2168+0.5)/$C$2128))-MIN(1,MAX(0,(nr_MStartPm1-1-$G2168+0.5)/$C$2128))</f>
        <v/>
      </c>
      <c r="Q2168" s="208">
        <f>MIN(1,MAX(0,(nr_MEndP-$G2168+0.5)/$C$2128))-MIN(1,MAX(0,(nr_MStartP-1-$G2168+0.5)/$C$2128))</f>
        <v/>
      </c>
      <c r="R2168" s="208">
        <f>MIN(1,MAX(0,(nr_MEndP1-$G2168+0.5)/$C$2128))-MIN(1,MAX(0,(nr_MStartP1-1-$G2168+0.5)/$C$2128))</f>
        <v/>
      </c>
      <c r="S2168" s="208">
        <f>IF($L$2128,$N2168*IF($O$2128=1,$O2168/$F$2128,1),"")</f>
        <v/>
      </c>
      <c r="T2168" s="208">
        <f>IF(NOT($L$2128),"",IF($G2168&lt;nr_MStartP,$S2168,$T2156*(1+IF($G2168&lt;nr_MStartP1,$M$2128,$N$2128))))</f>
        <v/>
      </c>
      <c r="U2168" s="208">
        <f>IF($L$2128,$T2168,$N2168)</f>
        <v/>
      </c>
    </row>
    <row r="2169">
      <c r="A2169" s="145" t="n">
        <v>39</v>
      </c>
      <c r="B2169" s="204">
        <f>EDATE($B2168,1)</f>
        <v/>
      </c>
      <c r="C2169" s="205">
        <f>EOMONTH($B2169,0)</f>
        <v/>
      </c>
      <c r="D2169" s="201">
        <f>$C2169-$B2169+1</f>
        <v/>
      </c>
      <c r="E2169" s="201">
        <f>MONTH($B2169)</f>
        <v/>
      </c>
      <c r="F2169" s="235">
        <f>($B2169+$C2169+1)/2</f>
        <v/>
      </c>
      <c r="G2169" s="201">
        <f>YEAR($B2169)*12+MONTH($B2169)-1</f>
        <v/>
      </c>
      <c r="H2169" s="207">
        <f>IF(OR(nr_SeasonOn="OFF",$D$2128=0,$E$2128=0),1,12*INDEX(se_block,$D$2128,$E2169)/$E$2128)</f>
        <v/>
      </c>
      <c r="I2169" s="208">
        <f>EXP(SUMPRODUCT((rl_eff&lt;$B2169)*(rl_key=$A$2128)*rl_ln1p))</f>
        <v/>
      </c>
      <c r="J2169" s="208">
        <f>EXP(SUMPRODUCT((rl_eff&lt;=$C2169)*(rl_key=$A$2128)*rl_ln1p))</f>
        <v/>
      </c>
      <c r="K2169" s="201">
        <f>COUNTIFS(rl_key,$A$2128,rl_eff,"&gt;="&amp;$B2169,rl_eff,"&lt;="&amp;$C2169)</f>
        <v/>
      </c>
      <c r="L2169" s="201">
        <f>SUMIFS(rl_daysafter,rl_key,$A$2128,rl_effmonth,$B2169,rl_first,1)</f>
        <v/>
      </c>
      <c r="M2169" s="209">
        <f>IF($K2169=0,0,MIN(1,$L2169/$D2169))</f>
        <v/>
      </c>
      <c r="N2169" s="208">
        <f>IF($K2169=0,$J2169,(1-$M2169)*$I2169+$M2169*$J2169)</f>
        <v/>
      </c>
      <c r="O2169" s="209">
        <f>IF($F2169&lt;$B$2129,$E$2129+$I$2129*($F2169-$A$2129),IF($F2169&lt;$C$2129,$F$2129+$J$2129*($F2169-$B$2129),$G$2129+$K$2129*($F2169-$C$2129)))</f>
        <v/>
      </c>
      <c r="P2169" s="208">
        <f>MIN(1,MAX(0,(nr_MEndPm1-$G2169+0.5)/$C$2128))-MIN(1,MAX(0,(nr_MStartPm1-1-$G2169+0.5)/$C$2128))</f>
        <v/>
      </c>
      <c r="Q2169" s="208">
        <f>MIN(1,MAX(0,(nr_MEndP-$G2169+0.5)/$C$2128))-MIN(1,MAX(0,(nr_MStartP-1-$G2169+0.5)/$C$2128))</f>
        <v/>
      </c>
      <c r="R2169" s="208">
        <f>MIN(1,MAX(0,(nr_MEndP1-$G2169+0.5)/$C$2128))-MIN(1,MAX(0,(nr_MStartP1-1-$G2169+0.5)/$C$2128))</f>
        <v/>
      </c>
      <c r="S2169" s="208">
        <f>IF($L$2128,$N2169*IF($O$2128=1,$O2169/$F$2128,1),"")</f>
        <v/>
      </c>
      <c r="T2169" s="208">
        <f>IF(NOT($L$2128),"",IF($G2169&lt;nr_MStartP,$S2169,$T2157*(1+IF($G2169&lt;nr_MStartP1,$M$2128,$N$2128))))</f>
        <v/>
      </c>
      <c r="U2169" s="208">
        <f>IF($L$2128,$T2169,$N2169)</f>
        <v/>
      </c>
    </row>
    <row r="2170">
      <c r="A2170" s="145" t="n">
        <v>40</v>
      </c>
      <c r="B2170" s="204">
        <f>EDATE($B2169,1)</f>
        <v/>
      </c>
      <c r="C2170" s="205">
        <f>EOMONTH($B2170,0)</f>
        <v/>
      </c>
      <c r="D2170" s="201">
        <f>$C2170-$B2170+1</f>
        <v/>
      </c>
      <c r="E2170" s="201">
        <f>MONTH($B2170)</f>
        <v/>
      </c>
      <c r="F2170" s="235">
        <f>($B2170+$C2170+1)/2</f>
        <v/>
      </c>
      <c r="G2170" s="201">
        <f>YEAR($B2170)*12+MONTH($B2170)-1</f>
        <v/>
      </c>
      <c r="H2170" s="207">
        <f>IF(OR(nr_SeasonOn="OFF",$D$2128=0,$E$2128=0),1,12*INDEX(se_block,$D$2128,$E2170)/$E$2128)</f>
        <v/>
      </c>
      <c r="I2170" s="208">
        <f>EXP(SUMPRODUCT((rl_eff&lt;$B2170)*(rl_key=$A$2128)*rl_ln1p))</f>
        <v/>
      </c>
      <c r="J2170" s="208">
        <f>EXP(SUMPRODUCT((rl_eff&lt;=$C2170)*(rl_key=$A$2128)*rl_ln1p))</f>
        <v/>
      </c>
      <c r="K2170" s="201">
        <f>COUNTIFS(rl_key,$A$2128,rl_eff,"&gt;="&amp;$B2170,rl_eff,"&lt;="&amp;$C2170)</f>
        <v/>
      </c>
      <c r="L2170" s="201">
        <f>SUMIFS(rl_daysafter,rl_key,$A$2128,rl_effmonth,$B2170,rl_first,1)</f>
        <v/>
      </c>
      <c r="M2170" s="209">
        <f>IF($K2170=0,0,MIN(1,$L2170/$D2170))</f>
        <v/>
      </c>
      <c r="N2170" s="208">
        <f>IF($K2170=0,$J2170,(1-$M2170)*$I2170+$M2170*$J2170)</f>
        <v/>
      </c>
      <c r="O2170" s="209">
        <f>IF($F2170&lt;$B$2129,$E$2129+$I$2129*($F2170-$A$2129),IF($F2170&lt;$C$2129,$F$2129+$J$2129*($F2170-$B$2129),$G$2129+$K$2129*($F2170-$C$2129)))</f>
        <v/>
      </c>
      <c r="P2170" s="208">
        <f>MIN(1,MAX(0,(nr_MEndPm1-$G2170+0.5)/$C$2128))-MIN(1,MAX(0,(nr_MStartPm1-1-$G2170+0.5)/$C$2128))</f>
        <v/>
      </c>
      <c r="Q2170" s="208">
        <f>MIN(1,MAX(0,(nr_MEndP-$G2170+0.5)/$C$2128))-MIN(1,MAX(0,(nr_MStartP-1-$G2170+0.5)/$C$2128))</f>
        <v/>
      </c>
      <c r="R2170" s="208">
        <f>MIN(1,MAX(0,(nr_MEndP1-$G2170+0.5)/$C$2128))-MIN(1,MAX(0,(nr_MStartP1-1-$G2170+0.5)/$C$2128))</f>
        <v/>
      </c>
      <c r="S2170" s="208">
        <f>IF($L$2128,$N2170*IF($O$2128=1,$O2170/$F$2128,1),"")</f>
        <v/>
      </c>
      <c r="T2170" s="208">
        <f>IF(NOT($L$2128),"",IF($G2170&lt;nr_MStartP,$S2170,$T2158*(1+IF($G2170&lt;nr_MStartP1,$M$2128,$N$2128))))</f>
        <v/>
      </c>
      <c r="U2170" s="208">
        <f>IF($L$2128,$T2170,$N2170)</f>
        <v/>
      </c>
    </row>
    <row r="2171">
      <c r="A2171" s="145" t="n">
        <v>41</v>
      </c>
      <c r="B2171" s="204">
        <f>EDATE($B2170,1)</f>
        <v/>
      </c>
      <c r="C2171" s="205">
        <f>EOMONTH($B2171,0)</f>
        <v/>
      </c>
      <c r="D2171" s="201">
        <f>$C2171-$B2171+1</f>
        <v/>
      </c>
      <c r="E2171" s="201">
        <f>MONTH($B2171)</f>
        <v/>
      </c>
      <c r="F2171" s="235">
        <f>($B2171+$C2171+1)/2</f>
        <v/>
      </c>
      <c r="G2171" s="201">
        <f>YEAR($B2171)*12+MONTH($B2171)-1</f>
        <v/>
      </c>
      <c r="H2171" s="207">
        <f>IF(OR(nr_SeasonOn="OFF",$D$2128=0,$E$2128=0),1,12*INDEX(se_block,$D$2128,$E2171)/$E$2128)</f>
        <v/>
      </c>
      <c r="I2171" s="208">
        <f>EXP(SUMPRODUCT((rl_eff&lt;$B2171)*(rl_key=$A$2128)*rl_ln1p))</f>
        <v/>
      </c>
      <c r="J2171" s="208">
        <f>EXP(SUMPRODUCT((rl_eff&lt;=$C2171)*(rl_key=$A$2128)*rl_ln1p))</f>
        <v/>
      </c>
      <c r="K2171" s="201">
        <f>COUNTIFS(rl_key,$A$2128,rl_eff,"&gt;="&amp;$B2171,rl_eff,"&lt;="&amp;$C2171)</f>
        <v/>
      </c>
      <c r="L2171" s="201">
        <f>SUMIFS(rl_daysafter,rl_key,$A$2128,rl_effmonth,$B2171,rl_first,1)</f>
        <v/>
      </c>
      <c r="M2171" s="209">
        <f>IF($K2171=0,0,MIN(1,$L2171/$D2171))</f>
        <v/>
      </c>
      <c r="N2171" s="208">
        <f>IF($K2171=0,$J2171,(1-$M2171)*$I2171+$M2171*$J2171)</f>
        <v/>
      </c>
      <c r="O2171" s="209">
        <f>IF($F2171&lt;$B$2129,$E$2129+$I$2129*($F2171-$A$2129),IF($F2171&lt;$C$2129,$F$2129+$J$2129*($F2171-$B$2129),$G$2129+$K$2129*($F2171-$C$2129)))</f>
        <v/>
      </c>
      <c r="P2171" s="208">
        <f>MIN(1,MAX(0,(nr_MEndPm1-$G2171+0.5)/$C$2128))-MIN(1,MAX(0,(nr_MStartPm1-1-$G2171+0.5)/$C$2128))</f>
        <v/>
      </c>
      <c r="Q2171" s="208">
        <f>MIN(1,MAX(0,(nr_MEndP-$G2171+0.5)/$C$2128))-MIN(1,MAX(0,(nr_MStartP-1-$G2171+0.5)/$C$2128))</f>
        <v/>
      </c>
      <c r="R2171" s="208">
        <f>MIN(1,MAX(0,(nr_MEndP1-$G2171+0.5)/$C$2128))-MIN(1,MAX(0,(nr_MStartP1-1-$G2171+0.5)/$C$2128))</f>
        <v/>
      </c>
      <c r="S2171" s="208">
        <f>IF($L$2128,$N2171*IF($O$2128=1,$O2171/$F$2128,1),"")</f>
        <v/>
      </c>
      <c r="T2171" s="208">
        <f>IF(NOT($L$2128),"",IF($G2171&lt;nr_MStartP,$S2171,$T2159*(1+IF($G2171&lt;nr_MStartP1,$M$2128,$N$2128))))</f>
        <v/>
      </c>
      <c r="U2171" s="208">
        <f>IF($L$2128,$T2171,$N2171)</f>
        <v/>
      </c>
    </row>
    <row r="2172">
      <c r="A2172" s="145" t="n">
        <v>42</v>
      </c>
      <c r="B2172" s="204">
        <f>EDATE($B2171,1)</f>
        <v/>
      </c>
      <c r="C2172" s="205">
        <f>EOMONTH($B2172,0)</f>
        <v/>
      </c>
      <c r="D2172" s="201">
        <f>$C2172-$B2172+1</f>
        <v/>
      </c>
      <c r="E2172" s="201">
        <f>MONTH($B2172)</f>
        <v/>
      </c>
      <c r="F2172" s="235">
        <f>($B2172+$C2172+1)/2</f>
        <v/>
      </c>
      <c r="G2172" s="201">
        <f>YEAR($B2172)*12+MONTH($B2172)-1</f>
        <v/>
      </c>
      <c r="H2172" s="207">
        <f>IF(OR(nr_SeasonOn="OFF",$D$2128=0,$E$2128=0),1,12*INDEX(se_block,$D$2128,$E2172)/$E$2128)</f>
        <v/>
      </c>
      <c r="I2172" s="208">
        <f>EXP(SUMPRODUCT((rl_eff&lt;$B2172)*(rl_key=$A$2128)*rl_ln1p))</f>
        <v/>
      </c>
      <c r="J2172" s="208">
        <f>EXP(SUMPRODUCT((rl_eff&lt;=$C2172)*(rl_key=$A$2128)*rl_ln1p))</f>
        <v/>
      </c>
      <c r="K2172" s="201">
        <f>COUNTIFS(rl_key,$A$2128,rl_eff,"&gt;="&amp;$B2172,rl_eff,"&lt;="&amp;$C2172)</f>
        <v/>
      </c>
      <c r="L2172" s="201">
        <f>SUMIFS(rl_daysafter,rl_key,$A$2128,rl_effmonth,$B2172,rl_first,1)</f>
        <v/>
      </c>
      <c r="M2172" s="209">
        <f>IF($K2172=0,0,MIN(1,$L2172/$D2172))</f>
        <v/>
      </c>
      <c r="N2172" s="208">
        <f>IF($K2172=0,$J2172,(1-$M2172)*$I2172+$M2172*$J2172)</f>
        <v/>
      </c>
      <c r="O2172" s="209">
        <f>IF($F2172&lt;$B$2129,$E$2129+$I$2129*($F2172-$A$2129),IF($F2172&lt;$C$2129,$F$2129+$J$2129*($F2172-$B$2129),$G$2129+$K$2129*($F2172-$C$2129)))</f>
        <v/>
      </c>
      <c r="P2172" s="208">
        <f>MIN(1,MAX(0,(nr_MEndPm1-$G2172+0.5)/$C$2128))-MIN(1,MAX(0,(nr_MStartPm1-1-$G2172+0.5)/$C$2128))</f>
        <v/>
      </c>
      <c r="Q2172" s="208">
        <f>MIN(1,MAX(0,(nr_MEndP-$G2172+0.5)/$C$2128))-MIN(1,MAX(0,(nr_MStartP-1-$G2172+0.5)/$C$2128))</f>
        <v/>
      </c>
      <c r="R2172" s="208">
        <f>MIN(1,MAX(0,(nr_MEndP1-$G2172+0.5)/$C$2128))-MIN(1,MAX(0,(nr_MStartP1-1-$G2172+0.5)/$C$2128))</f>
        <v/>
      </c>
      <c r="S2172" s="208">
        <f>IF($L$2128,$N2172*IF($O$2128=1,$O2172/$F$2128,1),"")</f>
        <v/>
      </c>
      <c r="T2172" s="208">
        <f>IF(NOT($L$2128),"",IF($G2172&lt;nr_MStartP,$S2172,$T2160*(1+IF($G2172&lt;nr_MStartP1,$M$2128,$N$2128))))</f>
        <v/>
      </c>
      <c r="U2172" s="208">
        <f>IF($L$2128,$T2172,$N2172)</f>
        <v/>
      </c>
    </row>
    <row r="2173">
      <c r="A2173" s="145" t="n">
        <v>43</v>
      </c>
      <c r="B2173" s="204">
        <f>EDATE($B2172,1)</f>
        <v/>
      </c>
      <c r="C2173" s="205">
        <f>EOMONTH($B2173,0)</f>
        <v/>
      </c>
      <c r="D2173" s="201">
        <f>$C2173-$B2173+1</f>
        <v/>
      </c>
      <c r="E2173" s="201">
        <f>MONTH($B2173)</f>
        <v/>
      </c>
      <c r="F2173" s="235">
        <f>($B2173+$C2173+1)/2</f>
        <v/>
      </c>
      <c r="G2173" s="201">
        <f>YEAR($B2173)*12+MONTH($B2173)-1</f>
        <v/>
      </c>
      <c r="H2173" s="207">
        <f>IF(OR(nr_SeasonOn="OFF",$D$2128=0,$E$2128=0),1,12*INDEX(se_block,$D$2128,$E2173)/$E$2128)</f>
        <v/>
      </c>
      <c r="I2173" s="208">
        <f>EXP(SUMPRODUCT((rl_eff&lt;$B2173)*(rl_key=$A$2128)*rl_ln1p))</f>
        <v/>
      </c>
      <c r="J2173" s="208">
        <f>EXP(SUMPRODUCT((rl_eff&lt;=$C2173)*(rl_key=$A$2128)*rl_ln1p))</f>
        <v/>
      </c>
      <c r="K2173" s="201">
        <f>COUNTIFS(rl_key,$A$2128,rl_eff,"&gt;="&amp;$B2173,rl_eff,"&lt;="&amp;$C2173)</f>
        <v/>
      </c>
      <c r="L2173" s="201">
        <f>SUMIFS(rl_daysafter,rl_key,$A$2128,rl_effmonth,$B2173,rl_first,1)</f>
        <v/>
      </c>
      <c r="M2173" s="209">
        <f>IF($K2173=0,0,MIN(1,$L2173/$D2173))</f>
        <v/>
      </c>
      <c r="N2173" s="208">
        <f>IF($K2173=0,$J2173,(1-$M2173)*$I2173+$M2173*$J2173)</f>
        <v/>
      </c>
      <c r="O2173" s="209">
        <f>IF($F2173&lt;$B$2129,$E$2129+$I$2129*($F2173-$A$2129),IF($F2173&lt;$C$2129,$F$2129+$J$2129*($F2173-$B$2129),$G$2129+$K$2129*($F2173-$C$2129)))</f>
        <v/>
      </c>
      <c r="P2173" s="208">
        <f>MIN(1,MAX(0,(nr_MEndPm1-$G2173+0.5)/$C$2128))-MIN(1,MAX(0,(nr_MStartPm1-1-$G2173+0.5)/$C$2128))</f>
        <v/>
      </c>
      <c r="Q2173" s="208">
        <f>MIN(1,MAX(0,(nr_MEndP-$G2173+0.5)/$C$2128))-MIN(1,MAX(0,(nr_MStartP-1-$G2173+0.5)/$C$2128))</f>
        <v/>
      </c>
      <c r="R2173" s="208">
        <f>MIN(1,MAX(0,(nr_MEndP1-$G2173+0.5)/$C$2128))-MIN(1,MAX(0,(nr_MStartP1-1-$G2173+0.5)/$C$2128))</f>
        <v/>
      </c>
      <c r="S2173" s="208">
        <f>IF($L$2128,$N2173*IF($O$2128=1,$O2173/$F$2128,1),"")</f>
        <v/>
      </c>
      <c r="T2173" s="208">
        <f>IF(NOT($L$2128),"",IF($G2173&lt;nr_MStartP,$S2173,$T2161*(1+IF($G2173&lt;nr_MStartP1,$M$2128,$N$2128))))</f>
        <v/>
      </c>
      <c r="U2173" s="208">
        <f>IF($L$2128,$T2173,$N2173)</f>
        <v/>
      </c>
    </row>
    <row r="2174">
      <c r="A2174" s="145" t="n">
        <v>44</v>
      </c>
      <c r="B2174" s="204">
        <f>EDATE($B2173,1)</f>
        <v/>
      </c>
      <c r="C2174" s="205">
        <f>EOMONTH($B2174,0)</f>
        <v/>
      </c>
      <c r="D2174" s="201">
        <f>$C2174-$B2174+1</f>
        <v/>
      </c>
      <c r="E2174" s="201">
        <f>MONTH($B2174)</f>
        <v/>
      </c>
      <c r="F2174" s="235">
        <f>($B2174+$C2174+1)/2</f>
        <v/>
      </c>
      <c r="G2174" s="201">
        <f>YEAR($B2174)*12+MONTH($B2174)-1</f>
        <v/>
      </c>
      <c r="H2174" s="207">
        <f>IF(OR(nr_SeasonOn="OFF",$D$2128=0,$E$2128=0),1,12*INDEX(se_block,$D$2128,$E2174)/$E$2128)</f>
        <v/>
      </c>
      <c r="I2174" s="208">
        <f>EXP(SUMPRODUCT((rl_eff&lt;$B2174)*(rl_key=$A$2128)*rl_ln1p))</f>
        <v/>
      </c>
      <c r="J2174" s="208">
        <f>EXP(SUMPRODUCT((rl_eff&lt;=$C2174)*(rl_key=$A$2128)*rl_ln1p))</f>
        <v/>
      </c>
      <c r="K2174" s="201">
        <f>COUNTIFS(rl_key,$A$2128,rl_eff,"&gt;="&amp;$B2174,rl_eff,"&lt;="&amp;$C2174)</f>
        <v/>
      </c>
      <c r="L2174" s="201">
        <f>SUMIFS(rl_daysafter,rl_key,$A$2128,rl_effmonth,$B2174,rl_first,1)</f>
        <v/>
      </c>
      <c r="M2174" s="209">
        <f>IF($K2174=0,0,MIN(1,$L2174/$D2174))</f>
        <v/>
      </c>
      <c r="N2174" s="208">
        <f>IF($K2174=0,$J2174,(1-$M2174)*$I2174+$M2174*$J2174)</f>
        <v/>
      </c>
      <c r="O2174" s="209">
        <f>IF($F2174&lt;$B$2129,$E$2129+$I$2129*($F2174-$A$2129),IF($F2174&lt;$C$2129,$F$2129+$J$2129*($F2174-$B$2129),$G$2129+$K$2129*($F2174-$C$2129)))</f>
        <v/>
      </c>
      <c r="P2174" s="208">
        <f>MIN(1,MAX(0,(nr_MEndPm1-$G2174+0.5)/$C$2128))-MIN(1,MAX(0,(nr_MStartPm1-1-$G2174+0.5)/$C$2128))</f>
        <v/>
      </c>
      <c r="Q2174" s="208">
        <f>MIN(1,MAX(0,(nr_MEndP-$G2174+0.5)/$C$2128))-MIN(1,MAX(0,(nr_MStartP-1-$G2174+0.5)/$C$2128))</f>
        <v/>
      </c>
      <c r="R2174" s="208">
        <f>MIN(1,MAX(0,(nr_MEndP1-$G2174+0.5)/$C$2128))-MIN(1,MAX(0,(nr_MStartP1-1-$G2174+0.5)/$C$2128))</f>
        <v/>
      </c>
      <c r="S2174" s="208">
        <f>IF($L$2128,$N2174*IF($O$2128=1,$O2174/$F$2128,1),"")</f>
        <v/>
      </c>
      <c r="T2174" s="208">
        <f>IF(NOT($L$2128),"",IF($G2174&lt;nr_MStartP,$S2174,$T2162*(1+IF($G2174&lt;nr_MStartP1,$M$2128,$N$2128))))</f>
        <v/>
      </c>
      <c r="U2174" s="208">
        <f>IF($L$2128,$T2174,$N2174)</f>
        <v/>
      </c>
    </row>
    <row r="2175">
      <c r="A2175" s="145" t="n">
        <v>45</v>
      </c>
      <c r="B2175" s="204">
        <f>EDATE($B2174,1)</f>
        <v/>
      </c>
      <c r="C2175" s="205">
        <f>EOMONTH($B2175,0)</f>
        <v/>
      </c>
      <c r="D2175" s="201">
        <f>$C2175-$B2175+1</f>
        <v/>
      </c>
      <c r="E2175" s="201">
        <f>MONTH($B2175)</f>
        <v/>
      </c>
      <c r="F2175" s="235">
        <f>($B2175+$C2175+1)/2</f>
        <v/>
      </c>
      <c r="G2175" s="201">
        <f>YEAR($B2175)*12+MONTH($B2175)-1</f>
        <v/>
      </c>
      <c r="H2175" s="207">
        <f>IF(OR(nr_SeasonOn="OFF",$D$2128=0,$E$2128=0),1,12*INDEX(se_block,$D$2128,$E2175)/$E$2128)</f>
        <v/>
      </c>
      <c r="I2175" s="208">
        <f>EXP(SUMPRODUCT((rl_eff&lt;$B2175)*(rl_key=$A$2128)*rl_ln1p))</f>
        <v/>
      </c>
      <c r="J2175" s="208">
        <f>EXP(SUMPRODUCT((rl_eff&lt;=$C2175)*(rl_key=$A$2128)*rl_ln1p))</f>
        <v/>
      </c>
      <c r="K2175" s="201">
        <f>COUNTIFS(rl_key,$A$2128,rl_eff,"&gt;="&amp;$B2175,rl_eff,"&lt;="&amp;$C2175)</f>
        <v/>
      </c>
      <c r="L2175" s="201">
        <f>SUMIFS(rl_daysafter,rl_key,$A$2128,rl_effmonth,$B2175,rl_first,1)</f>
        <v/>
      </c>
      <c r="M2175" s="209">
        <f>IF($K2175=0,0,MIN(1,$L2175/$D2175))</f>
        <v/>
      </c>
      <c r="N2175" s="208">
        <f>IF($K2175=0,$J2175,(1-$M2175)*$I2175+$M2175*$J2175)</f>
        <v/>
      </c>
      <c r="O2175" s="209">
        <f>IF($F2175&lt;$B$2129,$E$2129+$I$2129*($F2175-$A$2129),IF($F2175&lt;$C$2129,$F$2129+$J$2129*($F2175-$B$2129),$G$2129+$K$2129*($F2175-$C$2129)))</f>
        <v/>
      </c>
      <c r="P2175" s="208">
        <f>MIN(1,MAX(0,(nr_MEndPm1-$G2175+0.5)/$C$2128))-MIN(1,MAX(0,(nr_MStartPm1-1-$G2175+0.5)/$C$2128))</f>
        <v/>
      </c>
      <c r="Q2175" s="208">
        <f>MIN(1,MAX(0,(nr_MEndP-$G2175+0.5)/$C$2128))-MIN(1,MAX(0,(nr_MStartP-1-$G2175+0.5)/$C$2128))</f>
        <v/>
      </c>
      <c r="R2175" s="208">
        <f>MIN(1,MAX(0,(nr_MEndP1-$G2175+0.5)/$C$2128))-MIN(1,MAX(0,(nr_MStartP1-1-$G2175+0.5)/$C$2128))</f>
        <v/>
      </c>
      <c r="S2175" s="208">
        <f>IF($L$2128,$N2175*IF($O$2128=1,$O2175/$F$2128,1),"")</f>
        <v/>
      </c>
      <c r="T2175" s="208">
        <f>IF(NOT($L$2128),"",IF($G2175&lt;nr_MStartP,$S2175,$T2163*(1+IF($G2175&lt;nr_MStartP1,$M$2128,$N$2128))))</f>
        <v/>
      </c>
      <c r="U2175" s="208">
        <f>IF($L$2128,$T2175,$N2175)</f>
        <v/>
      </c>
    </row>
    <row r="2176">
      <c r="A2176" s="145" t="n">
        <v>46</v>
      </c>
      <c r="B2176" s="204">
        <f>EDATE($B2175,1)</f>
        <v/>
      </c>
      <c r="C2176" s="205">
        <f>EOMONTH($B2176,0)</f>
        <v/>
      </c>
      <c r="D2176" s="201">
        <f>$C2176-$B2176+1</f>
        <v/>
      </c>
      <c r="E2176" s="201">
        <f>MONTH($B2176)</f>
        <v/>
      </c>
      <c r="F2176" s="235">
        <f>($B2176+$C2176+1)/2</f>
        <v/>
      </c>
      <c r="G2176" s="201">
        <f>YEAR($B2176)*12+MONTH($B2176)-1</f>
        <v/>
      </c>
      <c r="H2176" s="207">
        <f>IF(OR(nr_SeasonOn="OFF",$D$2128=0,$E$2128=0),1,12*INDEX(se_block,$D$2128,$E2176)/$E$2128)</f>
        <v/>
      </c>
      <c r="I2176" s="208">
        <f>EXP(SUMPRODUCT((rl_eff&lt;$B2176)*(rl_key=$A$2128)*rl_ln1p))</f>
        <v/>
      </c>
      <c r="J2176" s="208">
        <f>EXP(SUMPRODUCT((rl_eff&lt;=$C2176)*(rl_key=$A$2128)*rl_ln1p))</f>
        <v/>
      </c>
      <c r="K2176" s="201">
        <f>COUNTIFS(rl_key,$A$2128,rl_eff,"&gt;="&amp;$B2176,rl_eff,"&lt;="&amp;$C2176)</f>
        <v/>
      </c>
      <c r="L2176" s="201">
        <f>SUMIFS(rl_daysafter,rl_key,$A$2128,rl_effmonth,$B2176,rl_first,1)</f>
        <v/>
      </c>
      <c r="M2176" s="209">
        <f>IF($K2176=0,0,MIN(1,$L2176/$D2176))</f>
        <v/>
      </c>
      <c r="N2176" s="208">
        <f>IF($K2176=0,$J2176,(1-$M2176)*$I2176+$M2176*$J2176)</f>
        <v/>
      </c>
      <c r="O2176" s="209">
        <f>IF($F2176&lt;$B$2129,$E$2129+$I$2129*($F2176-$A$2129),IF($F2176&lt;$C$2129,$F$2129+$J$2129*($F2176-$B$2129),$G$2129+$K$2129*($F2176-$C$2129)))</f>
        <v/>
      </c>
      <c r="P2176" s="208">
        <f>MIN(1,MAX(0,(nr_MEndPm1-$G2176+0.5)/$C$2128))-MIN(1,MAX(0,(nr_MStartPm1-1-$G2176+0.5)/$C$2128))</f>
        <v/>
      </c>
      <c r="Q2176" s="208">
        <f>MIN(1,MAX(0,(nr_MEndP-$G2176+0.5)/$C$2128))-MIN(1,MAX(0,(nr_MStartP-1-$G2176+0.5)/$C$2128))</f>
        <v/>
      </c>
      <c r="R2176" s="208">
        <f>MIN(1,MAX(0,(nr_MEndP1-$G2176+0.5)/$C$2128))-MIN(1,MAX(0,(nr_MStartP1-1-$G2176+0.5)/$C$2128))</f>
        <v/>
      </c>
      <c r="S2176" s="208">
        <f>IF($L$2128,$N2176*IF($O$2128=1,$O2176/$F$2128,1),"")</f>
        <v/>
      </c>
      <c r="T2176" s="208">
        <f>IF(NOT($L$2128),"",IF($G2176&lt;nr_MStartP,$S2176,$T2164*(1+IF($G2176&lt;nr_MStartP1,$M$2128,$N$2128))))</f>
        <v/>
      </c>
      <c r="U2176" s="208">
        <f>IF($L$2128,$T2176,$N2176)</f>
        <v/>
      </c>
    </row>
    <row r="2177">
      <c r="A2177" s="145" t="n">
        <v>47</v>
      </c>
      <c r="B2177" s="204">
        <f>EDATE($B2176,1)</f>
        <v/>
      </c>
      <c r="C2177" s="205">
        <f>EOMONTH($B2177,0)</f>
        <v/>
      </c>
      <c r="D2177" s="201">
        <f>$C2177-$B2177+1</f>
        <v/>
      </c>
      <c r="E2177" s="201">
        <f>MONTH($B2177)</f>
        <v/>
      </c>
      <c r="F2177" s="235">
        <f>($B2177+$C2177+1)/2</f>
        <v/>
      </c>
      <c r="G2177" s="201">
        <f>YEAR($B2177)*12+MONTH($B2177)-1</f>
        <v/>
      </c>
      <c r="H2177" s="207">
        <f>IF(OR(nr_SeasonOn="OFF",$D$2128=0,$E$2128=0),1,12*INDEX(se_block,$D$2128,$E2177)/$E$2128)</f>
        <v/>
      </c>
      <c r="I2177" s="208">
        <f>EXP(SUMPRODUCT((rl_eff&lt;$B2177)*(rl_key=$A$2128)*rl_ln1p))</f>
        <v/>
      </c>
      <c r="J2177" s="208">
        <f>EXP(SUMPRODUCT((rl_eff&lt;=$C2177)*(rl_key=$A$2128)*rl_ln1p))</f>
        <v/>
      </c>
      <c r="K2177" s="201">
        <f>COUNTIFS(rl_key,$A$2128,rl_eff,"&gt;="&amp;$B2177,rl_eff,"&lt;="&amp;$C2177)</f>
        <v/>
      </c>
      <c r="L2177" s="201">
        <f>SUMIFS(rl_daysafter,rl_key,$A$2128,rl_effmonth,$B2177,rl_first,1)</f>
        <v/>
      </c>
      <c r="M2177" s="209">
        <f>IF($K2177=0,0,MIN(1,$L2177/$D2177))</f>
        <v/>
      </c>
      <c r="N2177" s="208">
        <f>IF($K2177=0,$J2177,(1-$M2177)*$I2177+$M2177*$J2177)</f>
        <v/>
      </c>
      <c r="O2177" s="209">
        <f>IF($F2177&lt;$B$2129,$E$2129+$I$2129*($F2177-$A$2129),IF($F2177&lt;$C$2129,$F$2129+$J$2129*($F2177-$B$2129),$G$2129+$K$2129*($F2177-$C$2129)))</f>
        <v/>
      </c>
      <c r="P2177" s="208">
        <f>MIN(1,MAX(0,(nr_MEndPm1-$G2177+0.5)/$C$2128))-MIN(1,MAX(0,(nr_MStartPm1-1-$G2177+0.5)/$C$2128))</f>
        <v/>
      </c>
      <c r="Q2177" s="208">
        <f>MIN(1,MAX(0,(nr_MEndP-$G2177+0.5)/$C$2128))-MIN(1,MAX(0,(nr_MStartP-1-$G2177+0.5)/$C$2128))</f>
        <v/>
      </c>
      <c r="R2177" s="208">
        <f>MIN(1,MAX(0,(nr_MEndP1-$G2177+0.5)/$C$2128))-MIN(1,MAX(0,(nr_MStartP1-1-$G2177+0.5)/$C$2128))</f>
        <v/>
      </c>
      <c r="S2177" s="208">
        <f>IF($L$2128,$N2177*IF($O$2128=1,$O2177/$F$2128,1),"")</f>
        <v/>
      </c>
      <c r="T2177" s="208">
        <f>IF(NOT($L$2128),"",IF($G2177&lt;nr_MStartP,$S2177,$T2165*(1+IF($G2177&lt;nr_MStartP1,$M$2128,$N$2128))))</f>
        <v/>
      </c>
      <c r="U2177" s="208">
        <f>IF($L$2128,$T2177,$N2177)</f>
        <v/>
      </c>
    </row>
    <row r="2178">
      <c r="A2178" s="145" t="n">
        <v>48</v>
      </c>
      <c r="B2178" s="204">
        <f>EDATE($B2177,1)</f>
        <v/>
      </c>
      <c r="C2178" s="205">
        <f>EOMONTH($B2178,0)</f>
        <v/>
      </c>
      <c r="D2178" s="201">
        <f>$C2178-$B2178+1</f>
        <v/>
      </c>
      <c r="E2178" s="201">
        <f>MONTH($B2178)</f>
        <v/>
      </c>
      <c r="F2178" s="235">
        <f>($B2178+$C2178+1)/2</f>
        <v/>
      </c>
      <c r="G2178" s="201">
        <f>YEAR($B2178)*12+MONTH($B2178)-1</f>
        <v/>
      </c>
      <c r="H2178" s="207">
        <f>IF(OR(nr_SeasonOn="OFF",$D$2128=0,$E$2128=0),1,12*INDEX(se_block,$D$2128,$E2178)/$E$2128)</f>
        <v/>
      </c>
      <c r="I2178" s="208">
        <f>EXP(SUMPRODUCT((rl_eff&lt;$B2178)*(rl_key=$A$2128)*rl_ln1p))</f>
        <v/>
      </c>
      <c r="J2178" s="208">
        <f>EXP(SUMPRODUCT((rl_eff&lt;=$C2178)*(rl_key=$A$2128)*rl_ln1p))</f>
        <v/>
      </c>
      <c r="K2178" s="201">
        <f>COUNTIFS(rl_key,$A$2128,rl_eff,"&gt;="&amp;$B2178,rl_eff,"&lt;="&amp;$C2178)</f>
        <v/>
      </c>
      <c r="L2178" s="201">
        <f>SUMIFS(rl_daysafter,rl_key,$A$2128,rl_effmonth,$B2178,rl_first,1)</f>
        <v/>
      </c>
      <c r="M2178" s="209">
        <f>IF($K2178=0,0,MIN(1,$L2178/$D2178))</f>
        <v/>
      </c>
      <c r="N2178" s="208">
        <f>IF($K2178=0,$J2178,(1-$M2178)*$I2178+$M2178*$J2178)</f>
        <v/>
      </c>
      <c r="O2178" s="209">
        <f>IF($F2178&lt;$B$2129,$E$2129+$I$2129*($F2178-$A$2129),IF($F2178&lt;$C$2129,$F$2129+$J$2129*($F2178-$B$2129),$G$2129+$K$2129*($F2178-$C$2129)))</f>
        <v/>
      </c>
      <c r="P2178" s="208">
        <f>MIN(1,MAX(0,(nr_MEndPm1-$G2178+0.5)/$C$2128))-MIN(1,MAX(0,(nr_MStartPm1-1-$G2178+0.5)/$C$2128))</f>
        <v/>
      </c>
      <c r="Q2178" s="208">
        <f>MIN(1,MAX(0,(nr_MEndP-$G2178+0.5)/$C$2128))-MIN(1,MAX(0,(nr_MStartP-1-$G2178+0.5)/$C$2128))</f>
        <v/>
      </c>
      <c r="R2178" s="208">
        <f>MIN(1,MAX(0,(nr_MEndP1-$G2178+0.5)/$C$2128))-MIN(1,MAX(0,(nr_MStartP1-1-$G2178+0.5)/$C$2128))</f>
        <v/>
      </c>
      <c r="S2178" s="208">
        <f>IF($L$2128,$N2178*IF($O$2128=1,$O2178/$F$2128,1),"")</f>
        <v/>
      </c>
      <c r="T2178" s="208">
        <f>IF(NOT($L$2128),"",IF($G2178&lt;nr_MStartP,$S2178,$T2166*(1+IF($G2178&lt;nr_MStartP1,$M$2128,$N$2128))))</f>
        <v/>
      </c>
      <c r="U2178" s="208">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184">
        <f>SUMPRODUCT($H$2131:$H$2178,$Q$2131:$Q$2178,$O$2131:$O$2178)/SUMPRODUCT($H$2131:$H$2178,$Q$2131:$Q$2178)</f>
        <v/>
      </c>
      <c r="G2179" s="184">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184">
        <f>IF(N(INDEX(lr_mind,40))=0,1,INDEX(lr_mind,40))</f>
        <v/>
      </c>
      <c r="G2182" s="184">
        <f>IF(N(INDEX(lr_m0,40))=0,1,INDEX(lr_m0,40))</f>
        <v/>
      </c>
      <c r="H2182" s="73">
        <f>IF(N(INDEX(lr_m0asof,40))=0,DATE(nr_PlanYear-1,10,1),INDEX(lr_m0asof,40))</f>
        <v/>
      </c>
      <c r="I2182" s="184">
        <f>IF(N(INDEX(lr_m1,40))=0,1,INDEX(lr_m1,40))</f>
        <v/>
      </c>
      <c r="J2182" s="184">
        <f>INDEX(lr_mprior,40)</f>
        <v/>
      </c>
      <c r="K2182" s="184">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145" t="n">
        <v>1</v>
      </c>
      <c r="B2185" s="204">
        <f>DATE(nr_PlanYear-2,1,1)</f>
        <v/>
      </c>
      <c r="C2185" s="205">
        <f>EOMONTH($B2185,0)</f>
        <v/>
      </c>
      <c r="D2185" s="201">
        <f>$C2185-$B2185+1</f>
        <v/>
      </c>
      <c r="E2185" s="201">
        <f>MONTH($B2185)</f>
        <v/>
      </c>
      <c r="F2185" s="235">
        <f>($B2185+$C2185+1)/2</f>
        <v/>
      </c>
      <c r="G2185" s="201">
        <f>YEAR($B2185)*12+MONTH($B2185)-1</f>
        <v/>
      </c>
      <c r="H2185" s="207">
        <f>IF(OR(nr_SeasonOn="OFF",$D$2182=0,$E$2182=0),1,12*INDEX(se_block,$D$2182,$E2185)/$E$2182)</f>
        <v/>
      </c>
      <c r="I2185" s="208">
        <f>EXP(SUMPRODUCT((rl_eff&lt;$B2185)*(rl_key=$A$2182)*rl_ln1p))</f>
        <v/>
      </c>
      <c r="J2185" s="208">
        <f>EXP(SUMPRODUCT((rl_eff&lt;=$C2185)*(rl_key=$A$2182)*rl_ln1p))</f>
        <v/>
      </c>
      <c r="K2185" s="201">
        <f>COUNTIFS(rl_key,$A$2182,rl_eff,"&gt;="&amp;$B2185,rl_eff,"&lt;="&amp;$C2185)</f>
        <v/>
      </c>
      <c r="L2185" s="201">
        <f>SUMIFS(rl_daysafter,rl_key,$A$2182,rl_effmonth,$B2185,rl_first,1)</f>
        <v/>
      </c>
      <c r="M2185" s="209">
        <f>IF($K2185=0,0,MIN(1,$L2185/$D2185))</f>
        <v/>
      </c>
      <c r="N2185" s="208">
        <f>IF($K2185=0,$J2185,(1-$M2185)*$I2185+$M2185*$J2185)</f>
        <v/>
      </c>
      <c r="O2185" s="209">
        <f>IF($F2185&lt;$B$2183,$E$2183+$I$2183*($F2185-$A$2183),IF($F2185&lt;$C$2183,$F$2183+$J$2183*($F2185-$B$2183),$G$2183+$K$2183*($F2185-$C$2183)))</f>
        <v/>
      </c>
      <c r="P2185" s="208">
        <f>MIN(1,MAX(0,(nr_MEndPm1-$G2185+0.5)/$C$2182))-MIN(1,MAX(0,(nr_MStartPm1-1-$G2185+0.5)/$C$2182))</f>
        <v/>
      </c>
      <c r="Q2185" s="208">
        <f>MIN(1,MAX(0,(nr_MEndP-$G2185+0.5)/$C$2182))-MIN(1,MAX(0,(nr_MStartP-1-$G2185+0.5)/$C$2182))</f>
        <v/>
      </c>
      <c r="R2185" s="208">
        <f>MIN(1,MAX(0,(nr_MEndP1-$G2185+0.5)/$C$2182))-MIN(1,MAX(0,(nr_MStartP1-1-$G2185+0.5)/$C$2182))</f>
        <v/>
      </c>
      <c r="S2185" s="208">
        <f>IF($L$2182,$N2185*IF($O$2182=1,$O2185/$F$2182,1),"")</f>
        <v/>
      </c>
      <c r="T2185" s="208">
        <f>IF(NOT($L$2182),"",IF($G2185&lt;nr_MStartP,$S2185,$T2173*(1+IF($G2185&lt;nr_MStartP1,$M$2182,$N$2182))))</f>
        <v/>
      </c>
      <c r="U2185" s="208">
        <f>IF($L$2182,$T2185,$N2185)</f>
        <v/>
      </c>
    </row>
    <row r="2186">
      <c r="A2186" s="145" t="n">
        <v>2</v>
      </c>
      <c r="B2186" s="204">
        <f>EDATE($B2185,1)</f>
        <v/>
      </c>
      <c r="C2186" s="205">
        <f>EOMONTH($B2186,0)</f>
        <v/>
      </c>
      <c r="D2186" s="201">
        <f>$C2186-$B2186+1</f>
        <v/>
      </c>
      <c r="E2186" s="201">
        <f>MONTH($B2186)</f>
        <v/>
      </c>
      <c r="F2186" s="235">
        <f>($B2186+$C2186+1)/2</f>
        <v/>
      </c>
      <c r="G2186" s="201">
        <f>YEAR($B2186)*12+MONTH($B2186)-1</f>
        <v/>
      </c>
      <c r="H2186" s="207">
        <f>IF(OR(nr_SeasonOn="OFF",$D$2182=0,$E$2182=0),1,12*INDEX(se_block,$D$2182,$E2186)/$E$2182)</f>
        <v/>
      </c>
      <c r="I2186" s="208">
        <f>EXP(SUMPRODUCT((rl_eff&lt;$B2186)*(rl_key=$A$2182)*rl_ln1p))</f>
        <v/>
      </c>
      <c r="J2186" s="208">
        <f>EXP(SUMPRODUCT((rl_eff&lt;=$C2186)*(rl_key=$A$2182)*rl_ln1p))</f>
        <v/>
      </c>
      <c r="K2186" s="201">
        <f>COUNTIFS(rl_key,$A$2182,rl_eff,"&gt;="&amp;$B2186,rl_eff,"&lt;="&amp;$C2186)</f>
        <v/>
      </c>
      <c r="L2186" s="201">
        <f>SUMIFS(rl_daysafter,rl_key,$A$2182,rl_effmonth,$B2186,rl_first,1)</f>
        <v/>
      </c>
      <c r="M2186" s="209">
        <f>IF($K2186=0,0,MIN(1,$L2186/$D2186))</f>
        <v/>
      </c>
      <c r="N2186" s="208">
        <f>IF($K2186=0,$J2186,(1-$M2186)*$I2186+$M2186*$J2186)</f>
        <v/>
      </c>
      <c r="O2186" s="209">
        <f>IF($F2186&lt;$B$2183,$E$2183+$I$2183*($F2186-$A$2183),IF($F2186&lt;$C$2183,$F$2183+$J$2183*($F2186-$B$2183),$G$2183+$K$2183*($F2186-$C$2183)))</f>
        <v/>
      </c>
      <c r="P2186" s="208">
        <f>MIN(1,MAX(0,(nr_MEndPm1-$G2186+0.5)/$C$2182))-MIN(1,MAX(0,(nr_MStartPm1-1-$G2186+0.5)/$C$2182))</f>
        <v/>
      </c>
      <c r="Q2186" s="208">
        <f>MIN(1,MAX(0,(nr_MEndP-$G2186+0.5)/$C$2182))-MIN(1,MAX(0,(nr_MStartP-1-$G2186+0.5)/$C$2182))</f>
        <v/>
      </c>
      <c r="R2186" s="208">
        <f>MIN(1,MAX(0,(nr_MEndP1-$G2186+0.5)/$C$2182))-MIN(1,MAX(0,(nr_MStartP1-1-$G2186+0.5)/$C$2182))</f>
        <v/>
      </c>
      <c r="S2186" s="208">
        <f>IF($L$2182,$N2186*IF($O$2182=1,$O2186/$F$2182,1),"")</f>
        <v/>
      </c>
      <c r="T2186" s="208">
        <f>IF(NOT($L$2182),"",IF($G2186&lt;nr_MStartP,$S2186,$T2174*(1+IF($G2186&lt;nr_MStartP1,$M$2182,$N$2182))))</f>
        <v/>
      </c>
      <c r="U2186" s="208">
        <f>IF($L$2182,$T2186,$N2186)</f>
        <v/>
      </c>
    </row>
    <row r="2187">
      <c r="A2187" s="145" t="n">
        <v>3</v>
      </c>
      <c r="B2187" s="204">
        <f>EDATE($B2186,1)</f>
        <v/>
      </c>
      <c r="C2187" s="205">
        <f>EOMONTH($B2187,0)</f>
        <v/>
      </c>
      <c r="D2187" s="201">
        <f>$C2187-$B2187+1</f>
        <v/>
      </c>
      <c r="E2187" s="201">
        <f>MONTH($B2187)</f>
        <v/>
      </c>
      <c r="F2187" s="235">
        <f>($B2187+$C2187+1)/2</f>
        <v/>
      </c>
      <c r="G2187" s="201">
        <f>YEAR($B2187)*12+MONTH($B2187)-1</f>
        <v/>
      </c>
      <c r="H2187" s="207">
        <f>IF(OR(nr_SeasonOn="OFF",$D$2182=0,$E$2182=0),1,12*INDEX(se_block,$D$2182,$E2187)/$E$2182)</f>
        <v/>
      </c>
      <c r="I2187" s="208">
        <f>EXP(SUMPRODUCT((rl_eff&lt;$B2187)*(rl_key=$A$2182)*rl_ln1p))</f>
        <v/>
      </c>
      <c r="J2187" s="208">
        <f>EXP(SUMPRODUCT((rl_eff&lt;=$C2187)*(rl_key=$A$2182)*rl_ln1p))</f>
        <v/>
      </c>
      <c r="K2187" s="201">
        <f>COUNTIFS(rl_key,$A$2182,rl_eff,"&gt;="&amp;$B2187,rl_eff,"&lt;="&amp;$C2187)</f>
        <v/>
      </c>
      <c r="L2187" s="201">
        <f>SUMIFS(rl_daysafter,rl_key,$A$2182,rl_effmonth,$B2187,rl_first,1)</f>
        <v/>
      </c>
      <c r="M2187" s="209">
        <f>IF($K2187=0,0,MIN(1,$L2187/$D2187))</f>
        <v/>
      </c>
      <c r="N2187" s="208">
        <f>IF($K2187=0,$J2187,(1-$M2187)*$I2187+$M2187*$J2187)</f>
        <v/>
      </c>
      <c r="O2187" s="209">
        <f>IF($F2187&lt;$B$2183,$E$2183+$I$2183*($F2187-$A$2183),IF($F2187&lt;$C$2183,$F$2183+$J$2183*($F2187-$B$2183),$G$2183+$K$2183*($F2187-$C$2183)))</f>
        <v/>
      </c>
      <c r="P2187" s="208">
        <f>MIN(1,MAX(0,(nr_MEndPm1-$G2187+0.5)/$C$2182))-MIN(1,MAX(0,(nr_MStartPm1-1-$G2187+0.5)/$C$2182))</f>
        <v/>
      </c>
      <c r="Q2187" s="208">
        <f>MIN(1,MAX(0,(nr_MEndP-$G2187+0.5)/$C$2182))-MIN(1,MAX(0,(nr_MStartP-1-$G2187+0.5)/$C$2182))</f>
        <v/>
      </c>
      <c r="R2187" s="208">
        <f>MIN(1,MAX(0,(nr_MEndP1-$G2187+0.5)/$C$2182))-MIN(1,MAX(0,(nr_MStartP1-1-$G2187+0.5)/$C$2182))</f>
        <v/>
      </c>
      <c r="S2187" s="208">
        <f>IF($L$2182,$N2187*IF($O$2182=1,$O2187/$F$2182,1),"")</f>
        <v/>
      </c>
      <c r="T2187" s="208">
        <f>IF(NOT($L$2182),"",IF($G2187&lt;nr_MStartP,$S2187,$T2175*(1+IF($G2187&lt;nr_MStartP1,$M$2182,$N$2182))))</f>
        <v/>
      </c>
      <c r="U2187" s="208">
        <f>IF($L$2182,$T2187,$N2187)</f>
        <v/>
      </c>
    </row>
    <row r="2188">
      <c r="A2188" s="145" t="n">
        <v>4</v>
      </c>
      <c r="B2188" s="204">
        <f>EDATE($B2187,1)</f>
        <v/>
      </c>
      <c r="C2188" s="205">
        <f>EOMONTH($B2188,0)</f>
        <v/>
      </c>
      <c r="D2188" s="201">
        <f>$C2188-$B2188+1</f>
        <v/>
      </c>
      <c r="E2188" s="201">
        <f>MONTH($B2188)</f>
        <v/>
      </c>
      <c r="F2188" s="235">
        <f>($B2188+$C2188+1)/2</f>
        <v/>
      </c>
      <c r="G2188" s="201">
        <f>YEAR($B2188)*12+MONTH($B2188)-1</f>
        <v/>
      </c>
      <c r="H2188" s="207">
        <f>IF(OR(nr_SeasonOn="OFF",$D$2182=0,$E$2182=0),1,12*INDEX(se_block,$D$2182,$E2188)/$E$2182)</f>
        <v/>
      </c>
      <c r="I2188" s="208">
        <f>EXP(SUMPRODUCT((rl_eff&lt;$B2188)*(rl_key=$A$2182)*rl_ln1p))</f>
        <v/>
      </c>
      <c r="J2188" s="208">
        <f>EXP(SUMPRODUCT((rl_eff&lt;=$C2188)*(rl_key=$A$2182)*rl_ln1p))</f>
        <v/>
      </c>
      <c r="K2188" s="201">
        <f>COUNTIFS(rl_key,$A$2182,rl_eff,"&gt;="&amp;$B2188,rl_eff,"&lt;="&amp;$C2188)</f>
        <v/>
      </c>
      <c r="L2188" s="201">
        <f>SUMIFS(rl_daysafter,rl_key,$A$2182,rl_effmonth,$B2188,rl_first,1)</f>
        <v/>
      </c>
      <c r="M2188" s="209">
        <f>IF($K2188=0,0,MIN(1,$L2188/$D2188))</f>
        <v/>
      </c>
      <c r="N2188" s="208">
        <f>IF($K2188=0,$J2188,(1-$M2188)*$I2188+$M2188*$J2188)</f>
        <v/>
      </c>
      <c r="O2188" s="209">
        <f>IF($F2188&lt;$B$2183,$E$2183+$I$2183*($F2188-$A$2183),IF($F2188&lt;$C$2183,$F$2183+$J$2183*($F2188-$B$2183),$G$2183+$K$2183*($F2188-$C$2183)))</f>
        <v/>
      </c>
      <c r="P2188" s="208">
        <f>MIN(1,MAX(0,(nr_MEndPm1-$G2188+0.5)/$C$2182))-MIN(1,MAX(0,(nr_MStartPm1-1-$G2188+0.5)/$C$2182))</f>
        <v/>
      </c>
      <c r="Q2188" s="208">
        <f>MIN(1,MAX(0,(nr_MEndP-$G2188+0.5)/$C$2182))-MIN(1,MAX(0,(nr_MStartP-1-$G2188+0.5)/$C$2182))</f>
        <v/>
      </c>
      <c r="R2188" s="208">
        <f>MIN(1,MAX(0,(nr_MEndP1-$G2188+0.5)/$C$2182))-MIN(1,MAX(0,(nr_MStartP1-1-$G2188+0.5)/$C$2182))</f>
        <v/>
      </c>
      <c r="S2188" s="208">
        <f>IF($L$2182,$N2188*IF($O$2182=1,$O2188/$F$2182,1),"")</f>
        <v/>
      </c>
      <c r="T2188" s="208">
        <f>IF(NOT($L$2182),"",IF($G2188&lt;nr_MStartP,$S2188,$T2176*(1+IF($G2188&lt;nr_MStartP1,$M$2182,$N$2182))))</f>
        <v/>
      </c>
      <c r="U2188" s="208">
        <f>IF($L$2182,$T2188,$N2188)</f>
        <v/>
      </c>
    </row>
    <row r="2189">
      <c r="A2189" s="145" t="n">
        <v>5</v>
      </c>
      <c r="B2189" s="204">
        <f>EDATE($B2188,1)</f>
        <v/>
      </c>
      <c r="C2189" s="205">
        <f>EOMONTH($B2189,0)</f>
        <v/>
      </c>
      <c r="D2189" s="201">
        <f>$C2189-$B2189+1</f>
        <v/>
      </c>
      <c r="E2189" s="201">
        <f>MONTH($B2189)</f>
        <v/>
      </c>
      <c r="F2189" s="235">
        <f>($B2189+$C2189+1)/2</f>
        <v/>
      </c>
      <c r="G2189" s="201">
        <f>YEAR($B2189)*12+MONTH($B2189)-1</f>
        <v/>
      </c>
      <c r="H2189" s="207">
        <f>IF(OR(nr_SeasonOn="OFF",$D$2182=0,$E$2182=0),1,12*INDEX(se_block,$D$2182,$E2189)/$E$2182)</f>
        <v/>
      </c>
      <c r="I2189" s="208">
        <f>EXP(SUMPRODUCT((rl_eff&lt;$B2189)*(rl_key=$A$2182)*rl_ln1p))</f>
        <v/>
      </c>
      <c r="J2189" s="208">
        <f>EXP(SUMPRODUCT((rl_eff&lt;=$C2189)*(rl_key=$A$2182)*rl_ln1p))</f>
        <v/>
      </c>
      <c r="K2189" s="201">
        <f>COUNTIFS(rl_key,$A$2182,rl_eff,"&gt;="&amp;$B2189,rl_eff,"&lt;="&amp;$C2189)</f>
        <v/>
      </c>
      <c r="L2189" s="201">
        <f>SUMIFS(rl_daysafter,rl_key,$A$2182,rl_effmonth,$B2189,rl_first,1)</f>
        <v/>
      </c>
      <c r="M2189" s="209">
        <f>IF($K2189=0,0,MIN(1,$L2189/$D2189))</f>
        <v/>
      </c>
      <c r="N2189" s="208">
        <f>IF($K2189=0,$J2189,(1-$M2189)*$I2189+$M2189*$J2189)</f>
        <v/>
      </c>
      <c r="O2189" s="209">
        <f>IF($F2189&lt;$B$2183,$E$2183+$I$2183*($F2189-$A$2183),IF($F2189&lt;$C$2183,$F$2183+$J$2183*($F2189-$B$2183),$G$2183+$K$2183*($F2189-$C$2183)))</f>
        <v/>
      </c>
      <c r="P2189" s="208">
        <f>MIN(1,MAX(0,(nr_MEndPm1-$G2189+0.5)/$C$2182))-MIN(1,MAX(0,(nr_MStartPm1-1-$G2189+0.5)/$C$2182))</f>
        <v/>
      </c>
      <c r="Q2189" s="208">
        <f>MIN(1,MAX(0,(nr_MEndP-$G2189+0.5)/$C$2182))-MIN(1,MAX(0,(nr_MStartP-1-$G2189+0.5)/$C$2182))</f>
        <v/>
      </c>
      <c r="R2189" s="208">
        <f>MIN(1,MAX(0,(nr_MEndP1-$G2189+0.5)/$C$2182))-MIN(1,MAX(0,(nr_MStartP1-1-$G2189+0.5)/$C$2182))</f>
        <v/>
      </c>
      <c r="S2189" s="208">
        <f>IF($L$2182,$N2189*IF($O$2182=1,$O2189/$F$2182,1),"")</f>
        <v/>
      </c>
      <c r="T2189" s="208">
        <f>IF(NOT($L$2182),"",IF($G2189&lt;nr_MStartP,$S2189,$T2177*(1+IF($G2189&lt;nr_MStartP1,$M$2182,$N$2182))))</f>
        <v/>
      </c>
      <c r="U2189" s="208">
        <f>IF($L$2182,$T2189,$N2189)</f>
        <v/>
      </c>
    </row>
    <row r="2190">
      <c r="A2190" s="145" t="n">
        <v>6</v>
      </c>
      <c r="B2190" s="204">
        <f>EDATE($B2189,1)</f>
        <v/>
      </c>
      <c r="C2190" s="205">
        <f>EOMONTH($B2190,0)</f>
        <v/>
      </c>
      <c r="D2190" s="201">
        <f>$C2190-$B2190+1</f>
        <v/>
      </c>
      <c r="E2190" s="201">
        <f>MONTH($B2190)</f>
        <v/>
      </c>
      <c r="F2190" s="235">
        <f>($B2190+$C2190+1)/2</f>
        <v/>
      </c>
      <c r="G2190" s="201">
        <f>YEAR($B2190)*12+MONTH($B2190)-1</f>
        <v/>
      </c>
      <c r="H2190" s="207">
        <f>IF(OR(nr_SeasonOn="OFF",$D$2182=0,$E$2182=0),1,12*INDEX(se_block,$D$2182,$E2190)/$E$2182)</f>
        <v/>
      </c>
      <c r="I2190" s="208">
        <f>EXP(SUMPRODUCT((rl_eff&lt;$B2190)*(rl_key=$A$2182)*rl_ln1p))</f>
        <v/>
      </c>
      <c r="J2190" s="208">
        <f>EXP(SUMPRODUCT((rl_eff&lt;=$C2190)*(rl_key=$A$2182)*rl_ln1p))</f>
        <v/>
      </c>
      <c r="K2190" s="201">
        <f>COUNTIFS(rl_key,$A$2182,rl_eff,"&gt;="&amp;$B2190,rl_eff,"&lt;="&amp;$C2190)</f>
        <v/>
      </c>
      <c r="L2190" s="201">
        <f>SUMIFS(rl_daysafter,rl_key,$A$2182,rl_effmonth,$B2190,rl_first,1)</f>
        <v/>
      </c>
      <c r="M2190" s="209">
        <f>IF($K2190=0,0,MIN(1,$L2190/$D2190))</f>
        <v/>
      </c>
      <c r="N2190" s="208">
        <f>IF($K2190=0,$J2190,(1-$M2190)*$I2190+$M2190*$J2190)</f>
        <v/>
      </c>
      <c r="O2190" s="209">
        <f>IF($F2190&lt;$B$2183,$E$2183+$I$2183*($F2190-$A$2183),IF($F2190&lt;$C$2183,$F$2183+$J$2183*($F2190-$B$2183),$G$2183+$K$2183*($F2190-$C$2183)))</f>
        <v/>
      </c>
      <c r="P2190" s="208">
        <f>MIN(1,MAX(0,(nr_MEndPm1-$G2190+0.5)/$C$2182))-MIN(1,MAX(0,(nr_MStartPm1-1-$G2190+0.5)/$C$2182))</f>
        <v/>
      </c>
      <c r="Q2190" s="208">
        <f>MIN(1,MAX(0,(nr_MEndP-$G2190+0.5)/$C$2182))-MIN(1,MAX(0,(nr_MStartP-1-$G2190+0.5)/$C$2182))</f>
        <v/>
      </c>
      <c r="R2190" s="208">
        <f>MIN(1,MAX(0,(nr_MEndP1-$G2190+0.5)/$C$2182))-MIN(1,MAX(0,(nr_MStartP1-1-$G2190+0.5)/$C$2182))</f>
        <v/>
      </c>
      <c r="S2190" s="208">
        <f>IF($L$2182,$N2190*IF($O$2182=1,$O2190/$F$2182,1),"")</f>
        <v/>
      </c>
      <c r="T2190" s="208">
        <f>IF(NOT($L$2182),"",IF($G2190&lt;nr_MStartP,$S2190,$T2178*(1+IF($G2190&lt;nr_MStartP1,$M$2182,$N$2182))))</f>
        <v/>
      </c>
      <c r="U2190" s="208">
        <f>IF($L$2182,$T2190,$N2190)</f>
        <v/>
      </c>
    </row>
    <row r="2191">
      <c r="A2191" s="145" t="n">
        <v>7</v>
      </c>
      <c r="B2191" s="204">
        <f>EDATE($B2190,1)</f>
        <v/>
      </c>
      <c r="C2191" s="205">
        <f>EOMONTH($B2191,0)</f>
        <v/>
      </c>
      <c r="D2191" s="201">
        <f>$C2191-$B2191+1</f>
        <v/>
      </c>
      <c r="E2191" s="201">
        <f>MONTH($B2191)</f>
        <v/>
      </c>
      <c r="F2191" s="235">
        <f>($B2191+$C2191+1)/2</f>
        <v/>
      </c>
      <c r="G2191" s="201">
        <f>YEAR($B2191)*12+MONTH($B2191)-1</f>
        <v/>
      </c>
      <c r="H2191" s="207">
        <f>IF(OR(nr_SeasonOn="OFF",$D$2182=0,$E$2182=0),1,12*INDEX(se_block,$D$2182,$E2191)/$E$2182)</f>
        <v/>
      </c>
      <c r="I2191" s="208">
        <f>EXP(SUMPRODUCT((rl_eff&lt;$B2191)*(rl_key=$A$2182)*rl_ln1p))</f>
        <v/>
      </c>
      <c r="J2191" s="208">
        <f>EXP(SUMPRODUCT((rl_eff&lt;=$C2191)*(rl_key=$A$2182)*rl_ln1p))</f>
        <v/>
      </c>
      <c r="K2191" s="201">
        <f>COUNTIFS(rl_key,$A$2182,rl_eff,"&gt;="&amp;$B2191,rl_eff,"&lt;="&amp;$C2191)</f>
        <v/>
      </c>
      <c r="L2191" s="201">
        <f>SUMIFS(rl_daysafter,rl_key,$A$2182,rl_effmonth,$B2191,rl_first,1)</f>
        <v/>
      </c>
      <c r="M2191" s="209">
        <f>IF($K2191=0,0,MIN(1,$L2191/$D2191))</f>
        <v/>
      </c>
      <c r="N2191" s="208">
        <f>IF($K2191=0,$J2191,(1-$M2191)*$I2191+$M2191*$J2191)</f>
        <v/>
      </c>
      <c r="O2191" s="209">
        <f>IF($F2191&lt;$B$2183,$E$2183+$I$2183*($F2191-$A$2183),IF($F2191&lt;$C$2183,$F$2183+$J$2183*($F2191-$B$2183),$G$2183+$K$2183*($F2191-$C$2183)))</f>
        <v/>
      </c>
      <c r="P2191" s="208">
        <f>MIN(1,MAX(0,(nr_MEndPm1-$G2191+0.5)/$C$2182))-MIN(1,MAX(0,(nr_MStartPm1-1-$G2191+0.5)/$C$2182))</f>
        <v/>
      </c>
      <c r="Q2191" s="208">
        <f>MIN(1,MAX(0,(nr_MEndP-$G2191+0.5)/$C$2182))-MIN(1,MAX(0,(nr_MStartP-1-$G2191+0.5)/$C$2182))</f>
        <v/>
      </c>
      <c r="R2191" s="208">
        <f>MIN(1,MAX(0,(nr_MEndP1-$G2191+0.5)/$C$2182))-MIN(1,MAX(0,(nr_MStartP1-1-$G2191+0.5)/$C$2182))</f>
        <v/>
      </c>
      <c r="S2191" s="208">
        <f>IF($L$2182,$N2191*IF($O$2182=1,$O2191/$F$2182,1),"")</f>
        <v/>
      </c>
      <c r="T2191" s="208">
        <f>IF(NOT($L$2182),"",IF($G2191&lt;nr_MStartP,$S2191,$T2179*(1+IF($G2191&lt;nr_MStartP1,$M$2182,$N$2182))))</f>
        <v/>
      </c>
      <c r="U2191" s="208">
        <f>IF($L$2182,$T2191,$N2191)</f>
        <v/>
      </c>
    </row>
    <row r="2192">
      <c r="A2192" s="145" t="n">
        <v>8</v>
      </c>
      <c r="B2192" s="204">
        <f>EDATE($B2191,1)</f>
        <v/>
      </c>
      <c r="C2192" s="205">
        <f>EOMONTH($B2192,0)</f>
        <v/>
      </c>
      <c r="D2192" s="201">
        <f>$C2192-$B2192+1</f>
        <v/>
      </c>
      <c r="E2192" s="201">
        <f>MONTH($B2192)</f>
        <v/>
      </c>
      <c r="F2192" s="235">
        <f>($B2192+$C2192+1)/2</f>
        <v/>
      </c>
      <c r="G2192" s="201">
        <f>YEAR($B2192)*12+MONTH($B2192)-1</f>
        <v/>
      </c>
      <c r="H2192" s="207">
        <f>IF(OR(nr_SeasonOn="OFF",$D$2182=0,$E$2182=0),1,12*INDEX(se_block,$D$2182,$E2192)/$E$2182)</f>
        <v/>
      </c>
      <c r="I2192" s="208">
        <f>EXP(SUMPRODUCT((rl_eff&lt;$B2192)*(rl_key=$A$2182)*rl_ln1p))</f>
        <v/>
      </c>
      <c r="J2192" s="208">
        <f>EXP(SUMPRODUCT((rl_eff&lt;=$C2192)*(rl_key=$A$2182)*rl_ln1p))</f>
        <v/>
      </c>
      <c r="K2192" s="201">
        <f>COUNTIFS(rl_key,$A$2182,rl_eff,"&gt;="&amp;$B2192,rl_eff,"&lt;="&amp;$C2192)</f>
        <v/>
      </c>
      <c r="L2192" s="201">
        <f>SUMIFS(rl_daysafter,rl_key,$A$2182,rl_effmonth,$B2192,rl_first,1)</f>
        <v/>
      </c>
      <c r="M2192" s="209">
        <f>IF($K2192=0,0,MIN(1,$L2192/$D2192))</f>
        <v/>
      </c>
      <c r="N2192" s="208">
        <f>IF($K2192=0,$J2192,(1-$M2192)*$I2192+$M2192*$J2192)</f>
        <v/>
      </c>
      <c r="O2192" s="209">
        <f>IF($F2192&lt;$B$2183,$E$2183+$I$2183*($F2192-$A$2183),IF($F2192&lt;$C$2183,$F$2183+$J$2183*($F2192-$B$2183),$G$2183+$K$2183*($F2192-$C$2183)))</f>
        <v/>
      </c>
      <c r="P2192" s="208">
        <f>MIN(1,MAX(0,(nr_MEndPm1-$G2192+0.5)/$C$2182))-MIN(1,MAX(0,(nr_MStartPm1-1-$G2192+0.5)/$C$2182))</f>
        <v/>
      </c>
      <c r="Q2192" s="208">
        <f>MIN(1,MAX(0,(nr_MEndP-$G2192+0.5)/$C$2182))-MIN(1,MAX(0,(nr_MStartP-1-$G2192+0.5)/$C$2182))</f>
        <v/>
      </c>
      <c r="R2192" s="208">
        <f>MIN(1,MAX(0,(nr_MEndP1-$G2192+0.5)/$C$2182))-MIN(1,MAX(0,(nr_MStartP1-1-$G2192+0.5)/$C$2182))</f>
        <v/>
      </c>
      <c r="S2192" s="208">
        <f>IF($L$2182,$N2192*IF($O$2182=1,$O2192/$F$2182,1),"")</f>
        <v/>
      </c>
      <c r="T2192" s="208">
        <f>IF(NOT($L$2182),"",IF($G2192&lt;nr_MStartP,$S2192,$T2180*(1+IF($G2192&lt;nr_MStartP1,$M$2182,$N$2182))))</f>
        <v/>
      </c>
      <c r="U2192" s="208">
        <f>IF($L$2182,$T2192,$N2192)</f>
        <v/>
      </c>
    </row>
    <row r="2193">
      <c r="A2193" s="145" t="n">
        <v>9</v>
      </c>
      <c r="B2193" s="204">
        <f>EDATE($B2192,1)</f>
        <v/>
      </c>
      <c r="C2193" s="205">
        <f>EOMONTH($B2193,0)</f>
        <v/>
      </c>
      <c r="D2193" s="201">
        <f>$C2193-$B2193+1</f>
        <v/>
      </c>
      <c r="E2193" s="201">
        <f>MONTH($B2193)</f>
        <v/>
      </c>
      <c r="F2193" s="235">
        <f>($B2193+$C2193+1)/2</f>
        <v/>
      </c>
      <c r="G2193" s="201">
        <f>YEAR($B2193)*12+MONTH($B2193)-1</f>
        <v/>
      </c>
      <c r="H2193" s="207">
        <f>IF(OR(nr_SeasonOn="OFF",$D$2182=0,$E$2182=0),1,12*INDEX(se_block,$D$2182,$E2193)/$E$2182)</f>
        <v/>
      </c>
      <c r="I2193" s="208">
        <f>EXP(SUMPRODUCT((rl_eff&lt;$B2193)*(rl_key=$A$2182)*rl_ln1p))</f>
        <v/>
      </c>
      <c r="J2193" s="208">
        <f>EXP(SUMPRODUCT((rl_eff&lt;=$C2193)*(rl_key=$A$2182)*rl_ln1p))</f>
        <v/>
      </c>
      <c r="K2193" s="201">
        <f>COUNTIFS(rl_key,$A$2182,rl_eff,"&gt;="&amp;$B2193,rl_eff,"&lt;="&amp;$C2193)</f>
        <v/>
      </c>
      <c r="L2193" s="201">
        <f>SUMIFS(rl_daysafter,rl_key,$A$2182,rl_effmonth,$B2193,rl_first,1)</f>
        <v/>
      </c>
      <c r="M2193" s="209">
        <f>IF($K2193=0,0,MIN(1,$L2193/$D2193))</f>
        <v/>
      </c>
      <c r="N2193" s="208">
        <f>IF($K2193=0,$J2193,(1-$M2193)*$I2193+$M2193*$J2193)</f>
        <v/>
      </c>
      <c r="O2193" s="209">
        <f>IF($F2193&lt;$B$2183,$E$2183+$I$2183*($F2193-$A$2183),IF($F2193&lt;$C$2183,$F$2183+$J$2183*($F2193-$B$2183),$G$2183+$K$2183*($F2193-$C$2183)))</f>
        <v/>
      </c>
      <c r="P2193" s="208">
        <f>MIN(1,MAX(0,(nr_MEndPm1-$G2193+0.5)/$C$2182))-MIN(1,MAX(0,(nr_MStartPm1-1-$G2193+0.5)/$C$2182))</f>
        <v/>
      </c>
      <c r="Q2193" s="208">
        <f>MIN(1,MAX(0,(nr_MEndP-$G2193+0.5)/$C$2182))-MIN(1,MAX(0,(nr_MStartP-1-$G2193+0.5)/$C$2182))</f>
        <v/>
      </c>
      <c r="R2193" s="208">
        <f>MIN(1,MAX(0,(nr_MEndP1-$G2193+0.5)/$C$2182))-MIN(1,MAX(0,(nr_MStartP1-1-$G2193+0.5)/$C$2182))</f>
        <v/>
      </c>
      <c r="S2193" s="208">
        <f>IF($L$2182,$N2193*IF($O$2182=1,$O2193/$F$2182,1),"")</f>
        <v/>
      </c>
      <c r="T2193" s="208">
        <f>IF(NOT($L$2182),"",IF($G2193&lt;nr_MStartP,$S2193,$T2181*(1+IF($G2193&lt;nr_MStartP1,$M$2182,$N$2182))))</f>
        <v/>
      </c>
      <c r="U2193" s="208">
        <f>IF($L$2182,$T2193,$N2193)</f>
        <v/>
      </c>
    </row>
    <row r="2194">
      <c r="A2194" s="145" t="n">
        <v>10</v>
      </c>
      <c r="B2194" s="204">
        <f>EDATE($B2193,1)</f>
        <v/>
      </c>
      <c r="C2194" s="205">
        <f>EOMONTH($B2194,0)</f>
        <v/>
      </c>
      <c r="D2194" s="201">
        <f>$C2194-$B2194+1</f>
        <v/>
      </c>
      <c r="E2194" s="201">
        <f>MONTH($B2194)</f>
        <v/>
      </c>
      <c r="F2194" s="235">
        <f>($B2194+$C2194+1)/2</f>
        <v/>
      </c>
      <c r="G2194" s="201">
        <f>YEAR($B2194)*12+MONTH($B2194)-1</f>
        <v/>
      </c>
      <c r="H2194" s="207">
        <f>IF(OR(nr_SeasonOn="OFF",$D$2182=0,$E$2182=0),1,12*INDEX(se_block,$D$2182,$E2194)/$E$2182)</f>
        <v/>
      </c>
      <c r="I2194" s="208">
        <f>EXP(SUMPRODUCT((rl_eff&lt;$B2194)*(rl_key=$A$2182)*rl_ln1p))</f>
        <v/>
      </c>
      <c r="J2194" s="208">
        <f>EXP(SUMPRODUCT((rl_eff&lt;=$C2194)*(rl_key=$A$2182)*rl_ln1p))</f>
        <v/>
      </c>
      <c r="K2194" s="201">
        <f>COUNTIFS(rl_key,$A$2182,rl_eff,"&gt;="&amp;$B2194,rl_eff,"&lt;="&amp;$C2194)</f>
        <v/>
      </c>
      <c r="L2194" s="201">
        <f>SUMIFS(rl_daysafter,rl_key,$A$2182,rl_effmonth,$B2194,rl_first,1)</f>
        <v/>
      </c>
      <c r="M2194" s="209">
        <f>IF($K2194=0,0,MIN(1,$L2194/$D2194))</f>
        <v/>
      </c>
      <c r="N2194" s="208">
        <f>IF($K2194=0,$J2194,(1-$M2194)*$I2194+$M2194*$J2194)</f>
        <v/>
      </c>
      <c r="O2194" s="209">
        <f>IF($F2194&lt;$B$2183,$E$2183+$I$2183*($F2194-$A$2183),IF($F2194&lt;$C$2183,$F$2183+$J$2183*($F2194-$B$2183),$G$2183+$K$2183*($F2194-$C$2183)))</f>
        <v/>
      </c>
      <c r="P2194" s="208">
        <f>MIN(1,MAX(0,(nr_MEndPm1-$G2194+0.5)/$C$2182))-MIN(1,MAX(0,(nr_MStartPm1-1-$G2194+0.5)/$C$2182))</f>
        <v/>
      </c>
      <c r="Q2194" s="208">
        <f>MIN(1,MAX(0,(nr_MEndP-$G2194+0.5)/$C$2182))-MIN(1,MAX(0,(nr_MStartP-1-$G2194+0.5)/$C$2182))</f>
        <v/>
      </c>
      <c r="R2194" s="208">
        <f>MIN(1,MAX(0,(nr_MEndP1-$G2194+0.5)/$C$2182))-MIN(1,MAX(0,(nr_MStartP1-1-$G2194+0.5)/$C$2182))</f>
        <v/>
      </c>
      <c r="S2194" s="208">
        <f>IF($L$2182,$N2194*IF($O$2182=1,$O2194/$F$2182,1),"")</f>
        <v/>
      </c>
      <c r="T2194" s="208">
        <f>IF(NOT($L$2182),"",IF($G2194&lt;nr_MStartP,$S2194,$T2182*(1+IF($G2194&lt;nr_MStartP1,$M$2182,$N$2182))))</f>
        <v/>
      </c>
      <c r="U2194" s="208">
        <f>IF($L$2182,$T2194,$N2194)</f>
        <v/>
      </c>
    </row>
    <row r="2195">
      <c r="A2195" s="145" t="n">
        <v>11</v>
      </c>
      <c r="B2195" s="204">
        <f>EDATE($B2194,1)</f>
        <v/>
      </c>
      <c r="C2195" s="205">
        <f>EOMONTH($B2195,0)</f>
        <v/>
      </c>
      <c r="D2195" s="201">
        <f>$C2195-$B2195+1</f>
        <v/>
      </c>
      <c r="E2195" s="201">
        <f>MONTH($B2195)</f>
        <v/>
      </c>
      <c r="F2195" s="235">
        <f>($B2195+$C2195+1)/2</f>
        <v/>
      </c>
      <c r="G2195" s="201">
        <f>YEAR($B2195)*12+MONTH($B2195)-1</f>
        <v/>
      </c>
      <c r="H2195" s="207">
        <f>IF(OR(nr_SeasonOn="OFF",$D$2182=0,$E$2182=0),1,12*INDEX(se_block,$D$2182,$E2195)/$E$2182)</f>
        <v/>
      </c>
      <c r="I2195" s="208">
        <f>EXP(SUMPRODUCT((rl_eff&lt;$B2195)*(rl_key=$A$2182)*rl_ln1p))</f>
        <v/>
      </c>
      <c r="J2195" s="208">
        <f>EXP(SUMPRODUCT((rl_eff&lt;=$C2195)*(rl_key=$A$2182)*rl_ln1p))</f>
        <v/>
      </c>
      <c r="K2195" s="201">
        <f>COUNTIFS(rl_key,$A$2182,rl_eff,"&gt;="&amp;$B2195,rl_eff,"&lt;="&amp;$C2195)</f>
        <v/>
      </c>
      <c r="L2195" s="201">
        <f>SUMIFS(rl_daysafter,rl_key,$A$2182,rl_effmonth,$B2195,rl_first,1)</f>
        <v/>
      </c>
      <c r="M2195" s="209">
        <f>IF($K2195=0,0,MIN(1,$L2195/$D2195))</f>
        <v/>
      </c>
      <c r="N2195" s="208">
        <f>IF($K2195=0,$J2195,(1-$M2195)*$I2195+$M2195*$J2195)</f>
        <v/>
      </c>
      <c r="O2195" s="209">
        <f>IF($F2195&lt;$B$2183,$E$2183+$I$2183*($F2195-$A$2183),IF($F2195&lt;$C$2183,$F$2183+$J$2183*($F2195-$B$2183),$G$2183+$K$2183*($F2195-$C$2183)))</f>
        <v/>
      </c>
      <c r="P2195" s="208">
        <f>MIN(1,MAX(0,(nr_MEndPm1-$G2195+0.5)/$C$2182))-MIN(1,MAX(0,(nr_MStartPm1-1-$G2195+0.5)/$C$2182))</f>
        <v/>
      </c>
      <c r="Q2195" s="208">
        <f>MIN(1,MAX(0,(nr_MEndP-$G2195+0.5)/$C$2182))-MIN(1,MAX(0,(nr_MStartP-1-$G2195+0.5)/$C$2182))</f>
        <v/>
      </c>
      <c r="R2195" s="208">
        <f>MIN(1,MAX(0,(nr_MEndP1-$G2195+0.5)/$C$2182))-MIN(1,MAX(0,(nr_MStartP1-1-$G2195+0.5)/$C$2182))</f>
        <v/>
      </c>
      <c r="S2195" s="208">
        <f>IF($L$2182,$N2195*IF($O$2182=1,$O2195/$F$2182,1),"")</f>
        <v/>
      </c>
      <c r="T2195" s="208">
        <f>IF(NOT($L$2182),"",IF($G2195&lt;nr_MStartP,$S2195,$T2183*(1+IF($G2195&lt;nr_MStartP1,$M$2182,$N$2182))))</f>
        <v/>
      </c>
      <c r="U2195" s="208">
        <f>IF($L$2182,$T2195,$N2195)</f>
        <v/>
      </c>
    </row>
    <row r="2196">
      <c r="A2196" s="145" t="n">
        <v>12</v>
      </c>
      <c r="B2196" s="204">
        <f>EDATE($B2195,1)</f>
        <v/>
      </c>
      <c r="C2196" s="205">
        <f>EOMONTH($B2196,0)</f>
        <v/>
      </c>
      <c r="D2196" s="201">
        <f>$C2196-$B2196+1</f>
        <v/>
      </c>
      <c r="E2196" s="201">
        <f>MONTH($B2196)</f>
        <v/>
      </c>
      <c r="F2196" s="235">
        <f>($B2196+$C2196+1)/2</f>
        <v/>
      </c>
      <c r="G2196" s="201">
        <f>YEAR($B2196)*12+MONTH($B2196)-1</f>
        <v/>
      </c>
      <c r="H2196" s="207">
        <f>IF(OR(nr_SeasonOn="OFF",$D$2182=0,$E$2182=0),1,12*INDEX(se_block,$D$2182,$E2196)/$E$2182)</f>
        <v/>
      </c>
      <c r="I2196" s="208">
        <f>EXP(SUMPRODUCT((rl_eff&lt;$B2196)*(rl_key=$A$2182)*rl_ln1p))</f>
        <v/>
      </c>
      <c r="J2196" s="208">
        <f>EXP(SUMPRODUCT((rl_eff&lt;=$C2196)*(rl_key=$A$2182)*rl_ln1p))</f>
        <v/>
      </c>
      <c r="K2196" s="201">
        <f>COUNTIFS(rl_key,$A$2182,rl_eff,"&gt;="&amp;$B2196,rl_eff,"&lt;="&amp;$C2196)</f>
        <v/>
      </c>
      <c r="L2196" s="201">
        <f>SUMIFS(rl_daysafter,rl_key,$A$2182,rl_effmonth,$B2196,rl_first,1)</f>
        <v/>
      </c>
      <c r="M2196" s="209">
        <f>IF($K2196=0,0,MIN(1,$L2196/$D2196))</f>
        <v/>
      </c>
      <c r="N2196" s="208">
        <f>IF($K2196=0,$J2196,(1-$M2196)*$I2196+$M2196*$J2196)</f>
        <v/>
      </c>
      <c r="O2196" s="209">
        <f>IF($F2196&lt;$B$2183,$E$2183+$I$2183*($F2196-$A$2183),IF($F2196&lt;$C$2183,$F$2183+$J$2183*($F2196-$B$2183),$G$2183+$K$2183*($F2196-$C$2183)))</f>
        <v/>
      </c>
      <c r="P2196" s="208">
        <f>MIN(1,MAX(0,(nr_MEndPm1-$G2196+0.5)/$C$2182))-MIN(1,MAX(0,(nr_MStartPm1-1-$G2196+0.5)/$C$2182))</f>
        <v/>
      </c>
      <c r="Q2196" s="208">
        <f>MIN(1,MAX(0,(nr_MEndP-$G2196+0.5)/$C$2182))-MIN(1,MAX(0,(nr_MStartP-1-$G2196+0.5)/$C$2182))</f>
        <v/>
      </c>
      <c r="R2196" s="208">
        <f>MIN(1,MAX(0,(nr_MEndP1-$G2196+0.5)/$C$2182))-MIN(1,MAX(0,(nr_MStartP1-1-$G2196+0.5)/$C$2182))</f>
        <v/>
      </c>
      <c r="S2196" s="208">
        <f>IF($L$2182,$N2196*IF($O$2182=1,$O2196/$F$2182,1),"")</f>
        <v/>
      </c>
      <c r="T2196" s="208">
        <f>IF(NOT($L$2182),"",IF($G2196&lt;nr_MStartP,$S2196,$T2184*(1+IF($G2196&lt;nr_MStartP1,$M$2182,$N$2182))))</f>
        <v/>
      </c>
      <c r="U2196" s="208">
        <f>IF($L$2182,$T2196,$N2196)</f>
        <v/>
      </c>
    </row>
    <row r="2197">
      <c r="A2197" s="145" t="n">
        <v>13</v>
      </c>
      <c r="B2197" s="204">
        <f>EDATE($B2196,1)</f>
        <v/>
      </c>
      <c r="C2197" s="205">
        <f>EOMONTH($B2197,0)</f>
        <v/>
      </c>
      <c r="D2197" s="201">
        <f>$C2197-$B2197+1</f>
        <v/>
      </c>
      <c r="E2197" s="201">
        <f>MONTH($B2197)</f>
        <v/>
      </c>
      <c r="F2197" s="235">
        <f>($B2197+$C2197+1)/2</f>
        <v/>
      </c>
      <c r="G2197" s="201">
        <f>YEAR($B2197)*12+MONTH($B2197)-1</f>
        <v/>
      </c>
      <c r="H2197" s="207">
        <f>IF(OR(nr_SeasonOn="OFF",$D$2182=0,$E$2182=0),1,12*INDEX(se_block,$D$2182,$E2197)/$E$2182)</f>
        <v/>
      </c>
      <c r="I2197" s="208">
        <f>EXP(SUMPRODUCT((rl_eff&lt;$B2197)*(rl_key=$A$2182)*rl_ln1p))</f>
        <v/>
      </c>
      <c r="J2197" s="208">
        <f>EXP(SUMPRODUCT((rl_eff&lt;=$C2197)*(rl_key=$A$2182)*rl_ln1p))</f>
        <v/>
      </c>
      <c r="K2197" s="201">
        <f>COUNTIFS(rl_key,$A$2182,rl_eff,"&gt;="&amp;$B2197,rl_eff,"&lt;="&amp;$C2197)</f>
        <v/>
      </c>
      <c r="L2197" s="201">
        <f>SUMIFS(rl_daysafter,rl_key,$A$2182,rl_effmonth,$B2197,rl_first,1)</f>
        <v/>
      </c>
      <c r="M2197" s="209">
        <f>IF($K2197=0,0,MIN(1,$L2197/$D2197))</f>
        <v/>
      </c>
      <c r="N2197" s="208">
        <f>IF($K2197=0,$J2197,(1-$M2197)*$I2197+$M2197*$J2197)</f>
        <v/>
      </c>
      <c r="O2197" s="209">
        <f>IF($F2197&lt;$B$2183,$E$2183+$I$2183*($F2197-$A$2183),IF($F2197&lt;$C$2183,$F$2183+$J$2183*($F2197-$B$2183),$G$2183+$K$2183*($F2197-$C$2183)))</f>
        <v/>
      </c>
      <c r="P2197" s="208">
        <f>MIN(1,MAX(0,(nr_MEndPm1-$G2197+0.5)/$C$2182))-MIN(1,MAX(0,(nr_MStartPm1-1-$G2197+0.5)/$C$2182))</f>
        <v/>
      </c>
      <c r="Q2197" s="208">
        <f>MIN(1,MAX(0,(nr_MEndP-$G2197+0.5)/$C$2182))-MIN(1,MAX(0,(nr_MStartP-1-$G2197+0.5)/$C$2182))</f>
        <v/>
      </c>
      <c r="R2197" s="208">
        <f>MIN(1,MAX(0,(nr_MEndP1-$G2197+0.5)/$C$2182))-MIN(1,MAX(0,(nr_MStartP1-1-$G2197+0.5)/$C$2182))</f>
        <v/>
      </c>
      <c r="S2197" s="208">
        <f>IF($L$2182,$N2197*IF($O$2182=1,$O2197/$F$2182,1),"")</f>
        <v/>
      </c>
      <c r="T2197" s="208">
        <f>IF(NOT($L$2182),"",IF($G2197&lt;nr_MStartP,$S2197,$T2185*(1+IF($G2197&lt;nr_MStartP1,$M$2182,$N$2182))))</f>
        <v/>
      </c>
      <c r="U2197" s="208">
        <f>IF($L$2182,$T2197,$N2197)</f>
        <v/>
      </c>
    </row>
    <row r="2198">
      <c r="A2198" s="145" t="n">
        <v>14</v>
      </c>
      <c r="B2198" s="204">
        <f>EDATE($B2197,1)</f>
        <v/>
      </c>
      <c r="C2198" s="205">
        <f>EOMONTH($B2198,0)</f>
        <v/>
      </c>
      <c r="D2198" s="201">
        <f>$C2198-$B2198+1</f>
        <v/>
      </c>
      <c r="E2198" s="201">
        <f>MONTH($B2198)</f>
        <v/>
      </c>
      <c r="F2198" s="235">
        <f>($B2198+$C2198+1)/2</f>
        <v/>
      </c>
      <c r="G2198" s="201">
        <f>YEAR($B2198)*12+MONTH($B2198)-1</f>
        <v/>
      </c>
      <c r="H2198" s="207">
        <f>IF(OR(nr_SeasonOn="OFF",$D$2182=0,$E$2182=0),1,12*INDEX(se_block,$D$2182,$E2198)/$E$2182)</f>
        <v/>
      </c>
      <c r="I2198" s="208">
        <f>EXP(SUMPRODUCT((rl_eff&lt;$B2198)*(rl_key=$A$2182)*rl_ln1p))</f>
        <v/>
      </c>
      <c r="J2198" s="208">
        <f>EXP(SUMPRODUCT((rl_eff&lt;=$C2198)*(rl_key=$A$2182)*rl_ln1p))</f>
        <v/>
      </c>
      <c r="K2198" s="201">
        <f>COUNTIFS(rl_key,$A$2182,rl_eff,"&gt;="&amp;$B2198,rl_eff,"&lt;="&amp;$C2198)</f>
        <v/>
      </c>
      <c r="L2198" s="201">
        <f>SUMIFS(rl_daysafter,rl_key,$A$2182,rl_effmonth,$B2198,rl_first,1)</f>
        <v/>
      </c>
      <c r="M2198" s="209">
        <f>IF($K2198=0,0,MIN(1,$L2198/$D2198))</f>
        <v/>
      </c>
      <c r="N2198" s="208">
        <f>IF($K2198=0,$J2198,(1-$M2198)*$I2198+$M2198*$J2198)</f>
        <v/>
      </c>
      <c r="O2198" s="209">
        <f>IF($F2198&lt;$B$2183,$E$2183+$I$2183*($F2198-$A$2183),IF($F2198&lt;$C$2183,$F$2183+$J$2183*($F2198-$B$2183),$G$2183+$K$2183*($F2198-$C$2183)))</f>
        <v/>
      </c>
      <c r="P2198" s="208">
        <f>MIN(1,MAX(0,(nr_MEndPm1-$G2198+0.5)/$C$2182))-MIN(1,MAX(0,(nr_MStartPm1-1-$G2198+0.5)/$C$2182))</f>
        <v/>
      </c>
      <c r="Q2198" s="208">
        <f>MIN(1,MAX(0,(nr_MEndP-$G2198+0.5)/$C$2182))-MIN(1,MAX(0,(nr_MStartP-1-$G2198+0.5)/$C$2182))</f>
        <v/>
      </c>
      <c r="R2198" s="208">
        <f>MIN(1,MAX(0,(nr_MEndP1-$G2198+0.5)/$C$2182))-MIN(1,MAX(0,(nr_MStartP1-1-$G2198+0.5)/$C$2182))</f>
        <v/>
      </c>
      <c r="S2198" s="208">
        <f>IF($L$2182,$N2198*IF($O$2182=1,$O2198/$F$2182,1),"")</f>
        <v/>
      </c>
      <c r="T2198" s="208">
        <f>IF(NOT($L$2182),"",IF($G2198&lt;nr_MStartP,$S2198,$T2186*(1+IF($G2198&lt;nr_MStartP1,$M$2182,$N$2182))))</f>
        <v/>
      </c>
      <c r="U2198" s="208">
        <f>IF($L$2182,$T2198,$N2198)</f>
        <v/>
      </c>
    </row>
    <row r="2199">
      <c r="A2199" s="145" t="n">
        <v>15</v>
      </c>
      <c r="B2199" s="204">
        <f>EDATE($B2198,1)</f>
        <v/>
      </c>
      <c r="C2199" s="205">
        <f>EOMONTH($B2199,0)</f>
        <v/>
      </c>
      <c r="D2199" s="201">
        <f>$C2199-$B2199+1</f>
        <v/>
      </c>
      <c r="E2199" s="201">
        <f>MONTH($B2199)</f>
        <v/>
      </c>
      <c r="F2199" s="235">
        <f>($B2199+$C2199+1)/2</f>
        <v/>
      </c>
      <c r="G2199" s="201">
        <f>YEAR($B2199)*12+MONTH($B2199)-1</f>
        <v/>
      </c>
      <c r="H2199" s="207">
        <f>IF(OR(nr_SeasonOn="OFF",$D$2182=0,$E$2182=0),1,12*INDEX(se_block,$D$2182,$E2199)/$E$2182)</f>
        <v/>
      </c>
      <c r="I2199" s="208">
        <f>EXP(SUMPRODUCT((rl_eff&lt;$B2199)*(rl_key=$A$2182)*rl_ln1p))</f>
        <v/>
      </c>
      <c r="J2199" s="208">
        <f>EXP(SUMPRODUCT((rl_eff&lt;=$C2199)*(rl_key=$A$2182)*rl_ln1p))</f>
        <v/>
      </c>
      <c r="K2199" s="201">
        <f>COUNTIFS(rl_key,$A$2182,rl_eff,"&gt;="&amp;$B2199,rl_eff,"&lt;="&amp;$C2199)</f>
        <v/>
      </c>
      <c r="L2199" s="201">
        <f>SUMIFS(rl_daysafter,rl_key,$A$2182,rl_effmonth,$B2199,rl_first,1)</f>
        <v/>
      </c>
      <c r="M2199" s="209">
        <f>IF($K2199=0,0,MIN(1,$L2199/$D2199))</f>
        <v/>
      </c>
      <c r="N2199" s="208">
        <f>IF($K2199=0,$J2199,(1-$M2199)*$I2199+$M2199*$J2199)</f>
        <v/>
      </c>
      <c r="O2199" s="209">
        <f>IF($F2199&lt;$B$2183,$E$2183+$I$2183*($F2199-$A$2183),IF($F2199&lt;$C$2183,$F$2183+$J$2183*($F2199-$B$2183),$G$2183+$K$2183*($F2199-$C$2183)))</f>
        <v/>
      </c>
      <c r="P2199" s="208">
        <f>MIN(1,MAX(0,(nr_MEndPm1-$G2199+0.5)/$C$2182))-MIN(1,MAX(0,(nr_MStartPm1-1-$G2199+0.5)/$C$2182))</f>
        <v/>
      </c>
      <c r="Q2199" s="208">
        <f>MIN(1,MAX(0,(nr_MEndP-$G2199+0.5)/$C$2182))-MIN(1,MAX(0,(nr_MStartP-1-$G2199+0.5)/$C$2182))</f>
        <v/>
      </c>
      <c r="R2199" s="208">
        <f>MIN(1,MAX(0,(nr_MEndP1-$G2199+0.5)/$C$2182))-MIN(1,MAX(0,(nr_MStartP1-1-$G2199+0.5)/$C$2182))</f>
        <v/>
      </c>
      <c r="S2199" s="208">
        <f>IF($L$2182,$N2199*IF($O$2182=1,$O2199/$F$2182,1),"")</f>
        <v/>
      </c>
      <c r="T2199" s="208">
        <f>IF(NOT($L$2182),"",IF($G2199&lt;nr_MStartP,$S2199,$T2187*(1+IF($G2199&lt;nr_MStartP1,$M$2182,$N$2182))))</f>
        <v/>
      </c>
      <c r="U2199" s="208">
        <f>IF($L$2182,$T2199,$N2199)</f>
        <v/>
      </c>
    </row>
    <row r="2200">
      <c r="A2200" s="145" t="n">
        <v>16</v>
      </c>
      <c r="B2200" s="204">
        <f>EDATE($B2199,1)</f>
        <v/>
      </c>
      <c r="C2200" s="205">
        <f>EOMONTH($B2200,0)</f>
        <v/>
      </c>
      <c r="D2200" s="201">
        <f>$C2200-$B2200+1</f>
        <v/>
      </c>
      <c r="E2200" s="201">
        <f>MONTH($B2200)</f>
        <v/>
      </c>
      <c r="F2200" s="235">
        <f>($B2200+$C2200+1)/2</f>
        <v/>
      </c>
      <c r="G2200" s="201">
        <f>YEAR($B2200)*12+MONTH($B2200)-1</f>
        <v/>
      </c>
      <c r="H2200" s="207">
        <f>IF(OR(nr_SeasonOn="OFF",$D$2182=0,$E$2182=0),1,12*INDEX(se_block,$D$2182,$E2200)/$E$2182)</f>
        <v/>
      </c>
      <c r="I2200" s="208">
        <f>EXP(SUMPRODUCT((rl_eff&lt;$B2200)*(rl_key=$A$2182)*rl_ln1p))</f>
        <v/>
      </c>
      <c r="J2200" s="208">
        <f>EXP(SUMPRODUCT((rl_eff&lt;=$C2200)*(rl_key=$A$2182)*rl_ln1p))</f>
        <v/>
      </c>
      <c r="K2200" s="201">
        <f>COUNTIFS(rl_key,$A$2182,rl_eff,"&gt;="&amp;$B2200,rl_eff,"&lt;="&amp;$C2200)</f>
        <v/>
      </c>
      <c r="L2200" s="201">
        <f>SUMIFS(rl_daysafter,rl_key,$A$2182,rl_effmonth,$B2200,rl_first,1)</f>
        <v/>
      </c>
      <c r="M2200" s="209">
        <f>IF($K2200=0,0,MIN(1,$L2200/$D2200))</f>
        <v/>
      </c>
      <c r="N2200" s="208">
        <f>IF($K2200=0,$J2200,(1-$M2200)*$I2200+$M2200*$J2200)</f>
        <v/>
      </c>
      <c r="O2200" s="209">
        <f>IF($F2200&lt;$B$2183,$E$2183+$I$2183*($F2200-$A$2183),IF($F2200&lt;$C$2183,$F$2183+$J$2183*($F2200-$B$2183),$G$2183+$K$2183*($F2200-$C$2183)))</f>
        <v/>
      </c>
      <c r="P2200" s="208">
        <f>MIN(1,MAX(0,(nr_MEndPm1-$G2200+0.5)/$C$2182))-MIN(1,MAX(0,(nr_MStartPm1-1-$G2200+0.5)/$C$2182))</f>
        <v/>
      </c>
      <c r="Q2200" s="208">
        <f>MIN(1,MAX(0,(nr_MEndP-$G2200+0.5)/$C$2182))-MIN(1,MAX(0,(nr_MStartP-1-$G2200+0.5)/$C$2182))</f>
        <v/>
      </c>
      <c r="R2200" s="208">
        <f>MIN(1,MAX(0,(nr_MEndP1-$G2200+0.5)/$C$2182))-MIN(1,MAX(0,(nr_MStartP1-1-$G2200+0.5)/$C$2182))</f>
        <v/>
      </c>
      <c r="S2200" s="208">
        <f>IF($L$2182,$N2200*IF($O$2182=1,$O2200/$F$2182,1),"")</f>
        <v/>
      </c>
      <c r="T2200" s="208">
        <f>IF(NOT($L$2182),"",IF($G2200&lt;nr_MStartP,$S2200,$T2188*(1+IF($G2200&lt;nr_MStartP1,$M$2182,$N$2182))))</f>
        <v/>
      </c>
      <c r="U2200" s="208">
        <f>IF($L$2182,$T2200,$N2200)</f>
        <v/>
      </c>
    </row>
    <row r="2201">
      <c r="A2201" s="145" t="n">
        <v>17</v>
      </c>
      <c r="B2201" s="204">
        <f>EDATE($B2200,1)</f>
        <v/>
      </c>
      <c r="C2201" s="205">
        <f>EOMONTH($B2201,0)</f>
        <v/>
      </c>
      <c r="D2201" s="201">
        <f>$C2201-$B2201+1</f>
        <v/>
      </c>
      <c r="E2201" s="201">
        <f>MONTH($B2201)</f>
        <v/>
      </c>
      <c r="F2201" s="235">
        <f>($B2201+$C2201+1)/2</f>
        <v/>
      </c>
      <c r="G2201" s="201">
        <f>YEAR($B2201)*12+MONTH($B2201)-1</f>
        <v/>
      </c>
      <c r="H2201" s="207">
        <f>IF(OR(nr_SeasonOn="OFF",$D$2182=0,$E$2182=0),1,12*INDEX(se_block,$D$2182,$E2201)/$E$2182)</f>
        <v/>
      </c>
      <c r="I2201" s="208">
        <f>EXP(SUMPRODUCT((rl_eff&lt;$B2201)*(rl_key=$A$2182)*rl_ln1p))</f>
        <v/>
      </c>
      <c r="J2201" s="208">
        <f>EXP(SUMPRODUCT((rl_eff&lt;=$C2201)*(rl_key=$A$2182)*rl_ln1p))</f>
        <v/>
      </c>
      <c r="K2201" s="201">
        <f>COUNTIFS(rl_key,$A$2182,rl_eff,"&gt;="&amp;$B2201,rl_eff,"&lt;="&amp;$C2201)</f>
        <v/>
      </c>
      <c r="L2201" s="201">
        <f>SUMIFS(rl_daysafter,rl_key,$A$2182,rl_effmonth,$B2201,rl_first,1)</f>
        <v/>
      </c>
      <c r="M2201" s="209">
        <f>IF($K2201=0,0,MIN(1,$L2201/$D2201))</f>
        <v/>
      </c>
      <c r="N2201" s="208">
        <f>IF($K2201=0,$J2201,(1-$M2201)*$I2201+$M2201*$J2201)</f>
        <v/>
      </c>
      <c r="O2201" s="209">
        <f>IF($F2201&lt;$B$2183,$E$2183+$I$2183*($F2201-$A$2183),IF($F2201&lt;$C$2183,$F$2183+$J$2183*($F2201-$B$2183),$G$2183+$K$2183*($F2201-$C$2183)))</f>
        <v/>
      </c>
      <c r="P2201" s="208">
        <f>MIN(1,MAX(0,(nr_MEndPm1-$G2201+0.5)/$C$2182))-MIN(1,MAX(0,(nr_MStartPm1-1-$G2201+0.5)/$C$2182))</f>
        <v/>
      </c>
      <c r="Q2201" s="208">
        <f>MIN(1,MAX(0,(nr_MEndP-$G2201+0.5)/$C$2182))-MIN(1,MAX(0,(nr_MStartP-1-$G2201+0.5)/$C$2182))</f>
        <v/>
      </c>
      <c r="R2201" s="208">
        <f>MIN(1,MAX(0,(nr_MEndP1-$G2201+0.5)/$C$2182))-MIN(1,MAX(0,(nr_MStartP1-1-$G2201+0.5)/$C$2182))</f>
        <v/>
      </c>
      <c r="S2201" s="208">
        <f>IF($L$2182,$N2201*IF($O$2182=1,$O2201/$F$2182,1),"")</f>
        <v/>
      </c>
      <c r="T2201" s="208">
        <f>IF(NOT($L$2182),"",IF($G2201&lt;nr_MStartP,$S2201,$T2189*(1+IF($G2201&lt;nr_MStartP1,$M$2182,$N$2182))))</f>
        <v/>
      </c>
      <c r="U2201" s="208">
        <f>IF($L$2182,$T2201,$N2201)</f>
        <v/>
      </c>
    </row>
    <row r="2202">
      <c r="A2202" s="145" t="n">
        <v>18</v>
      </c>
      <c r="B2202" s="204">
        <f>EDATE($B2201,1)</f>
        <v/>
      </c>
      <c r="C2202" s="205">
        <f>EOMONTH($B2202,0)</f>
        <v/>
      </c>
      <c r="D2202" s="201">
        <f>$C2202-$B2202+1</f>
        <v/>
      </c>
      <c r="E2202" s="201">
        <f>MONTH($B2202)</f>
        <v/>
      </c>
      <c r="F2202" s="235">
        <f>($B2202+$C2202+1)/2</f>
        <v/>
      </c>
      <c r="G2202" s="201">
        <f>YEAR($B2202)*12+MONTH($B2202)-1</f>
        <v/>
      </c>
      <c r="H2202" s="207">
        <f>IF(OR(nr_SeasonOn="OFF",$D$2182=0,$E$2182=0),1,12*INDEX(se_block,$D$2182,$E2202)/$E$2182)</f>
        <v/>
      </c>
      <c r="I2202" s="208">
        <f>EXP(SUMPRODUCT((rl_eff&lt;$B2202)*(rl_key=$A$2182)*rl_ln1p))</f>
        <v/>
      </c>
      <c r="J2202" s="208">
        <f>EXP(SUMPRODUCT((rl_eff&lt;=$C2202)*(rl_key=$A$2182)*rl_ln1p))</f>
        <v/>
      </c>
      <c r="K2202" s="201">
        <f>COUNTIFS(rl_key,$A$2182,rl_eff,"&gt;="&amp;$B2202,rl_eff,"&lt;="&amp;$C2202)</f>
        <v/>
      </c>
      <c r="L2202" s="201">
        <f>SUMIFS(rl_daysafter,rl_key,$A$2182,rl_effmonth,$B2202,rl_first,1)</f>
        <v/>
      </c>
      <c r="M2202" s="209">
        <f>IF($K2202=0,0,MIN(1,$L2202/$D2202))</f>
        <v/>
      </c>
      <c r="N2202" s="208">
        <f>IF($K2202=0,$J2202,(1-$M2202)*$I2202+$M2202*$J2202)</f>
        <v/>
      </c>
      <c r="O2202" s="209">
        <f>IF($F2202&lt;$B$2183,$E$2183+$I$2183*($F2202-$A$2183),IF($F2202&lt;$C$2183,$F$2183+$J$2183*($F2202-$B$2183),$G$2183+$K$2183*($F2202-$C$2183)))</f>
        <v/>
      </c>
      <c r="P2202" s="208">
        <f>MIN(1,MAX(0,(nr_MEndPm1-$G2202+0.5)/$C$2182))-MIN(1,MAX(0,(nr_MStartPm1-1-$G2202+0.5)/$C$2182))</f>
        <v/>
      </c>
      <c r="Q2202" s="208">
        <f>MIN(1,MAX(0,(nr_MEndP-$G2202+0.5)/$C$2182))-MIN(1,MAX(0,(nr_MStartP-1-$G2202+0.5)/$C$2182))</f>
        <v/>
      </c>
      <c r="R2202" s="208">
        <f>MIN(1,MAX(0,(nr_MEndP1-$G2202+0.5)/$C$2182))-MIN(1,MAX(0,(nr_MStartP1-1-$G2202+0.5)/$C$2182))</f>
        <v/>
      </c>
      <c r="S2202" s="208">
        <f>IF($L$2182,$N2202*IF($O$2182=1,$O2202/$F$2182,1),"")</f>
        <v/>
      </c>
      <c r="T2202" s="208">
        <f>IF(NOT($L$2182),"",IF($G2202&lt;nr_MStartP,$S2202,$T2190*(1+IF($G2202&lt;nr_MStartP1,$M$2182,$N$2182))))</f>
        <v/>
      </c>
      <c r="U2202" s="208">
        <f>IF($L$2182,$T2202,$N2202)</f>
        <v/>
      </c>
    </row>
    <row r="2203">
      <c r="A2203" s="145" t="n">
        <v>19</v>
      </c>
      <c r="B2203" s="204">
        <f>EDATE($B2202,1)</f>
        <v/>
      </c>
      <c r="C2203" s="205">
        <f>EOMONTH($B2203,0)</f>
        <v/>
      </c>
      <c r="D2203" s="201">
        <f>$C2203-$B2203+1</f>
        <v/>
      </c>
      <c r="E2203" s="201">
        <f>MONTH($B2203)</f>
        <v/>
      </c>
      <c r="F2203" s="235">
        <f>($B2203+$C2203+1)/2</f>
        <v/>
      </c>
      <c r="G2203" s="201">
        <f>YEAR($B2203)*12+MONTH($B2203)-1</f>
        <v/>
      </c>
      <c r="H2203" s="207">
        <f>IF(OR(nr_SeasonOn="OFF",$D$2182=0,$E$2182=0),1,12*INDEX(se_block,$D$2182,$E2203)/$E$2182)</f>
        <v/>
      </c>
      <c r="I2203" s="208">
        <f>EXP(SUMPRODUCT((rl_eff&lt;$B2203)*(rl_key=$A$2182)*rl_ln1p))</f>
        <v/>
      </c>
      <c r="J2203" s="208">
        <f>EXP(SUMPRODUCT((rl_eff&lt;=$C2203)*(rl_key=$A$2182)*rl_ln1p))</f>
        <v/>
      </c>
      <c r="K2203" s="201">
        <f>COUNTIFS(rl_key,$A$2182,rl_eff,"&gt;="&amp;$B2203,rl_eff,"&lt;="&amp;$C2203)</f>
        <v/>
      </c>
      <c r="L2203" s="201">
        <f>SUMIFS(rl_daysafter,rl_key,$A$2182,rl_effmonth,$B2203,rl_first,1)</f>
        <v/>
      </c>
      <c r="M2203" s="209">
        <f>IF($K2203=0,0,MIN(1,$L2203/$D2203))</f>
        <v/>
      </c>
      <c r="N2203" s="208">
        <f>IF($K2203=0,$J2203,(1-$M2203)*$I2203+$M2203*$J2203)</f>
        <v/>
      </c>
      <c r="O2203" s="209">
        <f>IF($F2203&lt;$B$2183,$E$2183+$I$2183*($F2203-$A$2183),IF($F2203&lt;$C$2183,$F$2183+$J$2183*($F2203-$B$2183),$G$2183+$K$2183*($F2203-$C$2183)))</f>
        <v/>
      </c>
      <c r="P2203" s="208">
        <f>MIN(1,MAX(0,(nr_MEndPm1-$G2203+0.5)/$C$2182))-MIN(1,MAX(0,(nr_MStartPm1-1-$G2203+0.5)/$C$2182))</f>
        <v/>
      </c>
      <c r="Q2203" s="208">
        <f>MIN(1,MAX(0,(nr_MEndP-$G2203+0.5)/$C$2182))-MIN(1,MAX(0,(nr_MStartP-1-$G2203+0.5)/$C$2182))</f>
        <v/>
      </c>
      <c r="R2203" s="208">
        <f>MIN(1,MAX(0,(nr_MEndP1-$G2203+0.5)/$C$2182))-MIN(1,MAX(0,(nr_MStartP1-1-$G2203+0.5)/$C$2182))</f>
        <v/>
      </c>
      <c r="S2203" s="208">
        <f>IF($L$2182,$N2203*IF($O$2182=1,$O2203/$F$2182,1),"")</f>
        <v/>
      </c>
      <c r="T2203" s="208">
        <f>IF(NOT($L$2182),"",IF($G2203&lt;nr_MStartP,$S2203,$T2191*(1+IF($G2203&lt;nr_MStartP1,$M$2182,$N$2182))))</f>
        <v/>
      </c>
      <c r="U2203" s="208">
        <f>IF($L$2182,$T2203,$N2203)</f>
        <v/>
      </c>
    </row>
    <row r="2204">
      <c r="A2204" s="145" t="n">
        <v>20</v>
      </c>
      <c r="B2204" s="204">
        <f>EDATE($B2203,1)</f>
        <v/>
      </c>
      <c r="C2204" s="205">
        <f>EOMONTH($B2204,0)</f>
        <v/>
      </c>
      <c r="D2204" s="201">
        <f>$C2204-$B2204+1</f>
        <v/>
      </c>
      <c r="E2204" s="201">
        <f>MONTH($B2204)</f>
        <v/>
      </c>
      <c r="F2204" s="235">
        <f>($B2204+$C2204+1)/2</f>
        <v/>
      </c>
      <c r="G2204" s="201">
        <f>YEAR($B2204)*12+MONTH($B2204)-1</f>
        <v/>
      </c>
      <c r="H2204" s="207">
        <f>IF(OR(nr_SeasonOn="OFF",$D$2182=0,$E$2182=0),1,12*INDEX(se_block,$D$2182,$E2204)/$E$2182)</f>
        <v/>
      </c>
      <c r="I2204" s="208">
        <f>EXP(SUMPRODUCT((rl_eff&lt;$B2204)*(rl_key=$A$2182)*rl_ln1p))</f>
        <v/>
      </c>
      <c r="J2204" s="208">
        <f>EXP(SUMPRODUCT((rl_eff&lt;=$C2204)*(rl_key=$A$2182)*rl_ln1p))</f>
        <v/>
      </c>
      <c r="K2204" s="201">
        <f>COUNTIFS(rl_key,$A$2182,rl_eff,"&gt;="&amp;$B2204,rl_eff,"&lt;="&amp;$C2204)</f>
        <v/>
      </c>
      <c r="L2204" s="201">
        <f>SUMIFS(rl_daysafter,rl_key,$A$2182,rl_effmonth,$B2204,rl_first,1)</f>
        <v/>
      </c>
      <c r="M2204" s="209">
        <f>IF($K2204=0,0,MIN(1,$L2204/$D2204))</f>
        <v/>
      </c>
      <c r="N2204" s="208">
        <f>IF($K2204=0,$J2204,(1-$M2204)*$I2204+$M2204*$J2204)</f>
        <v/>
      </c>
      <c r="O2204" s="209">
        <f>IF($F2204&lt;$B$2183,$E$2183+$I$2183*($F2204-$A$2183),IF($F2204&lt;$C$2183,$F$2183+$J$2183*($F2204-$B$2183),$G$2183+$K$2183*($F2204-$C$2183)))</f>
        <v/>
      </c>
      <c r="P2204" s="208">
        <f>MIN(1,MAX(0,(nr_MEndPm1-$G2204+0.5)/$C$2182))-MIN(1,MAX(0,(nr_MStartPm1-1-$G2204+0.5)/$C$2182))</f>
        <v/>
      </c>
      <c r="Q2204" s="208">
        <f>MIN(1,MAX(0,(nr_MEndP-$G2204+0.5)/$C$2182))-MIN(1,MAX(0,(nr_MStartP-1-$G2204+0.5)/$C$2182))</f>
        <v/>
      </c>
      <c r="R2204" s="208">
        <f>MIN(1,MAX(0,(nr_MEndP1-$G2204+0.5)/$C$2182))-MIN(1,MAX(0,(nr_MStartP1-1-$G2204+0.5)/$C$2182))</f>
        <v/>
      </c>
      <c r="S2204" s="208">
        <f>IF($L$2182,$N2204*IF($O$2182=1,$O2204/$F$2182,1),"")</f>
        <v/>
      </c>
      <c r="T2204" s="208">
        <f>IF(NOT($L$2182),"",IF($G2204&lt;nr_MStartP,$S2204,$T2192*(1+IF($G2204&lt;nr_MStartP1,$M$2182,$N$2182))))</f>
        <v/>
      </c>
      <c r="U2204" s="208">
        <f>IF($L$2182,$T2204,$N2204)</f>
        <v/>
      </c>
    </row>
    <row r="2205">
      <c r="A2205" s="145" t="n">
        <v>21</v>
      </c>
      <c r="B2205" s="204">
        <f>EDATE($B2204,1)</f>
        <v/>
      </c>
      <c r="C2205" s="205">
        <f>EOMONTH($B2205,0)</f>
        <v/>
      </c>
      <c r="D2205" s="201">
        <f>$C2205-$B2205+1</f>
        <v/>
      </c>
      <c r="E2205" s="201">
        <f>MONTH($B2205)</f>
        <v/>
      </c>
      <c r="F2205" s="235">
        <f>($B2205+$C2205+1)/2</f>
        <v/>
      </c>
      <c r="G2205" s="201">
        <f>YEAR($B2205)*12+MONTH($B2205)-1</f>
        <v/>
      </c>
      <c r="H2205" s="207">
        <f>IF(OR(nr_SeasonOn="OFF",$D$2182=0,$E$2182=0),1,12*INDEX(se_block,$D$2182,$E2205)/$E$2182)</f>
        <v/>
      </c>
      <c r="I2205" s="208">
        <f>EXP(SUMPRODUCT((rl_eff&lt;$B2205)*(rl_key=$A$2182)*rl_ln1p))</f>
        <v/>
      </c>
      <c r="J2205" s="208">
        <f>EXP(SUMPRODUCT((rl_eff&lt;=$C2205)*(rl_key=$A$2182)*rl_ln1p))</f>
        <v/>
      </c>
      <c r="K2205" s="201">
        <f>COUNTIFS(rl_key,$A$2182,rl_eff,"&gt;="&amp;$B2205,rl_eff,"&lt;="&amp;$C2205)</f>
        <v/>
      </c>
      <c r="L2205" s="201">
        <f>SUMIFS(rl_daysafter,rl_key,$A$2182,rl_effmonth,$B2205,rl_first,1)</f>
        <v/>
      </c>
      <c r="M2205" s="209">
        <f>IF($K2205=0,0,MIN(1,$L2205/$D2205))</f>
        <v/>
      </c>
      <c r="N2205" s="208">
        <f>IF($K2205=0,$J2205,(1-$M2205)*$I2205+$M2205*$J2205)</f>
        <v/>
      </c>
      <c r="O2205" s="209">
        <f>IF($F2205&lt;$B$2183,$E$2183+$I$2183*($F2205-$A$2183),IF($F2205&lt;$C$2183,$F$2183+$J$2183*($F2205-$B$2183),$G$2183+$K$2183*($F2205-$C$2183)))</f>
        <v/>
      </c>
      <c r="P2205" s="208">
        <f>MIN(1,MAX(0,(nr_MEndPm1-$G2205+0.5)/$C$2182))-MIN(1,MAX(0,(nr_MStartPm1-1-$G2205+0.5)/$C$2182))</f>
        <v/>
      </c>
      <c r="Q2205" s="208">
        <f>MIN(1,MAX(0,(nr_MEndP-$G2205+0.5)/$C$2182))-MIN(1,MAX(0,(nr_MStartP-1-$G2205+0.5)/$C$2182))</f>
        <v/>
      </c>
      <c r="R2205" s="208">
        <f>MIN(1,MAX(0,(nr_MEndP1-$G2205+0.5)/$C$2182))-MIN(1,MAX(0,(nr_MStartP1-1-$G2205+0.5)/$C$2182))</f>
        <v/>
      </c>
      <c r="S2205" s="208">
        <f>IF($L$2182,$N2205*IF($O$2182=1,$O2205/$F$2182,1),"")</f>
        <v/>
      </c>
      <c r="T2205" s="208">
        <f>IF(NOT($L$2182),"",IF($G2205&lt;nr_MStartP,$S2205,$T2193*(1+IF($G2205&lt;nr_MStartP1,$M$2182,$N$2182))))</f>
        <v/>
      </c>
      <c r="U2205" s="208">
        <f>IF($L$2182,$T2205,$N2205)</f>
        <v/>
      </c>
    </row>
    <row r="2206">
      <c r="A2206" s="145" t="n">
        <v>22</v>
      </c>
      <c r="B2206" s="204">
        <f>EDATE($B2205,1)</f>
        <v/>
      </c>
      <c r="C2206" s="205">
        <f>EOMONTH($B2206,0)</f>
        <v/>
      </c>
      <c r="D2206" s="201">
        <f>$C2206-$B2206+1</f>
        <v/>
      </c>
      <c r="E2206" s="201">
        <f>MONTH($B2206)</f>
        <v/>
      </c>
      <c r="F2206" s="235">
        <f>($B2206+$C2206+1)/2</f>
        <v/>
      </c>
      <c r="G2206" s="201">
        <f>YEAR($B2206)*12+MONTH($B2206)-1</f>
        <v/>
      </c>
      <c r="H2206" s="207">
        <f>IF(OR(nr_SeasonOn="OFF",$D$2182=0,$E$2182=0),1,12*INDEX(se_block,$D$2182,$E2206)/$E$2182)</f>
        <v/>
      </c>
      <c r="I2206" s="208">
        <f>EXP(SUMPRODUCT((rl_eff&lt;$B2206)*(rl_key=$A$2182)*rl_ln1p))</f>
        <v/>
      </c>
      <c r="J2206" s="208">
        <f>EXP(SUMPRODUCT((rl_eff&lt;=$C2206)*(rl_key=$A$2182)*rl_ln1p))</f>
        <v/>
      </c>
      <c r="K2206" s="201">
        <f>COUNTIFS(rl_key,$A$2182,rl_eff,"&gt;="&amp;$B2206,rl_eff,"&lt;="&amp;$C2206)</f>
        <v/>
      </c>
      <c r="L2206" s="201">
        <f>SUMIFS(rl_daysafter,rl_key,$A$2182,rl_effmonth,$B2206,rl_first,1)</f>
        <v/>
      </c>
      <c r="M2206" s="209">
        <f>IF($K2206=0,0,MIN(1,$L2206/$D2206))</f>
        <v/>
      </c>
      <c r="N2206" s="208">
        <f>IF($K2206=0,$J2206,(1-$M2206)*$I2206+$M2206*$J2206)</f>
        <v/>
      </c>
      <c r="O2206" s="209">
        <f>IF($F2206&lt;$B$2183,$E$2183+$I$2183*($F2206-$A$2183),IF($F2206&lt;$C$2183,$F$2183+$J$2183*($F2206-$B$2183),$G$2183+$K$2183*($F2206-$C$2183)))</f>
        <v/>
      </c>
      <c r="P2206" s="208">
        <f>MIN(1,MAX(0,(nr_MEndPm1-$G2206+0.5)/$C$2182))-MIN(1,MAX(0,(nr_MStartPm1-1-$G2206+0.5)/$C$2182))</f>
        <v/>
      </c>
      <c r="Q2206" s="208">
        <f>MIN(1,MAX(0,(nr_MEndP-$G2206+0.5)/$C$2182))-MIN(1,MAX(0,(nr_MStartP-1-$G2206+0.5)/$C$2182))</f>
        <v/>
      </c>
      <c r="R2206" s="208">
        <f>MIN(1,MAX(0,(nr_MEndP1-$G2206+0.5)/$C$2182))-MIN(1,MAX(0,(nr_MStartP1-1-$G2206+0.5)/$C$2182))</f>
        <v/>
      </c>
      <c r="S2206" s="208">
        <f>IF($L$2182,$N2206*IF($O$2182=1,$O2206/$F$2182,1),"")</f>
        <v/>
      </c>
      <c r="T2206" s="208">
        <f>IF(NOT($L$2182),"",IF($G2206&lt;nr_MStartP,$S2206,$T2194*(1+IF($G2206&lt;nr_MStartP1,$M$2182,$N$2182))))</f>
        <v/>
      </c>
      <c r="U2206" s="208">
        <f>IF($L$2182,$T2206,$N2206)</f>
        <v/>
      </c>
    </row>
    <row r="2207">
      <c r="A2207" s="145" t="n">
        <v>23</v>
      </c>
      <c r="B2207" s="204">
        <f>EDATE($B2206,1)</f>
        <v/>
      </c>
      <c r="C2207" s="205">
        <f>EOMONTH($B2207,0)</f>
        <v/>
      </c>
      <c r="D2207" s="201">
        <f>$C2207-$B2207+1</f>
        <v/>
      </c>
      <c r="E2207" s="201">
        <f>MONTH($B2207)</f>
        <v/>
      </c>
      <c r="F2207" s="235">
        <f>($B2207+$C2207+1)/2</f>
        <v/>
      </c>
      <c r="G2207" s="201">
        <f>YEAR($B2207)*12+MONTH($B2207)-1</f>
        <v/>
      </c>
      <c r="H2207" s="207">
        <f>IF(OR(nr_SeasonOn="OFF",$D$2182=0,$E$2182=0),1,12*INDEX(se_block,$D$2182,$E2207)/$E$2182)</f>
        <v/>
      </c>
      <c r="I2207" s="208">
        <f>EXP(SUMPRODUCT((rl_eff&lt;$B2207)*(rl_key=$A$2182)*rl_ln1p))</f>
        <v/>
      </c>
      <c r="J2207" s="208">
        <f>EXP(SUMPRODUCT((rl_eff&lt;=$C2207)*(rl_key=$A$2182)*rl_ln1p))</f>
        <v/>
      </c>
      <c r="K2207" s="201">
        <f>COUNTIFS(rl_key,$A$2182,rl_eff,"&gt;="&amp;$B2207,rl_eff,"&lt;="&amp;$C2207)</f>
        <v/>
      </c>
      <c r="L2207" s="201">
        <f>SUMIFS(rl_daysafter,rl_key,$A$2182,rl_effmonth,$B2207,rl_first,1)</f>
        <v/>
      </c>
      <c r="M2207" s="209">
        <f>IF($K2207=0,0,MIN(1,$L2207/$D2207))</f>
        <v/>
      </c>
      <c r="N2207" s="208">
        <f>IF($K2207=0,$J2207,(1-$M2207)*$I2207+$M2207*$J2207)</f>
        <v/>
      </c>
      <c r="O2207" s="209">
        <f>IF($F2207&lt;$B$2183,$E$2183+$I$2183*($F2207-$A$2183),IF($F2207&lt;$C$2183,$F$2183+$J$2183*($F2207-$B$2183),$G$2183+$K$2183*($F2207-$C$2183)))</f>
        <v/>
      </c>
      <c r="P2207" s="208">
        <f>MIN(1,MAX(0,(nr_MEndPm1-$G2207+0.5)/$C$2182))-MIN(1,MAX(0,(nr_MStartPm1-1-$G2207+0.5)/$C$2182))</f>
        <v/>
      </c>
      <c r="Q2207" s="208">
        <f>MIN(1,MAX(0,(nr_MEndP-$G2207+0.5)/$C$2182))-MIN(1,MAX(0,(nr_MStartP-1-$G2207+0.5)/$C$2182))</f>
        <v/>
      </c>
      <c r="R2207" s="208">
        <f>MIN(1,MAX(0,(nr_MEndP1-$G2207+0.5)/$C$2182))-MIN(1,MAX(0,(nr_MStartP1-1-$G2207+0.5)/$C$2182))</f>
        <v/>
      </c>
      <c r="S2207" s="208">
        <f>IF($L$2182,$N2207*IF($O$2182=1,$O2207/$F$2182,1),"")</f>
        <v/>
      </c>
      <c r="T2207" s="208">
        <f>IF(NOT($L$2182),"",IF($G2207&lt;nr_MStartP,$S2207,$T2195*(1+IF($G2207&lt;nr_MStartP1,$M$2182,$N$2182))))</f>
        <v/>
      </c>
      <c r="U2207" s="208">
        <f>IF($L$2182,$T2207,$N2207)</f>
        <v/>
      </c>
    </row>
    <row r="2208">
      <c r="A2208" s="145" t="n">
        <v>24</v>
      </c>
      <c r="B2208" s="204">
        <f>EDATE($B2207,1)</f>
        <v/>
      </c>
      <c r="C2208" s="205">
        <f>EOMONTH($B2208,0)</f>
        <v/>
      </c>
      <c r="D2208" s="201">
        <f>$C2208-$B2208+1</f>
        <v/>
      </c>
      <c r="E2208" s="201">
        <f>MONTH($B2208)</f>
        <v/>
      </c>
      <c r="F2208" s="235">
        <f>($B2208+$C2208+1)/2</f>
        <v/>
      </c>
      <c r="G2208" s="201">
        <f>YEAR($B2208)*12+MONTH($B2208)-1</f>
        <v/>
      </c>
      <c r="H2208" s="207">
        <f>IF(OR(nr_SeasonOn="OFF",$D$2182=0,$E$2182=0),1,12*INDEX(se_block,$D$2182,$E2208)/$E$2182)</f>
        <v/>
      </c>
      <c r="I2208" s="208">
        <f>EXP(SUMPRODUCT((rl_eff&lt;$B2208)*(rl_key=$A$2182)*rl_ln1p))</f>
        <v/>
      </c>
      <c r="J2208" s="208">
        <f>EXP(SUMPRODUCT((rl_eff&lt;=$C2208)*(rl_key=$A$2182)*rl_ln1p))</f>
        <v/>
      </c>
      <c r="K2208" s="201">
        <f>COUNTIFS(rl_key,$A$2182,rl_eff,"&gt;="&amp;$B2208,rl_eff,"&lt;="&amp;$C2208)</f>
        <v/>
      </c>
      <c r="L2208" s="201">
        <f>SUMIFS(rl_daysafter,rl_key,$A$2182,rl_effmonth,$B2208,rl_first,1)</f>
        <v/>
      </c>
      <c r="M2208" s="209">
        <f>IF($K2208=0,0,MIN(1,$L2208/$D2208))</f>
        <v/>
      </c>
      <c r="N2208" s="208">
        <f>IF($K2208=0,$J2208,(1-$M2208)*$I2208+$M2208*$J2208)</f>
        <v/>
      </c>
      <c r="O2208" s="209">
        <f>IF($F2208&lt;$B$2183,$E$2183+$I$2183*($F2208-$A$2183),IF($F2208&lt;$C$2183,$F$2183+$J$2183*($F2208-$B$2183),$G$2183+$K$2183*($F2208-$C$2183)))</f>
        <v/>
      </c>
      <c r="P2208" s="208">
        <f>MIN(1,MAX(0,(nr_MEndPm1-$G2208+0.5)/$C$2182))-MIN(1,MAX(0,(nr_MStartPm1-1-$G2208+0.5)/$C$2182))</f>
        <v/>
      </c>
      <c r="Q2208" s="208">
        <f>MIN(1,MAX(0,(nr_MEndP-$G2208+0.5)/$C$2182))-MIN(1,MAX(0,(nr_MStartP-1-$G2208+0.5)/$C$2182))</f>
        <v/>
      </c>
      <c r="R2208" s="208">
        <f>MIN(1,MAX(0,(nr_MEndP1-$G2208+0.5)/$C$2182))-MIN(1,MAX(0,(nr_MStartP1-1-$G2208+0.5)/$C$2182))</f>
        <v/>
      </c>
      <c r="S2208" s="208">
        <f>IF($L$2182,$N2208*IF($O$2182=1,$O2208/$F$2182,1),"")</f>
        <v/>
      </c>
      <c r="T2208" s="208">
        <f>IF(NOT($L$2182),"",IF($G2208&lt;nr_MStartP,$S2208,$T2196*(1+IF($G2208&lt;nr_MStartP1,$M$2182,$N$2182))))</f>
        <v/>
      </c>
      <c r="U2208" s="208">
        <f>IF($L$2182,$T2208,$N2208)</f>
        <v/>
      </c>
    </row>
    <row r="2209">
      <c r="A2209" s="145" t="n">
        <v>25</v>
      </c>
      <c r="B2209" s="204">
        <f>EDATE($B2208,1)</f>
        <v/>
      </c>
      <c r="C2209" s="205">
        <f>EOMONTH($B2209,0)</f>
        <v/>
      </c>
      <c r="D2209" s="201">
        <f>$C2209-$B2209+1</f>
        <v/>
      </c>
      <c r="E2209" s="201">
        <f>MONTH($B2209)</f>
        <v/>
      </c>
      <c r="F2209" s="235">
        <f>($B2209+$C2209+1)/2</f>
        <v/>
      </c>
      <c r="G2209" s="201">
        <f>YEAR($B2209)*12+MONTH($B2209)-1</f>
        <v/>
      </c>
      <c r="H2209" s="207">
        <f>IF(OR(nr_SeasonOn="OFF",$D$2182=0,$E$2182=0),1,12*INDEX(se_block,$D$2182,$E2209)/$E$2182)</f>
        <v/>
      </c>
      <c r="I2209" s="208">
        <f>EXP(SUMPRODUCT((rl_eff&lt;$B2209)*(rl_key=$A$2182)*rl_ln1p))</f>
        <v/>
      </c>
      <c r="J2209" s="208">
        <f>EXP(SUMPRODUCT((rl_eff&lt;=$C2209)*(rl_key=$A$2182)*rl_ln1p))</f>
        <v/>
      </c>
      <c r="K2209" s="201">
        <f>COUNTIFS(rl_key,$A$2182,rl_eff,"&gt;="&amp;$B2209,rl_eff,"&lt;="&amp;$C2209)</f>
        <v/>
      </c>
      <c r="L2209" s="201">
        <f>SUMIFS(rl_daysafter,rl_key,$A$2182,rl_effmonth,$B2209,rl_first,1)</f>
        <v/>
      </c>
      <c r="M2209" s="209">
        <f>IF($K2209=0,0,MIN(1,$L2209/$D2209))</f>
        <v/>
      </c>
      <c r="N2209" s="208">
        <f>IF($K2209=0,$J2209,(1-$M2209)*$I2209+$M2209*$J2209)</f>
        <v/>
      </c>
      <c r="O2209" s="209">
        <f>IF($F2209&lt;$B$2183,$E$2183+$I$2183*($F2209-$A$2183),IF($F2209&lt;$C$2183,$F$2183+$J$2183*($F2209-$B$2183),$G$2183+$K$2183*($F2209-$C$2183)))</f>
        <v/>
      </c>
      <c r="P2209" s="208">
        <f>MIN(1,MAX(0,(nr_MEndPm1-$G2209+0.5)/$C$2182))-MIN(1,MAX(0,(nr_MStartPm1-1-$G2209+0.5)/$C$2182))</f>
        <v/>
      </c>
      <c r="Q2209" s="208">
        <f>MIN(1,MAX(0,(nr_MEndP-$G2209+0.5)/$C$2182))-MIN(1,MAX(0,(nr_MStartP-1-$G2209+0.5)/$C$2182))</f>
        <v/>
      </c>
      <c r="R2209" s="208">
        <f>MIN(1,MAX(0,(nr_MEndP1-$G2209+0.5)/$C$2182))-MIN(1,MAX(0,(nr_MStartP1-1-$G2209+0.5)/$C$2182))</f>
        <v/>
      </c>
      <c r="S2209" s="208">
        <f>IF($L$2182,$N2209*IF($O$2182=1,$O2209/$F$2182,1),"")</f>
        <v/>
      </c>
      <c r="T2209" s="208">
        <f>IF(NOT($L$2182),"",IF($G2209&lt;nr_MStartP,$S2209,$T2197*(1+IF($G2209&lt;nr_MStartP1,$M$2182,$N$2182))))</f>
        <v/>
      </c>
      <c r="U2209" s="208">
        <f>IF($L$2182,$T2209,$N2209)</f>
        <v/>
      </c>
    </row>
    <row r="2210">
      <c r="A2210" s="145" t="n">
        <v>26</v>
      </c>
      <c r="B2210" s="204">
        <f>EDATE($B2209,1)</f>
        <v/>
      </c>
      <c r="C2210" s="205">
        <f>EOMONTH($B2210,0)</f>
        <v/>
      </c>
      <c r="D2210" s="201">
        <f>$C2210-$B2210+1</f>
        <v/>
      </c>
      <c r="E2210" s="201">
        <f>MONTH($B2210)</f>
        <v/>
      </c>
      <c r="F2210" s="235">
        <f>($B2210+$C2210+1)/2</f>
        <v/>
      </c>
      <c r="G2210" s="201">
        <f>YEAR($B2210)*12+MONTH($B2210)-1</f>
        <v/>
      </c>
      <c r="H2210" s="207">
        <f>IF(OR(nr_SeasonOn="OFF",$D$2182=0,$E$2182=0),1,12*INDEX(se_block,$D$2182,$E2210)/$E$2182)</f>
        <v/>
      </c>
      <c r="I2210" s="208">
        <f>EXP(SUMPRODUCT((rl_eff&lt;$B2210)*(rl_key=$A$2182)*rl_ln1p))</f>
        <v/>
      </c>
      <c r="J2210" s="208">
        <f>EXP(SUMPRODUCT((rl_eff&lt;=$C2210)*(rl_key=$A$2182)*rl_ln1p))</f>
        <v/>
      </c>
      <c r="K2210" s="201">
        <f>COUNTIFS(rl_key,$A$2182,rl_eff,"&gt;="&amp;$B2210,rl_eff,"&lt;="&amp;$C2210)</f>
        <v/>
      </c>
      <c r="L2210" s="201">
        <f>SUMIFS(rl_daysafter,rl_key,$A$2182,rl_effmonth,$B2210,rl_first,1)</f>
        <v/>
      </c>
      <c r="M2210" s="209">
        <f>IF($K2210=0,0,MIN(1,$L2210/$D2210))</f>
        <v/>
      </c>
      <c r="N2210" s="208">
        <f>IF($K2210=0,$J2210,(1-$M2210)*$I2210+$M2210*$J2210)</f>
        <v/>
      </c>
      <c r="O2210" s="209">
        <f>IF($F2210&lt;$B$2183,$E$2183+$I$2183*($F2210-$A$2183),IF($F2210&lt;$C$2183,$F$2183+$J$2183*($F2210-$B$2183),$G$2183+$K$2183*($F2210-$C$2183)))</f>
        <v/>
      </c>
      <c r="P2210" s="208">
        <f>MIN(1,MAX(0,(nr_MEndPm1-$G2210+0.5)/$C$2182))-MIN(1,MAX(0,(nr_MStartPm1-1-$G2210+0.5)/$C$2182))</f>
        <v/>
      </c>
      <c r="Q2210" s="208">
        <f>MIN(1,MAX(0,(nr_MEndP-$G2210+0.5)/$C$2182))-MIN(1,MAX(0,(nr_MStartP-1-$G2210+0.5)/$C$2182))</f>
        <v/>
      </c>
      <c r="R2210" s="208">
        <f>MIN(1,MAX(0,(nr_MEndP1-$G2210+0.5)/$C$2182))-MIN(1,MAX(0,(nr_MStartP1-1-$G2210+0.5)/$C$2182))</f>
        <v/>
      </c>
      <c r="S2210" s="208">
        <f>IF($L$2182,$N2210*IF($O$2182=1,$O2210/$F$2182,1),"")</f>
        <v/>
      </c>
      <c r="T2210" s="208">
        <f>IF(NOT($L$2182),"",IF($G2210&lt;nr_MStartP,$S2210,$T2198*(1+IF($G2210&lt;nr_MStartP1,$M$2182,$N$2182))))</f>
        <v/>
      </c>
      <c r="U2210" s="208">
        <f>IF($L$2182,$T2210,$N2210)</f>
        <v/>
      </c>
    </row>
    <row r="2211">
      <c r="A2211" s="145" t="n">
        <v>27</v>
      </c>
      <c r="B2211" s="204">
        <f>EDATE($B2210,1)</f>
        <v/>
      </c>
      <c r="C2211" s="205">
        <f>EOMONTH($B2211,0)</f>
        <v/>
      </c>
      <c r="D2211" s="201">
        <f>$C2211-$B2211+1</f>
        <v/>
      </c>
      <c r="E2211" s="201">
        <f>MONTH($B2211)</f>
        <v/>
      </c>
      <c r="F2211" s="235">
        <f>($B2211+$C2211+1)/2</f>
        <v/>
      </c>
      <c r="G2211" s="201">
        <f>YEAR($B2211)*12+MONTH($B2211)-1</f>
        <v/>
      </c>
      <c r="H2211" s="207">
        <f>IF(OR(nr_SeasonOn="OFF",$D$2182=0,$E$2182=0),1,12*INDEX(se_block,$D$2182,$E2211)/$E$2182)</f>
        <v/>
      </c>
      <c r="I2211" s="208">
        <f>EXP(SUMPRODUCT((rl_eff&lt;$B2211)*(rl_key=$A$2182)*rl_ln1p))</f>
        <v/>
      </c>
      <c r="J2211" s="208">
        <f>EXP(SUMPRODUCT((rl_eff&lt;=$C2211)*(rl_key=$A$2182)*rl_ln1p))</f>
        <v/>
      </c>
      <c r="K2211" s="201">
        <f>COUNTIFS(rl_key,$A$2182,rl_eff,"&gt;="&amp;$B2211,rl_eff,"&lt;="&amp;$C2211)</f>
        <v/>
      </c>
      <c r="L2211" s="201">
        <f>SUMIFS(rl_daysafter,rl_key,$A$2182,rl_effmonth,$B2211,rl_first,1)</f>
        <v/>
      </c>
      <c r="M2211" s="209">
        <f>IF($K2211=0,0,MIN(1,$L2211/$D2211))</f>
        <v/>
      </c>
      <c r="N2211" s="208">
        <f>IF($K2211=0,$J2211,(1-$M2211)*$I2211+$M2211*$J2211)</f>
        <v/>
      </c>
      <c r="O2211" s="209">
        <f>IF($F2211&lt;$B$2183,$E$2183+$I$2183*($F2211-$A$2183),IF($F2211&lt;$C$2183,$F$2183+$J$2183*($F2211-$B$2183),$G$2183+$K$2183*($F2211-$C$2183)))</f>
        <v/>
      </c>
      <c r="P2211" s="208">
        <f>MIN(1,MAX(0,(nr_MEndPm1-$G2211+0.5)/$C$2182))-MIN(1,MAX(0,(nr_MStartPm1-1-$G2211+0.5)/$C$2182))</f>
        <v/>
      </c>
      <c r="Q2211" s="208">
        <f>MIN(1,MAX(0,(nr_MEndP-$G2211+0.5)/$C$2182))-MIN(1,MAX(0,(nr_MStartP-1-$G2211+0.5)/$C$2182))</f>
        <v/>
      </c>
      <c r="R2211" s="208">
        <f>MIN(1,MAX(0,(nr_MEndP1-$G2211+0.5)/$C$2182))-MIN(1,MAX(0,(nr_MStartP1-1-$G2211+0.5)/$C$2182))</f>
        <v/>
      </c>
      <c r="S2211" s="208">
        <f>IF($L$2182,$N2211*IF($O$2182=1,$O2211/$F$2182,1),"")</f>
        <v/>
      </c>
      <c r="T2211" s="208">
        <f>IF(NOT($L$2182),"",IF($G2211&lt;nr_MStartP,$S2211,$T2199*(1+IF($G2211&lt;nr_MStartP1,$M$2182,$N$2182))))</f>
        <v/>
      </c>
      <c r="U2211" s="208">
        <f>IF($L$2182,$T2211,$N2211)</f>
        <v/>
      </c>
    </row>
    <row r="2212">
      <c r="A2212" s="145" t="n">
        <v>28</v>
      </c>
      <c r="B2212" s="204">
        <f>EDATE($B2211,1)</f>
        <v/>
      </c>
      <c r="C2212" s="205">
        <f>EOMONTH($B2212,0)</f>
        <v/>
      </c>
      <c r="D2212" s="201">
        <f>$C2212-$B2212+1</f>
        <v/>
      </c>
      <c r="E2212" s="201">
        <f>MONTH($B2212)</f>
        <v/>
      </c>
      <c r="F2212" s="235">
        <f>($B2212+$C2212+1)/2</f>
        <v/>
      </c>
      <c r="G2212" s="201">
        <f>YEAR($B2212)*12+MONTH($B2212)-1</f>
        <v/>
      </c>
      <c r="H2212" s="207">
        <f>IF(OR(nr_SeasonOn="OFF",$D$2182=0,$E$2182=0),1,12*INDEX(se_block,$D$2182,$E2212)/$E$2182)</f>
        <v/>
      </c>
      <c r="I2212" s="208">
        <f>EXP(SUMPRODUCT((rl_eff&lt;$B2212)*(rl_key=$A$2182)*rl_ln1p))</f>
        <v/>
      </c>
      <c r="J2212" s="208">
        <f>EXP(SUMPRODUCT((rl_eff&lt;=$C2212)*(rl_key=$A$2182)*rl_ln1p))</f>
        <v/>
      </c>
      <c r="K2212" s="201">
        <f>COUNTIFS(rl_key,$A$2182,rl_eff,"&gt;="&amp;$B2212,rl_eff,"&lt;="&amp;$C2212)</f>
        <v/>
      </c>
      <c r="L2212" s="201">
        <f>SUMIFS(rl_daysafter,rl_key,$A$2182,rl_effmonth,$B2212,rl_first,1)</f>
        <v/>
      </c>
      <c r="M2212" s="209">
        <f>IF($K2212=0,0,MIN(1,$L2212/$D2212))</f>
        <v/>
      </c>
      <c r="N2212" s="208">
        <f>IF($K2212=0,$J2212,(1-$M2212)*$I2212+$M2212*$J2212)</f>
        <v/>
      </c>
      <c r="O2212" s="209">
        <f>IF($F2212&lt;$B$2183,$E$2183+$I$2183*($F2212-$A$2183),IF($F2212&lt;$C$2183,$F$2183+$J$2183*($F2212-$B$2183),$G$2183+$K$2183*($F2212-$C$2183)))</f>
        <v/>
      </c>
      <c r="P2212" s="208">
        <f>MIN(1,MAX(0,(nr_MEndPm1-$G2212+0.5)/$C$2182))-MIN(1,MAX(0,(nr_MStartPm1-1-$G2212+0.5)/$C$2182))</f>
        <v/>
      </c>
      <c r="Q2212" s="208">
        <f>MIN(1,MAX(0,(nr_MEndP-$G2212+0.5)/$C$2182))-MIN(1,MAX(0,(nr_MStartP-1-$G2212+0.5)/$C$2182))</f>
        <v/>
      </c>
      <c r="R2212" s="208">
        <f>MIN(1,MAX(0,(nr_MEndP1-$G2212+0.5)/$C$2182))-MIN(1,MAX(0,(nr_MStartP1-1-$G2212+0.5)/$C$2182))</f>
        <v/>
      </c>
      <c r="S2212" s="208">
        <f>IF($L$2182,$N2212*IF($O$2182=1,$O2212/$F$2182,1),"")</f>
        <v/>
      </c>
      <c r="T2212" s="208">
        <f>IF(NOT($L$2182),"",IF($G2212&lt;nr_MStartP,$S2212,$T2200*(1+IF($G2212&lt;nr_MStartP1,$M$2182,$N$2182))))</f>
        <v/>
      </c>
      <c r="U2212" s="208">
        <f>IF($L$2182,$T2212,$N2212)</f>
        <v/>
      </c>
    </row>
    <row r="2213">
      <c r="A2213" s="145" t="n">
        <v>29</v>
      </c>
      <c r="B2213" s="204">
        <f>EDATE($B2212,1)</f>
        <v/>
      </c>
      <c r="C2213" s="205">
        <f>EOMONTH($B2213,0)</f>
        <v/>
      </c>
      <c r="D2213" s="201">
        <f>$C2213-$B2213+1</f>
        <v/>
      </c>
      <c r="E2213" s="201">
        <f>MONTH($B2213)</f>
        <v/>
      </c>
      <c r="F2213" s="235">
        <f>($B2213+$C2213+1)/2</f>
        <v/>
      </c>
      <c r="G2213" s="201">
        <f>YEAR($B2213)*12+MONTH($B2213)-1</f>
        <v/>
      </c>
      <c r="H2213" s="207">
        <f>IF(OR(nr_SeasonOn="OFF",$D$2182=0,$E$2182=0),1,12*INDEX(se_block,$D$2182,$E2213)/$E$2182)</f>
        <v/>
      </c>
      <c r="I2213" s="208">
        <f>EXP(SUMPRODUCT((rl_eff&lt;$B2213)*(rl_key=$A$2182)*rl_ln1p))</f>
        <v/>
      </c>
      <c r="J2213" s="208">
        <f>EXP(SUMPRODUCT((rl_eff&lt;=$C2213)*(rl_key=$A$2182)*rl_ln1p))</f>
        <v/>
      </c>
      <c r="K2213" s="201">
        <f>COUNTIFS(rl_key,$A$2182,rl_eff,"&gt;="&amp;$B2213,rl_eff,"&lt;="&amp;$C2213)</f>
        <v/>
      </c>
      <c r="L2213" s="201">
        <f>SUMIFS(rl_daysafter,rl_key,$A$2182,rl_effmonth,$B2213,rl_first,1)</f>
        <v/>
      </c>
      <c r="M2213" s="209">
        <f>IF($K2213=0,0,MIN(1,$L2213/$D2213))</f>
        <v/>
      </c>
      <c r="N2213" s="208">
        <f>IF($K2213=0,$J2213,(1-$M2213)*$I2213+$M2213*$J2213)</f>
        <v/>
      </c>
      <c r="O2213" s="209">
        <f>IF($F2213&lt;$B$2183,$E$2183+$I$2183*($F2213-$A$2183),IF($F2213&lt;$C$2183,$F$2183+$J$2183*($F2213-$B$2183),$G$2183+$K$2183*($F2213-$C$2183)))</f>
        <v/>
      </c>
      <c r="P2213" s="208">
        <f>MIN(1,MAX(0,(nr_MEndPm1-$G2213+0.5)/$C$2182))-MIN(1,MAX(0,(nr_MStartPm1-1-$G2213+0.5)/$C$2182))</f>
        <v/>
      </c>
      <c r="Q2213" s="208">
        <f>MIN(1,MAX(0,(nr_MEndP-$G2213+0.5)/$C$2182))-MIN(1,MAX(0,(nr_MStartP-1-$G2213+0.5)/$C$2182))</f>
        <v/>
      </c>
      <c r="R2213" s="208">
        <f>MIN(1,MAX(0,(nr_MEndP1-$G2213+0.5)/$C$2182))-MIN(1,MAX(0,(nr_MStartP1-1-$G2213+0.5)/$C$2182))</f>
        <v/>
      </c>
      <c r="S2213" s="208">
        <f>IF($L$2182,$N2213*IF($O$2182=1,$O2213/$F$2182,1),"")</f>
        <v/>
      </c>
      <c r="T2213" s="208">
        <f>IF(NOT($L$2182),"",IF($G2213&lt;nr_MStartP,$S2213,$T2201*(1+IF($G2213&lt;nr_MStartP1,$M$2182,$N$2182))))</f>
        <v/>
      </c>
      <c r="U2213" s="208">
        <f>IF($L$2182,$T2213,$N2213)</f>
        <v/>
      </c>
    </row>
    <row r="2214">
      <c r="A2214" s="145" t="n">
        <v>30</v>
      </c>
      <c r="B2214" s="204">
        <f>EDATE($B2213,1)</f>
        <v/>
      </c>
      <c r="C2214" s="205">
        <f>EOMONTH($B2214,0)</f>
        <v/>
      </c>
      <c r="D2214" s="201">
        <f>$C2214-$B2214+1</f>
        <v/>
      </c>
      <c r="E2214" s="201">
        <f>MONTH($B2214)</f>
        <v/>
      </c>
      <c r="F2214" s="235">
        <f>($B2214+$C2214+1)/2</f>
        <v/>
      </c>
      <c r="G2214" s="201">
        <f>YEAR($B2214)*12+MONTH($B2214)-1</f>
        <v/>
      </c>
      <c r="H2214" s="207">
        <f>IF(OR(nr_SeasonOn="OFF",$D$2182=0,$E$2182=0),1,12*INDEX(se_block,$D$2182,$E2214)/$E$2182)</f>
        <v/>
      </c>
      <c r="I2214" s="208">
        <f>EXP(SUMPRODUCT((rl_eff&lt;$B2214)*(rl_key=$A$2182)*rl_ln1p))</f>
        <v/>
      </c>
      <c r="J2214" s="208">
        <f>EXP(SUMPRODUCT((rl_eff&lt;=$C2214)*(rl_key=$A$2182)*rl_ln1p))</f>
        <v/>
      </c>
      <c r="K2214" s="201">
        <f>COUNTIFS(rl_key,$A$2182,rl_eff,"&gt;="&amp;$B2214,rl_eff,"&lt;="&amp;$C2214)</f>
        <v/>
      </c>
      <c r="L2214" s="201">
        <f>SUMIFS(rl_daysafter,rl_key,$A$2182,rl_effmonth,$B2214,rl_first,1)</f>
        <v/>
      </c>
      <c r="M2214" s="209">
        <f>IF($K2214=0,0,MIN(1,$L2214/$D2214))</f>
        <v/>
      </c>
      <c r="N2214" s="208">
        <f>IF($K2214=0,$J2214,(1-$M2214)*$I2214+$M2214*$J2214)</f>
        <v/>
      </c>
      <c r="O2214" s="209">
        <f>IF($F2214&lt;$B$2183,$E$2183+$I$2183*($F2214-$A$2183),IF($F2214&lt;$C$2183,$F$2183+$J$2183*($F2214-$B$2183),$G$2183+$K$2183*($F2214-$C$2183)))</f>
        <v/>
      </c>
      <c r="P2214" s="208">
        <f>MIN(1,MAX(0,(nr_MEndPm1-$G2214+0.5)/$C$2182))-MIN(1,MAX(0,(nr_MStartPm1-1-$G2214+0.5)/$C$2182))</f>
        <v/>
      </c>
      <c r="Q2214" s="208">
        <f>MIN(1,MAX(0,(nr_MEndP-$G2214+0.5)/$C$2182))-MIN(1,MAX(0,(nr_MStartP-1-$G2214+0.5)/$C$2182))</f>
        <v/>
      </c>
      <c r="R2214" s="208">
        <f>MIN(1,MAX(0,(nr_MEndP1-$G2214+0.5)/$C$2182))-MIN(1,MAX(0,(nr_MStartP1-1-$G2214+0.5)/$C$2182))</f>
        <v/>
      </c>
      <c r="S2214" s="208">
        <f>IF($L$2182,$N2214*IF($O$2182=1,$O2214/$F$2182,1),"")</f>
        <v/>
      </c>
      <c r="T2214" s="208">
        <f>IF(NOT($L$2182),"",IF($G2214&lt;nr_MStartP,$S2214,$T2202*(1+IF($G2214&lt;nr_MStartP1,$M$2182,$N$2182))))</f>
        <v/>
      </c>
      <c r="U2214" s="208">
        <f>IF($L$2182,$T2214,$N2214)</f>
        <v/>
      </c>
    </row>
    <row r="2215">
      <c r="A2215" s="145" t="n">
        <v>31</v>
      </c>
      <c r="B2215" s="204">
        <f>EDATE($B2214,1)</f>
        <v/>
      </c>
      <c r="C2215" s="205">
        <f>EOMONTH($B2215,0)</f>
        <v/>
      </c>
      <c r="D2215" s="201">
        <f>$C2215-$B2215+1</f>
        <v/>
      </c>
      <c r="E2215" s="201">
        <f>MONTH($B2215)</f>
        <v/>
      </c>
      <c r="F2215" s="235">
        <f>($B2215+$C2215+1)/2</f>
        <v/>
      </c>
      <c r="G2215" s="201">
        <f>YEAR($B2215)*12+MONTH($B2215)-1</f>
        <v/>
      </c>
      <c r="H2215" s="207">
        <f>IF(OR(nr_SeasonOn="OFF",$D$2182=0,$E$2182=0),1,12*INDEX(se_block,$D$2182,$E2215)/$E$2182)</f>
        <v/>
      </c>
      <c r="I2215" s="208">
        <f>EXP(SUMPRODUCT((rl_eff&lt;$B2215)*(rl_key=$A$2182)*rl_ln1p))</f>
        <v/>
      </c>
      <c r="J2215" s="208">
        <f>EXP(SUMPRODUCT((rl_eff&lt;=$C2215)*(rl_key=$A$2182)*rl_ln1p))</f>
        <v/>
      </c>
      <c r="K2215" s="201">
        <f>COUNTIFS(rl_key,$A$2182,rl_eff,"&gt;="&amp;$B2215,rl_eff,"&lt;="&amp;$C2215)</f>
        <v/>
      </c>
      <c r="L2215" s="201">
        <f>SUMIFS(rl_daysafter,rl_key,$A$2182,rl_effmonth,$B2215,rl_first,1)</f>
        <v/>
      </c>
      <c r="M2215" s="209">
        <f>IF($K2215=0,0,MIN(1,$L2215/$D2215))</f>
        <v/>
      </c>
      <c r="N2215" s="208">
        <f>IF($K2215=0,$J2215,(1-$M2215)*$I2215+$M2215*$J2215)</f>
        <v/>
      </c>
      <c r="O2215" s="209">
        <f>IF($F2215&lt;$B$2183,$E$2183+$I$2183*($F2215-$A$2183),IF($F2215&lt;$C$2183,$F$2183+$J$2183*($F2215-$B$2183),$G$2183+$K$2183*($F2215-$C$2183)))</f>
        <v/>
      </c>
      <c r="P2215" s="208">
        <f>MIN(1,MAX(0,(nr_MEndPm1-$G2215+0.5)/$C$2182))-MIN(1,MAX(0,(nr_MStartPm1-1-$G2215+0.5)/$C$2182))</f>
        <v/>
      </c>
      <c r="Q2215" s="208">
        <f>MIN(1,MAX(0,(nr_MEndP-$G2215+0.5)/$C$2182))-MIN(1,MAX(0,(nr_MStartP-1-$G2215+0.5)/$C$2182))</f>
        <v/>
      </c>
      <c r="R2215" s="208">
        <f>MIN(1,MAX(0,(nr_MEndP1-$G2215+0.5)/$C$2182))-MIN(1,MAX(0,(nr_MStartP1-1-$G2215+0.5)/$C$2182))</f>
        <v/>
      </c>
      <c r="S2215" s="208">
        <f>IF($L$2182,$N2215*IF($O$2182=1,$O2215/$F$2182,1),"")</f>
        <v/>
      </c>
      <c r="T2215" s="208">
        <f>IF(NOT($L$2182),"",IF($G2215&lt;nr_MStartP,$S2215,$T2203*(1+IF($G2215&lt;nr_MStartP1,$M$2182,$N$2182))))</f>
        <v/>
      </c>
      <c r="U2215" s="208">
        <f>IF($L$2182,$T2215,$N2215)</f>
        <v/>
      </c>
    </row>
    <row r="2216">
      <c r="A2216" s="145" t="n">
        <v>32</v>
      </c>
      <c r="B2216" s="204">
        <f>EDATE($B2215,1)</f>
        <v/>
      </c>
      <c r="C2216" s="205">
        <f>EOMONTH($B2216,0)</f>
        <v/>
      </c>
      <c r="D2216" s="201">
        <f>$C2216-$B2216+1</f>
        <v/>
      </c>
      <c r="E2216" s="201">
        <f>MONTH($B2216)</f>
        <v/>
      </c>
      <c r="F2216" s="235">
        <f>($B2216+$C2216+1)/2</f>
        <v/>
      </c>
      <c r="G2216" s="201">
        <f>YEAR($B2216)*12+MONTH($B2216)-1</f>
        <v/>
      </c>
      <c r="H2216" s="207">
        <f>IF(OR(nr_SeasonOn="OFF",$D$2182=0,$E$2182=0),1,12*INDEX(se_block,$D$2182,$E2216)/$E$2182)</f>
        <v/>
      </c>
      <c r="I2216" s="208">
        <f>EXP(SUMPRODUCT((rl_eff&lt;$B2216)*(rl_key=$A$2182)*rl_ln1p))</f>
        <v/>
      </c>
      <c r="J2216" s="208">
        <f>EXP(SUMPRODUCT((rl_eff&lt;=$C2216)*(rl_key=$A$2182)*rl_ln1p))</f>
        <v/>
      </c>
      <c r="K2216" s="201">
        <f>COUNTIFS(rl_key,$A$2182,rl_eff,"&gt;="&amp;$B2216,rl_eff,"&lt;="&amp;$C2216)</f>
        <v/>
      </c>
      <c r="L2216" s="201">
        <f>SUMIFS(rl_daysafter,rl_key,$A$2182,rl_effmonth,$B2216,rl_first,1)</f>
        <v/>
      </c>
      <c r="M2216" s="209">
        <f>IF($K2216=0,0,MIN(1,$L2216/$D2216))</f>
        <v/>
      </c>
      <c r="N2216" s="208">
        <f>IF($K2216=0,$J2216,(1-$M2216)*$I2216+$M2216*$J2216)</f>
        <v/>
      </c>
      <c r="O2216" s="209">
        <f>IF($F2216&lt;$B$2183,$E$2183+$I$2183*($F2216-$A$2183),IF($F2216&lt;$C$2183,$F$2183+$J$2183*($F2216-$B$2183),$G$2183+$K$2183*($F2216-$C$2183)))</f>
        <v/>
      </c>
      <c r="P2216" s="208">
        <f>MIN(1,MAX(0,(nr_MEndPm1-$G2216+0.5)/$C$2182))-MIN(1,MAX(0,(nr_MStartPm1-1-$G2216+0.5)/$C$2182))</f>
        <v/>
      </c>
      <c r="Q2216" s="208">
        <f>MIN(1,MAX(0,(nr_MEndP-$G2216+0.5)/$C$2182))-MIN(1,MAX(0,(nr_MStartP-1-$G2216+0.5)/$C$2182))</f>
        <v/>
      </c>
      <c r="R2216" s="208">
        <f>MIN(1,MAX(0,(nr_MEndP1-$G2216+0.5)/$C$2182))-MIN(1,MAX(0,(nr_MStartP1-1-$G2216+0.5)/$C$2182))</f>
        <v/>
      </c>
      <c r="S2216" s="208">
        <f>IF($L$2182,$N2216*IF($O$2182=1,$O2216/$F$2182,1),"")</f>
        <v/>
      </c>
      <c r="T2216" s="208">
        <f>IF(NOT($L$2182),"",IF($G2216&lt;nr_MStartP,$S2216,$T2204*(1+IF($G2216&lt;nr_MStartP1,$M$2182,$N$2182))))</f>
        <v/>
      </c>
      <c r="U2216" s="208">
        <f>IF($L$2182,$T2216,$N2216)</f>
        <v/>
      </c>
    </row>
    <row r="2217">
      <c r="A2217" s="145" t="n">
        <v>33</v>
      </c>
      <c r="B2217" s="204">
        <f>EDATE($B2216,1)</f>
        <v/>
      </c>
      <c r="C2217" s="205">
        <f>EOMONTH($B2217,0)</f>
        <v/>
      </c>
      <c r="D2217" s="201">
        <f>$C2217-$B2217+1</f>
        <v/>
      </c>
      <c r="E2217" s="201">
        <f>MONTH($B2217)</f>
        <v/>
      </c>
      <c r="F2217" s="235">
        <f>($B2217+$C2217+1)/2</f>
        <v/>
      </c>
      <c r="G2217" s="201">
        <f>YEAR($B2217)*12+MONTH($B2217)-1</f>
        <v/>
      </c>
      <c r="H2217" s="207">
        <f>IF(OR(nr_SeasonOn="OFF",$D$2182=0,$E$2182=0),1,12*INDEX(se_block,$D$2182,$E2217)/$E$2182)</f>
        <v/>
      </c>
      <c r="I2217" s="208">
        <f>EXP(SUMPRODUCT((rl_eff&lt;$B2217)*(rl_key=$A$2182)*rl_ln1p))</f>
        <v/>
      </c>
      <c r="J2217" s="208">
        <f>EXP(SUMPRODUCT((rl_eff&lt;=$C2217)*(rl_key=$A$2182)*rl_ln1p))</f>
        <v/>
      </c>
      <c r="K2217" s="201">
        <f>COUNTIFS(rl_key,$A$2182,rl_eff,"&gt;="&amp;$B2217,rl_eff,"&lt;="&amp;$C2217)</f>
        <v/>
      </c>
      <c r="L2217" s="201">
        <f>SUMIFS(rl_daysafter,rl_key,$A$2182,rl_effmonth,$B2217,rl_first,1)</f>
        <v/>
      </c>
      <c r="M2217" s="209">
        <f>IF($K2217=0,0,MIN(1,$L2217/$D2217))</f>
        <v/>
      </c>
      <c r="N2217" s="208">
        <f>IF($K2217=0,$J2217,(1-$M2217)*$I2217+$M2217*$J2217)</f>
        <v/>
      </c>
      <c r="O2217" s="209">
        <f>IF($F2217&lt;$B$2183,$E$2183+$I$2183*($F2217-$A$2183),IF($F2217&lt;$C$2183,$F$2183+$J$2183*($F2217-$B$2183),$G$2183+$K$2183*($F2217-$C$2183)))</f>
        <v/>
      </c>
      <c r="P2217" s="208">
        <f>MIN(1,MAX(0,(nr_MEndPm1-$G2217+0.5)/$C$2182))-MIN(1,MAX(0,(nr_MStartPm1-1-$G2217+0.5)/$C$2182))</f>
        <v/>
      </c>
      <c r="Q2217" s="208">
        <f>MIN(1,MAX(0,(nr_MEndP-$G2217+0.5)/$C$2182))-MIN(1,MAX(0,(nr_MStartP-1-$G2217+0.5)/$C$2182))</f>
        <v/>
      </c>
      <c r="R2217" s="208">
        <f>MIN(1,MAX(0,(nr_MEndP1-$G2217+0.5)/$C$2182))-MIN(1,MAX(0,(nr_MStartP1-1-$G2217+0.5)/$C$2182))</f>
        <v/>
      </c>
      <c r="S2217" s="208">
        <f>IF($L$2182,$N2217*IF($O$2182=1,$O2217/$F$2182,1),"")</f>
        <v/>
      </c>
      <c r="T2217" s="208">
        <f>IF(NOT($L$2182),"",IF($G2217&lt;nr_MStartP,$S2217,$T2205*(1+IF($G2217&lt;nr_MStartP1,$M$2182,$N$2182))))</f>
        <v/>
      </c>
      <c r="U2217" s="208">
        <f>IF($L$2182,$T2217,$N2217)</f>
        <v/>
      </c>
    </row>
    <row r="2218">
      <c r="A2218" s="145" t="n">
        <v>34</v>
      </c>
      <c r="B2218" s="204">
        <f>EDATE($B2217,1)</f>
        <v/>
      </c>
      <c r="C2218" s="205">
        <f>EOMONTH($B2218,0)</f>
        <v/>
      </c>
      <c r="D2218" s="201">
        <f>$C2218-$B2218+1</f>
        <v/>
      </c>
      <c r="E2218" s="201">
        <f>MONTH($B2218)</f>
        <v/>
      </c>
      <c r="F2218" s="235">
        <f>($B2218+$C2218+1)/2</f>
        <v/>
      </c>
      <c r="G2218" s="201">
        <f>YEAR($B2218)*12+MONTH($B2218)-1</f>
        <v/>
      </c>
      <c r="H2218" s="207">
        <f>IF(OR(nr_SeasonOn="OFF",$D$2182=0,$E$2182=0),1,12*INDEX(se_block,$D$2182,$E2218)/$E$2182)</f>
        <v/>
      </c>
      <c r="I2218" s="208">
        <f>EXP(SUMPRODUCT((rl_eff&lt;$B2218)*(rl_key=$A$2182)*rl_ln1p))</f>
        <v/>
      </c>
      <c r="J2218" s="208">
        <f>EXP(SUMPRODUCT((rl_eff&lt;=$C2218)*(rl_key=$A$2182)*rl_ln1p))</f>
        <v/>
      </c>
      <c r="K2218" s="201">
        <f>COUNTIFS(rl_key,$A$2182,rl_eff,"&gt;="&amp;$B2218,rl_eff,"&lt;="&amp;$C2218)</f>
        <v/>
      </c>
      <c r="L2218" s="201">
        <f>SUMIFS(rl_daysafter,rl_key,$A$2182,rl_effmonth,$B2218,rl_first,1)</f>
        <v/>
      </c>
      <c r="M2218" s="209">
        <f>IF($K2218=0,0,MIN(1,$L2218/$D2218))</f>
        <v/>
      </c>
      <c r="N2218" s="208">
        <f>IF($K2218=0,$J2218,(1-$M2218)*$I2218+$M2218*$J2218)</f>
        <v/>
      </c>
      <c r="O2218" s="209">
        <f>IF($F2218&lt;$B$2183,$E$2183+$I$2183*($F2218-$A$2183),IF($F2218&lt;$C$2183,$F$2183+$J$2183*($F2218-$B$2183),$G$2183+$K$2183*($F2218-$C$2183)))</f>
        <v/>
      </c>
      <c r="P2218" s="208">
        <f>MIN(1,MAX(0,(nr_MEndPm1-$G2218+0.5)/$C$2182))-MIN(1,MAX(0,(nr_MStartPm1-1-$G2218+0.5)/$C$2182))</f>
        <v/>
      </c>
      <c r="Q2218" s="208">
        <f>MIN(1,MAX(0,(nr_MEndP-$G2218+0.5)/$C$2182))-MIN(1,MAX(0,(nr_MStartP-1-$G2218+0.5)/$C$2182))</f>
        <v/>
      </c>
      <c r="R2218" s="208">
        <f>MIN(1,MAX(0,(nr_MEndP1-$G2218+0.5)/$C$2182))-MIN(1,MAX(0,(nr_MStartP1-1-$G2218+0.5)/$C$2182))</f>
        <v/>
      </c>
      <c r="S2218" s="208">
        <f>IF($L$2182,$N2218*IF($O$2182=1,$O2218/$F$2182,1),"")</f>
        <v/>
      </c>
      <c r="T2218" s="208">
        <f>IF(NOT($L$2182),"",IF($G2218&lt;nr_MStartP,$S2218,$T2206*(1+IF($G2218&lt;nr_MStartP1,$M$2182,$N$2182))))</f>
        <v/>
      </c>
      <c r="U2218" s="208">
        <f>IF($L$2182,$T2218,$N2218)</f>
        <v/>
      </c>
    </row>
    <row r="2219">
      <c r="A2219" s="145" t="n">
        <v>35</v>
      </c>
      <c r="B2219" s="204">
        <f>EDATE($B2218,1)</f>
        <v/>
      </c>
      <c r="C2219" s="205">
        <f>EOMONTH($B2219,0)</f>
        <v/>
      </c>
      <c r="D2219" s="201">
        <f>$C2219-$B2219+1</f>
        <v/>
      </c>
      <c r="E2219" s="201">
        <f>MONTH($B2219)</f>
        <v/>
      </c>
      <c r="F2219" s="235">
        <f>($B2219+$C2219+1)/2</f>
        <v/>
      </c>
      <c r="G2219" s="201">
        <f>YEAR($B2219)*12+MONTH($B2219)-1</f>
        <v/>
      </c>
      <c r="H2219" s="207">
        <f>IF(OR(nr_SeasonOn="OFF",$D$2182=0,$E$2182=0),1,12*INDEX(se_block,$D$2182,$E2219)/$E$2182)</f>
        <v/>
      </c>
      <c r="I2219" s="208">
        <f>EXP(SUMPRODUCT((rl_eff&lt;$B2219)*(rl_key=$A$2182)*rl_ln1p))</f>
        <v/>
      </c>
      <c r="J2219" s="208">
        <f>EXP(SUMPRODUCT((rl_eff&lt;=$C2219)*(rl_key=$A$2182)*rl_ln1p))</f>
        <v/>
      </c>
      <c r="K2219" s="201">
        <f>COUNTIFS(rl_key,$A$2182,rl_eff,"&gt;="&amp;$B2219,rl_eff,"&lt;="&amp;$C2219)</f>
        <v/>
      </c>
      <c r="L2219" s="201">
        <f>SUMIFS(rl_daysafter,rl_key,$A$2182,rl_effmonth,$B2219,rl_first,1)</f>
        <v/>
      </c>
      <c r="M2219" s="209">
        <f>IF($K2219=0,0,MIN(1,$L2219/$D2219))</f>
        <v/>
      </c>
      <c r="N2219" s="208">
        <f>IF($K2219=0,$J2219,(1-$M2219)*$I2219+$M2219*$J2219)</f>
        <v/>
      </c>
      <c r="O2219" s="209">
        <f>IF($F2219&lt;$B$2183,$E$2183+$I$2183*($F2219-$A$2183),IF($F2219&lt;$C$2183,$F$2183+$J$2183*($F2219-$B$2183),$G$2183+$K$2183*($F2219-$C$2183)))</f>
        <v/>
      </c>
      <c r="P2219" s="208">
        <f>MIN(1,MAX(0,(nr_MEndPm1-$G2219+0.5)/$C$2182))-MIN(1,MAX(0,(nr_MStartPm1-1-$G2219+0.5)/$C$2182))</f>
        <v/>
      </c>
      <c r="Q2219" s="208">
        <f>MIN(1,MAX(0,(nr_MEndP-$G2219+0.5)/$C$2182))-MIN(1,MAX(0,(nr_MStartP-1-$G2219+0.5)/$C$2182))</f>
        <v/>
      </c>
      <c r="R2219" s="208">
        <f>MIN(1,MAX(0,(nr_MEndP1-$G2219+0.5)/$C$2182))-MIN(1,MAX(0,(nr_MStartP1-1-$G2219+0.5)/$C$2182))</f>
        <v/>
      </c>
      <c r="S2219" s="208">
        <f>IF($L$2182,$N2219*IF($O$2182=1,$O2219/$F$2182,1),"")</f>
        <v/>
      </c>
      <c r="T2219" s="208">
        <f>IF(NOT($L$2182),"",IF($G2219&lt;nr_MStartP,$S2219,$T2207*(1+IF($G2219&lt;nr_MStartP1,$M$2182,$N$2182))))</f>
        <v/>
      </c>
      <c r="U2219" s="208">
        <f>IF($L$2182,$T2219,$N2219)</f>
        <v/>
      </c>
    </row>
    <row r="2220">
      <c r="A2220" s="145" t="n">
        <v>36</v>
      </c>
      <c r="B2220" s="204">
        <f>EDATE($B2219,1)</f>
        <v/>
      </c>
      <c r="C2220" s="205">
        <f>EOMONTH($B2220,0)</f>
        <v/>
      </c>
      <c r="D2220" s="201">
        <f>$C2220-$B2220+1</f>
        <v/>
      </c>
      <c r="E2220" s="201">
        <f>MONTH($B2220)</f>
        <v/>
      </c>
      <c r="F2220" s="235">
        <f>($B2220+$C2220+1)/2</f>
        <v/>
      </c>
      <c r="G2220" s="201">
        <f>YEAR($B2220)*12+MONTH($B2220)-1</f>
        <v/>
      </c>
      <c r="H2220" s="207">
        <f>IF(OR(nr_SeasonOn="OFF",$D$2182=0,$E$2182=0),1,12*INDEX(se_block,$D$2182,$E2220)/$E$2182)</f>
        <v/>
      </c>
      <c r="I2220" s="208">
        <f>EXP(SUMPRODUCT((rl_eff&lt;$B2220)*(rl_key=$A$2182)*rl_ln1p))</f>
        <v/>
      </c>
      <c r="J2220" s="208">
        <f>EXP(SUMPRODUCT((rl_eff&lt;=$C2220)*(rl_key=$A$2182)*rl_ln1p))</f>
        <v/>
      </c>
      <c r="K2220" s="201">
        <f>COUNTIFS(rl_key,$A$2182,rl_eff,"&gt;="&amp;$B2220,rl_eff,"&lt;="&amp;$C2220)</f>
        <v/>
      </c>
      <c r="L2220" s="201">
        <f>SUMIFS(rl_daysafter,rl_key,$A$2182,rl_effmonth,$B2220,rl_first,1)</f>
        <v/>
      </c>
      <c r="M2220" s="209">
        <f>IF($K2220=0,0,MIN(1,$L2220/$D2220))</f>
        <v/>
      </c>
      <c r="N2220" s="208">
        <f>IF($K2220=0,$J2220,(1-$M2220)*$I2220+$M2220*$J2220)</f>
        <v/>
      </c>
      <c r="O2220" s="209">
        <f>IF($F2220&lt;$B$2183,$E$2183+$I$2183*($F2220-$A$2183),IF($F2220&lt;$C$2183,$F$2183+$J$2183*($F2220-$B$2183),$G$2183+$K$2183*($F2220-$C$2183)))</f>
        <v/>
      </c>
      <c r="P2220" s="208">
        <f>MIN(1,MAX(0,(nr_MEndPm1-$G2220+0.5)/$C$2182))-MIN(1,MAX(0,(nr_MStartPm1-1-$G2220+0.5)/$C$2182))</f>
        <v/>
      </c>
      <c r="Q2220" s="208">
        <f>MIN(1,MAX(0,(nr_MEndP-$G2220+0.5)/$C$2182))-MIN(1,MAX(0,(nr_MStartP-1-$G2220+0.5)/$C$2182))</f>
        <v/>
      </c>
      <c r="R2220" s="208">
        <f>MIN(1,MAX(0,(nr_MEndP1-$G2220+0.5)/$C$2182))-MIN(1,MAX(0,(nr_MStartP1-1-$G2220+0.5)/$C$2182))</f>
        <v/>
      </c>
      <c r="S2220" s="208">
        <f>IF($L$2182,$N2220*IF($O$2182=1,$O2220/$F$2182,1),"")</f>
        <v/>
      </c>
      <c r="T2220" s="208">
        <f>IF(NOT($L$2182),"",IF($G2220&lt;nr_MStartP,$S2220,$T2208*(1+IF($G2220&lt;nr_MStartP1,$M$2182,$N$2182))))</f>
        <v/>
      </c>
      <c r="U2220" s="208">
        <f>IF($L$2182,$T2220,$N2220)</f>
        <v/>
      </c>
    </row>
    <row r="2221">
      <c r="A2221" s="145" t="n">
        <v>37</v>
      </c>
      <c r="B2221" s="204">
        <f>EDATE($B2220,1)</f>
        <v/>
      </c>
      <c r="C2221" s="205">
        <f>EOMONTH($B2221,0)</f>
        <v/>
      </c>
      <c r="D2221" s="201">
        <f>$C2221-$B2221+1</f>
        <v/>
      </c>
      <c r="E2221" s="201">
        <f>MONTH($B2221)</f>
        <v/>
      </c>
      <c r="F2221" s="235">
        <f>($B2221+$C2221+1)/2</f>
        <v/>
      </c>
      <c r="G2221" s="201">
        <f>YEAR($B2221)*12+MONTH($B2221)-1</f>
        <v/>
      </c>
      <c r="H2221" s="207">
        <f>IF(OR(nr_SeasonOn="OFF",$D$2182=0,$E$2182=0),1,12*INDEX(se_block,$D$2182,$E2221)/$E$2182)</f>
        <v/>
      </c>
      <c r="I2221" s="208">
        <f>EXP(SUMPRODUCT((rl_eff&lt;$B2221)*(rl_key=$A$2182)*rl_ln1p))</f>
        <v/>
      </c>
      <c r="J2221" s="208">
        <f>EXP(SUMPRODUCT((rl_eff&lt;=$C2221)*(rl_key=$A$2182)*rl_ln1p))</f>
        <v/>
      </c>
      <c r="K2221" s="201">
        <f>COUNTIFS(rl_key,$A$2182,rl_eff,"&gt;="&amp;$B2221,rl_eff,"&lt;="&amp;$C2221)</f>
        <v/>
      </c>
      <c r="L2221" s="201">
        <f>SUMIFS(rl_daysafter,rl_key,$A$2182,rl_effmonth,$B2221,rl_first,1)</f>
        <v/>
      </c>
      <c r="M2221" s="209">
        <f>IF($K2221=0,0,MIN(1,$L2221/$D2221))</f>
        <v/>
      </c>
      <c r="N2221" s="208">
        <f>IF($K2221=0,$J2221,(1-$M2221)*$I2221+$M2221*$J2221)</f>
        <v/>
      </c>
      <c r="O2221" s="209">
        <f>IF($F2221&lt;$B$2183,$E$2183+$I$2183*($F2221-$A$2183),IF($F2221&lt;$C$2183,$F$2183+$J$2183*($F2221-$B$2183),$G$2183+$K$2183*($F2221-$C$2183)))</f>
        <v/>
      </c>
      <c r="P2221" s="208">
        <f>MIN(1,MAX(0,(nr_MEndPm1-$G2221+0.5)/$C$2182))-MIN(1,MAX(0,(nr_MStartPm1-1-$G2221+0.5)/$C$2182))</f>
        <v/>
      </c>
      <c r="Q2221" s="208">
        <f>MIN(1,MAX(0,(nr_MEndP-$G2221+0.5)/$C$2182))-MIN(1,MAX(0,(nr_MStartP-1-$G2221+0.5)/$C$2182))</f>
        <v/>
      </c>
      <c r="R2221" s="208">
        <f>MIN(1,MAX(0,(nr_MEndP1-$G2221+0.5)/$C$2182))-MIN(1,MAX(0,(nr_MStartP1-1-$G2221+0.5)/$C$2182))</f>
        <v/>
      </c>
      <c r="S2221" s="208">
        <f>IF($L$2182,$N2221*IF($O$2182=1,$O2221/$F$2182,1),"")</f>
        <v/>
      </c>
      <c r="T2221" s="208">
        <f>IF(NOT($L$2182),"",IF($G2221&lt;nr_MStartP,$S2221,$T2209*(1+IF($G2221&lt;nr_MStartP1,$M$2182,$N$2182))))</f>
        <v/>
      </c>
      <c r="U2221" s="208">
        <f>IF($L$2182,$T2221,$N2221)</f>
        <v/>
      </c>
    </row>
    <row r="2222">
      <c r="A2222" s="145" t="n">
        <v>38</v>
      </c>
      <c r="B2222" s="204">
        <f>EDATE($B2221,1)</f>
        <v/>
      </c>
      <c r="C2222" s="205">
        <f>EOMONTH($B2222,0)</f>
        <v/>
      </c>
      <c r="D2222" s="201">
        <f>$C2222-$B2222+1</f>
        <v/>
      </c>
      <c r="E2222" s="201">
        <f>MONTH($B2222)</f>
        <v/>
      </c>
      <c r="F2222" s="235">
        <f>($B2222+$C2222+1)/2</f>
        <v/>
      </c>
      <c r="G2222" s="201">
        <f>YEAR($B2222)*12+MONTH($B2222)-1</f>
        <v/>
      </c>
      <c r="H2222" s="207">
        <f>IF(OR(nr_SeasonOn="OFF",$D$2182=0,$E$2182=0),1,12*INDEX(se_block,$D$2182,$E2222)/$E$2182)</f>
        <v/>
      </c>
      <c r="I2222" s="208">
        <f>EXP(SUMPRODUCT((rl_eff&lt;$B2222)*(rl_key=$A$2182)*rl_ln1p))</f>
        <v/>
      </c>
      <c r="J2222" s="208">
        <f>EXP(SUMPRODUCT((rl_eff&lt;=$C2222)*(rl_key=$A$2182)*rl_ln1p))</f>
        <v/>
      </c>
      <c r="K2222" s="201">
        <f>COUNTIFS(rl_key,$A$2182,rl_eff,"&gt;="&amp;$B2222,rl_eff,"&lt;="&amp;$C2222)</f>
        <v/>
      </c>
      <c r="L2222" s="201">
        <f>SUMIFS(rl_daysafter,rl_key,$A$2182,rl_effmonth,$B2222,rl_first,1)</f>
        <v/>
      </c>
      <c r="M2222" s="209">
        <f>IF($K2222=0,0,MIN(1,$L2222/$D2222))</f>
        <v/>
      </c>
      <c r="N2222" s="208">
        <f>IF($K2222=0,$J2222,(1-$M2222)*$I2222+$M2222*$J2222)</f>
        <v/>
      </c>
      <c r="O2222" s="209">
        <f>IF($F2222&lt;$B$2183,$E$2183+$I$2183*($F2222-$A$2183),IF($F2222&lt;$C$2183,$F$2183+$J$2183*($F2222-$B$2183),$G$2183+$K$2183*($F2222-$C$2183)))</f>
        <v/>
      </c>
      <c r="P2222" s="208">
        <f>MIN(1,MAX(0,(nr_MEndPm1-$G2222+0.5)/$C$2182))-MIN(1,MAX(0,(nr_MStartPm1-1-$G2222+0.5)/$C$2182))</f>
        <v/>
      </c>
      <c r="Q2222" s="208">
        <f>MIN(1,MAX(0,(nr_MEndP-$G2222+0.5)/$C$2182))-MIN(1,MAX(0,(nr_MStartP-1-$G2222+0.5)/$C$2182))</f>
        <v/>
      </c>
      <c r="R2222" s="208">
        <f>MIN(1,MAX(0,(nr_MEndP1-$G2222+0.5)/$C$2182))-MIN(1,MAX(0,(nr_MStartP1-1-$G2222+0.5)/$C$2182))</f>
        <v/>
      </c>
      <c r="S2222" s="208">
        <f>IF($L$2182,$N2222*IF($O$2182=1,$O2222/$F$2182,1),"")</f>
        <v/>
      </c>
      <c r="T2222" s="208">
        <f>IF(NOT($L$2182),"",IF($G2222&lt;nr_MStartP,$S2222,$T2210*(1+IF($G2222&lt;nr_MStartP1,$M$2182,$N$2182))))</f>
        <v/>
      </c>
      <c r="U2222" s="208">
        <f>IF($L$2182,$T2222,$N2222)</f>
        <v/>
      </c>
    </row>
    <row r="2223">
      <c r="A2223" s="145" t="n">
        <v>39</v>
      </c>
      <c r="B2223" s="204">
        <f>EDATE($B2222,1)</f>
        <v/>
      </c>
      <c r="C2223" s="205">
        <f>EOMONTH($B2223,0)</f>
        <v/>
      </c>
      <c r="D2223" s="201">
        <f>$C2223-$B2223+1</f>
        <v/>
      </c>
      <c r="E2223" s="201">
        <f>MONTH($B2223)</f>
        <v/>
      </c>
      <c r="F2223" s="235">
        <f>($B2223+$C2223+1)/2</f>
        <v/>
      </c>
      <c r="G2223" s="201">
        <f>YEAR($B2223)*12+MONTH($B2223)-1</f>
        <v/>
      </c>
      <c r="H2223" s="207">
        <f>IF(OR(nr_SeasonOn="OFF",$D$2182=0,$E$2182=0),1,12*INDEX(se_block,$D$2182,$E2223)/$E$2182)</f>
        <v/>
      </c>
      <c r="I2223" s="208">
        <f>EXP(SUMPRODUCT((rl_eff&lt;$B2223)*(rl_key=$A$2182)*rl_ln1p))</f>
        <v/>
      </c>
      <c r="J2223" s="208">
        <f>EXP(SUMPRODUCT((rl_eff&lt;=$C2223)*(rl_key=$A$2182)*rl_ln1p))</f>
        <v/>
      </c>
      <c r="K2223" s="201">
        <f>COUNTIFS(rl_key,$A$2182,rl_eff,"&gt;="&amp;$B2223,rl_eff,"&lt;="&amp;$C2223)</f>
        <v/>
      </c>
      <c r="L2223" s="201">
        <f>SUMIFS(rl_daysafter,rl_key,$A$2182,rl_effmonth,$B2223,rl_first,1)</f>
        <v/>
      </c>
      <c r="M2223" s="209">
        <f>IF($K2223=0,0,MIN(1,$L2223/$D2223))</f>
        <v/>
      </c>
      <c r="N2223" s="208">
        <f>IF($K2223=0,$J2223,(1-$M2223)*$I2223+$M2223*$J2223)</f>
        <v/>
      </c>
      <c r="O2223" s="209">
        <f>IF($F2223&lt;$B$2183,$E$2183+$I$2183*($F2223-$A$2183),IF($F2223&lt;$C$2183,$F$2183+$J$2183*($F2223-$B$2183),$G$2183+$K$2183*($F2223-$C$2183)))</f>
        <v/>
      </c>
      <c r="P2223" s="208">
        <f>MIN(1,MAX(0,(nr_MEndPm1-$G2223+0.5)/$C$2182))-MIN(1,MAX(0,(nr_MStartPm1-1-$G2223+0.5)/$C$2182))</f>
        <v/>
      </c>
      <c r="Q2223" s="208">
        <f>MIN(1,MAX(0,(nr_MEndP-$G2223+0.5)/$C$2182))-MIN(1,MAX(0,(nr_MStartP-1-$G2223+0.5)/$C$2182))</f>
        <v/>
      </c>
      <c r="R2223" s="208">
        <f>MIN(1,MAX(0,(nr_MEndP1-$G2223+0.5)/$C$2182))-MIN(1,MAX(0,(nr_MStartP1-1-$G2223+0.5)/$C$2182))</f>
        <v/>
      </c>
      <c r="S2223" s="208">
        <f>IF($L$2182,$N2223*IF($O$2182=1,$O2223/$F$2182,1),"")</f>
        <v/>
      </c>
      <c r="T2223" s="208">
        <f>IF(NOT($L$2182),"",IF($G2223&lt;nr_MStartP,$S2223,$T2211*(1+IF($G2223&lt;nr_MStartP1,$M$2182,$N$2182))))</f>
        <v/>
      </c>
      <c r="U2223" s="208">
        <f>IF($L$2182,$T2223,$N2223)</f>
        <v/>
      </c>
    </row>
    <row r="2224">
      <c r="A2224" s="145" t="n">
        <v>40</v>
      </c>
      <c r="B2224" s="204">
        <f>EDATE($B2223,1)</f>
        <v/>
      </c>
      <c r="C2224" s="205">
        <f>EOMONTH($B2224,0)</f>
        <v/>
      </c>
      <c r="D2224" s="201">
        <f>$C2224-$B2224+1</f>
        <v/>
      </c>
      <c r="E2224" s="201">
        <f>MONTH($B2224)</f>
        <v/>
      </c>
      <c r="F2224" s="235">
        <f>($B2224+$C2224+1)/2</f>
        <v/>
      </c>
      <c r="G2224" s="201">
        <f>YEAR($B2224)*12+MONTH($B2224)-1</f>
        <v/>
      </c>
      <c r="H2224" s="207">
        <f>IF(OR(nr_SeasonOn="OFF",$D$2182=0,$E$2182=0),1,12*INDEX(se_block,$D$2182,$E2224)/$E$2182)</f>
        <v/>
      </c>
      <c r="I2224" s="208">
        <f>EXP(SUMPRODUCT((rl_eff&lt;$B2224)*(rl_key=$A$2182)*rl_ln1p))</f>
        <v/>
      </c>
      <c r="J2224" s="208">
        <f>EXP(SUMPRODUCT((rl_eff&lt;=$C2224)*(rl_key=$A$2182)*rl_ln1p))</f>
        <v/>
      </c>
      <c r="K2224" s="201">
        <f>COUNTIFS(rl_key,$A$2182,rl_eff,"&gt;="&amp;$B2224,rl_eff,"&lt;="&amp;$C2224)</f>
        <v/>
      </c>
      <c r="L2224" s="201">
        <f>SUMIFS(rl_daysafter,rl_key,$A$2182,rl_effmonth,$B2224,rl_first,1)</f>
        <v/>
      </c>
      <c r="M2224" s="209">
        <f>IF($K2224=0,0,MIN(1,$L2224/$D2224))</f>
        <v/>
      </c>
      <c r="N2224" s="208">
        <f>IF($K2224=0,$J2224,(1-$M2224)*$I2224+$M2224*$J2224)</f>
        <v/>
      </c>
      <c r="O2224" s="209">
        <f>IF($F2224&lt;$B$2183,$E$2183+$I$2183*($F2224-$A$2183),IF($F2224&lt;$C$2183,$F$2183+$J$2183*($F2224-$B$2183),$G$2183+$K$2183*($F2224-$C$2183)))</f>
        <v/>
      </c>
      <c r="P2224" s="208">
        <f>MIN(1,MAX(0,(nr_MEndPm1-$G2224+0.5)/$C$2182))-MIN(1,MAX(0,(nr_MStartPm1-1-$G2224+0.5)/$C$2182))</f>
        <v/>
      </c>
      <c r="Q2224" s="208">
        <f>MIN(1,MAX(0,(nr_MEndP-$G2224+0.5)/$C$2182))-MIN(1,MAX(0,(nr_MStartP-1-$G2224+0.5)/$C$2182))</f>
        <v/>
      </c>
      <c r="R2224" s="208">
        <f>MIN(1,MAX(0,(nr_MEndP1-$G2224+0.5)/$C$2182))-MIN(1,MAX(0,(nr_MStartP1-1-$G2224+0.5)/$C$2182))</f>
        <v/>
      </c>
      <c r="S2224" s="208">
        <f>IF($L$2182,$N2224*IF($O$2182=1,$O2224/$F$2182,1),"")</f>
        <v/>
      </c>
      <c r="T2224" s="208">
        <f>IF(NOT($L$2182),"",IF($G2224&lt;nr_MStartP,$S2224,$T2212*(1+IF($G2224&lt;nr_MStartP1,$M$2182,$N$2182))))</f>
        <v/>
      </c>
      <c r="U2224" s="208">
        <f>IF($L$2182,$T2224,$N2224)</f>
        <v/>
      </c>
    </row>
    <row r="2225">
      <c r="A2225" s="145" t="n">
        <v>41</v>
      </c>
      <c r="B2225" s="204">
        <f>EDATE($B2224,1)</f>
        <v/>
      </c>
      <c r="C2225" s="205">
        <f>EOMONTH($B2225,0)</f>
        <v/>
      </c>
      <c r="D2225" s="201">
        <f>$C2225-$B2225+1</f>
        <v/>
      </c>
      <c r="E2225" s="201">
        <f>MONTH($B2225)</f>
        <v/>
      </c>
      <c r="F2225" s="235">
        <f>($B2225+$C2225+1)/2</f>
        <v/>
      </c>
      <c r="G2225" s="201">
        <f>YEAR($B2225)*12+MONTH($B2225)-1</f>
        <v/>
      </c>
      <c r="H2225" s="207">
        <f>IF(OR(nr_SeasonOn="OFF",$D$2182=0,$E$2182=0),1,12*INDEX(se_block,$D$2182,$E2225)/$E$2182)</f>
        <v/>
      </c>
      <c r="I2225" s="208">
        <f>EXP(SUMPRODUCT((rl_eff&lt;$B2225)*(rl_key=$A$2182)*rl_ln1p))</f>
        <v/>
      </c>
      <c r="J2225" s="208">
        <f>EXP(SUMPRODUCT((rl_eff&lt;=$C2225)*(rl_key=$A$2182)*rl_ln1p))</f>
        <v/>
      </c>
      <c r="K2225" s="201">
        <f>COUNTIFS(rl_key,$A$2182,rl_eff,"&gt;="&amp;$B2225,rl_eff,"&lt;="&amp;$C2225)</f>
        <v/>
      </c>
      <c r="L2225" s="201">
        <f>SUMIFS(rl_daysafter,rl_key,$A$2182,rl_effmonth,$B2225,rl_first,1)</f>
        <v/>
      </c>
      <c r="M2225" s="209">
        <f>IF($K2225=0,0,MIN(1,$L2225/$D2225))</f>
        <v/>
      </c>
      <c r="N2225" s="208">
        <f>IF($K2225=0,$J2225,(1-$M2225)*$I2225+$M2225*$J2225)</f>
        <v/>
      </c>
      <c r="O2225" s="209">
        <f>IF($F2225&lt;$B$2183,$E$2183+$I$2183*($F2225-$A$2183),IF($F2225&lt;$C$2183,$F$2183+$J$2183*($F2225-$B$2183),$G$2183+$K$2183*($F2225-$C$2183)))</f>
        <v/>
      </c>
      <c r="P2225" s="208">
        <f>MIN(1,MAX(0,(nr_MEndPm1-$G2225+0.5)/$C$2182))-MIN(1,MAX(0,(nr_MStartPm1-1-$G2225+0.5)/$C$2182))</f>
        <v/>
      </c>
      <c r="Q2225" s="208">
        <f>MIN(1,MAX(0,(nr_MEndP-$G2225+0.5)/$C$2182))-MIN(1,MAX(0,(nr_MStartP-1-$G2225+0.5)/$C$2182))</f>
        <v/>
      </c>
      <c r="R2225" s="208">
        <f>MIN(1,MAX(0,(nr_MEndP1-$G2225+0.5)/$C$2182))-MIN(1,MAX(0,(nr_MStartP1-1-$G2225+0.5)/$C$2182))</f>
        <v/>
      </c>
      <c r="S2225" s="208">
        <f>IF($L$2182,$N2225*IF($O$2182=1,$O2225/$F$2182,1),"")</f>
        <v/>
      </c>
      <c r="T2225" s="208">
        <f>IF(NOT($L$2182),"",IF($G2225&lt;nr_MStartP,$S2225,$T2213*(1+IF($G2225&lt;nr_MStartP1,$M$2182,$N$2182))))</f>
        <v/>
      </c>
      <c r="U2225" s="208">
        <f>IF($L$2182,$T2225,$N2225)</f>
        <v/>
      </c>
    </row>
    <row r="2226">
      <c r="A2226" s="145" t="n">
        <v>42</v>
      </c>
      <c r="B2226" s="204">
        <f>EDATE($B2225,1)</f>
        <v/>
      </c>
      <c r="C2226" s="205">
        <f>EOMONTH($B2226,0)</f>
        <v/>
      </c>
      <c r="D2226" s="201">
        <f>$C2226-$B2226+1</f>
        <v/>
      </c>
      <c r="E2226" s="201">
        <f>MONTH($B2226)</f>
        <v/>
      </c>
      <c r="F2226" s="235">
        <f>($B2226+$C2226+1)/2</f>
        <v/>
      </c>
      <c r="G2226" s="201">
        <f>YEAR($B2226)*12+MONTH($B2226)-1</f>
        <v/>
      </c>
      <c r="H2226" s="207">
        <f>IF(OR(nr_SeasonOn="OFF",$D$2182=0,$E$2182=0),1,12*INDEX(se_block,$D$2182,$E2226)/$E$2182)</f>
        <v/>
      </c>
      <c r="I2226" s="208">
        <f>EXP(SUMPRODUCT((rl_eff&lt;$B2226)*(rl_key=$A$2182)*rl_ln1p))</f>
        <v/>
      </c>
      <c r="J2226" s="208">
        <f>EXP(SUMPRODUCT((rl_eff&lt;=$C2226)*(rl_key=$A$2182)*rl_ln1p))</f>
        <v/>
      </c>
      <c r="K2226" s="201">
        <f>COUNTIFS(rl_key,$A$2182,rl_eff,"&gt;="&amp;$B2226,rl_eff,"&lt;="&amp;$C2226)</f>
        <v/>
      </c>
      <c r="L2226" s="201">
        <f>SUMIFS(rl_daysafter,rl_key,$A$2182,rl_effmonth,$B2226,rl_first,1)</f>
        <v/>
      </c>
      <c r="M2226" s="209">
        <f>IF($K2226=0,0,MIN(1,$L2226/$D2226))</f>
        <v/>
      </c>
      <c r="N2226" s="208">
        <f>IF($K2226=0,$J2226,(1-$M2226)*$I2226+$M2226*$J2226)</f>
        <v/>
      </c>
      <c r="O2226" s="209">
        <f>IF($F2226&lt;$B$2183,$E$2183+$I$2183*($F2226-$A$2183),IF($F2226&lt;$C$2183,$F$2183+$J$2183*($F2226-$B$2183),$G$2183+$K$2183*($F2226-$C$2183)))</f>
        <v/>
      </c>
      <c r="P2226" s="208">
        <f>MIN(1,MAX(0,(nr_MEndPm1-$G2226+0.5)/$C$2182))-MIN(1,MAX(0,(nr_MStartPm1-1-$G2226+0.5)/$C$2182))</f>
        <v/>
      </c>
      <c r="Q2226" s="208">
        <f>MIN(1,MAX(0,(nr_MEndP-$G2226+0.5)/$C$2182))-MIN(1,MAX(0,(nr_MStartP-1-$G2226+0.5)/$C$2182))</f>
        <v/>
      </c>
      <c r="R2226" s="208">
        <f>MIN(1,MAX(0,(nr_MEndP1-$G2226+0.5)/$C$2182))-MIN(1,MAX(0,(nr_MStartP1-1-$G2226+0.5)/$C$2182))</f>
        <v/>
      </c>
      <c r="S2226" s="208">
        <f>IF($L$2182,$N2226*IF($O$2182=1,$O2226/$F$2182,1),"")</f>
        <v/>
      </c>
      <c r="T2226" s="208">
        <f>IF(NOT($L$2182),"",IF($G2226&lt;nr_MStartP,$S2226,$T2214*(1+IF($G2226&lt;nr_MStartP1,$M$2182,$N$2182))))</f>
        <v/>
      </c>
      <c r="U2226" s="208">
        <f>IF($L$2182,$T2226,$N2226)</f>
        <v/>
      </c>
    </row>
    <row r="2227">
      <c r="A2227" s="145" t="n">
        <v>43</v>
      </c>
      <c r="B2227" s="204">
        <f>EDATE($B2226,1)</f>
        <v/>
      </c>
      <c r="C2227" s="205">
        <f>EOMONTH($B2227,0)</f>
        <v/>
      </c>
      <c r="D2227" s="201">
        <f>$C2227-$B2227+1</f>
        <v/>
      </c>
      <c r="E2227" s="201">
        <f>MONTH($B2227)</f>
        <v/>
      </c>
      <c r="F2227" s="235">
        <f>($B2227+$C2227+1)/2</f>
        <v/>
      </c>
      <c r="G2227" s="201">
        <f>YEAR($B2227)*12+MONTH($B2227)-1</f>
        <v/>
      </c>
      <c r="H2227" s="207">
        <f>IF(OR(nr_SeasonOn="OFF",$D$2182=0,$E$2182=0),1,12*INDEX(se_block,$D$2182,$E2227)/$E$2182)</f>
        <v/>
      </c>
      <c r="I2227" s="208">
        <f>EXP(SUMPRODUCT((rl_eff&lt;$B2227)*(rl_key=$A$2182)*rl_ln1p))</f>
        <v/>
      </c>
      <c r="J2227" s="208">
        <f>EXP(SUMPRODUCT((rl_eff&lt;=$C2227)*(rl_key=$A$2182)*rl_ln1p))</f>
        <v/>
      </c>
      <c r="K2227" s="201">
        <f>COUNTIFS(rl_key,$A$2182,rl_eff,"&gt;="&amp;$B2227,rl_eff,"&lt;="&amp;$C2227)</f>
        <v/>
      </c>
      <c r="L2227" s="201">
        <f>SUMIFS(rl_daysafter,rl_key,$A$2182,rl_effmonth,$B2227,rl_first,1)</f>
        <v/>
      </c>
      <c r="M2227" s="209">
        <f>IF($K2227=0,0,MIN(1,$L2227/$D2227))</f>
        <v/>
      </c>
      <c r="N2227" s="208">
        <f>IF($K2227=0,$J2227,(1-$M2227)*$I2227+$M2227*$J2227)</f>
        <v/>
      </c>
      <c r="O2227" s="209">
        <f>IF($F2227&lt;$B$2183,$E$2183+$I$2183*($F2227-$A$2183),IF($F2227&lt;$C$2183,$F$2183+$J$2183*($F2227-$B$2183),$G$2183+$K$2183*($F2227-$C$2183)))</f>
        <v/>
      </c>
      <c r="P2227" s="208">
        <f>MIN(1,MAX(0,(nr_MEndPm1-$G2227+0.5)/$C$2182))-MIN(1,MAX(0,(nr_MStartPm1-1-$G2227+0.5)/$C$2182))</f>
        <v/>
      </c>
      <c r="Q2227" s="208">
        <f>MIN(1,MAX(0,(nr_MEndP-$G2227+0.5)/$C$2182))-MIN(1,MAX(0,(nr_MStartP-1-$G2227+0.5)/$C$2182))</f>
        <v/>
      </c>
      <c r="R2227" s="208">
        <f>MIN(1,MAX(0,(nr_MEndP1-$G2227+0.5)/$C$2182))-MIN(1,MAX(0,(nr_MStartP1-1-$G2227+0.5)/$C$2182))</f>
        <v/>
      </c>
      <c r="S2227" s="208">
        <f>IF($L$2182,$N2227*IF($O$2182=1,$O2227/$F$2182,1),"")</f>
        <v/>
      </c>
      <c r="T2227" s="208">
        <f>IF(NOT($L$2182),"",IF($G2227&lt;nr_MStartP,$S2227,$T2215*(1+IF($G2227&lt;nr_MStartP1,$M$2182,$N$2182))))</f>
        <v/>
      </c>
      <c r="U2227" s="208">
        <f>IF($L$2182,$T2227,$N2227)</f>
        <v/>
      </c>
    </row>
    <row r="2228">
      <c r="A2228" s="145" t="n">
        <v>44</v>
      </c>
      <c r="B2228" s="204">
        <f>EDATE($B2227,1)</f>
        <v/>
      </c>
      <c r="C2228" s="205">
        <f>EOMONTH($B2228,0)</f>
        <v/>
      </c>
      <c r="D2228" s="201">
        <f>$C2228-$B2228+1</f>
        <v/>
      </c>
      <c r="E2228" s="201">
        <f>MONTH($B2228)</f>
        <v/>
      </c>
      <c r="F2228" s="235">
        <f>($B2228+$C2228+1)/2</f>
        <v/>
      </c>
      <c r="G2228" s="201">
        <f>YEAR($B2228)*12+MONTH($B2228)-1</f>
        <v/>
      </c>
      <c r="H2228" s="207">
        <f>IF(OR(nr_SeasonOn="OFF",$D$2182=0,$E$2182=0),1,12*INDEX(se_block,$D$2182,$E2228)/$E$2182)</f>
        <v/>
      </c>
      <c r="I2228" s="208">
        <f>EXP(SUMPRODUCT((rl_eff&lt;$B2228)*(rl_key=$A$2182)*rl_ln1p))</f>
        <v/>
      </c>
      <c r="J2228" s="208">
        <f>EXP(SUMPRODUCT((rl_eff&lt;=$C2228)*(rl_key=$A$2182)*rl_ln1p))</f>
        <v/>
      </c>
      <c r="K2228" s="201">
        <f>COUNTIFS(rl_key,$A$2182,rl_eff,"&gt;="&amp;$B2228,rl_eff,"&lt;="&amp;$C2228)</f>
        <v/>
      </c>
      <c r="L2228" s="201">
        <f>SUMIFS(rl_daysafter,rl_key,$A$2182,rl_effmonth,$B2228,rl_first,1)</f>
        <v/>
      </c>
      <c r="M2228" s="209">
        <f>IF($K2228=0,0,MIN(1,$L2228/$D2228))</f>
        <v/>
      </c>
      <c r="N2228" s="208">
        <f>IF($K2228=0,$J2228,(1-$M2228)*$I2228+$M2228*$J2228)</f>
        <v/>
      </c>
      <c r="O2228" s="209">
        <f>IF($F2228&lt;$B$2183,$E$2183+$I$2183*($F2228-$A$2183),IF($F2228&lt;$C$2183,$F$2183+$J$2183*($F2228-$B$2183),$G$2183+$K$2183*($F2228-$C$2183)))</f>
        <v/>
      </c>
      <c r="P2228" s="208">
        <f>MIN(1,MAX(0,(nr_MEndPm1-$G2228+0.5)/$C$2182))-MIN(1,MAX(0,(nr_MStartPm1-1-$G2228+0.5)/$C$2182))</f>
        <v/>
      </c>
      <c r="Q2228" s="208">
        <f>MIN(1,MAX(0,(nr_MEndP-$G2228+0.5)/$C$2182))-MIN(1,MAX(0,(nr_MStartP-1-$G2228+0.5)/$C$2182))</f>
        <v/>
      </c>
      <c r="R2228" s="208">
        <f>MIN(1,MAX(0,(nr_MEndP1-$G2228+0.5)/$C$2182))-MIN(1,MAX(0,(nr_MStartP1-1-$G2228+0.5)/$C$2182))</f>
        <v/>
      </c>
      <c r="S2228" s="208">
        <f>IF($L$2182,$N2228*IF($O$2182=1,$O2228/$F$2182,1),"")</f>
        <v/>
      </c>
      <c r="T2228" s="208">
        <f>IF(NOT($L$2182),"",IF($G2228&lt;nr_MStartP,$S2228,$T2216*(1+IF($G2228&lt;nr_MStartP1,$M$2182,$N$2182))))</f>
        <v/>
      </c>
      <c r="U2228" s="208">
        <f>IF($L$2182,$T2228,$N2228)</f>
        <v/>
      </c>
    </row>
    <row r="2229">
      <c r="A2229" s="145" t="n">
        <v>45</v>
      </c>
      <c r="B2229" s="204">
        <f>EDATE($B2228,1)</f>
        <v/>
      </c>
      <c r="C2229" s="205">
        <f>EOMONTH($B2229,0)</f>
        <v/>
      </c>
      <c r="D2229" s="201">
        <f>$C2229-$B2229+1</f>
        <v/>
      </c>
      <c r="E2229" s="201">
        <f>MONTH($B2229)</f>
        <v/>
      </c>
      <c r="F2229" s="235">
        <f>($B2229+$C2229+1)/2</f>
        <v/>
      </c>
      <c r="G2229" s="201">
        <f>YEAR($B2229)*12+MONTH($B2229)-1</f>
        <v/>
      </c>
      <c r="H2229" s="207">
        <f>IF(OR(nr_SeasonOn="OFF",$D$2182=0,$E$2182=0),1,12*INDEX(se_block,$D$2182,$E2229)/$E$2182)</f>
        <v/>
      </c>
      <c r="I2229" s="208">
        <f>EXP(SUMPRODUCT((rl_eff&lt;$B2229)*(rl_key=$A$2182)*rl_ln1p))</f>
        <v/>
      </c>
      <c r="J2229" s="208">
        <f>EXP(SUMPRODUCT((rl_eff&lt;=$C2229)*(rl_key=$A$2182)*rl_ln1p))</f>
        <v/>
      </c>
      <c r="K2229" s="201">
        <f>COUNTIFS(rl_key,$A$2182,rl_eff,"&gt;="&amp;$B2229,rl_eff,"&lt;="&amp;$C2229)</f>
        <v/>
      </c>
      <c r="L2229" s="201">
        <f>SUMIFS(rl_daysafter,rl_key,$A$2182,rl_effmonth,$B2229,rl_first,1)</f>
        <v/>
      </c>
      <c r="M2229" s="209">
        <f>IF($K2229=0,0,MIN(1,$L2229/$D2229))</f>
        <v/>
      </c>
      <c r="N2229" s="208">
        <f>IF($K2229=0,$J2229,(1-$M2229)*$I2229+$M2229*$J2229)</f>
        <v/>
      </c>
      <c r="O2229" s="209">
        <f>IF($F2229&lt;$B$2183,$E$2183+$I$2183*($F2229-$A$2183),IF($F2229&lt;$C$2183,$F$2183+$J$2183*($F2229-$B$2183),$G$2183+$K$2183*($F2229-$C$2183)))</f>
        <v/>
      </c>
      <c r="P2229" s="208">
        <f>MIN(1,MAX(0,(nr_MEndPm1-$G2229+0.5)/$C$2182))-MIN(1,MAX(0,(nr_MStartPm1-1-$G2229+0.5)/$C$2182))</f>
        <v/>
      </c>
      <c r="Q2229" s="208">
        <f>MIN(1,MAX(0,(nr_MEndP-$G2229+0.5)/$C$2182))-MIN(1,MAX(0,(nr_MStartP-1-$G2229+0.5)/$C$2182))</f>
        <v/>
      </c>
      <c r="R2229" s="208">
        <f>MIN(1,MAX(0,(nr_MEndP1-$G2229+0.5)/$C$2182))-MIN(1,MAX(0,(nr_MStartP1-1-$G2229+0.5)/$C$2182))</f>
        <v/>
      </c>
      <c r="S2229" s="208">
        <f>IF($L$2182,$N2229*IF($O$2182=1,$O2229/$F$2182,1),"")</f>
        <v/>
      </c>
      <c r="T2229" s="208">
        <f>IF(NOT($L$2182),"",IF($G2229&lt;nr_MStartP,$S2229,$T2217*(1+IF($G2229&lt;nr_MStartP1,$M$2182,$N$2182))))</f>
        <v/>
      </c>
      <c r="U2229" s="208">
        <f>IF($L$2182,$T2229,$N2229)</f>
        <v/>
      </c>
    </row>
    <row r="2230">
      <c r="A2230" s="145" t="n">
        <v>46</v>
      </c>
      <c r="B2230" s="204">
        <f>EDATE($B2229,1)</f>
        <v/>
      </c>
      <c r="C2230" s="205">
        <f>EOMONTH($B2230,0)</f>
        <v/>
      </c>
      <c r="D2230" s="201">
        <f>$C2230-$B2230+1</f>
        <v/>
      </c>
      <c r="E2230" s="201">
        <f>MONTH($B2230)</f>
        <v/>
      </c>
      <c r="F2230" s="235">
        <f>($B2230+$C2230+1)/2</f>
        <v/>
      </c>
      <c r="G2230" s="201">
        <f>YEAR($B2230)*12+MONTH($B2230)-1</f>
        <v/>
      </c>
      <c r="H2230" s="207">
        <f>IF(OR(nr_SeasonOn="OFF",$D$2182=0,$E$2182=0),1,12*INDEX(se_block,$D$2182,$E2230)/$E$2182)</f>
        <v/>
      </c>
      <c r="I2230" s="208">
        <f>EXP(SUMPRODUCT((rl_eff&lt;$B2230)*(rl_key=$A$2182)*rl_ln1p))</f>
        <v/>
      </c>
      <c r="J2230" s="208">
        <f>EXP(SUMPRODUCT((rl_eff&lt;=$C2230)*(rl_key=$A$2182)*rl_ln1p))</f>
        <v/>
      </c>
      <c r="K2230" s="201">
        <f>COUNTIFS(rl_key,$A$2182,rl_eff,"&gt;="&amp;$B2230,rl_eff,"&lt;="&amp;$C2230)</f>
        <v/>
      </c>
      <c r="L2230" s="201">
        <f>SUMIFS(rl_daysafter,rl_key,$A$2182,rl_effmonth,$B2230,rl_first,1)</f>
        <v/>
      </c>
      <c r="M2230" s="209">
        <f>IF($K2230=0,0,MIN(1,$L2230/$D2230))</f>
        <v/>
      </c>
      <c r="N2230" s="208">
        <f>IF($K2230=0,$J2230,(1-$M2230)*$I2230+$M2230*$J2230)</f>
        <v/>
      </c>
      <c r="O2230" s="209">
        <f>IF($F2230&lt;$B$2183,$E$2183+$I$2183*($F2230-$A$2183),IF($F2230&lt;$C$2183,$F$2183+$J$2183*($F2230-$B$2183),$G$2183+$K$2183*($F2230-$C$2183)))</f>
        <v/>
      </c>
      <c r="P2230" s="208">
        <f>MIN(1,MAX(0,(nr_MEndPm1-$G2230+0.5)/$C$2182))-MIN(1,MAX(0,(nr_MStartPm1-1-$G2230+0.5)/$C$2182))</f>
        <v/>
      </c>
      <c r="Q2230" s="208">
        <f>MIN(1,MAX(0,(nr_MEndP-$G2230+0.5)/$C$2182))-MIN(1,MAX(0,(nr_MStartP-1-$G2230+0.5)/$C$2182))</f>
        <v/>
      </c>
      <c r="R2230" s="208">
        <f>MIN(1,MAX(0,(nr_MEndP1-$G2230+0.5)/$C$2182))-MIN(1,MAX(0,(nr_MStartP1-1-$G2230+0.5)/$C$2182))</f>
        <v/>
      </c>
      <c r="S2230" s="208">
        <f>IF($L$2182,$N2230*IF($O$2182=1,$O2230/$F$2182,1),"")</f>
        <v/>
      </c>
      <c r="T2230" s="208">
        <f>IF(NOT($L$2182),"",IF($G2230&lt;nr_MStartP,$S2230,$T2218*(1+IF($G2230&lt;nr_MStartP1,$M$2182,$N$2182))))</f>
        <v/>
      </c>
      <c r="U2230" s="208">
        <f>IF($L$2182,$T2230,$N2230)</f>
        <v/>
      </c>
    </row>
    <row r="2231">
      <c r="A2231" s="145" t="n">
        <v>47</v>
      </c>
      <c r="B2231" s="204">
        <f>EDATE($B2230,1)</f>
        <v/>
      </c>
      <c r="C2231" s="205">
        <f>EOMONTH($B2231,0)</f>
        <v/>
      </c>
      <c r="D2231" s="201">
        <f>$C2231-$B2231+1</f>
        <v/>
      </c>
      <c r="E2231" s="201">
        <f>MONTH($B2231)</f>
        <v/>
      </c>
      <c r="F2231" s="235">
        <f>($B2231+$C2231+1)/2</f>
        <v/>
      </c>
      <c r="G2231" s="201">
        <f>YEAR($B2231)*12+MONTH($B2231)-1</f>
        <v/>
      </c>
      <c r="H2231" s="207">
        <f>IF(OR(nr_SeasonOn="OFF",$D$2182=0,$E$2182=0),1,12*INDEX(se_block,$D$2182,$E2231)/$E$2182)</f>
        <v/>
      </c>
      <c r="I2231" s="208">
        <f>EXP(SUMPRODUCT((rl_eff&lt;$B2231)*(rl_key=$A$2182)*rl_ln1p))</f>
        <v/>
      </c>
      <c r="J2231" s="208">
        <f>EXP(SUMPRODUCT((rl_eff&lt;=$C2231)*(rl_key=$A$2182)*rl_ln1p))</f>
        <v/>
      </c>
      <c r="K2231" s="201">
        <f>COUNTIFS(rl_key,$A$2182,rl_eff,"&gt;="&amp;$B2231,rl_eff,"&lt;="&amp;$C2231)</f>
        <v/>
      </c>
      <c r="L2231" s="201">
        <f>SUMIFS(rl_daysafter,rl_key,$A$2182,rl_effmonth,$B2231,rl_first,1)</f>
        <v/>
      </c>
      <c r="M2231" s="209">
        <f>IF($K2231=0,0,MIN(1,$L2231/$D2231))</f>
        <v/>
      </c>
      <c r="N2231" s="208">
        <f>IF($K2231=0,$J2231,(1-$M2231)*$I2231+$M2231*$J2231)</f>
        <v/>
      </c>
      <c r="O2231" s="209">
        <f>IF($F2231&lt;$B$2183,$E$2183+$I$2183*($F2231-$A$2183),IF($F2231&lt;$C$2183,$F$2183+$J$2183*($F2231-$B$2183),$G$2183+$K$2183*($F2231-$C$2183)))</f>
        <v/>
      </c>
      <c r="P2231" s="208">
        <f>MIN(1,MAX(0,(nr_MEndPm1-$G2231+0.5)/$C$2182))-MIN(1,MAX(0,(nr_MStartPm1-1-$G2231+0.5)/$C$2182))</f>
        <v/>
      </c>
      <c r="Q2231" s="208">
        <f>MIN(1,MAX(0,(nr_MEndP-$G2231+0.5)/$C$2182))-MIN(1,MAX(0,(nr_MStartP-1-$G2231+0.5)/$C$2182))</f>
        <v/>
      </c>
      <c r="R2231" s="208">
        <f>MIN(1,MAX(0,(nr_MEndP1-$G2231+0.5)/$C$2182))-MIN(1,MAX(0,(nr_MStartP1-1-$G2231+0.5)/$C$2182))</f>
        <v/>
      </c>
      <c r="S2231" s="208">
        <f>IF($L$2182,$N2231*IF($O$2182=1,$O2231/$F$2182,1),"")</f>
        <v/>
      </c>
      <c r="T2231" s="208">
        <f>IF(NOT($L$2182),"",IF($G2231&lt;nr_MStartP,$S2231,$T2219*(1+IF($G2231&lt;nr_MStartP1,$M$2182,$N$2182))))</f>
        <v/>
      </c>
      <c r="U2231" s="208">
        <f>IF($L$2182,$T2231,$N2231)</f>
        <v/>
      </c>
    </row>
    <row r="2232">
      <c r="A2232" s="145" t="n">
        <v>48</v>
      </c>
      <c r="B2232" s="204">
        <f>EDATE($B2231,1)</f>
        <v/>
      </c>
      <c r="C2232" s="205">
        <f>EOMONTH($B2232,0)</f>
        <v/>
      </c>
      <c r="D2232" s="201">
        <f>$C2232-$B2232+1</f>
        <v/>
      </c>
      <c r="E2232" s="201">
        <f>MONTH($B2232)</f>
        <v/>
      </c>
      <c r="F2232" s="235">
        <f>($B2232+$C2232+1)/2</f>
        <v/>
      </c>
      <c r="G2232" s="201">
        <f>YEAR($B2232)*12+MONTH($B2232)-1</f>
        <v/>
      </c>
      <c r="H2232" s="207">
        <f>IF(OR(nr_SeasonOn="OFF",$D$2182=0,$E$2182=0),1,12*INDEX(se_block,$D$2182,$E2232)/$E$2182)</f>
        <v/>
      </c>
      <c r="I2232" s="208">
        <f>EXP(SUMPRODUCT((rl_eff&lt;$B2232)*(rl_key=$A$2182)*rl_ln1p))</f>
        <v/>
      </c>
      <c r="J2232" s="208">
        <f>EXP(SUMPRODUCT((rl_eff&lt;=$C2232)*(rl_key=$A$2182)*rl_ln1p))</f>
        <v/>
      </c>
      <c r="K2232" s="201">
        <f>COUNTIFS(rl_key,$A$2182,rl_eff,"&gt;="&amp;$B2232,rl_eff,"&lt;="&amp;$C2232)</f>
        <v/>
      </c>
      <c r="L2232" s="201">
        <f>SUMIFS(rl_daysafter,rl_key,$A$2182,rl_effmonth,$B2232,rl_first,1)</f>
        <v/>
      </c>
      <c r="M2232" s="209">
        <f>IF($K2232=0,0,MIN(1,$L2232/$D2232))</f>
        <v/>
      </c>
      <c r="N2232" s="208">
        <f>IF($K2232=0,$J2232,(1-$M2232)*$I2232+$M2232*$J2232)</f>
        <v/>
      </c>
      <c r="O2232" s="209">
        <f>IF($F2232&lt;$B$2183,$E$2183+$I$2183*($F2232-$A$2183),IF($F2232&lt;$C$2183,$F$2183+$J$2183*($F2232-$B$2183),$G$2183+$K$2183*($F2232-$C$2183)))</f>
        <v/>
      </c>
      <c r="P2232" s="208">
        <f>MIN(1,MAX(0,(nr_MEndPm1-$G2232+0.5)/$C$2182))-MIN(1,MAX(0,(nr_MStartPm1-1-$G2232+0.5)/$C$2182))</f>
        <v/>
      </c>
      <c r="Q2232" s="208">
        <f>MIN(1,MAX(0,(nr_MEndP-$G2232+0.5)/$C$2182))-MIN(1,MAX(0,(nr_MStartP-1-$G2232+0.5)/$C$2182))</f>
        <v/>
      </c>
      <c r="R2232" s="208">
        <f>MIN(1,MAX(0,(nr_MEndP1-$G2232+0.5)/$C$2182))-MIN(1,MAX(0,(nr_MStartP1-1-$G2232+0.5)/$C$2182))</f>
        <v/>
      </c>
      <c r="S2232" s="208">
        <f>IF($L$2182,$N2232*IF($O$2182=1,$O2232/$F$2182,1),"")</f>
        <v/>
      </c>
      <c r="T2232" s="208">
        <f>IF(NOT($L$2182),"",IF($G2232&lt;nr_MStartP,$S2232,$T2220*(1+IF($G2232&lt;nr_MStartP1,$M$2182,$N$2182))))</f>
        <v/>
      </c>
      <c r="U2232" s="208">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184">
        <f>SUMPRODUCT($H$2185:$H$2232,$Q$2185:$Q$2232,$O$2185:$O$2232)/SUMPRODUCT($H$2185:$H$2232,$Q$2185:$Q$2232)</f>
        <v/>
      </c>
      <c r="G2233" s="184">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184">
        <f>IF(N(INDEX(lr_mind,41))=0,1,INDEX(lr_mind,41))</f>
        <v/>
      </c>
      <c r="G2236" s="184">
        <f>IF(N(INDEX(lr_m0,41))=0,1,INDEX(lr_m0,41))</f>
        <v/>
      </c>
      <c r="H2236" s="73">
        <f>IF(N(INDEX(lr_m0asof,41))=0,DATE(nr_PlanYear-1,10,1),INDEX(lr_m0asof,41))</f>
        <v/>
      </c>
      <c r="I2236" s="184">
        <f>IF(N(INDEX(lr_m1,41))=0,1,INDEX(lr_m1,41))</f>
        <v/>
      </c>
      <c r="J2236" s="184">
        <f>INDEX(lr_mprior,41)</f>
        <v/>
      </c>
      <c r="K2236" s="184">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145" t="n">
        <v>1</v>
      </c>
      <c r="B2239" s="204">
        <f>DATE(nr_PlanYear-2,1,1)</f>
        <v/>
      </c>
      <c r="C2239" s="205">
        <f>EOMONTH($B2239,0)</f>
        <v/>
      </c>
      <c r="D2239" s="201">
        <f>$C2239-$B2239+1</f>
        <v/>
      </c>
      <c r="E2239" s="201">
        <f>MONTH($B2239)</f>
        <v/>
      </c>
      <c r="F2239" s="235">
        <f>($B2239+$C2239+1)/2</f>
        <v/>
      </c>
      <c r="G2239" s="201">
        <f>YEAR($B2239)*12+MONTH($B2239)-1</f>
        <v/>
      </c>
      <c r="H2239" s="207">
        <f>IF(OR(nr_SeasonOn="OFF",$D$2236=0,$E$2236=0),1,12*INDEX(se_block,$D$2236,$E2239)/$E$2236)</f>
        <v/>
      </c>
      <c r="I2239" s="208">
        <f>EXP(SUMPRODUCT((rl_eff&lt;$B2239)*(rl_key=$A$2236)*rl_ln1p))</f>
        <v/>
      </c>
      <c r="J2239" s="208">
        <f>EXP(SUMPRODUCT((rl_eff&lt;=$C2239)*(rl_key=$A$2236)*rl_ln1p))</f>
        <v/>
      </c>
      <c r="K2239" s="201">
        <f>COUNTIFS(rl_key,$A$2236,rl_eff,"&gt;="&amp;$B2239,rl_eff,"&lt;="&amp;$C2239)</f>
        <v/>
      </c>
      <c r="L2239" s="201">
        <f>SUMIFS(rl_daysafter,rl_key,$A$2236,rl_effmonth,$B2239,rl_first,1)</f>
        <v/>
      </c>
      <c r="M2239" s="209">
        <f>IF($K2239=0,0,MIN(1,$L2239/$D2239))</f>
        <v/>
      </c>
      <c r="N2239" s="208">
        <f>IF($K2239=0,$J2239,(1-$M2239)*$I2239+$M2239*$J2239)</f>
        <v/>
      </c>
      <c r="O2239" s="209">
        <f>IF($F2239&lt;$B$2237,$E$2237+$I$2237*($F2239-$A$2237),IF($F2239&lt;$C$2237,$F$2237+$J$2237*($F2239-$B$2237),$G$2237+$K$2237*($F2239-$C$2237)))</f>
        <v/>
      </c>
      <c r="P2239" s="208">
        <f>MIN(1,MAX(0,(nr_MEndPm1-$G2239+0.5)/$C$2236))-MIN(1,MAX(0,(nr_MStartPm1-1-$G2239+0.5)/$C$2236))</f>
        <v/>
      </c>
      <c r="Q2239" s="208">
        <f>MIN(1,MAX(0,(nr_MEndP-$G2239+0.5)/$C$2236))-MIN(1,MAX(0,(nr_MStartP-1-$G2239+0.5)/$C$2236))</f>
        <v/>
      </c>
      <c r="R2239" s="208">
        <f>MIN(1,MAX(0,(nr_MEndP1-$G2239+0.5)/$C$2236))-MIN(1,MAX(0,(nr_MStartP1-1-$G2239+0.5)/$C$2236))</f>
        <v/>
      </c>
      <c r="S2239" s="208">
        <f>IF($L$2236,$N2239*IF($O$2236=1,$O2239/$F$2236,1),"")</f>
        <v/>
      </c>
      <c r="T2239" s="208">
        <f>IF(NOT($L$2236),"",IF($G2239&lt;nr_MStartP,$S2239,$T2227*(1+IF($G2239&lt;nr_MStartP1,$M$2236,$N$2236))))</f>
        <v/>
      </c>
      <c r="U2239" s="208">
        <f>IF($L$2236,$T2239,$N2239)</f>
        <v/>
      </c>
    </row>
    <row r="2240">
      <c r="A2240" s="145" t="n">
        <v>2</v>
      </c>
      <c r="B2240" s="204">
        <f>EDATE($B2239,1)</f>
        <v/>
      </c>
      <c r="C2240" s="205">
        <f>EOMONTH($B2240,0)</f>
        <v/>
      </c>
      <c r="D2240" s="201">
        <f>$C2240-$B2240+1</f>
        <v/>
      </c>
      <c r="E2240" s="201">
        <f>MONTH($B2240)</f>
        <v/>
      </c>
      <c r="F2240" s="235">
        <f>($B2240+$C2240+1)/2</f>
        <v/>
      </c>
      <c r="G2240" s="201">
        <f>YEAR($B2240)*12+MONTH($B2240)-1</f>
        <v/>
      </c>
      <c r="H2240" s="207">
        <f>IF(OR(nr_SeasonOn="OFF",$D$2236=0,$E$2236=0),1,12*INDEX(se_block,$D$2236,$E2240)/$E$2236)</f>
        <v/>
      </c>
      <c r="I2240" s="208">
        <f>EXP(SUMPRODUCT((rl_eff&lt;$B2240)*(rl_key=$A$2236)*rl_ln1p))</f>
        <v/>
      </c>
      <c r="J2240" s="208">
        <f>EXP(SUMPRODUCT((rl_eff&lt;=$C2240)*(rl_key=$A$2236)*rl_ln1p))</f>
        <v/>
      </c>
      <c r="K2240" s="201">
        <f>COUNTIFS(rl_key,$A$2236,rl_eff,"&gt;="&amp;$B2240,rl_eff,"&lt;="&amp;$C2240)</f>
        <v/>
      </c>
      <c r="L2240" s="201">
        <f>SUMIFS(rl_daysafter,rl_key,$A$2236,rl_effmonth,$B2240,rl_first,1)</f>
        <v/>
      </c>
      <c r="M2240" s="209">
        <f>IF($K2240=0,0,MIN(1,$L2240/$D2240))</f>
        <v/>
      </c>
      <c r="N2240" s="208">
        <f>IF($K2240=0,$J2240,(1-$M2240)*$I2240+$M2240*$J2240)</f>
        <v/>
      </c>
      <c r="O2240" s="209">
        <f>IF($F2240&lt;$B$2237,$E$2237+$I$2237*($F2240-$A$2237),IF($F2240&lt;$C$2237,$F$2237+$J$2237*($F2240-$B$2237),$G$2237+$K$2237*($F2240-$C$2237)))</f>
        <v/>
      </c>
      <c r="P2240" s="208">
        <f>MIN(1,MAX(0,(nr_MEndPm1-$G2240+0.5)/$C$2236))-MIN(1,MAX(0,(nr_MStartPm1-1-$G2240+0.5)/$C$2236))</f>
        <v/>
      </c>
      <c r="Q2240" s="208">
        <f>MIN(1,MAX(0,(nr_MEndP-$G2240+0.5)/$C$2236))-MIN(1,MAX(0,(nr_MStartP-1-$G2240+0.5)/$C$2236))</f>
        <v/>
      </c>
      <c r="R2240" s="208">
        <f>MIN(1,MAX(0,(nr_MEndP1-$G2240+0.5)/$C$2236))-MIN(1,MAX(0,(nr_MStartP1-1-$G2240+0.5)/$C$2236))</f>
        <v/>
      </c>
      <c r="S2240" s="208">
        <f>IF($L$2236,$N2240*IF($O$2236=1,$O2240/$F$2236,1),"")</f>
        <v/>
      </c>
      <c r="T2240" s="208">
        <f>IF(NOT($L$2236),"",IF($G2240&lt;nr_MStartP,$S2240,$T2228*(1+IF($G2240&lt;nr_MStartP1,$M$2236,$N$2236))))</f>
        <v/>
      </c>
      <c r="U2240" s="208">
        <f>IF($L$2236,$T2240,$N2240)</f>
        <v/>
      </c>
    </row>
    <row r="2241">
      <c r="A2241" s="145" t="n">
        <v>3</v>
      </c>
      <c r="B2241" s="204">
        <f>EDATE($B2240,1)</f>
        <v/>
      </c>
      <c r="C2241" s="205">
        <f>EOMONTH($B2241,0)</f>
        <v/>
      </c>
      <c r="D2241" s="201">
        <f>$C2241-$B2241+1</f>
        <v/>
      </c>
      <c r="E2241" s="201">
        <f>MONTH($B2241)</f>
        <v/>
      </c>
      <c r="F2241" s="235">
        <f>($B2241+$C2241+1)/2</f>
        <v/>
      </c>
      <c r="G2241" s="201">
        <f>YEAR($B2241)*12+MONTH($B2241)-1</f>
        <v/>
      </c>
      <c r="H2241" s="207">
        <f>IF(OR(nr_SeasonOn="OFF",$D$2236=0,$E$2236=0),1,12*INDEX(se_block,$D$2236,$E2241)/$E$2236)</f>
        <v/>
      </c>
      <c r="I2241" s="208">
        <f>EXP(SUMPRODUCT((rl_eff&lt;$B2241)*(rl_key=$A$2236)*rl_ln1p))</f>
        <v/>
      </c>
      <c r="J2241" s="208">
        <f>EXP(SUMPRODUCT((rl_eff&lt;=$C2241)*(rl_key=$A$2236)*rl_ln1p))</f>
        <v/>
      </c>
      <c r="K2241" s="201">
        <f>COUNTIFS(rl_key,$A$2236,rl_eff,"&gt;="&amp;$B2241,rl_eff,"&lt;="&amp;$C2241)</f>
        <v/>
      </c>
      <c r="L2241" s="201">
        <f>SUMIFS(rl_daysafter,rl_key,$A$2236,rl_effmonth,$B2241,rl_first,1)</f>
        <v/>
      </c>
      <c r="M2241" s="209">
        <f>IF($K2241=0,0,MIN(1,$L2241/$D2241))</f>
        <v/>
      </c>
      <c r="N2241" s="208">
        <f>IF($K2241=0,$J2241,(1-$M2241)*$I2241+$M2241*$J2241)</f>
        <v/>
      </c>
      <c r="O2241" s="209">
        <f>IF($F2241&lt;$B$2237,$E$2237+$I$2237*($F2241-$A$2237),IF($F2241&lt;$C$2237,$F$2237+$J$2237*($F2241-$B$2237),$G$2237+$K$2237*($F2241-$C$2237)))</f>
        <v/>
      </c>
      <c r="P2241" s="208">
        <f>MIN(1,MAX(0,(nr_MEndPm1-$G2241+0.5)/$C$2236))-MIN(1,MAX(0,(nr_MStartPm1-1-$G2241+0.5)/$C$2236))</f>
        <v/>
      </c>
      <c r="Q2241" s="208">
        <f>MIN(1,MAX(0,(nr_MEndP-$G2241+0.5)/$C$2236))-MIN(1,MAX(0,(nr_MStartP-1-$G2241+0.5)/$C$2236))</f>
        <v/>
      </c>
      <c r="R2241" s="208">
        <f>MIN(1,MAX(0,(nr_MEndP1-$G2241+0.5)/$C$2236))-MIN(1,MAX(0,(nr_MStartP1-1-$G2241+0.5)/$C$2236))</f>
        <v/>
      </c>
      <c r="S2241" s="208">
        <f>IF($L$2236,$N2241*IF($O$2236=1,$O2241/$F$2236,1),"")</f>
        <v/>
      </c>
      <c r="T2241" s="208">
        <f>IF(NOT($L$2236),"",IF($G2241&lt;nr_MStartP,$S2241,$T2229*(1+IF($G2241&lt;nr_MStartP1,$M$2236,$N$2236))))</f>
        <v/>
      </c>
      <c r="U2241" s="208">
        <f>IF($L$2236,$T2241,$N2241)</f>
        <v/>
      </c>
    </row>
    <row r="2242">
      <c r="A2242" s="145" t="n">
        <v>4</v>
      </c>
      <c r="B2242" s="204">
        <f>EDATE($B2241,1)</f>
        <v/>
      </c>
      <c r="C2242" s="205">
        <f>EOMONTH($B2242,0)</f>
        <v/>
      </c>
      <c r="D2242" s="201">
        <f>$C2242-$B2242+1</f>
        <v/>
      </c>
      <c r="E2242" s="201">
        <f>MONTH($B2242)</f>
        <v/>
      </c>
      <c r="F2242" s="235">
        <f>($B2242+$C2242+1)/2</f>
        <v/>
      </c>
      <c r="G2242" s="201">
        <f>YEAR($B2242)*12+MONTH($B2242)-1</f>
        <v/>
      </c>
      <c r="H2242" s="207">
        <f>IF(OR(nr_SeasonOn="OFF",$D$2236=0,$E$2236=0),1,12*INDEX(se_block,$D$2236,$E2242)/$E$2236)</f>
        <v/>
      </c>
      <c r="I2242" s="208">
        <f>EXP(SUMPRODUCT((rl_eff&lt;$B2242)*(rl_key=$A$2236)*rl_ln1p))</f>
        <v/>
      </c>
      <c r="J2242" s="208">
        <f>EXP(SUMPRODUCT((rl_eff&lt;=$C2242)*(rl_key=$A$2236)*rl_ln1p))</f>
        <v/>
      </c>
      <c r="K2242" s="201">
        <f>COUNTIFS(rl_key,$A$2236,rl_eff,"&gt;="&amp;$B2242,rl_eff,"&lt;="&amp;$C2242)</f>
        <v/>
      </c>
      <c r="L2242" s="201">
        <f>SUMIFS(rl_daysafter,rl_key,$A$2236,rl_effmonth,$B2242,rl_first,1)</f>
        <v/>
      </c>
      <c r="M2242" s="209">
        <f>IF($K2242=0,0,MIN(1,$L2242/$D2242))</f>
        <v/>
      </c>
      <c r="N2242" s="208">
        <f>IF($K2242=0,$J2242,(1-$M2242)*$I2242+$M2242*$J2242)</f>
        <v/>
      </c>
      <c r="O2242" s="209">
        <f>IF($F2242&lt;$B$2237,$E$2237+$I$2237*($F2242-$A$2237),IF($F2242&lt;$C$2237,$F$2237+$J$2237*($F2242-$B$2237),$G$2237+$K$2237*($F2242-$C$2237)))</f>
        <v/>
      </c>
      <c r="P2242" s="208">
        <f>MIN(1,MAX(0,(nr_MEndPm1-$G2242+0.5)/$C$2236))-MIN(1,MAX(0,(nr_MStartPm1-1-$G2242+0.5)/$C$2236))</f>
        <v/>
      </c>
      <c r="Q2242" s="208">
        <f>MIN(1,MAX(0,(nr_MEndP-$G2242+0.5)/$C$2236))-MIN(1,MAX(0,(nr_MStartP-1-$G2242+0.5)/$C$2236))</f>
        <v/>
      </c>
      <c r="R2242" s="208">
        <f>MIN(1,MAX(0,(nr_MEndP1-$G2242+0.5)/$C$2236))-MIN(1,MAX(0,(nr_MStartP1-1-$G2242+0.5)/$C$2236))</f>
        <v/>
      </c>
      <c r="S2242" s="208">
        <f>IF($L$2236,$N2242*IF($O$2236=1,$O2242/$F$2236,1),"")</f>
        <v/>
      </c>
      <c r="T2242" s="208">
        <f>IF(NOT($L$2236),"",IF($G2242&lt;nr_MStartP,$S2242,$T2230*(1+IF($G2242&lt;nr_MStartP1,$M$2236,$N$2236))))</f>
        <v/>
      </c>
      <c r="U2242" s="208">
        <f>IF($L$2236,$T2242,$N2242)</f>
        <v/>
      </c>
    </row>
    <row r="2243">
      <c r="A2243" s="145" t="n">
        <v>5</v>
      </c>
      <c r="B2243" s="204">
        <f>EDATE($B2242,1)</f>
        <v/>
      </c>
      <c r="C2243" s="205">
        <f>EOMONTH($B2243,0)</f>
        <v/>
      </c>
      <c r="D2243" s="201">
        <f>$C2243-$B2243+1</f>
        <v/>
      </c>
      <c r="E2243" s="201">
        <f>MONTH($B2243)</f>
        <v/>
      </c>
      <c r="F2243" s="235">
        <f>($B2243+$C2243+1)/2</f>
        <v/>
      </c>
      <c r="G2243" s="201">
        <f>YEAR($B2243)*12+MONTH($B2243)-1</f>
        <v/>
      </c>
      <c r="H2243" s="207">
        <f>IF(OR(nr_SeasonOn="OFF",$D$2236=0,$E$2236=0),1,12*INDEX(se_block,$D$2236,$E2243)/$E$2236)</f>
        <v/>
      </c>
      <c r="I2243" s="208">
        <f>EXP(SUMPRODUCT((rl_eff&lt;$B2243)*(rl_key=$A$2236)*rl_ln1p))</f>
        <v/>
      </c>
      <c r="J2243" s="208">
        <f>EXP(SUMPRODUCT((rl_eff&lt;=$C2243)*(rl_key=$A$2236)*rl_ln1p))</f>
        <v/>
      </c>
      <c r="K2243" s="201">
        <f>COUNTIFS(rl_key,$A$2236,rl_eff,"&gt;="&amp;$B2243,rl_eff,"&lt;="&amp;$C2243)</f>
        <v/>
      </c>
      <c r="L2243" s="201">
        <f>SUMIFS(rl_daysafter,rl_key,$A$2236,rl_effmonth,$B2243,rl_first,1)</f>
        <v/>
      </c>
      <c r="M2243" s="209">
        <f>IF($K2243=0,0,MIN(1,$L2243/$D2243))</f>
        <v/>
      </c>
      <c r="N2243" s="208">
        <f>IF($K2243=0,$J2243,(1-$M2243)*$I2243+$M2243*$J2243)</f>
        <v/>
      </c>
      <c r="O2243" s="209">
        <f>IF($F2243&lt;$B$2237,$E$2237+$I$2237*($F2243-$A$2237),IF($F2243&lt;$C$2237,$F$2237+$J$2237*($F2243-$B$2237),$G$2237+$K$2237*($F2243-$C$2237)))</f>
        <v/>
      </c>
      <c r="P2243" s="208">
        <f>MIN(1,MAX(0,(nr_MEndPm1-$G2243+0.5)/$C$2236))-MIN(1,MAX(0,(nr_MStartPm1-1-$G2243+0.5)/$C$2236))</f>
        <v/>
      </c>
      <c r="Q2243" s="208">
        <f>MIN(1,MAX(0,(nr_MEndP-$G2243+0.5)/$C$2236))-MIN(1,MAX(0,(nr_MStartP-1-$G2243+0.5)/$C$2236))</f>
        <v/>
      </c>
      <c r="R2243" s="208">
        <f>MIN(1,MAX(0,(nr_MEndP1-$G2243+0.5)/$C$2236))-MIN(1,MAX(0,(nr_MStartP1-1-$G2243+0.5)/$C$2236))</f>
        <v/>
      </c>
      <c r="S2243" s="208">
        <f>IF($L$2236,$N2243*IF($O$2236=1,$O2243/$F$2236,1),"")</f>
        <v/>
      </c>
      <c r="T2243" s="208">
        <f>IF(NOT($L$2236),"",IF($G2243&lt;nr_MStartP,$S2243,$T2231*(1+IF($G2243&lt;nr_MStartP1,$M$2236,$N$2236))))</f>
        <v/>
      </c>
      <c r="U2243" s="208">
        <f>IF($L$2236,$T2243,$N2243)</f>
        <v/>
      </c>
    </row>
    <row r="2244">
      <c r="A2244" s="145" t="n">
        <v>6</v>
      </c>
      <c r="B2244" s="204">
        <f>EDATE($B2243,1)</f>
        <v/>
      </c>
      <c r="C2244" s="205">
        <f>EOMONTH($B2244,0)</f>
        <v/>
      </c>
      <c r="D2244" s="201">
        <f>$C2244-$B2244+1</f>
        <v/>
      </c>
      <c r="E2244" s="201">
        <f>MONTH($B2244)</f>
        <v/>
      </c>
      <c r="F2244" s="235">
        <f>($B2244+$C2244+1)/2</f>
        <v/>
      </c>
      <c r="G2244" s="201">
        <f>YEAR($B2244)*12+MONTH($B2244)-1</f>
        <v/>
      </c>
      <c r="H2244" s="207">
        <f>IF(OR(nr_SeasonOn="OFF",$D$2236=0,$E$2236=0),1,12*INDEX(se_block,$D$2236,$E2244)/$E$2236)</f>
        <v/>
      </c>
      <c r="I2244" s="208">
        <f>EXP(SUMPRODUCT((rl_eff&lt;$B2244)*(rl_key=$A$2236)*rl_ln1p))</f>
        <v/>
      </c>
      <c r="J2244" s="208">
        <f>EXP(SUMPRODUCT((rl_eff&lt;=$C2244)*(rl_key=$A$2236)*rl_ln1p))</f>
        <v/>
      </c>
      <c r="K2244" s="201">
        <f>COUNTIFS(rl_key,$A$2236,rl_eff,"&gt;="&amp;$B2244,rl_eff,"&lt;="&amp;$C2244)</f>
        <v/>
      </c>
      <c r="L2244" s="201">
        <f>SUMIFS(rl_daysafter,rl_key,$A$2236,rl_effmonth,$B2244,rl_first,1)</f>
        <v/>
      </c>
      <c r="M2244" s="209">
        <f>IF($K2244=0,0,MIN(1,$L2244/$D2244))</f>
        <v/>
      </c>
      <c r="N2244" s="208">
        <f>IF($K2244=0,$J2244,(1-$M2244)*$I2244+$M2244*$J2244)</f>
        <v/>
      </c>
      <c r="O2244" s="209">
        <f>IF($F2244&lt;$B$2237,$E$2237+$I$2237*($F2244-$A$2237),IF($F2244&lt;$C$2237,$F$2237+$J$2237*($F2244-$B$2237),$G$2237+$K$2237*($F2244-$C$2237)))</f>
        <v/>
      </c>
      <c r="P2244" s="208">
        <f>MIN(1,MAX(0,(nr_MEndPm1-$G2244+0.5)/$C$2236))-MIN(1,MAX(0,(nr_MStartPm1-1-$G2244+0.5)/$C$2236))</f>
        <v/>
      </c>
      <c r="Q2244" s="208">
        <f>MIN(1,MAX(0,(nr_MEndP-$G2244+0.5)/$C$2236))-MIN(1,MAX(0,(nr_MStartP-1-$G2244+0.5)/$C$2236))</f>
        <v/>
      </c>
      <c r="R2244" s="208">
        <f>MIN(1,MAX(0,(nr_MEndP1-$G2244+0.5)/$C$2236))-MIN(1,MAX(0,(nr_MStartP1-1-$G2244+0.5)/$C$2236))</f>
        <v/>
      </c>
      <c r="S2244" s="208">
        <f>IF($L$2236,$N2244*IF($O$2236=1,$O2244/$F$2236,1),"")</f>
        <v/>
      </c>
      <c r="T2244" s="208">
        <f>IF(NOT($L$2236),"",IF($G2244&lt;nr_MStartP,$S2244,$T2232*(1+IF($G2244&lt;nr_MStartP1,$M$2236,$N$2236))))</f>
        <v/>
      </c>
      <c r="U2244" s="208">
        <f>IF($L$2236,$T2244,$N2244)</f>
        <v/>
      </c>
    </row>
    <row r="2245">
      <c r="A2245" s="145" t="n">
        <v>7</v>
      </c>
      <c r="B2245" s="204">
        <f>EDATE($B2244,1)</f>
        <v/>
      </c>
      <c r="C2245" s="205">
        <f>EOMONTH($B2245,0)</f>
        <v/>
      </c>
      <c r="D2245" s="201">
        <f>$C2245-$B2245+1</f>
        <v/>
      </c>
      <c r="E2245" s="201">
        <f>MONTH($B2245)</f>
        <v/>
      </c>
      <c r="F2245" s="235">
        <f>($B2245+$C2245+1)/2</f>
        <v/>
      </c>
      <c r="G2245" s="201">
        <f>YEAR($B2245)*12+MONTH($B2245)-1</f>
        <v/>
      </c>
      <c r="H2245" s="207">
        <f>IF(OR(nr_SeasonOn="OFF",$D$2236=0,$E$2236=0),1,12*INDEX(se_block,$D$2236,$E2245)/$E$2236)</f>
        <v/>
      </c>
      <c r="I2245" s="208">
        <f>EXP(SUMPRODUCT((rl_eff&lt;$B2245)*(rl_key=$A$2236)*rl_ln1p))</f>
        <v/>
      </c>
      <c r="J2245" s="208">
        <f>EXP(SUMPRODUCT((rl_eff&lt;=$C2245)*(rl_key=$A$2236)*rl_ln1p))</f>
        <v/>
      </c>
      <c r="K2245" s="201">
        <f>COUNTIFS(rl_key,$A$2236,rl_eff,"&gt;="&amp;$B2245,rl_eff,"&lt;="&amp;$C2245)</f>
        <v/>
      </c>
      <c r="L2245" s="201">
        <f>SUMIFS(rl_daysafter,rl_key,$A$2236,rl_effmonth,$B2245,rl_first,1)</f>
        <v/>
      </c>
      <c r="M2245" s="209">
        <f>IF($K2245=0,0,MIN(1,$L2245/$D2245))</f>
        <v/>
      </c>
      <c r="N2245" s="208">
        <f>IF($K2245=0,$J2245,(1-$M2245)*$I2245+$M2245*$J2245)</f>
        <v/>
      </c>
      <c r="O2245" s="209">
        <f>IF($F2245&lt;$B$2237,$E$2237+$I$2237*($F2245-$A$2237),IF($F2245&lt;$C$2237,$F$2237+$J$2237*($F2245-$B$2237),$G$2237+$K$2237*($F2245-$C$2237)))</f>
        <v/>
      </c>
      <c r="P2245" s="208">
        <f>MIN(1,MAX(0,(nr_MEndPm1-$G2245+0.5)/$C$2236))-MIN(1,MAX(0,(nr_MStartPm1-1-$G2245+0.5)/$C$2236))</f>
        <v/>
      </c>
      <c r="Q2245" s="208">
        <f>MIN(1,MAX(0,(nr_MEndP-$G2245+0.5)/$C$2236))-MIN(1,MAX(0,(nr_MStartP-1-$G2245+0.5)/$C$2236))</f>
        <v/>
      </c>
      <c r="R2245" s="208">
        <f>MIN(1,MAX(0,(nr_MEndP1-$G2245+0.5)/$C$2236))-MIN(1,MAX(0,(nr_MStartP1-1-$G2245+0.5)/$C$2236))</f>
        <v/>
      </c>
      <c r="S2245" s="208">
        <f>IF($L$2236,$N2245*IF($O$2236=1,$O2245/$F$2236,1),"")</f>
        <v/>
      </c>
      <c r="T2245" s="208">
        <f>IF(NOT($L$2236),"",IF($G2245&lt;nr_MStartP,$S2245,$T2233*(1+IF($G2245&lt;nr_MStartP1,$M$2236,$N$2236))))</f>
        <v/>
      </c>
      <c r="U2245" s="208">
        <f>IF($L$2236,$T2245,$N2245)</f>
        <v/>
      </c>
    </row>
    <row r="2246">
      <c r="A2246" s="145" t="n">
        <v>8</v>
      </c>
      <c r="B2246" s="204">
        <f>EDATE($B2245,1)</f>
        <v/>
      </c>
      <c r="C2246" s="205">
        <f>EOMONTH($B2246,0)</f>
        <v/>
      </c>
      <c r="D2246" s="201">
        <f>$C2246-$B2246+1</f>
        <v/>
      </c>
      <c r="E2246" s="201">
        <f>MONTH($B2246)</f>
        <v/>
      </c>
      <c r="F2246" s="235">
        <f>($B2246+$C2246+1)/2</f>
        <v/>
      </c>
      <c r="G2246" s="201">
        <f>YEAR($B2246)*12+MONTH($B2246)-1</f>
        <v/>
      </c>
      <c r="H2246" s="207">
        <f>IF(OR(nr_SeasonOn="OFF",$D$2236=0,$E$2236=0),1,12*INDEX(se_block,$D$2236,$E2246)/$E$2236)</f>
        <v/>
      </c>
      <c r="I2246" s="208">
        <f>EXP(SUMPRODUCT((rl_eff&lt;$B2246)*(rl_key=$A$2236)*rl_ln1p))</f>
        <v/>
      </c>
      <c r="J2246" s="208">
        <f>EXP(SUMPRODUCT((rl_eff&lt;=$C2246)*(rl_key=$A$2236)*rl_ln1p))</f>
        <v/>
      </c>
      <c r="K2246" s="201">
        <f>COUNTIFS(rl_key,$A$2236,rl_eff,"&gt;="&amp;$B2246,rl_eff,"&lt;="&amp;$C2246)</f>
        <v/>
      </c>
      <c r="L2246" s="201">
        <f>SUMIFS(rl_daysafter,rl_key,$A$2236,rl_effmonth,$B2246,rl_first,1)</f>
        <v/>
      </c>
      <c r="M2246" s="209">
        <f>IF($K2246=0,0,MIN(1,$L2246/$D2246))</f>
        <v/>
      </c>
      <c r="N2246" s="208">
        <f>IF($K2246=0,$J2246,(1-$M2246)*$I2246+$M2246*$J2246)</f>
        <v/>
      </c>
      <c r="O2246" s="209">
        <f>IF($F2246&lt;$B$2237,$E$2237+$I$2237*($F2246-$A$2237),IF($F2246&lt;$C$2237,$F$2237+$J$2237*($F2246-$B$2237),$G$2237+$K$2237*($F2246-$C$2237)))</f>
        <v/>
      </c>
      <c r="P2246" s="208">
        <f>MIN(1,MAX(0,(nr_MEndPm1-$G2246+0.5)/$C$2236))-MIN(1,MAX(0,(nr_MStartPm1-1-$G2246+0.5)/$C$2236))</f>
        <v/>
      </c>
      <c r="Q2246" s="208">
        <f>MIN(1,MAX(0,(nr_MEndP-$G2246+0.5)/$C$2236))-MIN(1,MAX(0,(nr_MStartP-1-$G2246+0.5)/$C$2236))</f>
        <v/>
      </c>
      <c r="R2246" s="208">
        <f>MIN(1,MAX(0,(nr_MEndP1-$G2246+0.5)/$C$2236))-MIN(1,MAX(0,(nr_MStartP1-1-$G2246+0.5)/$C$2236))</f>
        <v/>
      </c>
      <c r="S2246" s="208">
        <f>IF($L$2236,$N2246*IF($O$2236=1,$O2246/$F$2236,1),"")</f>
        <v/>
      </c>
      <c r="T2246" s="208">
        <f>IF(NOT($L$2236),"",IF($G2246&lt;nr_MStartP,$S2246,$T2234*(1+IF($G2246&lt;nr_MStartP1,$M$2236,$N$2236))))</f>
        <v/>
      </c>
      <c r="U2246" s="208">
        <f>IF($L$2236,$T2246,$N2246)</f>
        <v/>
      </c>
    </row>
    <row r="2247">
      <c r="A2247" s="145" t="n">
        <v>9</v>
      </c>
      <c r="B2247" s="204">
        <f>EDATE($B2246,1)</f>
        <v/>
      </c>
      <c r="C2247" s="205">
        <f>EOMONTH($B2247,0)</f>
        <v/>
      </c>
      <c r="D2247" s="201">
        <f>$C2247-$B2247+1</f>
        <v/>
      </c>
      <c r="E2247" s="201">
        <f>MONTH($B2247)</f>
        <v/>
      </c>
      <c r="F2247" s="235">
        <f>($B2247+$C2247+1)/2</f>
        <v/>
      </c>
      <c r="G2247" s="201">
        <f>YEAR($B2247)*12+MONTH($B2247)-1</f>
        <v/>
      </c>
      <c r="H2247" s="207">
        <f>IF(OR(nr_SeasonOn="OFF",$D$2236=0,$E$2236=0),1,12*INDEX(se_block,$D$2236,$E2247)/$E$2236)</f>
        <v/>
      </c>
      <c r="I2247" s="208">
        <f>EXP(SUMPRODUCT((rl_eff&lt;$B2247)*(rl_key=$A$2236)*rl_ln1p))</f>
        <v/>
      </c>
      <c r="J2247" s="208">
        <f>EXP(SUMPRODUCT((rl_eff&lt;=$C2247)*(rl_key=$A$2236)*rl_ln1p))</f>
        <v/>
      </c>
      <c r="K2247" s="201">
        <f>COUNTIFS(rl_key,$A$2236,rl_eff,"&gt;="&amp;$B2247,rl_eff,"&lt;="&amp;$C2247)</f>
        <v/>
      </c>
      <c r="L2247" s="201">
        <f>SUMIFS(rl_daysafter,rl_key,$A$2236,rl_effmonth,$B2247,rl_first,1)</f>
        <v/>
      </c>
      <c r="M2247" s="209">
        <f>IF($K2247=0,0,MIN(1,$L2247/$D2247))</f>
        <v/>
      </c>
      <c r="N2247" s="208">
        <f>IF($K2247=0,$J2247,(1-$M2247)*$I2247+$M2247*$J2247)</f>
        <v/>
      </c>
      <c r="O2247" s="209">
        <f>IF($F2247&lt;$B$2237,$E$2237+$I$2237*($F2247-$A$2237),IF($F2247&lt;$C$2237,$F$2237+$J$2237*($F2247-$B$2237),$G$2237+$K$2237*($F2247-$C$2237)))</f>
        <v/>
      </c>
      <c r="P2247" s="208">
        <f>MIN(1,MAX(0,(nr_MEndPm1-$G2247+0.5)/$C$2236))-MIN(1,MAX(0,(nr_MStartPm1-1-$G2247+0.5)/$C$2236))</f>
        <v/>
      </c>
      <c r="Q2247" s="208">
        <f>MIN(1,MAX(0,(nr_MEndP-$G2247+0.5)/$C$2236))-MIN(1,MAX(0,(nr_MStartP-1-$G2247+0.5)/$C$2236))</f>
        <v/>
      </c>
      <c r="R2247" s="208">
        <f>MIN(1,MAX(0,(nr_MEndP1-$G2247+0.5)/$C$2236))-MIN(1,MAX(0,(nr_MStartP1-1-$G2247+0.5)/$C$2236))</f>
        <v/>
      </c>
      <c r="S2247" s="208">
        <f>IF($L$2236,$N2247*IF($O$2236=1,$O2247/$F$2236,1),"")</f>
        <v/>
      </c>
      <c r="T2247" s="208">
        <f>IF(NOT($L$2236),"",IF($G2247&lt;nr_MStartP,$S2247,$T2235*(1+IF($G2247&lt;nr_MStartP1,$M$2236,$N$2236))))</f>
        <v/>
      </c>
      <c r="U2247" s="208">
        <f>IF($L$2236,$T2247,$N2247)</f>
        <v/>
      </c>
    </row>
    <row r="2248">
      <c r="A2248" s="145" t="n">
        <v>10</v>
      </c>
      <c r="B2248" s="204">
        <f>EDATE($B2247,1)</f>
        <v/>
      </c>
      <c r="C2248" s="205">
        <f>EOMONTH($B2248,0)</f>
        <v/>
      </c>
      <c r="D2248" s="201">
        <f>$C2248-$B2248+1</f>
        <v/>
      </c>
      <c r="E2248" s="201">
        <f>MONTH($B2248)</f>
        <v/>
      </c>
      <c r="F2248" s="235">
        <f>($B2248+$C2248+1)/2</f>
        <v/>
      </c>
      <c r="G2248" s="201">
        <f>YEAR($B2248)*12+MONTH($B2248)-1</f>
        <v/>
      </c>
      <c r="H2248" s="207">
        <f>IF(OR(nr_SeasonOn="OFF",$D$2236=0,$E$2236=0),1,12*INDEX(se_block,$D$2236,$E2248)/$E$2236)</f>
        <v/>
      </c>
      <c r="I2248" s="208">
        <f>EXP(SUMPRODUCT((rl_eff&lt;$B2248)*(rl_key=$A$2236)*rl_ln1p))</f>
        <v/>
      </c>
      <c r="J2248" s="208">
        <f>EXP(SUMPRODUCT((rl_eff&lt;=$C2248)*(rl_key=$A$2236)*rl_ln1p))</f>
        <v/>
      </c>
      <c r="K2248" s="201">
        <f>COUNTIFS(rl_key,$A$2236,rl_eff,"&gt;="&amp;$B2248,rl_eff,"&lt;="&amp;$C2248)</f>
        <v/>
      </c>
      <c r="L2248" s="201">
        <f>SUMIFS(rl_daysafter,rl_key,$A$2236,rl_effmonth,$B2248,rl_first,1)</f>
        <v/>
      </c>
      <c r="M2248" s="209">
        <f>IF($K2248=0,0,MIN(1,$L2248/$D2248))</f>
        <v/>
      </c>
      <c r="N2248" s="208">
        <f>IF($K2248=0,$J2248,(1-$M2248)*$I2248+$M2248*$J2248)</f>
        <v/>
      </c>
      <c r="O2248" s="209">
        <f>IF($F2248&lt;$B$2237,$E$2237+$I$2237*($F2248-$A$2237),IF($F2248&lt;$C$2237,$F$2237+$J$2237*($F2248-$B$2237),$G$2237+$K$2237*($F2248-$C$2237)))</f>
        <v/>
      </c>
      <c r="P2248" s="208">
        <f>MIN(1,MAX(0,(nr_MEndPm1-$G2248+0.5)/$C$2236))-MIN(1,MAX(0,(nr_MStartPm1-1-$G2248+0.5)/$C$2236))</f>
        <v/>
      </c>
      <c r="Q2248" s="208">
        <f>MIN(1,MAX(0,(nr_MEndP-$G2248+0.5)/$C$2236))-MIN(1,MAX(0,(nr_MStartP-1-$G2248+0.5)/$C$2236))</f>
        <v/>
      </c>
      <c r="R2248" s="208">
        <f>MIN(1,MAX(0,(nr_MEndP1-$G2248+0.5)/$C$2236))-MIN(1,MAX(0,(nr_MStartP1-1-$G2248+0.5)/$C$2236))</f>
        <v/>
      </c>
      <c r="S2248" s="208">
        <f>IF($L$2236,$N2248*IF($O$2236=1,$O2248/$F$2236,1),"")</f>
        <v/>
      </c>
      <c r="T2248" s="208">
        <f>IF(NOT($L$2236),"",IF($G2248&lt;nr_MStartP,$S2248,$T2236*(1+IF($G2248&lt;nr_MStartP1,$M$2236,$N$2236))))</f>
        <v/>
      </c>
      <c r="U2248" s="208">
        <f>IF($L$2236,$T2248,$N2248)</f>
        <v/>
      </c>
    </row>
    <row r="2249">
      <c r="A2249" s="145" t="n">
        <v>11</v>
      </c>
      <c r="B2249" s="204">
        <f>EDATE($B2248,1)</f>
        <v/>
      </c>
      <c r="C2249" s="205">
        <f>EOMONTH($B2249,0)</f>
        <v/>
      </c>
      <c r="D2249" s="201">
        <f>$C2249-$B2249+1</f>
        <v/>
      </c>
      <c r="E2249" s="201">
        <f>MONTH($B2249)</f>
        <v/>
      </c>
      <c r="F2249" s="235">
        <f>($B2249+$C2249+1)/2</f>
        <v/>
      </c>
      <c r="G2249" s="201">
        <f>YEAR($B2249)*12+MONTH($B2249)-1</f>
        <v/>
      </c>
      <c r="H2249" s="207">
        <f>IF(OR(nr_SeasonOn="OFF",$D$2236=0,$E$2236=0),1,12*INDEX(se_block,$D$2236,$E2249)/$E$2236)</f>
        <v/>
      </c>
      <c r="I2249" s="208">
        <f>EXP(SUMPRODUCT((rl_eff&lt;$B2249)*(rl_key=$A$2236)*rl_ln1p))</f>
        <v/>
      </c>
      <c r="J2249" s="208">
        <f>EXP(SUMPRODUCT((rl_eff&lt;=$C2249)*(rl_key=$A$2236)*rl_ln1p))</f>
        <v/>
      </c>
      <c r="K2249" s="201">
        <f>COUNTIFS(rl_key,$A$2236,rl_eff,"&gt;="&amp;$B2249,rl_eff,"&lt;="&amp;$C2249)</f>
        <v/>
      </c>
      <c r="L2249" s="201">
        <f>SUMIFS(rl_daysafter,rl_key,$A$2236,rl_effmonth,$B2249,rl_first,1)</f>
        <v/>
      </c>
      <c r="M2249" s="209">
        <f>IF($K2249=0,0,MIN(1,$L2249/$D2249))</f>
        <v/>
      </c>
      <c r="N2249" s="208">
        <f>IF($K2249=0,$J2249,(1-$M2249)*$I2249+$M2249*$J2249)</f>
        <v/>
      </c>
      <c r="O2249" s="209">
        <f>IF($F2249&lt;$B$2237,$E$2237+$I$2237*($F2249-$A$2237),IF($F2249&lt;$C$2237,$F$2237+$J$2237*($F2249-$B$2237),$G$2237+$K$2237*($F2249-$C$2237)))</f>
        <v/>
      </c>
      <c r="P2249" s="208">
        <f>MIN(1,MAX(0,(nr_MEndPm1-$G2249+0.5)/$C$2236))-MIN(1,MAX(0,(nr_MStartPm1-1-$G2249+0.5)/$C$2236))</f>
        <v/>
      </c>
      <c r="Q2249" s="208">
        <f>MIN(1,MAX(0,(nr_MEndP-$G2249+0.5)/$C$2236))-MIN(1,MAX(0,(nr_MStartP-1-$G2249+0.5)/$C$2236))</f>
        <v/>
      </c>
      <c r="R2249" s="208">
        <f>MIN(1,MAX(0,(nr_MEndP1-$G2249+0.5)/$C$2236))-MIN(1,MAX(0,(nr_MStartP1-1-$G2249+0.5)/$C$2236))</f>
        <v/>
      </c>
      <c r="S2249" s="208">
        <f>IF($L$2236,$N2249*IF($O$2236=1,$O2249/$F$2236,1),"")</f>
        <v/>
      </c>
      <c r="T2249" s="208">
        <f>IF(NOT($L$2236),"",IF($G2249&lt;nr_MStartP,$S2249,$T2237*(1+IF($G2249&lt;nr_MStartP1,$M$2236,$N$2236))))</f>
        <v/>
      </c>
      <c r="U2249" s="208">
        <f>IF($L$2236,$T2249,$N2249)</f>
        <v/>
      </c>
    </row>
    <row r="2250">
      <c r="A2250" s="145" t="n">
        <v>12</v>
      </c>
      <c r="B2250" s="204">
        <f>EDATE($B2249,1)</f>
        <v/>
      </c>
      <c r="C2250" s="205">
        <f>EOMONTH($B2250,0)</f>
        <v/>
      </c>
      <c r="D2250" s="201">
        <f>$C2250-$B2250+1</f>
        <v/>
      </c>
      <c r="E2250" s="201">
        <f>MONTH($B2250)</f>
        <v/>
      </c>
      <c r="F2250" s="235">
        <f>($B2250+$C2250+1)/2</f>
        <v/>
      </c>
      <c r="G2250" s="201">
        <f>YEAR($B2250)*12+MONTH($B2250)-1</f>
        <v/>
      </c>
      <c r="H2250" s="207">
        <f>IF(OR(nr_SeasonOn="OFF",$D$2236=0,$E$2236=0),1,12*INDEX(se_block,$D$2236,$E2250)/$E$2236)</f>
        <v/>
      </c>
      <c r="I2250" s="208">
        <f>EXP(SUMPRODUCT((rl_eff&lt;$B2250)*(rl_key=$A$2236)*rl_ln1p))</f>
        <v/>
      </c>
      <c r="J2250" s="208">
        <f>EXP(SUMPRODUCT((rl_eff&lt;=$C2250)*(rl_key=$A$2236)*rl_ln1p))</f>
        <v/>
      </c>
      <c r="K2250" s="201">
        <f>COUNTIFS(rl_key,$A$2236,rl_eff,"&gt;="&amp;$B2250,rl_eff,"&lt;="&amp;$C2250)</f>
        <v/>
      </c>
      <c r="L2250" s="201">
        <f>SUMIFS(rl_daysafter,rl_key,$A$2236,rl_effmonth,$B2250,rl_first,1)</f>
        <v/>
      </c>
      <c r="M2250" s="209">
        <f>IF($K2250=0,0,MIN(1,$L2250/$D2250))</f>
        <v/>
      </c>
      <c r="N2250" s="208">
        <f>IF($K2250=0,$J2250,(1-$M2250)*$I2250+$M2250*$J2250)</f>
        <v/>
      </c>
      <c r="O2250" s="209">
        <f>IF($F2250&lt;$B$2237,$E$2237+$I$2237*($F2250-$A$2237),IF($F2250&lt;$C$2237,$F$2237+$J$2237*($F2250-$B$2237),$G$2237+$K$2237*($F2250-$C$2237)))</f>
        <v/>
      </c>
      <c r="P2250" s="208">
        <f>MIN(1,MAX(0,(nr_MEndPm1-$G2250+0.5)/$C$2236))-MIN(1,MAX(0,(nr_MStartPm1-1-$G2250+0.5)/$C$2236))</f>
        <v/>
      </c>
      <c r="Q2250" s="208">
        <f>MIN(1,MAX(0,(nr_MEndP-$G2250+0.5)/$C$2236))-MIN(1,MAX(0,(nr_MStartP-1-$G2250+0.5)/$C$2236))</f>
        <v/>
      </c>
      <c r="R2250" s="208">
        <f>MIN(1,MAX(0,(nr_MEndP1-$G2250+0.5)/$C$2236))-MIN(1,MAX(0,(nr_MStartP1-1-$G2250+0.5)/$C$2236))</f>
        <v/>
      </c>
      <c r="S2250" s="208">
        <f>IF($L$2236,$N2250*IF($O$2236=1,$O2250/$F$2236,1),"")</f>
        <v/>
      </c>
      <c r="T2250" s="208">
        <f>IF(NOT($L$2236),"",IF($G2250&lt;nr_MStartP,$S2250,$T2238*(1+IF($G2250&lt;nr_MStartP1,$M$2236,$N$2236))))</f>
        <v/>
      </c>
      <c r="U2250" s="208">
        <f>IF($L$2236,$T2250,$N2250)</f>
        <v/>
      </c>
    </row>
    <row r="2251">
      <c r="A2251" s="145" t="n">
        <v>13</v>
      </c>
      <c r="B2251" s="204">
        <f>EDATE($B2250,1)</f>
        <v/>
      </c>
      <c r="C2251" s="205">
        <f>EOMONTH($B2251,0)</f>
        <v/>
      </c>
      <c r="D2251" s="201">
        <f>$C2251-$B2251+1</f>
        <v/>
      </c>
      <c r="E2251" s="201">
        <f>MONTH($B2251)</f>
        <v/>
      </c>
      <c r="F2251" s="235">
        <f>($B2251+$C2251+1)/2</f>
        <v/>
      </c>
      <c r="G2251" s="201">
        <f>YEAR($B2251)*12+MONTH($B2251)-1</f>
        <v/>
      </c>
      <c r="H2251" s="207">
        <f>IF(OR(nr_SeasonOn="OFF",$D$2236=0,$E$2236=0),1,12*INDEX(se_block,$D$2236,$E2251)/$E$2236)</f>
        <v/>
      </c>
      <c r="I2251" s="208">
        <f>EXP(SUMPRODUCT((rl_eff&lt;$B2251)*(rl_key=$A$2236)*rl_ln1p))</f>
        <v/>
      </c>
      <c r="J2251" s="208">
        <f>EXP(SUMPRODUCT((rl_eff&lt;=$C2251)*(rl_key=$A$2236)*rl_ln1p))</f>
        <v/>
      </c>
      <c r="K2251" s="201">
        <f>COUNTIFS(rl_key,$A$2236,rl_eff,"&gt;="&amp;$B2251,rl_eff,"&lt;="&amp;$C2251)</f>
        <v/>
      </c>
      <c r="L2251" s="201">
        <f>SUMIFS(rl_daysafter,rl_key,$A$2236,rl_effmonth,$B2251,rl_first,1)</f>
        <v/>
      </c>
      <c r="M2251" s="209">
        <f>IF($K2251=0,0,MIN(1,$L2251/$D2251))</f>
        <v/>
      </c>
      <c r="N2251" s="208">
        <f>IF($K2251=0,$J2251,(1-$M2251)*$I2251+$M2251*$J2251)</f>
        <v/>
      </c>
      <c r="O2251" s="209">
        <f>IF($F2251&lt;$B$2237,$E$2237+$I$2237*($F2251-$A$2237),IF($F2251&lt;$C$2237,$F$2237+$J$2237*($F2251-$B$2237),$G$2237+$K$2237*($F2251-$C$2237)))</f>
        <v/>
      </c>
      <c r="P2251" s="208">
        <f>MIN(1,MAX(0,(nr_MEndPm1-$G2251+0.5)/$C$2236))-MIN(1,MAX(0,(nr_MStartPm1-1-$G2251+0.5)/$C$2236))</f>
        <v/>
      </c>
      <c r="Q2251" s="208">
        <f>MIN(1,MAX(0,(nr_MEndP-$G2251+0.5)/$C$2236))-MIN(1,MAX(0,(nr_MStartP-1-$G2251+0.5)/$C$2236))</f>
        <v/>
      </c>
      <c r="R2251" s="208">
        <f>MIN(1,MAX(0,(nr_MEndP1-$G2251+0.5)/$C$2236))-MIN(1,MAX(0,(nr_MStartP1-1-$G2251+0.5)/$C$2236))</f>
        <v/>
      </c>
      <c r="S2251" s="208">
        <f>IF($L$2236,$N2251*IF($O$2236=1,$O2251/$F$2236,1),"")</f>
        <v/>
      </c>
      <c r="T2251" s="208">
        <f>IF(NOT($L$2236),"",IF($G2251&lt;nr_MStartP,$S2251,$T2239*(1+IF($G2251&lt;nr_MStartP1,$M$2236,$N$2236))))</f>
        <v/>
      </c>
      <c r="U2251" s="208">
        <f>IF($L$2236,$T2251,$N2251)</f>
        <v/>
      </c>
    </row>
    <row r="2252">
      <c r="A2252" s="145" t="n">
        <v>14</v>
      </c>
      <c r="B2252" s="204">
        <f>EDATE($B2251,1)</f>
        <v/>
      </c>
      <c r="C2252" s="205">
        <f>EOMONTH($B2252,0)</f>
        <v/>
      </c>
      <c r="D2252" s="201">
        <f>$C2252-$B2252+1</f>
        <v/>
      </c>
      <c r="E2252" s="201">
        <f>MONTH($B2252)</f>
        <v/>
      </c>
      <c r="F2252" s="235">
        <f>($B2252+$C2252+1)/2</f>
        <v/>
      </c>
      <c r="G2252" s="201">
        <f>YEAR($B2252)*12+MONTH($B2252)-1</f>
        <v/>
      </c>
      <c r="H2252" s="207">
        <f>IF(OR(nr_SeasonOn="OFF",$D$2236=0,$E$2236=0),1,12*INDEX(se_block,$D$2236,$E2252)/$E$2236)</f>
        <v/>
      </c>
      <c r="I2252" s="208">
        <f>EXP(SUMPRODUCT((rl_eff&lt;$B2252)*(rl_key=$A$2236)*rl_ln1p))</f>
        <v/>
      </c>
      <c r="J2252" s="208">
        <f>EXP(SUMPRODUCT((rl_eff&lt;=$C2252)*(rl_key=$A$2236)*rl_ln1p))</f>
        <v/>
      </c>
      <c r="K2252" s="201">
        <f>COUNTIFS(rl_key,$A$2236,rl_eff,"&gt;="&amp;$B2252,rl_eff,"&lt;="&amp;$C2252)</f>
        <v/>
      </c>
      <c r="L2252" s="201">
        <f>SUMIFS(rl_daysafter,rl_key,$A$2236,rl_effmonth,$B2252,rl_first,1)</f>
        <v/>
      </c>
      <c r="M2252" s="209">
        <f>IF($K2252=0,0,MIN(1,$L2252/$D2252))</f>
        <v/>
      </c>
      <c r="N2252" s="208">
        <f>IF($K2252=0,$J2252,(1-$M2252)*$I2252+$M2252*$J2252)</f>
        <v/>
      </c>
      <c r="O2252" s="209">
        <f>IF($F2252&lt;$B$2237,$E$2237+$I$2237*($F2252-$A$2237),IF($F2252&lt;$C$2237,$F$2237+$J$2237*($F2252-$B$2237),$G$2237+$K$2237*($F2252-$C$2237)))</f>
        <v/>
      </c>
      <c r="P2252" s="208">
        <f>MIN(1,MAX(0,(nr_MEndPm1-$G2252+0.5)/$C$2236))-MIN(1,MAX(0,(nr_MStartPm1-1-$G2252+0.5)/$C$2236))</f>
        <v/>
      </c>
      <c r="Q2252" s="208">
        <f>MIN(1,MAX(0,(nr_MEndP-$G2252+0.5)/$C$2236))-MIN(1,MAX(0,(nr_MStartP-1-$G2252+0.5)/$C$2236))</f>
        <v/>
      </c>
      <c r="R2252" s="208">
        <f>MIN(1,MAX(0,(nr_MEndP1-$G2252+0.5)/$C$2236))-MIN(1,MAX(0,(nr_MStartP1-1-$G2252+0.5)/$C$2236))</f>
        <v/>
      </c>
      <c r="S2252" s="208">
        <f>IF($L$2236,$N2252*IF($O$2236=1,$O2252/$F$2236,1),"")</f>
        <v/>
      </c>
      <c r="T2252" s="208">
        <f>IF(NOT($L$2236),"",IF($G2252&lt;nr_MStartP,$S2252,$T2240*(1+IF($G2252&lt;nr_MStartP1,$M$2236,$N$2236))))</f>
        <v/>
      </c>
      <c r="U2252" s="208">
        <f>IF($L$2236,$T2252,$N2252)</f>
        <v/>
      </c>
    </row>
    <row r="2253">
      <c r="A2253" s="145" t="n">
        <v>15</v>
      </c>
      <c r="B2253" s="204">
        <f>EDATE($B2252,1)</f>
        <v/>
      </c>
      <c r="C2253" s="205">
        <f>EOMONTH($B2253,0)</f>
        <v/>
      </c>
      <c r="D2253" s="201">
        <f>$C2253-$B2253+1</f>
        <v/>
      </c>
      <c r="E2253" s="201">
        <f>MONTH($B2253)</f>
        <v/>
      </c>
      <c r="F2253" s="235">
        <f>($B2253+$C2253+1)/2</f>
        <v/>
      </c>
      <c r="G2253" s="201">
        <f>YEAR($B2253)*12+MONTH($B2253)-1</f>
        <v/>
      </c>
      <c r="H2253" s="207">
        <f>IF(OR(nr_SeasonOn="OFF",$D$2236=0,$E$2236=0),1,12*INDEX(se_block,$D$2236,$E2253)/$E$2236)</f>
        <v/>
      </c>
      <c r="I2253" s="208">
        <f>EXP(SUMPRODUCT((rl_eff&lt;$B2253)*(rl_key=$A$2236)*rl_ln1p))</f>
        <v/>
      </c>
      <c r="J2253" s="208">
        <f>EXP(SUMPRODUCT((rl_eff&lt;=$C2253)*(rl_key=$A$2236)*rl_ln1p))</f>
        <v/>
      </c>
      <c r="K2253" s="201">
        <f>COUNTIFS(rl_key,$A$2236,rl_eff,"&gt;="&amp;$B2253,rl_eff,"&lt;="&amp;$C2253)</f>
        <v/>
      </c>
      <c r="L2253" s="201">
        <f>SUMIFS(rl_daysafter,rl_key,$A$2236,rl_effmonth,$B2253,rl_first,1)</f>
        <v/>
      </c>
      <c r="M2253" s="209">
        <f>IF($K2253=0,0,MIN(1,$L2253/$D2253))</f>
        <v/>
      </c>
      <c r="N2253" s="208">
        <f>IF($K2253=0,$J2253,(1-$M2253)*$I2253+$M2253*$J2253)</f>
        <v/>
      </c>
      <c r="O2253" s="209">
        <f>IF($F2253&lt;$B$2237,$E$2237+$I$2237*($F2253-$A$2237),IF($F2253&lt;$C$2237,$F$2237+$J$2237*($F2253-$B$2237),$G$2237+$K$2237*($F2253-$C$2237)))</f>
        <v/>
      </c>
      <c r="P2253" s="208">
        <f>MIN(1,MAX(0,(nr_MEndPm1-$G2253+0.5)/$C$2236))-MIN(1,MAX(0,(nr_MStartPm1-1-$G2253+0.5)/$C$2236))</f>
        <v/>
      </c>
      <c r="Q2253" s="208">
        <f>MIN(1,MAX(0,(nr_MEndP-$G2253+0.5)/$C$2236))-MIN(1,MAX(0,(nr_MStartP-1-$G2253+0.5)/$C$2236))</f>
        <v/>
      </c>
      <c r="R2253" s="208">
        <f>MIN(1,MAX(0,(nr_MEndP1-$G2253+0.5)/$C$2236))-MIN(1,MAX(0,(nr_MStartP1-1-$G2253+0.5)/$C$2236))</f>
        <v/>
      </c>
      <c r="S2253" s="208">
        <f>IF($L$2236,$N2253*IF($O$2236=1,$O2253/$F$2236,1),"")</f>
        <v/>
      </c>
      <c r="T2253" s="208">
        <f>IF(NOT($L$2236),"",IF($G2253&lt;nr_MStartP,$S2253,$T2241*(1+IF($G2253&lt;nr_MStartP1,$M$2236,$N$2236))))</f>
        <v/>
      </c>
      <c r="U2253" s="208">
        <f>IF($L$2236,$T2253,$N2253)</f>
        <v/>
      </c>
    </row>
    <row r="2254">
      <c r="A2254" s="145" t="n">
        <v>16</v>
      </c>
      <c r="B2254" s="204">
        <f>EDATE($B2253,1)</f>
        <v/>
      </c>
      <c r="C2254" s="205">
        <f>EOMONTH($B2254,0)</f>
        <v/>
      </c>
      <c r="D2254" s="201">
        <f>$C2254-$B2254+1</f>
        <v/>
      </c>
      <c r="E2254" s="201">
        <f>MONTH($B2254)</f>
        <v/>
      </c>
      <c r="F2254" s="235">
        <f>($B2254+$C2254+1)/2</f>
        <v/>
      </c>
      <c r="G2254" s="201">
        <f>YEAR($B2254)*12+MONTH($B2254)-1</f>
        <v/>
      </c>
      <c r="H2254" s="207">
        <f>IF(OR(nr_SeasonOn="OFF",$D$2236=0,$E$2236=0),1,12*INDEX(se_block,$D$2236,$E2254)/$E$2236)</f>
        <v/>
      </c>
      <c r="I2254" s="208">
        <f>EXP(SUMPRODUCT((rl_eff&lt;$B2254)*(rl_key=$A$2236)*rl_ln1p))</f>
        <v/>
      </c>
      <c r="J2254" s="208">
        <f>EXP(SUMPRODUCT((rl_eff&lt;=$C2254)*(rl_key=$A$2236)*rl_ln1p))</f>
        <v/>
      </c>
      <c r="K2254" s="201">
        <f>COUNTIFS(rl_key,$A$2236,rl_eff,"&gt;="&amp;$B2254,rl_eff,"&lt;="&amp;$C2254)</f>
        <v/>
      </c>
      <c r="L2254" s="201">
        <f>SUMIFS(rl_daysafter,rl_key,$A$2236,rl_effmonth,$B2254,rl_first,1)</f>
        <v/>
      </c>
      <c r="M2254" s="209">
        <f>IF($K2254=0,0,MIN(1,$L2254/$D2254))</f>
        <v/>
      </c>
      <c r="N2254" s="208">
        <f>IF($K2254=0,$J2254,(1-$M2254)*$I2254+$M2254*$J2254)</f>
        <v/>
      </c>
      <c r="O2254" s="209">
        <f>IF($F2254&lt;$B$2237,$E$2237+$I$2237*($F2254-$A$2237),IF($F2254&lt;$C$2237,$F$2237+$J$2237*($F2254-$B$2237),$G$2237+$K$2237*($F2254-$C$2237)))</f>
        <v/>
      </c>
      <c r="P2254" s="208">
        <f>MIN(1,MAX(0,(nr_MEndPm1-$G2254+0.5)/$C$2236))-MIN(1,MAX(0,(nr_MStartPm1-1-$G2254+0.5)/$C$2236))</f>
        <v/>
      </c>
      <c r="Q2254" s="208">
        <f>MIN(1,MAX(0,(nr_MEndP-$G2254+0.5)/$C$2236))-MIN(1,MAX(0,(nr_MStartP-1-$G2254+0.5)/$C$2236))</f>
        <v/>
      </c>
      <c r="R2254" s="208">
        <f>MIN(1,MAX(0,(nr_MEndP1-$G2254+0.5)/$C$2236))-MIN(1,MAX(0,(nr_MStartP1-1-$G2254+0.5)/$C$2236))</f>
        <v/>
      </c>
      <c r="S2254" s="208">
        <f>IF($L$2236,$N2254*IF($O$2236=1,$O2254/$F$2236,1),"")</f>
        <v/>
      </c>
      <c r="T2254" s="208">
        <f>IF(NOT($L$2236),"",IF($G2254&lt;nr_MStartP,$S2254,$T2242*(1+IF($G2254&lt;nr_MStartP1,$M$2236,$N$2236))))</f>
        <v/>
      </c>
      <c r="U2254" s="208">
        <f>IF($L$2236,$T2254,$N2254)</f>
        <v/>
      </c>
    </row>
    <row r="2255">
      <c r="A2255" s="145" t="n">
        <v>17</v>
      </c>
      <c r="B2255" s="204">
        <f>EDATE($B2254,1)</f>
        <v/>
      </c>
      <c r="C2255" s="205">
        <f>EOMONTH($B2255,0)</f>
        <v/>
      </c>
      <c r="D2255" s="201">
        <f>$C2255-$B2255+1</f>
        <v/>
      </c>
      <c r="E2255" s="201">
        <f>MONTH($B2255)</f>
        <v/>
      </c>
      <c r="F2255" s="235">
        <f>($B2255+$C2255+1)/2</f>
        <v/>
      </c>
      <c r="G2255" s="201">
        <f>YEAR($B2255)*12+MONTH($B2255)-1</f>
        <v/>
      </c>
      <c r="H2255" s="207">
        <f>IF(OR(nr_SeasonOn="OFF",$D$2236=0,$E$2236=0),1,12*INDEX(se_block,$D$2236,$E2255)/$E$2236)</f>
        <v/>
      </c>
      <c r="I2255" s="208">
        <f>EXP(SUMPRODUCT((rl_eff&lt;$B2255)*(rl_key=$A$2236)*rl_ln1p))</f>
        <v/>
      </c>
      <c r="J2255" s="208">
        <f>EXP(SUMPRODUCT((rl_eff&lt;=$C2255)*(rl_key=$A$2236)*rl_ln1p))</f>
        <v/>
      </c>
      <c r="K2255" s="201">
        <f>COUNTIFS(rl_key,$A$2236,rl_eff,"&gt;="&amp;$B2255,rl_eff,"&lt;="&amp;$C2255)</f>
        <v/>
      </c>
      <c r="L2255" s="201">
        <f>SUMIFS(rl_daysafter,rl_key,$A$2236,rl_effmonth,$B2255,rl_first,1)</f>
        <v/>
      </c>
      <c r="M2255" s="209">
        <f>IF($K2255=0,0,MIN(1,$L2255/$D2255))</f>
        <v/>
      </c>
      <c r="N2255" s="208">
        <f>IF($K2255=0,$J2255,(1-$M2255)*$I2255+$M2255*$J2255)</f>
        <v/>
      </c>
      <c r="O2255" s="209">
        <f>IF($F2255&lt;$B$2237,$E$2237+$I$2237*($F2255-$A$2237),IF($F2255&lt;$C$2237,$F$2237+$J$2237*($F2255-$B$2237),$G$2237+$K$2237*($F2255-$C$2237)))</f>
        <v/>
      </c>
      <c r="P2255" s="208">
        <f>MIN(1,MAX(0,(nr_MEndPm1-$G2255+0.5)/$C$2236))-MIN(1,MAX(0,(nr_MStartPm1-1-$G2255+0.5)/$C$2236))</f>
        <v/>
      </c>
      <c r="Q2255" s="208">
        <f>MIN(1,MAX(0,(nr_MEndP-$G2255+0.5)/$C$2236))-MIN(1,MAX(0,(nr_MStartP-1-$G2255+0.5)/$C$2236))</f>
        <v/>
      </c>
      <c r="R2255" s="208">
        <f>MIN(1,MAX(0,(nr_MEndP1-$G2255+0.5)/$C$2236))-MIN(1,MAX(0,(nr_MStartP1-1-$G2255+0.5)/$C$2236))</f>
        <v/>
      </c>
      <c r="S2255" s="208">
        <f>IF($L$2236,$N2255*IF($O$2236=1,$O2255/$F$2236,1),"")</f>
        <v/>
      </c>
      <c r="T2255" s="208">
        <f>IF(NOT($L$2236),"",IF($G2255&lt;nr_MStartP,$S2255,$T2243*(1+IF($G2255&lt;nr_MStartP1,$M$2236,$N$2236))))</f>
        <v/>
      </c>
      <c r="U2255" s="208">
        <f>IF($L$2236,$T2255,$N2255)</f>
        <v/>
      </c>
    </row>
    <row r="2256">
      <c r="A2256" s="145" t="n">
        <v>18</v>
      </c>
      <c r="B2256" s="204">
        <f>EDATE($B2255,1)</f>
        <v/>
      </c>
      <c r="C2256" s="205">
        <f>EOMONTH($B2256,0)</f>
        <v/>
      </c>
      <c r="D2256" s="201">
        <f>$C2256-$B2256+1</f>
        <v/>
      </c>
      <c r="E2256" s="201">
        <f>MONTH($B2256)</f>
        <v/>
      </c>
      <c r="F2256" s="235">
        <f>($B2256+$C2256+1)/2</f>
        <v/>
      </c>
      <c r="G2256" s="201">
        <f>YEAR($B2256)*12+MONTH($B2256)-1</f>
        <v/>
      </c>
      <c r="H2256" s="207">
        <f>IF(OR(nr_SeasonOn="OFF",$D$2236=0,$E$2236=0),1,12*INDEX(se_block,$D$2236,$E2256)/$E$2236)</f>
        <v/>
      </c>
      <c r="I2256" s="208">
        <f>EXP(SUMPRODUCT((rl_eff&lt;$B2256)*(rl_key=$A$2236)*rl_ln1p))</f>
        <v/>
      </c>
      <c r="J2256" s="208">
        <f>EXP(SUMPRODUCT((rl_eff&lt;=$C2256)*(rl_key=$A$2236)*rl_ln1p))</f>
        <v/>
      </c>
      <c r="K2256" s="201">
        <f>COUNTIFS(rl_key,$A$2236,rl_eff,"&gt;="&amp;$B2256,rl_eff,"&lt;="&amp;$C2256)</f>
        <v/>
      </c>
      <c r="L2256" s="201">
        <f>SUMIFS(rl_daysafter,rl_key,$A$2236,rl_effmonth,$B2256,rl_first,1)</f>
        <v/>
      </c>
      <c r="M2256" s="209">
        <f>IF($K2256=0,0,MIN(1,$L2256/$D2256))</f>
        <v/>
      </c>
      <c r="N2256" s="208">
        <f>IF($K2256=0,$J2256,(1-$M2256)*$I2256+$M2256*$J2256)</f>
        <v/>
      </c>
      <c r="O2256" s="209">
        <f>IF($F2256&lt;$B$2237,$E$2237+$I$2237*($F2256-$A$2237),IF($F2256&lt;$C$2237,$F$2237+$J$2237*($F2256-$B$2237),$G$2237+$K$2237*($F2256-$C$2237)))</f>
        <v/>
      </c>
      <c r="P2256" s="208">
        <f>MIN(1,MAX(0,(nr_MEndPm1-$G2256+0.5)/$C$2236))-MIN(1,MAX(0,(nr_MStartPm1-1-$G2256+0.5)/$C$2236))</f>
        <v/>
      </c>
      <c r="Q2256" s="208">
        <f>MIN(1,MAX(0,(nr_MEndP-$G2256+0.5)/$C$2236))-MIN(1,MAX(0,(nr_MStartP-1-$G2256+0.5)/$C$2236))</f>
        <v/>
      </c>
      <c r="R2256" s="208">
        <f>MIN(1,MAX(0,(nr_MEndP1-$G2256+0.5)/$C$2236))-MIN(1,MAX(0,(nr_MStartP1-1-$G2256+0.5)/$C$2236))</f>
        <v/>
      </c>
      <c r="S2256" s="208">
        <f>IF($L$2236,$N2256*IF($O$2236=1,$O2256/$F$2236,1),"")</f>
        <v/>
      </c>
      <c r="T2256" s="208">
        <f>IF(NOT($L$2236),"",IF($G2256&lt;nr_MStartP,$S2256,$T2244*(1+IF($G2256&lt;nr_MStartP1,$M$2236,$N$2236))))</f>
        <v/>
      </c>
      <c r="U2256" s="208">
        <f>IF($L$2236,$T2256,$N2256)</f>
        <v/>
      </c>
    </row>
    <row r="2257">
      <c r="A2257" s="145" t="n">
        <v>19</v>
      </c>
      <c r="B2257" s="204">
        <f>EDATE($B2256,1)</f>
        <v/>
      </c>
      <c r="C2257" s="205">
        <f>EOMONTH($B2257,0)</f>
        <v/>
      </c>
      <c r="D2257" s="201">
        <f>$C2257-$B2257+1</f>
        <v/>
      </c>
      <c r="E2257" s="201">
        <f>MONTH($B2257)</f>
        <v/>
      </c>
      <c r="F2257" s="235">
        <f>($B2257+$C2257+1)/2</f>
        <v/>
      </c>
      <c r="G2257" s="201">
        <f>YEAR($B2257)*12+MONTH($B2257)-1</f>
        <v/>
      </c>
      <c r="H2257" s="207">
        <f>IF(OR(nr_SeasonOn="OFF",$D$2236=0,$E$2236=0),1,12*INDEX(se_block,$D$2236,$E2257)/$E$2236)</f>
        <v/>
      </c>
      <c r="I2257" s="208">
        <f>EXP(SUMPRODUCT((rl_eff&lt;$B2257)*(rl_key=$A$2236)*rl_ln1p))</f>
        <v/>
      </c>
      <c r="J2257" s="208">
        <f>EXP(SUMPRODUCT((rl_eff&lt;=$C2257)*(rl_key=$A$2236)*rl_ln1p))</f>
        <v/>
      </c>
      <c r="K2257" s="201">
        <f>COUNTIFS(rl_key,$A$2236,rl_eff,"&gt;="&amp;$B2257,rl_eff,"&lt;="&amp;$C2257)</f>
        <v/>
      </c>
      <c r="L2257" s="201">
        <f>SUMIFS(rl_daysafter,rl_key,$A$2236,rl_effmonth,$B2257,rl_first,1)</f>
        <v/>
      </c>
      <c r="M2257" s="209">
        <f>IF($K2257=0,0,MIN(1,$L2257/$D2257))</f>
        <v/>
      </c>
      <c r="N2257" s="208">
        <f>IF($K2257=0,$J2257,(1-$M2257)*$I2257+$M2257*$J2257)</f>
        <v/>
      </c>
      <c r="O2257" s="209">
        <f>IF($F2257&lt;$B$2237,$E$2237+$I$2237*($F2257-$A$2237),IF($F2257&lt;$C$2237,$F$2237+$J$2237*($F2257-$B$2237),$G$2237+$K$2237*($F2257-$C$2237)))</f>
        <v/>
      </c>
      <c r="P2257" s="208">
        <f>MIN(1,MAX(0,(nr_MEndPm1-$G2257+0.5)/$C$2236))-MIN(1,MAX(0,(nr_MStartPm1-1-$G2257+0.5)/$C$2236))</f>
        <v/>
      </c>
      <c r="Q2257" s="208">
        <f>MIN(1,MAX(0,(nr_MEndP-$G2257+0.5)/$C$2236))-MIN(1,MAX(0,(nr_MStartP-1-$G2257+0.5)/$C$2236))</f>
        <v/>
      </c>
      <c r="R2257" s="208">
        <f>MIN(1,MAX(0,(nr_MEndP1-$G2257+0.5)/$C$2236))-MIN(1,MAX(0,(nr_MStartP1-1-$G2257+0.5)/$C$2236))</f>
        <v/>
      </c>
      <c r="S2257" s="208">
        <f>IF($L$2236,$N2257*IF($O$2236=1,$O2257/$F$2236,1),"")</f>
        <v/>
      </c>
      <c r="T2257" s="208">
        <f>IF(NOT($L$2236),"",IF($G2257&lt;nr_MStartP,$S2257,$T2245*(1+IF($G2257&lt;nr_MStartP1,$M$2236,$N$2236))))</f>
        <v/>
      </c>
      <c r="U2257" s="208">
        <f>IF($L$2236,$T2257,$N2257)</f>
        <v/>
      </c>
    </row>
    <row r="2258">
      <c r="A2258" s="145" t="n">
        <v>20</v>
      </c>
      <c r="B2258" s="204">
        <f>EDATE($B2257,1)</f>
        <v/>
      </c>
      <c r="C2258" s="205">
        <f>EOMONTH($B2258,0)</f>
        <v/>
      </c>
      <c r="D2258" s="201">
        <f>$C2258-$B2258+1</f>
        <v/>
      </c>
      <c r="E2258" s="201">
        <f>MONTH($B2258)</f>
        <v/>
      </c>
      <c r="F2258" s="235">
        <f>($B2258+$C2258+1)/2</f>
        <v/>
      </c>
      <c r="G2258" s="201">
        <f>YEAR($B2258)*12+MONTH($B2258)-1</f>
        <v/>
      </c>
      <c r="H2258" s="207">
        <f>IF(OR(nr_SeasonOn="OFF",$D$2236=0,$E$2236=0),1,12*INDEX(se_block,$D$2236,$E2258)/$E$2236)</f>
        <v/>
      </c>
      <c r="I2258" s="208">
        <f>EXP(SUMPRODUCT((rl_eff&lt;$B2258)*(rl_key=$A$2236)*rl_ln1p))</f>
        <v/>
      </c>
      <c r="J2258" s="208">
        <f>EXP(SUMPRODUCT((rl_eff&lt;=$C2258)*(rl_key=$A$2236)*rl_ln1p))</f>
        <v/>
      </c>
      <c r="K2258" s="201">
        <f>COUNTIFS(rl_key,$A$2236,rl_eff,"&gt;="&amp;$B2258,rl_eff,"&lt;="&amp;$C2258)</f>
        <v/>
      </c>
      <c r="L2258" s="201">
        <f>SUMIFS(rl_daysafter,rl_key,$A$2236,rl_effmonth,$B2258,rl_first,1)</f>
        <v/>
      </c>
      <c r="M2258" s="209">
        <f>IF($K2258=0,0,MIN(1,$L2258/$D2258))</f>
        <v/>
      </c>
      <c r="N2258" s="208">
        <f>IF($K2258=0,$J2258,(1-$M2258)*$I2258+$M2258*$J2258)</f>
        <v/>
      </c>
      <c r="O2258" s="209">
        <f>IF($F2258&lt;$B$2237,$E$2237+$I$2237*($F2258-$A$2237),IF($F2258&lt;$C$2237,$F$2237+$J$2237*($F2258-$B$2237),$G$2237+$K$2237*($F2258-$C$2237)))</f>
        <v/>
      </c>
      <c r="P2258" s="208">
        <f>MIN(1,MAX(0,(nr_MEndPm1-$G2258+0.5)/$C$2236))-MIN(1,MAX(0,(nr_MStartPm1-1-$G2258+0.5)/$C$2236))</f>
        <v/>
      </c>
      <c r="Q2258" s="208">
        <f>MIN(1,MAX(0,(nr_MEndP-$G2258+0.5)/$C$2236))-MIN(1,MAX(0,(nr_MStartP-1-$G2258+0.5)/$C$2236))</f>
        <v/>
      </c>
      <c r="R2258" s="208">
        <f>MIN(1,MAX(0,(nr_MEndP1-$G2258+0.5)/$C$2236))-MIN(1,MAX(0,(nr_MStartP1-1-$G2258+0.5)/$C$2236))</f>
        <v/>
      </c>
      <c r="S2258" s="208">
        <f>IF($L$2236,$N2258*IF($O$2236=1,$O2258/$F$2236,1),"")</f>
        <v/>
      </c>
      <c r="T2258" s="208">
        <f>IF(NOT($L$2236),"",IF($G2258&lt;nr_MStartP,$S2258,$T2246*(1+IF($G2258&lt;nr_MStartP1,$M$2236,$N$2236))))</f>
        <v/>
      </c>
      <c r="U2258" s="208">
        <f>IF($L$2236,$T2258,$N2258)</f>
        <v/>
      </c>
    </row>
    <row r="2259">
      <c r="A2259" s="145" t="n">
        <v>21</v>
      </c>
      <c r="B2259" s="204">
        <f>EDATE($B2258,1)</f>
        <v/>
      </c>
      <c r="C2259" s="205">
        <f>EOMONTH($B2259,0)</f>
        <v/>
      </c>
      <c r="D2259" s="201">
        <f>$C2259-$B2259+1</f>
        <v/>
      </c>
      <c r="E2259" s="201">
        <f>MONTH($B2259)</f>
        <v/>
      </c>
      <c r="F2259" s="235">
        <f>($B2259+$C2259+1)/2</f>
        <v/>
      </c>
      <c r="G2259" s="201">
        <f>YEAR($B2259)*12+MONTH($B2259)-1</f>
        <v/>
      </c>
      <c r="H2259" s="207">
        <f>IF(OR(nr_SeasonOn="OFF",$D$2236=0,$E$2236=0),1,12*INDEX(se_block,$D$2236,$E2259)/$E$2236)</f>
        <v/>
      </c>
      <c r="I2259" s="208">
        <f>EXP(SUMPRODUCT((rl_eff&lt;$B2259)*(rl_key=$A$2236)*rl_ln1p))</f>
        <v/>
      </c>
      <c r="J2259" s="208">
        <f>EXP(SUMPRODUCT((rl_eff&lt;=$C2259)*(rl_key=$A$2236)*rl_ln1p))</f>
        <v/>
      </c>
      <c r="K2259" s="201">
        <f>COUNTIFS(rl_key,$A$2236,rl_eff,"&gt;="&amp;$B2259,rl_eff,"&lt;="&amp;$C2259)</f>
        <v/>
      </c>
      <c r="L2259" s="201">
        <f>SUMIFS(rl_daysafter,rl_key,$A$2236,rl_effmonth,$B2259,rl_first,1)</f>
        <v/>
      </c>
      <c r="M2259" s="209">
        <f>IF($K2259=0,0,MIN(1,$L2259/$D2259))</f>
        <v/>
      </c>
      <c r="N2259" s="208">
        <f>IF($K2259=0,$J2259,(1-$M2259)*$I2259+$M2259*$J2259)</f>
        <v/>
      </c>
      <c r="O2259" s="209">
        <f>IF($F2259&lt;$B$2237,$E$2237+$I$2237*($F2259-$A$2237),IF($F2259&lt;$C$2237,$F$2237+$J$2237*($F2259-$B$2237),$G$2237+$K$2237*($F2259-$C$2237)))</f>
        <v/>
      </c>
      <c r="P2259" s="208">
        <f>MIN(1,MAX(0,(nr_MEndPm1-$G2259+0.5)/$C$2236))-MIN(1,MAX(0,(nr_MStartPm1-1-$G2259+0.5)/$C$2236))</f>
        <v/>
      </c>
      <c r="Q2259" s="208">
        <f>MIN(1,MAX(0,(nr_MEndP-$G2259+0.5)/$C$2236))-MIN(1,MAX(0,(nr_MStartP-1-$G2259+0.5)/$C$2236))</f>
        <v/>
      </c>
      <c r="R2259" s="208">
        <f>MIN(1,MAX(0,(nr_MEndP1-$G2259+0.5)/$C$2236))-MIN(1,MAX(0,(nr_MStartP1-1-$G2259+0.5)/$C$2236))</f>
        <v/>
      </c>
      <c r="S2259" s="208">
        <f>IF($L$2236,$N2259*IF($O$2236=1,$O2259/$F$2236,1),"")</f>
        <v/>
      </c>
      <c r="T2259" s="208">
        <f>IF(NOT($L$2236),"",IF($G2259&lt;nr_MStartP,$S2259,$T2247*(1+IF($G2259&lt;nr_MStartP1,$M$2236,$N$2236))))</f>
        <v/>
      </c>
      <c r="U2259" s="208">
        <f>IF($L$2236,$T2259,$N2259)</f>
        <v/>
      </c>
    </row>
    <row r="2260">
      <c r="A2260" s="145" t="n">
        <v>22</v>
      </c>
      <c r="B2260" s="204">
        <f>EDATE($B2259,1)</f>
        <v/>
      </c>
      <c r="C2260" s="205">
        <f>EOMONTH($B2260,0)</f>
        <v/>
      </c>
      <c r="D2260" s="201">
        <f>$C2260-$B2260+1</f>
        <v/>
      </c>
      <c r="E2260" s="201">
        <f>MONTH($B2260)</f>
        <v/>
      </c>
      <c r="F2260" s="235">
        <f>($B2260+$C2260+1)/2</f>
        <v/>
      </c>
      <c r="G2260" s="201">
        <f>YEAR($B2260)*12+MONTH($B2260)-1</f>
        <v/>
      </c>
      <c r="H2260" s="207">
        <f>IF(OR(nr_SeasonOn="OFF",$D$2236=0,$E$2236=0),1,12*INDEX(se_block,$D$2236,$E2260)/$E$2236)</f>
        <v/>
      </c>
      <c r="I2260" s="208">
        <f>EXP(SUMPRODUCT((rl_eff&lt;$B2260)*(rl_key=$A$2236)*rl_ln1p))</f>
        <v/>
      </c>
      <c r="J2260" s="208">
        <f>EXP(SUMPRODUCT((rl_eff&lt;=$C2260)*(rl_key=$A$2236)*rl_ln1p))</f>
        <v/>
      </c>
      <c r="K2260" s="201">
        <f>COUNTIFS(rl_key,$A$2236,rl_eff,"&gt;="&amp;$B2260,rl_eff,"&lt;="&amp;$C2260)</f>
        <v/>
      </c>
      <c r="L2260" s="201">
        <f>SUMIFS(rl_daysafter,rl_key,$A$2236,rl_effmonth,$B2260,rl_first,1)</f>
        <v/>
      </c>
      <c r="M2260" s="209">
        <f>IF($K2260=0,0,MIN(1,$L2260/$D2260))</f>
        <v/>
      </c>
      <c r="N2260" s="208">
        <f>IF($K2260=0,$J2260,(1-$M2260)*$I2260+$M2260*$J2260)</f>
        <v/>
      </c>
      <c r="O2260" s="209">
        <f>IF($F2260&lt;$B$2237,$E$2237+$I$2237*($F2260-$A$2237),IF($F2260&lt;$C$2237,$F$2237+$J$2237*($F2260-$B$2237),$G$2237+$K$2237*($F2260-$C$2237)))</f>
        <v/>
      </c>
      <c r="P2260" s="208">
        <f>MIN(1,MAX(0,(nr_MEndPm1-$G2260+0.5)/$C$2236))-MIN(1,MAX(0,(nr_MStartPm1-1-$G2260+0.5)/$C$2236))</f>
        <v/>
      </c>
      <c r="Q2260" s="208">
        <f>MIN(1,MAX(0,(nr_MEndP-$G2260+0.5)/$C$2236))-MIN(1,MAX(0,(nr_MStartP-1-$G2260+0.5)/$C$2236))</f>
        <v/>
      </c>
      <c r="R2260" s="208">
        <f>MIN(1,MAX(0,(nr_MEndP1-$G2260+0.5)/$C$2236))-MIN(1,MAX(0,(nr_MStartP1-1-$G2260+0.5)/$C$2236))</f>
        <v/>
      </c>
      <c r="S2260" s="208">
        <f>IF($L$2236,$N2260*IF($O$2236=1,$O2260/$F$2236,1),"")</f>
        <v/>
      </c>
      <c r="T2260" s="208">
        <f>IF(NOT($L$2236),"",IF($G2260&lt;nr_MStartP,$S2260,$T2248*(1+IF($G2260&lt;nr_MStartP1,$M$2236,$N$2236))))</f>
        <v/>
      </c>
      <c r="U2260" s="208">
        <f>IF($L$2236,$T2260,$N2260)</f>
        <v/>
      </c>
    </row>
    <row r="2261">
      <c r="A2261" s="145" t="n">
        <v>23</v>
      </c>
      <c r="B2261" s="204">
        <f>EDATE($B2260,1)</f>
        <v/>
      </c>
      <c r="C2261" s="205">
        <f>EOMONTH($B2261,0)</f>
        <v/>
      </c>
      <c r="D2261" s="201">
        <f>$C2261-$B2261+1</f>
        <v/>
      </c>
      <c r="E2261" s="201">
        <f>MONTH($B2261)</f>
        <v/>
      </c>
      <c r="F2261" s="235">
        <f>($B2261+$C2261+1)/2</f>
        <v/>
      </c>
      <c r="G2261" s="201">
        <f>YEAR($B2261)*12+MONTH($B2261)-1</f>
        <v/>
      </c>
      <c r="H2261" s="207">
        <f>IF(OR(nr_SeasonOn="OFF",$D$2236=0,$E$2236=0),1,12*INDEX(se_block,$D$2236,$E2261)/$E$2236)</f>
        <v/>
      </c>
      <c r="I2261" s="208">
        <f>EXP(SUMPRODUCT((rl_eff&lt;$B2261)*(rl_key=$A$2236)*rl_ln1p))</f>
        <v/>
      </c>
      <c r="J2261" s="208">
        <f>EXP(SUMPRODUCT((rl_eff&lt;=$C2261)*(rl_key=$A$2236)*rl_ln1p))</f>
        <v/>
      </c>
      <c r="K2261" s="201">
        <f>COUNTIFS(rl_key,$A$2236,rl_eff,"&gt;="&amp;$B2261,rl_eff,"&lt;="&amp;$C2261)</f>
        <v/>
      </c>
      <c r="L2261" s="201">
        <f>SUMIFS(rl_daysafter,rl_key,$A$2236,rl_effmonth,$B2261,rl_first,1)</f>
        <v/>
      </c>
      <c r="M2261" s="209">
        <f>IF($K2261=0,0,MIN(1,$L2261/$D2261))</f>
        <v/>
      </c>
      <c r="N2261" s="208">
        <f>IF($K2261=0,$J2261,(1-$M2261)*$I2261+$M2261*$J2261)</f>
        <v/>
      </c>
      <c r="O2261" s="209">
        <f>IF($F2261&lt;$B$2237,$E$2237+$I$2237*($F2261-$A$2237),IF($F2261&lt;$C$2237,$F$2237+$J$2237*($F2261-$B$2237),$G$2237+$K$2237*($F2261-$C$2237)))</f>
        <v/>
      </c>
      <c r="P2261" s="208">
        <f>MIN(1,MAX(0,(nr_MEndPm1-$G2261+0.5)/$C$2236))-MIN(1,MAX(0,(nr_MStartPm1-1-$G2261+0.5)/$C$2236))</f>
        <v/>
      </c>
      <c r="Q2261" s="208">
        <f>MIN(1,MAX(0,(nr_MEndP-$G2261+0.5)/$C$2236))-MIN(1,MAX(0,(nr_MStartP-1-$G2261+0.5)/$C$2236))</f>
        <v/>
      </c>
      <c r="R2261" s="208">
        <f>MIN(1,MAX(0,(nr_MEndP1-$G2261+0.5)/$C$2236))-MIN(1,MAX(0,(nr_MStartP1-1-$G2261+0.5)/$C$2236))</f>
        <v/>
      </c>
      <c r="S2261" s="208">
        <f>IF($L$2236,$N2261*IF($O$2236=1,$O2261/$F$2236,1),"")</f>
        <v/>
      </c>
      <c r="T2261" s="208">
        <f>IF(NOT($L$2236),"",IF($G2261&lt;nr_MStartP,$S2261,$T2249*(1+IF($G2261&lt;nr_MStartP1,$M$2236,$N$2236))))</f>
        <v/>
      </c>
      <c r="U2261" s="208">
        <f>IF($L$2236,$T2261,$N2261)</f>
        <v/>
      </c>
    </row>
    <row r="2262">
      <c r="A2262" s="145" t="n">
        <v>24</v>
      </c>
      <c r="B2262" s="204">
        <f>EDATE($B2261,1)</f>
        <v/>
      </c>
      <c r="C2262" s="205">
        <f>EOMONTH($B2262,0)</f>
        <v/>
      </c>
      <c r="D2262" s="201">
        <f>$C2262-$B2262+1</f>
        <v/>
      </c>
      <c r="E2262" s="201">
        <f>MONTH($B2262)</f>
        <v/>
      </c>
      <c r="F2262" s="235">
        <f>($B2262+$C2262+1)/2</f>
        <v/>
      </c>
      <c r="G2262" s="201">
        <f>YEAR($B2262)*12+MONTH($B2262)-1</f>
        <v/>
      </c>
      <c r="H2262" s="207">
        <f>IF(OR(nr_SeasonOn="OFF",$D$2236=0,$E$2236=0),1,12*INDEX(se_block,$D$2236,$E2262)/$E$2236)</f>
        <v/>
      </c>
      <c r="I2262" s="208">
        <f>EXP(SUMPRODUCT((rl_eff&lt;$B2262)*(rl_key=$A$2236)*rl_ln1p))</f>
        <v/>
      </c>
      <c r="J2262" s="208">
        <f>EXP(SUMPRODUCT((rl_eff&lt;=$C2262)*(rl_key=$A$2236)*rl_ln1p))</f>
        <v/>
      </c>
      <c r="K2262" s="201">
        <f>COUNTIFS(rl_key,$A$2236,rl_eff,"&gt;="&amp;$B2262,rl_eff,"&lt;="&amp;$C2262)</f>
        <v/>
      </c>
      <c r="L2262" s="201">
        <f>SUMIFS(rl_daysafter,rl_key,$A$2236,rl_effmonth,$B2262,rl_first,1)</f>
        <v/>
      </c>
      <c r="M2262" s="209">
        <f>IF($K2262=0,0,MIN(1,$L2262/$D2262))</f>
        <v/>
      </c>
      <c r="N2262" s="208">
        <f>IF($K2262=0,$J2262,(1-$M2262)*$I2262+$M2262*$J2262)</f>
        <v/>
      </c>
      <c r="O2262" s="209">
        <f>IF($F2262&lt;$B$2237,$E$2237+$I$2237*($F2262-$A$2237),IF($F2262&lt;$C$2237,$F$2237+$J$2237*($F2262-$B$2237),$G$2237+$K$2237*($F2262-$C$2237)))</f>
        <v/>
      </c>
      <c r="P2262" s="208">
        <f>MIN(1,MAX(0,(nr_MEndPm1-$G2262+0.5)/$C$2236))-MIN(1,MAX(0,(nr_MStartPm1-1-$G2262+0.5)/$C$2236))</f>
        <v/>
      </c>
      <c r="Q2262" s="208">
        <f>MIN(1,MAX(0,(nr_MEndP-$G2262+0.5)/$C$2236))-MIN(1,MAX(0,(nr_MStartP-1-$G2262+0.5)/$C$2236))</f>
        <v/>
      </c>
      <c r="R2262" s="208">
        <f>MIN(1,MAX(0,(nr_MEndP1-$G2262+0.5)/$C$2236))-MIN(1,MAX(0,(nr_MStartP1-1-$G2262+0.5)/$C$2236))</f>
        <v/>
      </c>
      <c r="S2262" s="208">
        <f>IF($L$2236,$N2262*IF($O$2236=1,$O2262/$F$2236,1),"")</f>
        <v/>
      </c>
      <c r="T2262" s="208">
        <f>IF(NOT($L$2236),"",IF($G2262&lt;nr_MStartP,$S2262,$T2250*(1+IF($G2262&lt;nr_MStartP1,$M$2236,$N$2236))))</f>
        <v/>
      </c>
      <c r="U2262" s="208">
        <f>IF($L$2236,$T2262,$N2262)</f>
        <v/>
      </c>
    </row>
    <row r="2263">
      <c r="A2263" s="145" t="n">
        <v>25</v>
      </c>
      <c r="B2263" s="204">
        <f>EDATE($B2262,1)</f>
        <v/>
      </c>
      <c r="C2263" s="205">
        <f>EOMONTH($B2263,0)</f>
        <v/>
      </c>
      <c r="D2263" s="201">
        <f>$C2263-$B2263+1</f>
        <v/>
      </c>
      <c r="E2263" s="201">
        <f>MONTH($B2263)</f>
        <v/>
      </c>
      <c r="F2263" s="235">
        <f>($B2263+$C2263+1)/2</f>
        <v/>
      </c>
      <c r="G2263" s="201">
        <f>YEAR($B2263)*12+MONTH($B2263)-1</f>
        <v/>
      </c>
      <c r="H2263" s="207">
        <f>IF(OR(nr_SeasonOn="OFF",$D$2236=0,$E$2236=0),1,12*INDEX(se_block,$D$2236,$E2263)/$E$2236)</f>
        <v/>
      </c>
      <c r="I2263" s="208">
        <f>EXP(SUMPRODUCT((rl_eff&lt;$B2263)*(rl_key=$A$2236)*rl_ln1p))</f>
        <v/>
      </c>
      <c r="J2263" s="208">
        <f>EXP(SUMPRODUCT((rl_eff&lt;=$C2263)*(rl_key=$A$2236)*rl_ln1p))</f>
        <v/>
      </c>
      <c r="K2263" s="201">
        <f>COUNTIFS(rl_key,$A$2236,rl_eff,"&gt;="&amp;$B2263,rl_eff,"&lt;="&amp;$C2263)</f>
        <v/>
      </c>
      <c r="L2263" s="201">
        <f>SUMIFS(rl_daysafter,rl_key,$A$2236,rl_effmonth,$B2263,rl_first,1)</f>
        <v/>
      </c>
      <c r="M2263" s="209">
        <f>IF($K2263=0,0,MIN(1,$L2263/$D2263))</f>
        <v/>
      </c>
      <c r="N2263" s="208">
        <f>IF($K2263=0,$J2263,(1-$M2263)*$I2263+$M2263*$J2263)</f>
        <v/>
      </c>
      <c r="O2263" s="209">
        <f>IF($F2263&lt;$B$2237,$E$2237+$I$2237*($F2263-$A$2237),IF($F2263&lt;$C$2237,$F$2237+$J$2237*($F2263-$B$2237),$G$2237+$K$2237*($F2263-$C$2237)))</f>
        <v/>
      </c>
      <c r="P2263" s="208">
        <f>MIN(1,MAX(0,(nr_MEndPm1-$G2263+0.5)/$C$2236))-MIN(1,MAX(0,(nr_MStartPm1-1-$G2263+0.5)/$C$2236))</f>
        <v/>
      </c>
      <c r="Q2263" s="208">
        <f>MIN(1,MAX(0,(nr_MEndP-$G2263+0.5)/$C$2236))-MIN(1,MAX(0,(nr_MStartP-1-$G2263+0.5)/$C$2236))</f>
        <v/>
      </c>
      <c r="R2263" s="208">
        <f>MIN(1,MAX(0,(nr_MEndP1-$G2263+0.5)/$C$2236))-MIN(1,MAX(0,(nr_MStartP1-1-$G2263+0.5)/$C$2236))</f>
        <v/>
      </c>
      <c r="S2263" s="208">
        <f>IF($L$2236,$N2263*IF($O$2236=1,$O2263/$F$2236,1),"")</f>
        <v/>
      </c>
      <c r="T2263" s="208">
        <f>IF(NOT($L$2236),"",IF($G2263&lt;nr_MStartP,$S2263,$T2251*(1+IF($G2263&lt;nr_MStartP1,$M$2236,$N$2236))))</f>
        <v/>
      </c>
      <c r="U2263" s="208">
        <f>IF($L$2236,$T2263,$N2263)</f>
        <v/>
      </c>
    </row>
    <row r="2264">
      <c r="A2264" s="145" t="n">
        <v>26</v>
      </c>
      <c r="B2264" s="204">
        <f>EDATE($B2263,1)</f>
        <v/>
      </c>
      <c r="C2264" s="205">
        <f>EOMONTH($B2264,0)</f>
        <v/>
      </c>
      <c r="D2264" s="201">
        <f>$C2264-$B2264+1</f>
        <v/>
      </c>
      <c r="E2264" s="201">
        <f>MONTH($B2264)</f>
        <v/>
      </c>
      <c r="F2264" s="235">
        <f>($B2264+$C2264+1)/2</f>
        <v/>
      </c>
      <c r="G2264" s="201">
        <f>YEAR($B2264)*12+MONTH($B2264)-1</f>
        <v/>
      </c>
      <c r="H2264" s="207">
        <f>IF(OR(nr_SeasonOn="OFF",$D$2236=0,$E$2236=0),1,12*INDEX(se_block,$D$2236,$E2264)/$E$2236)</f>
        <v/>
      </c>
      <c r="I2264" s="208">
        <f>EXP(SUMPRODUCT((rl_eff&lt;$B2264)*(rl_key=$A$2236)*rl_ln1p))</f>
        <v/>
      </c>
      <c r="J2264" s="208">
        <f>EXP(SUMPRODUCT((rl_eff&lt;=$C2264)*(rl_key=$A$2236)*rl_ln1p))</f>
        <v/>
      </c>
      <c r="K2264" s="201">
        <f>COUNTIFS(rl_key,$A$2236,rl_eff,"&gt;="&amp;$B2264,rl_eff,"&lt;="&amp;$C2264)</f>
        <v/>
      </c>
      <c r="L2264" s="201">
        <f>SUMIFS(rl_daysafter,rl_key,$A$2236,rl_effmonth,$B2264,rl_first,1)</f>
        <v/>
      </c>
      <c r="M2264" s="209">
        <f>IF($K2264=0,0,MIN(1,$L2264/$D2264))</f>
        <v/>
      </c>
      <c r="N2264" s="208">
        <f>IF($K2264=0,$J2264,(1-$M2264)*$I2264+$M2264*$J2264)</f>
        <v/>
      </c>
      <c r="O2264" s="209">
        <f>IF($F2264&lt;$B$2237,$E$2237+$I$2237*($F2264-$A$2237),IF($F2264&lt;$C$2237,$F$2237+$J$2237*($F2264-$B$2237),$G$2237+$K$2237*($F2264-$C$2237)))</f>
        <v/>
      </c>
      <c r="P2264" s="208">
        <f>MIN(1,MAX(0,(nr_MEndPm1-$G2264+0.5)/$C$2236))-MIN(1,MAX(0,(nr_MStartPm1-1-$G2264+0.5)/$C$2236))</f>
        <v/>
      </c>
      <c r="Q2264" s="208">
        <f>MIN(1,MAX(0,(nr_MEndP-$G2264+0.5)/$C$2236))-MIN(1,MAX(0,(nr_MStartP-1-$G2264+0.5)/$C$2236))</f>
        <v/>
      </c>
      <c r="R2264" s="208">
        <f>MIN(1,MAX(0,(nr_MEndP1-$G2264+0.5)/$C$2236))-MIN(1,MAX(0,(nr_MStartP1-1-$G2264+0.5)/$C$2236))</f>
        <v/>
      </c>
      <c r="S2264" s="208">
        <f>IF($L$2236,$N2264*IF($O$2236=1,$O2264/$F$2236,1),"")</f>
        <v/>
      </c>
      <c r="T2264" s="208">
        <f>IF(NOT($L$2236),"",IF($G2264&lt;nr_MStartP,$S2264,$T2252*(1+IF($G2264&lt;nr_MStartP1,$M$2236,$N$2236))))</f>
        <v/>
      </c>
      <c r="U2264" s="208">
        <f>IF($L$2236,$T2264,$N2264)</f>
        <v/>
      </c>
    </row>
    <row r="2265">
      <c r="A2265" s="145" t="n">
        <v>27</v>
      </c>
      <c r="B2265" s="204">
        <f>EDATE($B2264,1)</f>
        <v/>
      </c>
      <c r="C2265" s="205">
        <f>EOMONTH($B2265,0)</f>
        <v/>
      </c>
      <c r="D2265" s="201">
        <f>$C2265-$B2265+1</f>
        <v/>
      </c>
      <c r="E2265" s="201">
        <f>MONTH($B2265)</f>
        <v/>
      </c>
      <c r="F2265" s="235">
        <f>($B2265+$C2265+1)/2</f>
        <v/>
      </c>
      <c r="G2265" s="201">
        <f>YEAR($B2265)*12+MONTH($B2265)-1</f>
        <v/>
      </c>
      <c r="H2265" s="207">
        <f>IF(OR(nr_SeasonOn="OFF",$D$2236=0,$E$2236=0),1,12*INDEX(se_block,$D$2236,$E2265)/$E$2236)</f>
        <v/>
      </c>
      <c r="I2265" s="208">
        <f>EXP(SUMPRODUCT((rl_eff&lt;$B2265)*(rl_key=$A$2236)*rl_ln1p))</f>
        <v/>
      </c>
      <c r="J2265" s="208">
        <f>EXP(SUMPRODUCT((rl_eff&lt;=$C2265)*(rl_key=$A$2236)*rl_ln1p))</f>
        <v/>
      </c>
      <c r="K2265" s="201">
        <f>COUNTIFS(rl_key,$A$2236,rl_eff,"&gt;="&amp;$B2265,rl_eff,"&lt;="&amp;$C2265)</f>
        <v/>
      </c>
      <c r="L2265" s="201">
        <f>SUMIFS(rl_daysafter,rl_key,$A$2236,rl_effmonth,$B2265,rl_first,1)</f>
        <v/>
      </c>
      <c r="M2265" s="209">
        <f>IF($K2265=0,0,MIN(1,$L2265/$D2265))</f>
        <v/>
      </c>
      <c r="N2265" s="208">
        <f>IF($K2265=0,$J2265,(1-$M2265)*$I2265+$M2265*$J2265)</f>
        <v/>
      </c>
      <c r="O2265" s="209">
        <f>IF($F2265&lt;$B$2237,$E$2237+$I$2237*($F2265-$A$2237),IF($F2265&lt;$C$2237,$F$2237+$J$2237*($F2265-$B$2237),$G$2237+$K$2237*($F2265-$C$2237)))</f>
        <v/>
      </c>
      <c r="P2265" s="208">
        <f>MIN(1,MAX(0,(nr_MEndPm1-$G2265+0.5)/$C$2236))-MIN(1,MAX(0,(nr_MStartPm1-1-$G2265+0.5)/$C$2236))</f>
        <v/>
      </c>
      <c r="Q2265" s="208">
        <f>MIN(1,MAX(0,(nr_MEndP-$G2265+0.5)/$C$2236))-MIN(1,MAX(0,(nr_MStartP-1-$G2265+0.5)/$C$2236))</f>
        <v/>
      </c>
      <c r="R2265" s="208">
        <f>MIN(1,MAX(0,(nr_MEndP1-$G2265+0.5)/$C$2236))-MIN(1,MAX(0,(nr_MStartP1-1-$G2265+0.5)/$C$2236))</f>
        <v/>
      </c>
      <c r="S2265" s="208">
        <f>IF($L$2236,$N2265*IF($O$2236=1,$O2265/$F$2236,1),"")</f>
        <v/>
      </c>
      <c r="T2265" s="208">
        <f>IF(NOT($L$2236),"",IF($G2265&lt;nr_MStartP,$S2265,$T2253*(1+IF($G2265&lt;nr_MStartP1,$M$2236,$N$2236))))</f>
        <v/>
      </c>
      <c r="U2265" s="208">
        <f>IF($L$2236,$T2265,$N2265)</f>
        <v/>
      </c>
    </row>
    <row r="2266">
      <c r="A2266" s="145" t="n">
        <v>28</v>
      </c>
      <c r="B2266" s="204">
        <f>EDATE($B2265,1)</f>
        <v/>
      </c>
      <c r="C2266" s="205">
        <f>EOMONTH($B2266,0)</f>
        <v/>
      </c>
      <c r="D2266" s="201">
        <f>$C2266-$B2266+1</f>
        <v/>
      </c>
      <c r="E2266" s="201">
        <f>MONTH($B2266)</f>
        <v/>
      </c>
      <c r="F2266" s="235">
        <f>($B2266+$C2266+1)/2</f>
        <v/>
      </c>
      <c r="G2266" s="201">
        <f>YEAR($B2266)*12+MONTH($B2266)-1</f>
        <v/>
      </c>
      <c r="H2266" s="207">
        <f>IF(OR(nr_SeasonOn="OFF",$D$2236=0,$E$2236=0),1,12*INDEX(se_block,$D$2236,$E2266)/$E$2236)</f>
        <v/>
      </c>
      <c r="I2266" s="208">
        <f>EXP(SUMPRODUCT((rl_eff&lt;$B2266)*(rl_key=$A$2236)*rl_ln1p))</f>
        <v/>
      </c>
      <c r="J2266" s="208">
        <f>EXP(SUMPRODUCT((rl_eff&lt;=$C2266)*(rl_key=$A$2236)*rl_ln1p))</f>
        <v/>
      </c>
      <c r="K2266" s="201">
        <f>COUNTIFS(rl_key,$A$2236,rl_eff,"&gt;="&amp;$B2266,rl_eff,"&lt;="&amp;$C2266)</f>
        <v/>
      </c>
      <c r="L2266" s="201">
        <f>SUMIFS(rl_daysafter,rl_key,$A$2236,rl_effmonth,$B2266,rl_first,1)</f>
        <v/>
      </c>
      <c r="M2266" s="209">
        <f>IF($K2266=0,0,MIN(1,$L2266/$D2266))</f>
        <v/>
      </c>
      <c r="N2266" s="208">
        <f>IF($K2266=0,$J2266,(1-$M2266)*$I2266+$M2266*$J2266)</f>
        <v/>
      </c>
      <c r="O2266" s="209">
        <f>IF($F2266&lt;$B$2237,$E$2237+$I$2237*($F2266-$A$2237),IF($F2266&lt;$C$2237,$F$2237+$J$2237*($F2266-$B$2237),$G$2237+$K$2237*($F2266-$C$2237)))</f>
        <v/>
      </c>
      <c r="P2266" s="208">
        <f>MIN(1,MAX(0,(nr_MEndPm1-$G2266+0.5)/$C$2236))-MIN(1,MAX(0,(nr_MStartPm1-1-$G2266+0.5)/$C$2236))</f>
        <v/>
      </c>
      <c r="Q2266" s="208">
        <f>MIN(1,MAX(0,(nr_MEndP-$G2266+0.5)/$C$2236))-MIN(1,MAX(0,(nr_MStartP-1-$G2266+0.5)/$C$2236))</f>
        <v/>
      </c>
      <c r="R2266" s="208">
        <f>MIN(1,MAX(0,(nr_MEndP1-$G2266+0.5)/$C$2236))-MIN(1,MAX(0,(nr_MStartP1-1-$G2266+0.5)/$C$2236))</f>
        <v/>
      </c>
      <c r="S2266" s="208">
        <f>IF($L$2236,$N2266*IF($O$2236=1,$O2266/$F$2236,1),"")</f>
        <v/>
      </c>
      <c r="T2266" s="208">
        <f>IF(NOT($L$2236),"",IF($G2266&lt;nr_MStartP,$S2266,$T2254*(1+IF($G2266&lt;nr_MStartP1,$M$2236,$N$2236))))</f>
        <v/>
      </c>
      <c r="U2266" s="208">
        <f>IF($L$2236,$T2266,$N2266)</f>
        <v/>
      </c>
    </row>
    <row r="2267">
      <c r="A2267" s="145" t="n">
        <v>29</v>
      </c>
      <c r="B2267" s="204">
        <f>EDATE($B2266,1)</f>
        <v/>
      </c>
      <c r="C2267" s="205">
        <f>EOMONTH($B2267,0)</f>
        <v/>
      </c>
      <c r="D2267" s="201">
        <f>$C2267-$B2267+1</f>
        <v/>
      </c>
      <c r="E2267" s="201">
        <f>MONTH($B2267)</f>
        <v/>
      </c>
      <c r="F2267" s="235">
        <f>($B2267+$C2267+1)/2</f>
        <v/>
      </c>
      <c r="G2267" s="201">
        <f>YEAR($B2267)*12+MONTH($B2267)-1</f>
        <v/>
      </c>
      <c r="H2267" s="207">
        <f>IF(OR(nr_SeasonOn="OFF",$D$2236=0,$E$2236=0),1,12*INDEX(se_block,$D$2236,$E2267)/$E$2236)</f>
        <v/>
      </c>
      <c r="I2267" s="208">
        <f>EXP(SUMPRODUCT((rl_eff&lt;$B2267)*(rl_key=$A$2236)*rl_ln1p))</f>
        <v/>
      </c>
      <c r="J2267" s="208">
        <f>EXP(SUMPRODUCT((rl_eff&lt;=$C2267)*(rl_key=$A$2236)*rl_ln1p))</f>
        <v/>
      </c>
      <c r="K2267" s="201">
        <f>COUNTIFS(rl_key,$A$2236,rl_eff,"&gt;="&amp;$B2267,rl_eff,"&lt;="&amp;$C2267)</f>
        <v/>
      </c>
      <c r="L2267" s="201">
        <f>SUMIFS(rl_daysafter,rl_key,$A$2236,rl_effmonth,$B2267,rl_first,1)</f>
        <v/>
      </c>
      <c r="M2267" s="209">
        <f>IF($K2267=0,0,MIN(1,$L2267/$D2267))</f>
        <v/>
      </c>
      <c r="N2267" s="208">
        <f>IF($K2267=0,$J2267,(1-$M2267)*$I2267+$M2267*$J2267)</f>
        <v/>
      </c>
      <c r="O2267" s="209">
        <f>IF($F2267&lt;$B$2237,$E$2237+$I$2237*($F2267-$A$2237),IF($F2267&lt;$C$2237,$F$2237+$J$2237*($F2267-$B$2237),$G$2237+$K$2237*($F2267-$C$2237)))</f>
        <v/>
      </c>
      <c r="P2267" s="208">
        <f>MIN(1,MAX(0,(nr_MEndPm1-$G2267+0.5)/$C$2236))-MIN(1,MAX(0,(nr_MStartPm1-1-$G2267+0.5)/$C$2236))</f>
        <v/>
      </c>
      <c r="Q2267" s="208">
        <f>MIN(1,MAX(0,(nr_MEndP-$G2267+0.5)/$C$2236))-MIN(1,MAX(0,(nr_MStartP-1-$G2267+0.5)/$C$2236))</f>
        <v/>
      </c>
      <c r="R2267" s="208">
        <f>MIN(1,MAX(0,(nr_MEndP1-$G2267+0.5)/$C$2236))-MIN(1,MAX(0,(nr_MStartP1-1-$G2267+0.5)/$C$2236))</f>
        <v/>
      </c>
      <c r="S2267" s="208">
        <f>IF($L$2236,$N2267*IF($O$2236=1,$O2267/$F$2236,1),"")</f>
        <v/>
      </c>
      <c r="T2267" s="208">
        <f>IF(NOT($L$2236),"",IF($G2267&lt;nr_MStartP,$S2267,$T2255*(1+IF($G2267&lt;nr_MStartP1,$M$2236,$N$2236))))</f>
        <v/>
      </c>
      <c r="U2267" s="208">
        <f>IF($L$2236,$T2267,$N2267)</f>
        <v/>
      </c>
    </row>
    <row r="2268">
      <c r="A2268" s="145" t="n">
        <v>30</v>
      </c>
      <c r="B2268" s="204">
        <f>EDATE($B2267,1)</f>
        <v/>
      </c>
      <c r="C2268" s="205">
        <f>EOMONTH($B2268,0)</f>
        <v/>
      </c>
      <c r="D2268" s="201">
        <f>$C2268-$B2268+1</f>
        <v/>
      </c>
      <c r="E2268" s="201">
        <f>MONTH($B2268)</f>
        <v/>
      </c>
      <c r="F2268" s="235">
        <f>($B2268+$C2268+1)/2</f>
        <v/>
      </c>
      <c r="G2268" s="201">
        <f>YEAR($B2268)*12+MONTH($B2268)-1</f>
        <v/>
      </c>
      <c r="H2268" s="207">
        <f>IF(OR(nr_SeasonOn="OFF",$D$2236=0,$E$2236=0),1,12*INDEX(se_block,$D$2236,$E2268)/$E$2236)</f>
        <v/>
      </c>
      <c r="I2268" s="208">
        <f>EXP(SUMPRODUCT((rl_eff&lt;$B2268)*(rl_key=$A$2236)*rl_ln1p))</f>
        <v/>
      </c>
      <c r="J2268" s="208">
        <f>EXP(SUMPRODUCT((rl_eff&lt;=$C2268)*(rl_key=$A$2236)*rl_ln1p))</f>
        <v/>
      </c>
      <c r="K2268" s="201">
        <f>COUNTIFS(rl_key,$A$2236,rl_eff,"&gt;="&amp;$B2268,rl_eff,"&lt;="&amp;$C2268)</f>
        <v/>
      </c>
      <c r="L2268" s="201">
        <f>SUMIFS(rl_daysafter,rl_key,$A$2236,rl_effmonth,$B2268,rl_first,1)</f>
        <v/>
      </c>
      <c r="M2268" s="209">
        <f>IF($K2268=0,0,MIN(1,$L2268/$D2268))</f>
        <v/>
      </c>
      <c r="N2268" s="208">
        <f>IF($K2268=0,$J2268,(1-$M2268)*$I2268+$M2268*$J2268)</f>
        <v/>
      </c>
      <c r="O2268" s="209">
        <f>IF($F2268&lt;$B$2237,$E$2237+$I$2237*($F2268-$A$2237),IF($F2268&lt;$C$2237,$F$2237+$J$2237*($F2268-$B$2237),$G$2237+$K$2237*($F2268-$C$2237)))</f>
        <v/>
      </c>
      <c r="P2268" s="208">
        <f>MIN(1,MAX(0,(nr_MEndPm1-$G2268+0.5)/$C$2236))-MIN(1,MAX(0,(nr_MStartPm1-1-$G2268+0.5)/$C$2236))</f>
        <v/>
      </c>
      <c r="Q2268" s="208">
        <f>MIN(1,MAX(0,(nr_MEndP-$G2268+0.5)/$C$2236))-MIN(1,MAX(0,(nr_MStartP-1-$G2268+0.5)/$C$2236))</f>
        <v/>
      </c>
      <c r="R2268" s="208">
        <f>MIN(1,MAX(0,(nr_MEndP1-$G2268+0.5)/$C$2236))-MIN(1,MAX(0,(nr_MStartP1-1-$G2268+0.5)/$C$2236))</f>
        <v/>
      </c>
      <c r="S2268" s="208">
        <f>IF($L$2236,$N2268*IF($O$2236=1,$O2268/$F$2236,1),"")</f>
        <v/>
      </c>
      <c r="T2268" s="208">
        <f>IF(NOT($L$2236),"",IF($G2268&lt;nr_MStartP,$S2268,$T2256*(1+IF($G2268&lt;nr_MStartP1,$M$2236,$N$2236))))</f>
        <v/>
      </c>
      <c r="U2268" s="208">
        <f>IF($L$2236,$T2268,$N2268)</f>
        <v/>
      </c>
    </row>
    <row r="2269">
      <c r="A2269" s="145" t="n">
        <v>31</v>
      </c>
      <c r="B2269" s="204">
        <f>EDATE($B2268,1)</f>
        <v/>
      </c>
      <c r="C2269" s="205">
        <f>EOMONTH($B2269,0)</f>
        <v/>
      </c>
      <c r="D2269" s="201">
        <f>$C2269-$B2269+1</f>
        <v/>
      </c>
      <c r="E2269" s="201">
        <f>MONTH($B2269)</f>
        <v/>
      </c>
      <c r="F2269" s="235">
        <f>($B2269+$C2269+1)/2</f>
        <v/>
      </c>
      <c r="G2269" s="201">
        <f>YEAR($B2269)*12+MONTH($B2269)-1</f>
        <v/>
      </c>
      <c r="H2269" s="207">
        <f>IF(OR(nr_SeasonOn="OFF",$D$2236=0,$E$2236=0),1,12*INDEX(se_block,$D$2236,$E2269)/$E$2236)</f>
        <v/>
      </c>
      <c r="I2269" s="208">
        <f>EXP(SUMPRODUCT((rl_eff&lt;$B2269)*(rl_key=$A$2236)*rl_ln1p))</f>
        <v/>
      </c>
      <c r="J2269" s="208">
        <f>EXP(SUMPRODUCT((rl_eff&lt;=$C2269)*(rl_key=$A$2236)*rl_ln1p))</f>
        <v/>
      </c>
      <c r="K2269" s="201">
        <f>COUNTIFS(rl_key,$A$2236,rl_eff,"&gt;="&amp;$B2269,rl_eff,"&lt;="&amp;$C2269)</f>
        <v/>
      </c>
      <c r="L2269" s="201">
        <f>SUMIFS(rl_daysafter,rl_key,$A$2236,rl_effmonth,$B2269,rl_first,1)</f>
        <v/>
      </c>
      <c r="M2269" s="209">
        <f>IF($K2269=0,0,MIN(1,$L2269/$D2269))</f>
        <v/>
      </c>
      <c r="N2269" s="208">
        <f>IF($K2269=0,$J2269,(1-$M2269)*$I2269+$M2269*$J2269)</f>
        <v/>
      </c>
      <c r="O2269" s="209">
        <f>IF($F2269&lt;$B$2237,$E$2237+$I$2237*($F2269-$A$2237),IF($F2269&lt;$C$2237,$F$2237+$J$2237*($F2269-$B$2237),$G$2237+$K$2237*($F2269-$C$2237)))</f>
        <v/>
      </c>
      <c r="P2269" s="208">
        <f>MIN(1,MAX(0,(nr_MEndPm1-$G2269+0.5)/$C$2236))-MIN(1,MAX(0,(nr_MStartPm1-1-$G2269+0.5)/$C$2236))</f>
        <v/>
      </c>
      <c r="Q2269" s="208">
        <f>MIN(1,MAX(0,(nr_MEndP-$G2269+0.5)/$C$2236))-MIN(1,MAX(0,(nr_MStartP-1-$G2269+0.5)/$C$2236))</f>
        <v/>
      </c>
      <c r="R2269" s="208">
        <f>MIN(1,MAX(0,(nr_MEndP1-$G2269+0.5)/$C$2236))-MIN(1,MAX(0,(nr_MStartP1-1-$G2269+0.5)/$C$2236))</f>
        <v/>
      </c>
      <c r="S2269" s="208">
        <f>IF($L$2236,$N2269*IF($O$2236=1,$O2269/$F$2236,1),"")</f>
        <v/>
      </c>
      <c r="T2269" s="208">
        <f>IF(NOT($L$2236),"",IF($G2269&lt;nr_MStartP,$S2269,$T2257*(1+IF($G2269&lt;nr_MStartP1,$M$2236,$N$2236))))</f>
        <v/>
      </c>
      <c r="U2269" s="208">
        <f>IF($L$2236,$T2269,$N2269)</f>
        <v/>
      </c>
    </row>
    <row r="2270">
      <c r="A2270" s="145" t="n">
        <v>32</v>
      </c>
      <c r="B2270" s="204">
        <f>EDATE($B2269,1)</f>
        <v/>
      </c>
      <c r="C2270" s="205">
        <f>EOMONTH($B2270,0)</f>
        <v/>
      </c>
      <c r="D2270" s="201">
        <f>$C2270-$B2270+1</f>
        <v/>
      </c>
      <c r="E2270" s="201">
        <f>MONTH($B2270)</f>
        <v/>
      </c>
      <c r="F2270" s="235">
        <f>($B2270+$C2270+1)/2</f>
        <v/>
      </c>
      <c r="G2270" s="201">
        <f>YEAR($B2270)*12+MONTH($B2270)-1</f>
        <v/>
      </c>
      <c r="H2270" s="207">
        <f>IF(OR(nr_SeasonOn="OFF",$D$2236=0,$E$2236=0),1,12*INDEX(se_block,$D$2236,$E2270)/$E$2236)</f>
        <v/>
      </c>
      <c r="I2270" s="208">
        <f>EXP(SUMPRODUCT((rl_eff&lt;$B2270)*(rl_key=$A$2236)*rl_ln1p))</f>
        <v/>
      </c>
      <c r="J2270" s="208">
        <f>EXP(SUMPRODUCT((rl_eff&lt;=$C2270)*(rl_key=$A$2236)*rl_ln1p))</f>
        <v/>
      </c>
      <c r="K2270" s="201">
        <f>COUNTIFS(rl_key,$A$2236,rl_eff,"&gt;="&amp;$B2270,rl_eff,"&lt;="&amp;$C2270)</f>
        <v/>
      </c>
      <c r="L2270" s="201">
        <f>SUMIFS(rl_daysafter,rl_key,$A$2236,rl_effmonth,$B2270,rl_first,1)</f>
        <v/>
      </c>
      <c r="M2270" s="209">
        <f>IF($K2270=0,0,MIN(1,$L2270/$D2270))</f>
        <v/>
      </c>
      <c r="N2270" s="208">
        <f>IF($K2270=0,$J2270,(1-$M2270)*$I2270+$M2270*$J2270)</f>
        <v/>
      </c>
      <c r="O2270" s="209">
        <f>IF($F2270&lt;$B$2237,$E$2237+$I$2237*($F2270-$A$2237),IF($F2270&lt;$C$2237,$F$2237+$J$2237*($F2270-$B$2237),$G$2237+$K$2237*($F2270-$C$2237)))</f>
        <v/>
      </c>
      <c r="P2270" s="208">
        <f>MIN(1,MAX(0,(nr_MEndPm1-$G2270+0.5)/$C$2236))-MIN(1,MAX(0,(nr_MStartPm1-1-$G2270+0.5)/$C$2236))</f>
        <v/>
      </c>
      <c r="Q2270" s="208">
        <f>MIN(1,MAX(0,(nr_MEndP-$G2270+0.5)/$C$2236))-MIN(1,MAX(0,(nr_MStartP-1-$G2270+0.5)/$C$2236))</f>
        <v/>
      </c>
      <c r="R2270" s="208">
        <f>MIN(1,MAX(0,(nr_MEndP1-$G2270+0.5)/$C$2236))-MIN(1,MAX(0,(nr_MStartP1-1-$G2270+0.5)/$C$2236))</f>
        <v/>
      </c>
      <c r="S2270" s="208">
        <f>IF($L$2236,$N2270*IF($O$2236=1,$O2270/$F$2236,1),"")</f>
        <v/>
      </c>
      <c r="T2270" s="208">
        <f>IF(NOT($L$2236),"",IF($G2270&lt;nr_MStartP,$S2270,$T2258*(1+IF($G2270&lt;nr_MStartP1,$M$2236,$N$2236))))</f>
        <v/>
      </c>
      <c r="U2270" s="208">
        <f>IF($L$2236,$T2270,$N2270)</f>
        <v/>
      </c>
    </row>
    <row r="2271">
      <c r="A2271" s="145" t="n">
        <v>33</v>
      </c>
      <c r="B2271" s="204">
        <f>EDATE($B2270,1)</f>
        <v/>
      </c>
      <c r="C2271" s="205">
        <f>EOMONTH($B2271,0)</f>
        <v/>
      </c>
      <c r="D2271" s="201">
        <f>$C2271-$B2271+1</f>
        <v/>
      </c>
      <c r="E2271" s="201">
        <f>MONTH($B2271)</f>
        <v/>
      </c>
      <c r="F2271" s="235">
        <f>($B2271+$C2271+1)/2</f>
        <v/>
      </c>
      <c r="G2271" s="201">
        <f>YEAR($B2271)*12+MONTH($B2271)-1</f>
        <v/>
      </c>
      <c r="H2271" s="207">
        <f>IF(OR(nr_SeasonOn="OFF",$D$2236=0,$E$2236=0),1,12*INDEX(se_block,$D$2236,$E2271)/$E$2236)</f>
        <v/>
      </c>
      <c r="I2271" s="208">
        <f>EXP(SUMPRODUCT((rl_eff&lt;$B2271)*(rl_key=$A$2236)*rl_ln1p))</f>
        <v/>
      </c>
      <c r="J2271" s="208">
        <f>EXP(SUMPRODUCT((rl_eff&lt;=$C2271)*(rl_key=$A$2236)*rl_ln1p))</f>
        <v/>
      </c>
      <c r="K2271" s="201">
        <f>COUNTIFS(rl_key,$A$2236,rl_eff,"&gt;="&amp;$B2271,rl_eff,"&lt;="&amp;$C2271)</f>
        <v/>
      </c>
      <c r="L2271" s="201">
        <f>SUMIFS(rl_daysafter,rl_key,$A$2236,rl_effmonth,$B2271,rl_first,1)</f>
        <v/>
      </c>
      <c r="M2271" s="209">
        <f>IF($K2271=0,0,MIN(1,$L2271/$D2271))</f>
        <v/>
      </c>
      <c r="N2271" s="208">
        <f>IF($K2271=0,$J2271,(1-$M2271)*$I2271+$M2271*$J2271)</f>
        <v/>
      </c>
      <c r="O2271" s="209">
        <f>IF($F2271&lt;$B$2237,$E$2237+$I$2237*($F2271-$A$2237),IF($F2271&lt;$C$2237,$F$2237+$J$2237*($F2271-$B$2237),$G$2237+$K$2237*($F2271-$C$2237)))</f>
        <v/>
      </c>
      <c r="P2271" s="208">
        <f>MIN(1,MAX(0,(nr_MEndPm1-$G2271+0.5)/$C$2236))-MIN(1,MAX(0,(nr_MStartPm1-1-$G2271+0.5)/$C$2236))</f>
        <v/>
      </c>
      <c r="Q2271" s="208">
        <f>MIN(1,MAX(0,(nr_MEndP-$G2271+0.5)/$C$2236))-MIN(1,MAX(0,(nr_MStartP-1-$G2271+0.5)/$C$2236))</f>
        <v/>
      </c>
      <c r="R2271" s="208">
        <f>MIN(1,MAX(0,(nr_MEndP1-$G2271+0.5)/$C$2236))-MIN(1,MAX(0,(nr_MStartP1-1-$G2271+0.5)/$C$2236))</f>
        <v/>
      </c>
      <c r="S2271" s="208">
        <f>IF($L$2236,$N2271*IF($O$2236=1,$O2271/$F$2236,1),"")</f>
        <v/>
      </c>
      <c r="T2271" s="208">
        <f>IF(NOT($L$2236),"",IF($G2271&lt;nr_MStartP,$S2271,$T2259*(1+IF($G2271&lt;nr_MStartP1,$M$2236,$N$2236))))</f>
        <v/>
      </c>
      <c r="U2271" s="208">
        <f>IF($L$2236,$T2271,$N2271)</f>
        <v/>
      </c>
    </row>
    <row r="2272">
      <c r="A2272" s="145" t="n">
        <v>34</v>
      </c>
      <c r="B2272" s="204">
        <f>EDATE($B2271,1)</f>
        <v/>
      </c>
      <c r="C2272" s="205">
        <f>EOMONTH($B2272,0)</f>
        <v/>
      </c>
      <c r="D2272" s="201">
        <f>$C2272-$B2272+1</f>
        <v/>
      </c>
      <c r="E2272" s="201">
        <f>MONTH($B2272)</f>
        <v/>
      </c>
      <c r="F2272" s="235">
        <f>($B2272+$C2272+1)/2</f>
        <v/>
      </c>
      <c r="G2272" s="201">
        <f>YEAR($B2272)*12+MONTH($B2272)-1</f>
        <v/>
      </c>
      <c r="H2272" s="207">
        <f>IF(OR(nr_SeasonOn="OFF",$D$2236=0,$E$2236=0),1,12*INDEX(se_block,$D$2236,$E2272)/$E$2236)</f>
        <v/>
      </c>
      <c r="I2272" s="208">
        <f>EXP(SUMPRODUCT((rl_eff&lt;$B2272)*(rl_key=$A$2236)*rl_ln1p))</f>
        <v/>
      </c>
      <c r="J2272" s="208">
        <f>EXP(SUMPRODUCT((rl_eff&lt;=$C2272)*(rl_key=$A$2236)*rl_ln1p))</f>
        <v/>
      </c>
      <c r="K2272" s="201">
        <f>COUNTIFS(rl_key,$A$2236,rl_eff,"&gt;="&amp;$B2272,rl_eff,"&lt;="&amp;$C2272)</f>
        <v/>
      </c>
      <c r="L2272" s="201">
        <f>SUMIFS(rl_daysafter,rl_key,$A$2236,rl_effmonth,$B2272,rl_first,1)</f>
        <v/>
      </c>
      <c r="M2272" s="209">
        <f>IF($K2272=0,0,MIN(1,$L2272/$D2272))</f>
        <v/>
      </c>
      <c r="N2272" s="208">
        <f>IF($K2272=0,$J2272,(1-$M2272)*$I2272+$M2272*$J2272)</f>
        <v/>
      </c>
      <c r="O2272" s="209">
        <f>IF($F2272&lt;$B$2237,$E$2237+$I$2237*($F2272-$A$2237),IF($F2272&lt;$C$2237,$F$2237+$J$2237*($F2272-$B$2237),$G$2237+$K$2237*($F2272-$C$2237)))</f>
        <v/>
      </c>
      <c r="P2272" s="208">
        <f>MIN(1,MAX(0,(nr_MEndPm1-$G2272+0.5)/$C$2236))-MIN(1,MAX(0,(nr_MStartPm1-1-$G2272+0.5)/$C$2236))</f>
        <v/>
      </c>
      <c r="Q2272" s="208">
        <f>MIN(1,MAX(0,(nr_MEndP-$G2272+0.5)/$C$2236))-MIN(1,MAX(0,(nr_MStartP-1-$G2272+0.5)/$C$2236))</f>
        <v/>
      </c>
      <c r="R2272" s="208">
        <f>MIN(1,MAX(0,(nr_MEndP1-$G2272+0.5)/$C$2236))-MIN(1,MAX(0,(nr_MStartP1-1-$G2272+0.5)/$C$2236))</f>
        <v/>
      </c>
      <c r="S2272" s="208">
        <f>IF($L$2236,$N2272*IF($O$2236=1,$O2272/$F$2236,1),"")</f>
        <v/>
      </c>
      <c r="T2272" s="208">
        <f>IF(NOT($L$2236),"",IF($G2272&lt;nr_MStartP,$S2272,$T2260*(1+IF($G2272&lt;nr_MStartP1,$M$2236,$N$2236))))</f>
        <v/>
      </c>
      <c r="U2272" s="208">
        <f>IF($L$2236,$T2272,$N2272)</f>
        <v/>
      </c>
    </row>
    <row r="2273">
      <c r="A2273" s="145" t="n">
        <v>35</v>
      </c>
      <c r="B2273" s="204">
        <f>EDATE($B2272,1)</f>
        <v/>
      </c>
      <c r="C2273" s="205">
        <f>EOMONTH($B2273,0)</f>
        <v/>
      </c>
      <c r="D2273" s="201">
        <f>$C2273-$B2273+1</f>
        <v/>
      </c>
      <c r="E2273" s="201">
        <f>MONTH($B2273)</f>
        <v/>
      </c>
      <c r="F2273" s="235">
        <f>($B2273+$C2273+1)/2</f>
        <v/>
      </c>
      <c r="G2273" s="201">
        <f>YEAR($B2273)*12+MONTH($B2273)-1</f>
        <v/>
      </c>
      <c r="H2273" s="207">
        <f>IF(OR(nr_SeasonOn="OFF",$D$2236=0,$E$2236=0),1,12*INDEX(se_block,$D$2236,$E2273)/$E$2236)</f>
        <v/>
      </c>
      <c r="I2273" s="208">
        <f>EXP(SUMPRODUCT((rl_eff&lt;$B2273)*(rl_key=$A$2236)*rl_ln1p))</f>
        <v/>
      </c>
      <c r="J2273" s="208">
        <f>EXP(SUMPRODUCT((rl_eff&lt;=$C2273)*(rl_key=$A$2236)*rl_ln1p))</f>
        <v/>
      </c>
      <c r="K2273" s="201">
        <f>COUNTIFS(rl_key,$A$2236,rl_eff,"&gt;="&amp;$B2273,rl_eff,"&lt;="&amp;$C2273)</f>
        <v/>
      </c>
      <c r="L2273" s="201">
        <f>SUMIFS(rl_daysafter,rl_key,$A$2236,rl_effmonth,$B2273,rl_first,1)</f>
        <v/>
      </c>
      <c r="M2273" s="209">
        <f>IF($K2273=0,0,MIN(1,$L2273/$D2273))</f>
        <v/>
      </c>
      <c r="N2273" s="208">
        <f>IF($K2273=0,$J2273,(1-$M2273)*$I2273+$M2273*$J2273)</f>
        <v/>
      </c>
      <c r="O2273" s="209">
        <f>IF($F2273&lt;$B$2237,$E$2237+$I$2237*($F2273-$A$2237),IF($F2273&lt;$C$2237,$F$2237+$J$2237*($F2273-$B$2237),$G$2237+$K$2237*($F2273-$C$2237)))</f>
        <v/>
      </c>
      <c r="P2273" s="208">
        <f>MIN(1,MAX(0,(nr_MEndPm1-$G2273+0.5)/$C$2236))-MIN(1,MAX(0,(nr_MStartPm1-1-$G2273+0.5)/$C$2236))</f>
        <v/>
      </c>
      <c r="Q2273" s="208">
        <f>MIN(1,MAX(0,(nr_MEndP-$G2273+0.5)/$C$2236))-MIN(1,MAX(0,(nr_MStartP-1-$G2273+0.5)/$C$2236))</f>
        <v/>
      </c>
      <c r="R2273" s="208">
        <f>MIN(1,MAX(0,(nr_MEndP1-$G2273+0.5)/$C$2236))-MIN(1,MAX(0,(nr_MStartP1-1-$G2273+0.5)/$C$2236))</f>
        <v/>
      </c>
      <c r="S2273" s="208">
        <f>IF($L$2236,$N2273*IF($O$2236=1,$O2273/$F$2236,1),"")</f>
        <v/>
      </c>
      <c r="T2273" s="208">
        <f>IF(NOT($L$2236),"",IF($G2273&lt;nr_MStartP,$S2273,$T2261*(1+IF($G2273&lt;nr_MStartP1,$M$2236,$N$2236))))</f>
        <v/>
      </c>
      <c r="U2273" s="208">
        <f>IF($L$2236,$T2273,$N2273)</f>
        <v/>
      </c>
    </row>
    <row r="2274">
      <c r="A2274" s="145" t="n">
        <v>36</v>
      </c>
      <c r="B2274" s="204">
        <f>EDATE($B2273,1)</f>
        <v/>
      </c>
      <c r="C2274" s="205">
        <f>EOMONTH($B2274,0)</f>
        <v/>
      </c>
      <c r="D2274" s="201">
        <f>$C2274-$B2274+1</f>
        <v/>
      </c>
      <c r="E2274" s="201">
        <f>MONTH($B2274)</f>
        <v/>
      </c>
      <c r="F2274" s="235">
        <f>($B2274+$C2274+1)/2</f>
        <v/>
      </c>
      <c r="G2274" s="201">
        <f>YEAR($B2274)*12+MONTH($B2274)-1</f>
        <v/>
      </c>
      <c r="H2274" s="207">
        <f>IF(OR(nr_SeasonOn="OFF",$D$2236=0,$E$2236=0),1,12*INDEX(se_block,$D$2236,$E2274)/$E$2236)</f>
        <v/>
      </c>
      <c r="I2274" s="208">
        <f>EXP(SUMPRODUCT((rl_eff&lt;$B2274)*(rl_key=$A$2236)*rl_ln1p))</f>
        <v/>
      </c>
      <c r="J2274" s="208">
        <f>EXP(SUMPRODUCT((rl_eff&lt;=$C2274)*(rl_key=$A$2236)*rl_ln1p))</f>
        <v/>
      </c>
      <c r="K2274" s="201">
        <f>COUNTIFS(rl_key,$A$2236,rl_eff,"&gt;="&amp;$B2274,rl_eff,"&lt;="&amp;$C2274)</f>
        <v/>
      </c>
      <c r="L2274" s="201">
        <f>SUMIFS(rl_daysafter,rl_key,$A$2236,rl_effmonth,$B2274,rl_first,1)</f>
        <v/>
      </c>
      <c r="M2274" s="209">
        <f>IF($K2274=0,0,MIN(1,$L2274/$D2274))</f>
        <v/>
      </c>
      <c r="N2274" s="208">
        <f>IF($K2274=0,$J2274,(1-$M2274)*$I2274+$M2274*$J2274)</f>
        <v/>
      </c>
      <c r="O2274" s="209">
        <f>IF($F2274&lt;$B$2237,$E$2237+$I$2237*($F2274-$A$2237),IF($F2274&lt;$C$2237,$F$2237+$J$2237*($F2274-$B$2237),$G$2237+$K$2237*($F2274-$C$2237)))</f>
        <v/>
      </c>
      <c r="P2274" s="208">
        <f>MIN(1,MAX(0,(nr_MEndPm1-$G2274+0.5)/$C$2236))-MIN(1,MAX(0,(nr_MStartPm1-1-$G2274+0.5)/$C$2236))</f>
        <v/>
      </c>
      <c r="Q2274" s="208">
        <f>MIN(1,MAX(0,(nr_MEndP-$G2274+0.5)/$C$2236))-MIN(1,MAX(0,(nr_MStartP-1-$G2274+0.5)/$C$2236))</f>
        <v/>
      </c>
      <c r="R2274" s="208">
        <f>MIN(1,MAX(0,(nr_MEndP1-$G2274+0.5)/$C$2236))-MIN(1,MAX(0,(nr_MStartP1-1-$G2274+0.5)/$C$2236))</f>
        <v/>
      </c>
      <c r="S2274" s="208">
        <f>IF($L$2236,$N2274*IF($O$2236=1,$O2274/$F$2236,1),"")</f>
        <v/>
      </c>
      <c r="T2274" s="208">
        <f>IF(NOT($L$2236),"",IF($G2274&lt;nr_MStartP,$S2274,$T2262*(1+IF($G2274&lt;nr_MStartP1,$M$2236,$N$2236))))</f>
        <v/>
      </c>
      <c r="U2274" s="208">
        <f>IF($L$2236,$T2274,$N2274)</f>
        <v/>
      </c>
    </row>
    <row r="2275">
      <c r="A2275" s="145" t="n">
        <v>37</v>
      </c>
      <c r="B2275" s="204">
        <f>EDATE($B2274,1)</f>
        <v/>
      </c>
      <c r="C2275" s="205">
        <f>EOMONTH($B2275,0)</f>
        <v/>
      </c>
      <c r="D2275" s="201">
        <f>$C2275-$B2275+1</f>
        <v/>
      </c>
      <c r="E2275" s="201">
        <f>MONTH($B2275)</f>
        <v/>
      </c>
      <c r="F2275" s="235">
        <f>($B2275+$C2275+1)/2</f>
        <v/>
      </c>
      <c r="G2275" s="201">
        <f>YEAR($B2275)*12+MONTH($B2275)-1</f>
        <v/>
      </c>
      <c r="H2275" s="207">
        <f>IF(OR(nr_SeasonOn="OFF",$D$2236=0,$E$2236=0),1,12*INDEX(se_block,$D$2236,$E2275)/$E$2236)</f>
        <v/>
      </c>
      <c r="I2275" s="208">
        <f>EXP(SUMPRODUCT((rl_eff&lt;$B2275)*(rl_key=$A$2236)*rl_ln1p))</f>
        <v/>
      </c>
      <c r="J2275" s="208">
        <f>EXP(SUMPRODUCT((rl_eff&lt;=$C2275)*(rl_key=$A$2236)*rl_ln1p))</f>
        <v/>
      </c>
      <c r="K2275" s="201">
        <f>COUNTIFS(rl_key,$A$2236,rl_eff,"&gt;="&amp;$B2275,rl_eff,"&lt;="&amp;$C2275)</f>
        <v/>
      </c>
      <c r="L2275" s="201">
        <f>SUMIFS(rl_daysafter,rl_key,$A$2236,rl_effmonth,$B2275,rl_first,1)</f>
        <v/>
      </c>
      <c r="M2275" s="209">
        <f>IF($K2275=0,0,MIN(1,$L2275/$D2275))</f>
        <v/>
      </c>
      <c r="N2275" s="208">
        <f>IF($K2275=0,$J2275,(1-$M2275)*$I2275+$M2275*$J2275)</f>
        <v/>
      </c>
      <c r="O2275" s="209">
        <f>IF($F2275&lt;$B$2237,$E$2237+$I$2237*($F2275-$A$2237),IF($F2275&lt;$C$2237,$F$2237+$J$2237*($F2275-$B$2237),$G$2237+$K$2237*($F2275-$C$2237)))</f>
        <v/>
      </c>
      <c r="P2275" s="208">
        <f>MIN(1,MAX(0,(nr_MEndPm1-$G2275+0.5)/$C$2236))-MIN(1,MAX(0,(nr_MStartPm1-1-$G2275+0.5)/$C$2236))</f>
        <v/>
      </c>
      <c r="Q2275" s="208">
        <f>MIN(1,MAX(0,(nr_MEndP-$G2275+0.5)/$C$2236))-MIN(1,MAX(0,(nr_MStartP-1-$G2275+0.5)/$C$2236))</f>
        <v/>
      </c>
      <c r="R2275" s="208">
        <f>MIN(1,MAX(0,(nr_MEndP1-$G2275+0.5)/$C$2236))-MIN(1,MAX(0,(nr_MStartP1-1-$G2275+0.5)/$C$2236))</f>
        <v/>
      </c>
      <c r="S2275" s="208">
        <f>IF($L$2236,$N2275*IF($O$2236=1,$O2275/$F$2236,1),"")</f>
        <v/>
      </c>
      <c r="T2275" s="208">
        <f>IF(NOT($L$2236),"",IF($G2275&lt;nr_MStartP,$S2275,$T2263*(1+IF($G2275&lt;nr_MStartP1,$M$2236,$N$2236))))</f>
        <v/>
      </c>
      <c r="U2275" s="208">
        <f>IF($L$2236,$T2275,$N2275)</f>
        <v/>
      </c>
    </row>
    <row r="2276">
      <c r="A2276" s="145" t="n">
        <v>38</v>
      </c>
      <c r="B2276" s="204">
        <f>EDATE($B2275,1)</f>
        <v/>
      </c>
      <c r="C2276" s="205">
        <f>EOMONTH($B2276,0)</f>
        <v/>
      </c>
      <c r="D2276" s="201">
        <f>$C2276-$B2276+1</f>
        <v/>
      </c>
      <c r="E2276" s="201">
        <f>MONTH($B2276)</f>
        <v/>
      </c>
      <c r="F2276" s="235">
        <f>($B2276+$C2276+1)/2</f>
        <v/>
      </c>
      <c r="G2276" s="201">
        <f>YEAR($B2276)*12+MONTH($B2276)-1</f>
        <v/>
      </c>
      <c r="H2276" s="207">
        <f>IF(OR(nr_SeasonOn="OFF",$D$2236=0,$E$2236=0),1,12*INDEX(se_block,$D$2236,$E2276)/$E$2236)</f>
        <v/>
      </c>
      <c r="I2276" s="208">
        <f>EXP(SUMPRODUCT((rl_eff&lt;$B2276)*(rl_key=$A$2236)*rl_ln1p))</f>
        <v/>
      </c>
      <c r="J2276" s="208">
        <f>EXP(SUMPRODUCT((rl_eff&lt;=$C2276)*(rl_key=$A$2236)*rl_ln1p))</f>
        <v/>
      </c>
      <c r="K2276" s="201">
        <f>COUNTIFS(rl_key,$A$2236,rl_eff,"&gt;="&amp;$B2276,rl_eff,"&lt;="&amp;$C2276)</f>
        <v/>
      </c>
      <c r="L2276" s="201">
        <f>SUMIFS(rl_daysafter,rl_key,$A$2236,rl_effmonth,$B2276,rl_first,1)</f>
        <v/>
      </c>
      <c r="M2276" s="209">
        <f>IF($K2276=0,0,MIN(1,$L2276/$D2276))</f>
        <v/>
      </c>
      <c r="N2276" s="208">
        <f>IF($K2276=0,$J2276,(1-$M2276)*$I2276+$M2276*$J2276)</f>
        <v/>
      </c>
      <c r="O2276" s="209">
        <f>IF($F2276&lt;$B$2237,$E$2237+$I$2237*($F2276-$A$2237),IF($F2276&lt;$C$2237,$F$2237+$J$2237*($F2276-$B$2237),$G$2237+$K$2237*($F2276-$C$2237)))</f>
        <v/>
      </c>
      <c r="P2276" s="208">
        <f>MIN(1,MAX(0,(nr_MEndPm1-$G2276+0.5)/$C$2236))-MIN(1,MAX(0,(nr_MStartPm1-1-$G2276+0.5)/$C$2236))</f>
        <v/>
      </c>
      <c r="Q2276" s="208">
        <f>MIN(1,MAX(0,(nr_MEndP-$G2276+0.5)/$C$2236))-MIN(1,MAX(0,(nr_MStartP-1-$G2276+0.5)/$C$2236))</f>
        <v/>
      </c>
      <c r="R2276" s="208">
        <f>MIN(1,MAX(0,(nr_MEndP1-$G2276+0.5)/$C$2236))-MIN(1,MAX(0,(nr_MStartP1-1-$G2276+0.5)/$C$2236))</f>
        <v/>
      </c>
      <c r="S2276" s="208">
        <f>IF($L$2236,$N2276*IF($O$2236=1,$O2276/$F$2236,1),"")</f>
        <v/>
      </c>
      <c r="T2276" s="208">
        <f>IF(NOT($L$2236),"",IF($G2276&lt;nr_MStartP,$S2276,$T2264*(1+IF($G2276&lt;nr_MStartP1,$M$2236,$N$2236))))</f>
        <v/>
      </c>
      <c r="U2276" s="208">
        <f>IF($L$2236,$T2276,$N2276)</f>
        <v/>
      </c>
    </row>
    <row r="2277">
      <c r="A2277" s="145" t="n">
        <v>39</v>
      </c>
      <c r="B2277" s="204">
        <f>EDATE($B2276,1)</f>
        <v/>
      </c>
      <c r="C2277" s="205">
        <f>EOMONTH($B2277,0)</f>
        <v/>
      </c>
      <c r="D2277" s="201">
        <f>$C2277-$B2277+1</f>
        <v/>
      </c>
      <c r="E2277" s="201">
        <f>MONTH($B2277)</f>
        <v/>
      </c>
      <c r="F2277" s="235">
        <f>($B2277+$C2277+1)/2</f>
        <v/>
      </c>
      <c r="G2277" s="201">
        <f>YEAR($B2277)*12+MONTH($B2277)-1</f>
        <v/>
      </c>
      <c r="H2277" s="207">
        <f>IF(OR(nr_SeasonOn="OFF",$D$2236=0,$E$2236=0),1,12*INDEX(se_block,$D$2236,$E2277)/$E$2236)</f>
        <v/>
      </c>
      <c r="I2277" s="208">
        <f>EXP(SUMPRODUCT((rl_eff&lt;$B2277)*(rl_key=$A$2236)*rl_ln1p))</f>
        <v/>
      </c>
      <c r="J2277" s="208">
        <f>EXP(SUMPRODUCT((rl_eff&lt;=$C2277)*(rl_key=$A$2236)*rl_ln1p))</f>
        <v/>
      </c>
      <c r="K2277" s="201">
        <f>COUNTIFS(rl_key,$A$2236,rl_eff,"&gt;="&amp;$B2277,rl_eff,"&lt;="&amp;$C2277)</f>
        <v/>
      </c>
      <c r="L2277" s="201">
        <f>SUMIFS(rl_daysafter,rl_key,$A$2236,rl_effmonth,$B2277,rl_first,1)</f>
        <v/>
      </c>
      <c r="M2277" s="209">
        <f>IF($K2277=0,0,MIN(1,$L2277/$D2277))</f>
        <v/>
      </c>
      <c r="N2277" s="208">
        <f>IF($K2277=0,$J2277,(1-$M2277)*$I2277+$M2277*$J2277)</f>
        <v/>
      </c>
      <c r="O2277" s="209">
        <f>IF($F2277&lt;$B$2237,$E$2237+$I$2237*($F2277-$A$2237),IF($F2277&lt;$C$2237,$F$2237+$J$2237*($F2277-$B$2237),$G$2237+$K$2237*($F2277-$C$2237)))</f>
        <v/>
      </c>
      <c r="P2277" s="208">
        <f>MIN(1,MAX(0,(nr_MEndPm1-$G2277+0.5)/$C$2236))-MIN(1,MAX(0,(nr_MStartPm1-1-$G2277+0.5)/$C$2236))</f>
        <v/>
      </c>
      <c r="Q2277" s="208">
        <f>MIN(1,MAX(0,(nr_MEndP-$G2277+0.5)/$C$2236))-MIN(1,MAX(0,(nr_MStartP-1-$G2277+0.5)/$C$2236))</f>
        <v/>
      </c>
      <c r="R2277" s="208">
        <f>MIN(1,MAX(0,(nr_MEndP1-$G2277+0.5)/$C$2236))-MIN(1,MAX(0,(nr_MStartP1-1-$G2277+0.5)/$C$2236))</f>
        <v/>
      </c>
      <c r="S2277" s="208">
        <f>IF($L$2236,$N2277*IF($O$2236=1,$O2277/$F$2236,1),"")</f>
        <v/>
      </c>
      <c r="T2277" s="208">
        <f>IF(NOT($L$2236),"",IF($G2277&lt;nr_MStartP,$S2277,$T2265*(1+IF($G2277&lt;nr_MStartP1,$M$2236,$N$2236))))</f>
        <v/>
      </c>
      <c r="U2277" s="208">
        <f>IF($L$2236,$T2277,$N2277)</f>
        <v/>
      </c>
    </row>
    <row r="2278">
      <c r="A2278" s="145" t="n">
        <v>40</v>
      </c>
      <c r="B2278" s="204">
        <f>EDATE($B2277,1)</f>
        <v/>
      </c>
      <c r="C2278" s="205">
        <f>EOMONTH($B2278,0)</f>
        <v/>
      </c>
      <c r="D2278" s="201">
        <f>$C2278-$B2278+1</f>
        <v/>
      </c>
      <c r="E2278" s="201">
        <f>MONTH($B2278)</f>
        <v/>
      </c>
      <c r="F2278" s="235">
        <f>($B2278+$C2278+1)/2</f>
        <v/>
      </c>
      <c r="G2278" s="201">
        <f>YEAR($B2278)*12+MONTH($B2278)-1</f>
        <v/>
      </c>
      <c r="H2278" s="207">
        <f>IF(OR(nr_SeasonOn="OFF",$D$2236=0,$E$2236=0),1,12*INDEX(se_block,$D$2236,$E2278)/$E$2236)</f>
        <v/>
      </c>
      <c r="I2278" s="208">
        <f>EXP(SUMPRODUCT((rl_eff&lt;$B2278)*(rl_key=$A$2236)*rl_ln1p))</f>
        <v/>
      </c>
      <c r="J2278" s="208">
        <f>EXP(SUMPRODUCT((rl_eff&lt;=$C2278)*(rl_key=$A$2236)*rl_ln1p))</f>
        <v/>
      </c>
      <c r="K2278" s="201">
        <f>COUNTIFS(rl_key,$A$2236,rl_eff,"&gt;="&amp;$B2278,rl_eff,"&lt;="&amp;$C2278)</f>
        <v/>
      </c>
      <c r="L2278" s="201">
        <f>SUMIFS(rl_daysafter,rl_key,$A$2236,rl_effmonth,$B2278,rl_first,1)</f>
        <v/>
      </c>
      <c r="M2278" s="209">
        <f>IF($K2278=0,0,MIN(1,$L2278/$D2278))</f>
        <v/>
      </c>
      <c r="N2278" s="208">
        <f>IF($K2278=0,$J2278,(1-$M2278)*$I2278+$M2278*$J2278)</f>
        <v/>
      </c>
      <c r="O2278" s="209">
        <f>IF($F2278&lt;$B$2237,$E$2237+$I$2237*($F2278-$A$2237),IF($F2278&lt;$C$2237,$F$2237+$J$2237*($F2278-$B$2237),$G$2237+$K$2237*($F2278-$C$2237)))</f>
        <v/>
      </c>
      <c r="P2278" s="208">
        <f>MIN(1,MAX(0,(nr_MEndPm1-$G2278+0.5)/$C$2236))-MIN(1,MAX(0,(nr_MStartPm1-1-$G2278+0.5)/$C$2236))</f>
        <v/>
      </c>
      <c r="Q2278" s="208">
        <f>MIN(1,MAX(0,(nr_MEndP-$G2278+0.5)/$C$2236))-MIN(1,MAX(0,(nr_MStartP-1-$G2278+0.5)/$C$2236))</f>
        <v/>
      </c>
      <c r="R2278" s="208">
        <f>MIN(1,MAX(0,(nr_MEndP1-$G2278+0.5)/$C$2236))-MIN(1,MAX(0,(nr_MStartP1-1-$G2278+0.5)/$C$2236))</f>
        <v/>
      </c>
      <c r="S2278" s="208">
        <f>IF($L$2236,$N2278*IF($O$2236=1,$O2278/$F$2236,1),"")</f>
        <v/>
      </c>
      <c r="T2278" s="208">
        <f>IF(NOT($L$2236),"",IF($G2278&lt;nr_MStartP,$S2278,$T2266*(1+IF($G2278&lt;nr_MStartP1,$M$2236,$N$2236))))</f>
        <v/>
      </c>
      <c r="U2278" s="208">
        <f>IF($L$2236,$T2278,$N2278)</f>
        <v/>
      </c>
    </row>
    <row r="2279">
      <c r="A2279" s="145" t="n">
        <v>41</v>
      </c>
      <c r="B2279" s="204">
        <f>EDATE($B2278,1)</f>
        <v/>
      </c>
      <c r="C2279" s="205">
        <f>EOMONTH($B2279,0)</f>
        <v/>
      </c>
      <c r="D2279" s="201">
        <f>$C2279-$B2279+1</f>
        <v/>
      </c>
      <c r="E2279" s="201">
        <f>MONTH($B2279)</f>
        <v/>
      </c>
      <c r="F2279" s="235">
        <f>($B2279+$C2279+1)/2</f>
        <v/>
      </c>
      <c r="G2279" s="201">
        <f>YEAR($B2279)*12+MONTH($B2279)-1</f>
        <v/>
      </c>
      <c r="H2279" s="207">
        <f>IF(OR(nr_SeasonOn="OFF",$D$2236=0,$E$2236=0),1,12*INDEX(se_block,$D$2236,$E2279)/$E$2236)</f>
        <v/>
      </c>
      <c r="I2279" s="208">
        <f>EXP(SUMPRODUCT((rl_eff&lt;$B2279)*(rl_key=$A$2236)*rl_ln1p))</f>
        <v/>
      </c>
      <c r="J2279" s="208">
        <f>EXP(SUMPRODUCT((rl_eff&lt;=$C2279)*(rl_key=$A$2236)*rl_ln1p))</f>
        <v/>
      </c>
      <c r="K2279" s="201">
        <f>COUNTIFS(rl_key,$A$2236,rl_eff,"&gt;="&amp;$B2279,rl_eff,"&lt;="&amp;$C2279)</f>
        <v/>
      </c>
      <c r="L2279" s="201">
        <f>SUMIFS(rl_daysafter,rl_key,$A$2236,rl_effmonth,$B2279,rl_first,1)</f>
        <v/>
      </c>
      <c r="M2279" s="209">
        <f>IF($K2279=0,0,MIN(1,$L2279/$D2279))</f>
        <v/>
      </c>
      <c r="N2279" s="208">
        <f>IF($K2279=0,$J2279,(1-$M2279)*$I2279+$M2279*$J2279)</f>
        <v/>
      </c>
      <c r="O2279" s="209">
        <f>IF($F2279&lt;$B$2237,$E$2237+$I$2237*($F2279-$A$2237),IF($F2279&lt;$C$2237,$F$2237+$J$2237*($F2279-$B$2237),$G$2237+$K$2237*($F2279-$C$2237)))</f>
        <v/>
      </c>
      <c r="P2279" s="208">
        <f>MIN(1,MAX(0,(nr_MEndPm1-$G2279+0.5)/$C$2236))-MIN(1,MAX(0,(nr_MStartPm1-1-$G2279+0.5)/$C$2236))</f>
        <v/>
      </c>
      <c r="Q2279" s="208">
        <f>MIN(1,MAX(0,(nr_MEndP-$G2279+0.5)/$C$2236))-MIN(1,MAX(0,(nr_MStartP-1-$G2279+0.5)/$C$2236))</f>
        <v/>
      </c>
      <c r="R2279" s="208">
        <f>MIN(1,MAX(0,(nr_MEndP1-$G2279+0.5)/$C$2236))-MIN(1,MAX(0,(nr_MStartP1-1-$G2279+0.5)/$C$2236))</f>
        <v/>
      </c>
      <c r="S2279" s="208">
        <f>IF($L$2236,$N2279*IF($O$2236=1,$O2279/$F$2236,1),"")</f>
        <v/>
      </c>
      <c r="T2279" s="208">
        <f>IF(NOT($L$2236),"",IF($G2279&lt;nr_MStartP,$S2279,$T2267*(1+IF($G2279&lt;nr_MStartP1,$M$2236,$N$2236))))</f>
        <v/>
      </c>
      <c r="U2279" s="208">
        <f>IF($L$2236,$T2279,$N2279)</f>
        <v/>
      </c>
    </row>
    <row r="2280">
      <c r="A2280" s="145" t="n">
        <v>42</v>
      </c>
      <c r="B2280" s="204">
        <f>EDATE($B2279,1)</f>
        <v/>
      </c>
      <c r="C2280" s="205">
        <f>EOMONTH($B2280,0)</f>
        <v/>
      </c>
      <c r="D2280" s="201">
        <f>$C2280-$B2280+1</f>
        <v/>
      </c>
      <c r="E2280" s="201">
        <f>MONTH($B2280)</f>
        <v/>
      </c>
      <c r="F2280" s="235">
        <f>($B2280+$C2280+1)/2</f>
        <v/>
      </c>
      <c r="G2280" s="201">
        <f>YEAR($B2280)*12+MONTH($B2280)-1</f>
        <v/>
      </c>
      <c r="H2280" s="207">
        <f>IF(OR(nr_SeasonOn="OFF",$D$2236=0,$E$2236=0),1,12*INDEX(se_block,$D$2236,$E2280)/$E$2236)</f>
        <v/>
      </c>
      <c r="I2280" s="208">
        <f>EXP(SUMPRODUCT((rl_eff&lt;$B2280)*(rl_key=$A$2236)*rl_ln1p))</f>
        <v/>
      </c>
      <c r="J2280" s="208">
        <f>EXP(SUMPRODUCT((rl_eff&lt;=$C2280)*(rl_key=$A$2236)*rl_ln1p))</f>
        <v/>
      </c>
      <c r="K2280" s="201">
        <f>COUNTIFS(rl_key,$A$2236,rl_eff,"&gt;="&amp;$B2280,rl_eff,"&lt;="&amp;$C2280)</f>
        <v/>
      </c>
      <c r="L2280" s="201">
        <f>SUMIFS(rl_daysafter,rl_key,$A$2236,rl_effmonth,$B2280,rl_first,1)</f>
        <v/>
      </c>
      <c r="M2280" s="209">
        <f>IF($K2280=0,0,MIN(1,$L2280/$D2280))</f>
        <v/>
      </c>
      <c r="N2280" s="208">
        <f>IF($K2280=0,$J2280,(1-$M2280)*$I2280+$M2280*$J2280)</f>
        <v/>
      </c>
      <c r="O2280" s="209">
        <f>IF($F2280&lt;$B$2237,$E$2237+$I$2237*($F2280-$A$2237),IF($F2280&lt;$C$2237,$F$2237+$J$2237*($F2280-$B$2237),$G$2237+$K$2237*($F2280-$C$2237)))</f>
        <v/>
      </c>
      <c r="P2280" s="208">
        <f>MIN(1,MAX(0,(nr_MEndPm1-$G2280+0.5)/$C$2236))-MIN(1,MAX(0,(nr_MStartPm1-1-$G2280+0.5)/$C$2236))</f>
        <v/>
      </c>
      <c r="Q2280" s="208">
        <f>MIN(1,MAX(0,(nr_MEndP-$G2280+0.5)/$C$2236))-MIN(1,MAX(0,(nr_MStartP-1-$G2280+0.5)/$C$2236))</f>
        <v/>
      </c>
      <c r="R2280" s="208">
        <f>MIN(1,MAX(0,(nr_MEndP1-$G2280+0.5)/$C$2236))-MIN(1,MAX(0,(nr_MStartP1-1-$G2280+0.5)/$C$2236))</f>
        <v/>
      </c>
      <c r="S2280" s="208">
        <f>IF($L$2236,$N2280*IF($O$2236=1,$O2280/$F$2236,1),"")</f>
        <v/>
      </c>
      <c r="T2280" s="208">
        <f>IF(NOT($L$2236),"",IF($G2280&lt;nr_MStartP,$S2280,$T2268*(1+IF($G2280&lt;nr_MStartP1,$M$2236,$N$2236))))</f>
        <v/>
      </c>
      <c r="U2280" s="208">
        <f>IF($L$2236,$T2280,$N2280)</f>
        <v/>
      </c>
    </row>
    <row r="2281">
      <c r="A2281" s="145" t="n">
        <v>43</v>
      </c>
      <c r="B2281" s="204">
        <f>EDATE($B2280,1)</f>
        <v/>
      </c>
      <c r="C2281" s="205">
        <f>EOMONTH($B2281,0)</f>
        <v/>
      </c>
      <c r="D2281" s="201">
        <f>$C2281-$B2281+1</f>
        <v/>
      </c>
      <c r="E2281" s="201">
        <f>MONTH($B2281)</f>
        <v/>
      </c>
      <c r="F2281" s="235">
        <f>($B2281+$C2281+1)/2</f>
        <v/>
      </c>
      <c r="G2281" s="201">
        <f>YEAR($B2281)*12+MONTH($B2281)-1</f>
        <v/>
      </c>
      <c r="H2281" s="207">
        <f>IF(OR(nr_SeasonOn="OFF",$D$2236=0,$E$2236=0),1,12*INDEX(se_block,$D$2236,$E2281)/$E$2236)</f>
        <v/>
      </c>
      <c r="I2281" s="208">
        <f>EXP(SUMPRODUCT((rl_eff&lt;$B2281)*(rl_key=$A$2236)*rl_ln1p))</f>
        <v/>
      </c>
      <c r="J2281" s="208">
        <f>EXP(SUMPRODUCT((rl_eff&lt;=$C2281)*(rl_key=$A$2236)*rl_ln1p))</f>
        <v/>
      </c>
      <c r="K2281" s="201">
        <f>COUNTIFS(rl_key,$A$2236,rl_eff,"&gt;="&amp;$B2281,rl_eff,"&lt;="&amp;$C2281)</f>
        <v/>
      </c>
      <c r="L2281" s="201">
        <f>SUMIFS(rl_daysafter,rl_key,$A$2236,rl_effmonth,$B2281,rl_first,1)</f>
        <v/>
      </c>
      <c r="M2281" s="209">
        <f>IF($K2281=0,0,MIN(1,$L2281/$D2281))</f>
        <v/>
      </c>
      <c r="N2281" s="208">
        <f>IF($K2281=0,$J2281,(1-$M2281)*$I2281+$M2281*$J2281)</f>
        <v/>
      </c>
      <c r="O2281" s="209">
        <f>IF($F2281&lt;$B$2237,$E$2237+$I$2237*($F2281-$A$2237),IF($F2281&lt;$C$2237,$F$2237+$J$2237*($F2281-$B$2237),$G$2237+$K$2237*($F2281-$C$2237)))</f>
        <v/>
      </c>
      <c r="P2281" s="208">
        <f>MIN(1,MAX(0,(nr_MEndPm1-$G2281+0.5)/$C$2236))-MIN(1,MAX(0,(nr_MStartPm1-1-$G2281+0.5)/$C$2236))</f>
        <v/>
      </c>
      <c r="Q2281" s="208">
        <f>MIN(1,MAX(0,(nr_MEndP-$G2281+0.5)/$C$2236))-MIN(1,MAX(0,(nr_MStartP-1-$G2281+0.5)/$C$2236))</f>
        <v/>
      </c>
      <c r="R2281" s="208">
        <f>MIN(1,MAX(0,(nr_MEndP1-$G2281+0.5)/$C$2236))-MIN(1,MAX(0,(nr_MStartP1-1-$G2281+0.5)/$C$2236))</f>
        <v/>
      </c>
      <c r="S2281" s="208">
        <f>IF($L$2236,$N2281*IF($O$2236=1,$O2281/$F$2236,1),"")</f>
        <v/>
      </c>
      <c r="T2281" s="208">
        <f>IF(NOT($L$2236),"",IF($G2281&lt;nr_MStartP,$S2281,$T2269*(1+IF($G2281&lt;nr_MStartP1,$M$2236,$N$2236))))</f>
        <v/>
      </c>
      <c r="U2281" s="208">
        <f>IF($L$2236,$T2281,$N2281)</f>
        <v/>
      </c>
    </row>
    <row r="2282">
      <c r="A2282" s="145" t="n">
        <v>44</v>
      </c>
      <c r="B2282" s="204">
        <f>EDATE($B2281,1)</f>
        <v/>
      </c>
      <c r="C2282" s="205">
        <f>EOMONTH($B2282,0)</f>
        <v/>
      </c>
      <c r="D2282" s="201">
        <f>$C2282-$B2282+1</f>
        <v/>
      </c>
      <c r="E2282" s="201">
        <f>MONTH($B2282)</f>
        <v/>
      </c>
      <c r="F2282" s="235">
        <f>($B2282+$C2282+1)/2</f>
        <v/>
      </c>
      <c r="G2282" s="201">
        <f>YEAR($B2282)*12+MONTH($B2282)-1</f>
        <v/>
      </c>
      <c r="H2282" s="207">
        <f>IF(OR(nr_SeasonOn="OFF",$D$2236=0,$E$2236=0),1,12*INDEX(se_block,$D$2236,$E2282)/$E$2236)</f>
        <v/>
      </c>
      <c r="I2282" s="208">
        <f>EXP(SUMPRODUCT((rl_eff&lt;$B2282)*(rl_key=$A$2236)*rl_ln1p))</f>
        <v/>
      </c>
      <c r="J2282" s="208">
        <f>EXP(SUMPRODUCT((rl_eff&lt;=$C2282)*(rl_key=$A$2236)*rl_ln1p))</f>
        <v/>
      </c>
      <c r="K2282" s="201">
        <f>COUNTIFS(rl_key,$A$2236,rl_eff,"&gt;="&amp;$B2282,rl_eff,"&lt;="&amp;$C2282)</f>
        <v/>
      </c>
      <c r="L2282" s="201">
        <f>SUMIFS(rl_daysafter,rl_key,$A$2236,rl_effmonth,$B2282,rl_first,1)</f>
        <v/>
      </c>
      <c r="M2282" s="209">
        <f>IF($K2282=0,0,MIN(1,$L2282/$D2282))</f>
        <v/>
      </c>
      <c r="N2282" s="208">
        <f>IF($K2282=0,$J2282,(1-$M2282)*$I2282+$M2282*$J2282)</f>
        <v/>
      </c>
      <c r="O2282" s="209">
        <f>IF($F2282&lt;$B$2237,$E$2237+$I$2237*($F2282-$A$2237),IF($F2282&lt;$C$2237,$F$2237+$J$2237*($F2282-$B$2237),$G$2237+$K$2237*($F2282-$C$2237)))</f>
        <v/>
      </c>
      <c r="P2282" s="208">
        <f>MIN(1,MAX(0,(nr_MEndPm1-$G2282+0.5)/$C$2236))-MIN(1,MAX(0,(nr_MStartPm1-1-$G2282+0.5)/$C$2236))</f>
        <v/>
      </c>
      <c r="Q2282" s="208">
        <f>MIN(1,MAX(0,(nr_MEndP-$G2282+0.5)/$C$2236))-MIN(1,MAX(0,(nr_MStartP-1-$G2282+0.5)/$C$2236))</f>
        <v/>
      </c>
      <c r="R2282" s="208">
        <f>MIN(1,MAX(0,(nr_MEndP1-$G2282+0.5)/$C$2236))-MIN(1,MAX(0,(nr_MStartP1-1-$G2282+0.5)/$C$2236))</f>
        <v/>
      </c>
      <c r="S2282" s="208">
        <f>IF($L$2236,$N2282*IF($O$2236=1,$O2282/$F$2236,1),"")</f>
        <v/>
      </c>
      <c r="T2282" s="208">
        <f>IF(NOT($L$2236),"",IF($G2282&lt;nr_MStartP,$S2282,$T2270*(1+IF($G2282&lt;nr_MStartP1,$M$2236,$N$2236))))</f>
        <v/>
      </c>
      <c r="U2282" s="208">
        <f>IF($L$2236,$T2282,$N2282)</f>
        <v/>
      </c>
    </row>
    <row r="2283">
      <c r="A2283" s="145" t="n">
        <v>45</v>
      </c>
      <c r="B2283" s="204">
        <f>EDATE($B2282,1)</f>
        <v/>
      </c>
      <c r="C2283" s="205">
        <f>EOMONTH($B2283,0)</f>
        <v/>
      </c>
      <c r="D2283" s="201">
        <f>$C2283-$B2283+1</f>
        <v/>
      </c>
      <c r="E2283" s="201">
        <f>MONTH($B2283)</f>
        <v/>
      </c>
      <c r="F2283" s="235">
        <f>($B2283+$C2283+1)/2</f>
        <v/>
      </c>
      <c r="G2283" s="201">
        <f>YEAR($B2283)*12+MONTH($B2283)-1</f>
        <v/>
      </c>
      <c r="H2283" s="207">
        <f>IF(OR(nr_SeasonOn="OFF",$D$2236=0,$E$2236=0),1,12*INDEX(se_block,$D$2236,$E2283)/$E$2236)</f>
        <v/>
      </c>
      <c r="I2283" s="208">
        <f>EXP(SUMPRODUCT((rl_eff&lt;$B2283)*(rl_key=$A$2236)*rl_ln1p))</f>
        <v/>
      </c>
      <c r="J2283" s="208">
        <f>EXP(SUMPRODUCT((rl_eff&lt;=$C2283)*(rl_key=$A$2236)*rl_ln1p))</f>
        <v/>
      </c>
      <c r="K2283" s="201">
        <f>COUNTIFS(rl_key,$A$2236,rl_eff,"&gt;="&amp;$B2283,rl_eff,"&lt;="&amp;$C2283)</f>
        <v/>
      </c>
      <c r="L2283" s="201">
        <f>SUMIFS(rl_daysafter,rl_key,$A$2236,rl_effmonth,$B2283,rl_first,1)</f>
        <v/>
      </c>
      <c r="M2283" s="209">
        <f>IF($K2283=0,0,MIN(1,$L2283/$D2283))</f>
        <v/>
      </c>
      <c r="N2283" s="208">
        <f>IF($K2283=0,$J2283,(1-$M2283)*$I2283+$M2283*$J2283)</f>
        <v/>
      </c>
      <c r="O2283" s="209">
        <f>IF($F2283&lt;$B$2237,$E$2237+$I$2237*($F2283-$A$2237),IF($F2283&lt;$C$2237,$F$2237+$J$2237*($F2283-$B$2237),$G$2237+$K$2237*($F2283-$C$2237)))</f>
        <v/>
      </c>
      <c r="P2283" s="208">
        <f>MIN(1,MAX(0,(nr_MEndPm1-$G2283+0.5)/$C$2236))-MIN(1,MAX(0,(nr_MStartPm1-1-$G2283+0.5)/$C$2236))</f>
        <v/>
      </c>
      <c r="Q2283" s="208">
        <f>MIN(1,MAX(0,(nr_MEndP-$G2283+0.5)/$C$2236))-MIN(1,MAX(0,(nr_MStartP-1-$G2283+0.5)/$C$2236))</f>
        <v/>
      </c>
      <c r="R2283" s="208">
        <f>MIN(1,MAX(0,(nr_MEndP1-$G2283+0.5)/$C$2236))-MIN(1,MAX(0,(nr_MStartP1-1-$G2283+0.5)/$C$2236))</f>
        <v/>
      </c>
      <c r="S2283" s="208">
        <f>IF($L$2236,$N2283*IF($O$2236=1,$O2283/$F$2236,1),"")</f>
        <v/>
      </c>
      <c r="T2283" s="208">
        <f>IF(NOT($L$2236),"",IF($G2283&lt;nr_MStartP,$S2283,$T2271*(1+IF($G2283&lt;nr_MStartP1,$M$2236,$N$2236))))</f>
        <v/>
      </c>
      <c r="U2283" s="208">
        <f>IF($L$2236,$T2283,$N2283)</f>
        <v/>
      </c>
    </row>
    <row r="2284">
      <c r="A2284" s="145" t="n">
        <v>46</v>
      </c>
      <c r="B2284" s="204">
        <f>EDATE($B2283,1)</f>
        <v/>
      </c>
      <c r="C2284" s="205">
        <f>EOMONTH($B2284,0)</f>
        <v/>
      </c>
      <c r="D2284" s="201">
        <f>$C2284-$B2284+1</f>
        <v/>
      </c>
      <c r="E2284" s="201">
        <f>MONTH($B2284)</f>
        <v/>
      </c>
      <c r="F2284" s="235">
        <f>($B2284+$C2284+1)/2</f>
        <v/>
      </c>
      <c r="G2284" s="201">
        <f>YEAR($B2284)*12+MONTH($B2284)-1</f>
        <v/>
      </c>
      <c r="H2284" s="207">
        <f>IF(OR(nr_SeasonOn="OFF",$D$2236=0,$E$2236=0),1,12*INDEX(se_block,$D$2236,$E2284)/$E$2236)</f>
        <v/>
      </c>
      <c r="I2284" s="208">
        <f>EXP(SUMPRODUCT((rl_eff&lt;$B2284)*(rl_key=$A$2236)*rl_ln1p))</f>
        <v/>
      </c>
      <c r="J2284" s="208">
        <f>EXP(SUMPRODUCT((rl_eff&lt;=$C2284)*(rl_key=$A$2236)*rl_ln1p))</f>
        <v/>
      </c>
      <c r="K2284" s="201">
        <f>COUNTIFS(rl_key,$A$2236,rl_eff,"&gt;="&amp;$B2284,rl_eff,"&lt;="&amp;$C2284)</f>
        <v/>
      </c>
      <c r="L2284" s="201">
        <f>SUMIFS(rl_daysafter,rl_key,$A$2236,rl_effmonth,$B2284,rl_first,1)</f>
        <v/>
      </c>
      <c r="M2284" s="209">
        <f>IF($K2284=0,0,MIN(1,$L2284/$D2284))</f>
        <v/>
      </c>
      <c r="N2284" s="208">
        <f>IF($K2284=0,$J2284,(1-$M2284)*$I2284+$M2284*$J2284)</f>
        <v/>
      </c>
      <c r="O2284" s="209">
        <f>IF($F2284&lt;$B$2237,$E$2237+$I$2237*($F2284-$A$2237),IF($F2284&lt;$C$2237,$F$2237+$J$2237*($F2284-$B$2237),$G$2237+$K$2237*($F2284-$C$2237)))</f>
        <v/>
      </c>
      <c r="P2284" s="208">
        <f>MIN(1,MAX(0,(nr_MEndPm1-$G2284+0.5)/$C$2236))-MIN(1,MAX(0,(nr_MStartPm1-1-$G2284+0.5)/$C$2236))</f>
        <v/>
      </c>
      <c r="Q2284" s="208">
        <f>MIN(1,MAX(0,(nr_MEndP-$G2284+0.5)/$C$2236))-MIN(1,MAX(0,(nr_MStartP-1-$G2284+0.5)/$C$2236))</f>
        <v/>
      </c>
      <c r="R2284" s="208">
        <f>MIN(1,MAX(0,(nr_MEndP1-$G2284+0.5)/$C$2236))-MIN(1,MAX(0,(nr_MStartP1-1-$G2284+0.5)/$C$2236))</f>
        <v/>
      </c>
      <c r="S2284" s="208">
        <f>IF($L$2236,$N2284*IF($O$2236=1,$O2284/$F$2236,1),"")</f>
        <v/>
      </c>
      <c r="T2284" s="208">
        <f>IF(NOT($L$2236),"",IF($G2284&lt;nr_MStartP,$S2284,$T2272*(1+IF($G2284&lt;nr_MStartP1,$M$2236,$N$2236))))</f>
        <v/>
      </c>
      <c r="U2284" s="208">
        <f>IF($L$2236,$T2284,$N2284)</f>
        <v/>
      </c>
    </row>
    <row r="2285">
      <c r="A2285" s="145" t="n">
        <v>47</v>
      </c>
      <c r="B2285" s="204">
        <f>EDATE($B2284,1)</f>
        <v/>
      </c>
      <c r="C2285" s="205">
        <f>EOMONTH($B2285,0)</f>
        <v/>
      </c>
      <c r="D2285" s="201">
        <f>$C2285-$B2285+1</f>
        <v/>
      </c>
      <c r="E2285" s="201">
        <f>MONTH($B2285)</f>
        <v/>
      </c>
      <c r="F2285" s="235">
        <f>($B2285+$C2285+1)/2</f>
        <v/>
      </c>
      <c r="G2285" s="201">
        <f>YEAR($B2285)*12+MONTH($B2285)-1</f>
        <v/>
      </c>
      <c r="H2285" s="207">
        <f>IF(OR(nr_SeasonOn="OFF",$D$2236=0,$E$2236=0),1,12*INDEX(se_block,$D$2236,$E2285)/$E$2236)</f>
        <v/>
      </c>
      <c r="I2285" s="208">
        <f>EXP(SUMPRODUCT((rl_eff&lt;$B2285)*(rl_key=$A$2236)*rl_ln1p))</f>
        <v/>
      </c>
      <c r="J2285" s="208">
        <f>EXP(SUMPRODUCT((rl_eff&lt;=$C2285)*(rl_key=$A$2236)*rl_ln1p))</f>
        <v/>
      </c>
      <c r="K2285" s="201">
        <f>COUNTIFS(rl_key,$A$2236,rl_eff,"&gt;="&amp;$B2285,rl_eff,"&lt;="&amp;$C2285)</f>
        <v/>
      </c>
      <c r="L2285" s="201">
        <f>SUMIFS(rl_daysafter,rl_key,$A$2236,rl_effmonth,$B2285,rl_first,1)</f>
        <v/>
      </c>
      <c r="M2285" s="209">
        <f>IF($K2285=0,0,MIN(1,$L2285/$D2285))</f>
        <v/>
      </c>
      <c r="N2285" s="208">
        <f>IF($K2285=0,$J2285,(1-$M2285)*$I2285+$M2285*$J2285)</f>
        <v/>
      </c>
      <c r="O2285" s="209">
        <f>IF($F2285&lt;$B$2237,$E$2237+$I$2237*($F2285-$A$2237),IF($F2285&lt;$C$2237,$F$2237+$J$2237*($F2285-$B$2237),$G$2237+$K$2237*($F2285-$C$2237)))</f>
        <v/>
      </c>
      <c r="P2285" s="208">
        <f>MIN(1,MAX(0,(nr_MEndPm1-$G2285+0.5)/$C$2236))-MIN(1,MAX(0,(nr_MStartPm1-1-$G2285+0.5)/$C$2236))</f>
        <v/>
      </c>
      <c r="Q2285" s="208">
        <f>MIN(1,MAX(0,(nr_MEndP-$G2285+0.5)/$C$2236))-MIN(1,MAX(0,(nr_MStartP-1-$G2285+0.5)/$C$2236))</f>
        <v/>
      </c>
      <c r="R2285" s="208">
        <f>MIN(1,MAX(0,(nr_MEndP1-$G2285+0.5)/$C$2236))-MIN(1,MAX(0,(nr_MStartP1-1-$G2285+0.5)/$C$2236))</f>
        <v/>
      </c>
      <c r="S2285" s="208">
        <f>IF($L$2236,$N2285*IF($O$2236=1,$O2285/$F$2236,1),"")</f>
        <v/>
      </c>
      <c r="T2285" s="208">
        <f>IF(NOT($L$2236),"",IF($G2285&lt;nr_MStartP,$S2285,$T2273*(1+IF($G2285&lt;nr_MStartP1,$M$2236,$N$2236))))</f>
        <v/>
      </c>
      <c r="U2285" s="208">
        <f>IF($L$2236,$T2285,$N2285)</f>
        <v/>
      </c>
    </row>
    <row r="2286">
      <c r="A2286" s="145" t="n">
        <v>48</v>
      </c>
      <c r="B2286" s="204">
        <f>EDATE($B2285,1)</f>
        <v/>
      </c>
      <c r="C2286" s="205">
        <f>EOMONTH($B2286,0)</f>
        <v/>
      </c>
      <c r="D2286" s="201">
        <f>$C2286-$B2286+1</f>
        <v/>
      </c>
      <c r="E2286" s="201">
        <f>MONTH($B2286)</f>
        <v/>
      </c>
      <c r="F2286" s="235">
        <f>($B2286+$C2286+1)/2</f>
        <v/>
      </c>
      <c r="G2286" s="201">
        <f>YEAR($B2286)*12+MONTH($B2286)-1</f>
        <v/>
      </c>
      <c r="H2286" s="207">
        <f>IF(OR(nr_SeasonOn="OFF",$D$2236=0,$E$2236=0),1,12*INDEX(se_block,$D$2236,$E2286)/$E$2236)</f>
        <v/>
      </c>
      <c r="I2286" s="208">
        <f>EXP(SUMPRODUCT((rl_eff&lt;$B2286)*(rl_key=$A$2236)*rl_ln1p))</f>
        <v/>
      </c>
      <c r="J2286" s="208">
        <f>EXP(SUMPRODUCT((rl_eff&lt;=$C2286)*(rl_key=$A$2236)*rl_ln1p))</f>
        <v/>
      </c>
      <c r="K2286" s="201">
        <f>COUNTIFS(rl_key,$A$2236,rl_eff,"&gt;="&amp;$B2286,rl_eff,"&lt;="&amp;$C2286)</f>
        <v/>
      </c>
      <c r="L2286" s="201">
        <f>SUMIFS(rl_daysafter,rl_key,$A$2236,rl_effmonth,$B2286,rl_first,1)</f>
        <v/>
      </c>
      <c r="M2286" s="209">
        <f>IF($K2286=0,0,MIN(1,$L2286/$D2286))</f>
        <v/>
      </c>
      <c r="N2286" s="208">
        <f>IF($K2286=0,$J2286,(1-$M2286)*$I2286+$M2286*$J2286)</f>
        <v/>
      </c>
      <c r="O2286" s="209">
        <f>IF($F2286&lt;$B$2237,$E$2237+$I$2237*($F2286-$A$2237),IF($F2286&lt;$C$2237,$F$2237+$J$2237*($F2286-$B$2237),$G$2237+$K$2237*($F2286-$C$2237)))</f>
        <v/>
      </c>
      <c r="P2286" s="208">
        <f>MIN(1,MAX(0,(nr_MEndPm1-$G2286+0.5)/$C$2236))-MIN(1,MAX(0,(nr_MStartPm1-1-$G2286+0.5)/$C$2236))</f>
        <v/>
      </c>
      <c r="Q2286" s="208">
        <f>MIN(1,MAX(0,(nr_MEndP-$G2286+0.5)/$C$2236))-MIN(1,MAX(0,(nr_MStartP-1-$G2286+0.5)/$C$2236))</f>
        <v/>
      </c>
      <c r="R2286" s="208">
        <f>MIN(1,MAX(0,(nr_MEndP1-$G2286+0.5)/$C$2236))-MIN(1,MAX(0,(nr_MStartP1-1-$G2286+0.5)/$C$2236))</f>
        <v/>
      </c>
      <c r="S2286" s="208">
        <f>IF($L$2236,$N2286*IF($O$2236=1,$O2286/$F$2236,1),"")</f>
        <v/>
      </c>
      <c r="T2286" s="208">
        <f>IF(NOT($L$2236),"",IF($G2286&lt;nr_MStartP,$S2286,$T2274*(1+IF($G2286&lt;nr_MStartP1,$M$2236,$N$2236))))</f>
        <v/>
      </c>
      <c r="U2286" s="208">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184">
        <f>SUMPRODUCT($H$2239:$H$2286,$Q$2239:$Q$2286,$O$2239:$O$2286)/SUMPRODUCT($H$2239:$H$2286,$Q$2239:$Q$2286)</f>
        <v/>
      </c>
      <c r="G2287" s="184">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184">
        <f>IF(N(INDEX(lr_mind,42))=0,1,INDEX(lr_mind,42))</f>
        <v/>
      </c>
      <c r="G2290" s="184">
        <f>IF(N(INDEX(lr_m0,42))=0,1,INDEX(lr_m0,42))</f>
        <v/>
      </c>
      <c r="H2290" s="73">
        <f>IF(N(INDEX(lr_m0asof,42))=0,DATE(nr_PlanYear-1,10,1),INDEX(lr_m0asof,42))</f>
        <v/>
      </c>
      <c r="I2290" s="184">
        <f>IF(N(INDEX(lr_m1,42))=0,1,INDEX(lr_m1,42))</f>
        <v/>
      </c>
      <c r="J2290" s="184">
        <f>INDEX(lr_mprior,42)</f>
        <v/>
      </c>
      <c r="K2290" s="184">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145" t="n">
        <v>1</v>
      </c>
      <c r="B2293" s="204">
        <f>DATE(nr_PlanYear-2,1,1)</f>
        <v/>
      </c>
      <c r="C2293" s="205">
        <f>EOMONTH($B2293,0)</f>
        <v/>
      </c>
      <c r="D2293" s="201">
        <f>$C2293-$B2293+1</f>
        <v/>
      </c>
      <c r="E2293" s="201">
        <f>MONTH($B2293)</f>
        <v/>
      </c>
      <c r="F2293" s="235">
        <f>($B2293+$C2293+1)/2</f>
        <v/>
      </c>
      <c r="G2293" s="201">
        <f>YEAR($B2293)*12+MONTH($B2293)-1</f>
        <v/>
      </c>
      <c r="H2293" s="207">
        <f>IF(OR(nr_SeasonOn="OFF",$D$2290=0,$E$2290=0),1,12*INDEX(se_block,$D$2290,$E2293)/$E$2290)</f>
        <v/>
      </c>
      <c r="I2293" s="208">
        <f>EXP(SUMPRODUCT((rl_eff&lt;$B2293)*(rl_key=$A$2290)*rl_ln1p))</f>
        <v/>
      </c>
      <c r="J2293" s="208">
        <f>EXP(SUMPRODUCT((rl_eff&lt;=$C2293)*(rl_key=$A$2290)*rl_ln1p))</f>
        <v/>
      </c>
      <c r="K2293" s="201">
        <f>COUNTIFS(rl_key,$A$2290,rl_eff,"&gt;="&amp;$B2293,rl_eff,"&lt;="&amp;$C2293)</f>
        <v/>
      </c>
      <c r="L2293" s="201">
        <f>SUMIFS(rl_daysafter,rl_key,$A$2290,rl_effmonth,$B2293,rl_first,1)</f>
        <v/>
      </c>
      <c r="M2293" s="209">
        <f>IF($K2293=0,0,MIN(1,$L2293/$D2293))</f>
        <v/>
      </c>
      <c r="N2293" s="208">
        <f>IF($K2293=0,$J2293,(1-$M2293)*$I2293+$M2293*$J2293)</f>
        <v/>
      </c>
      <c r="O2293" s="209">
        <f>IF($F2293&lt;$B$2291,$E$2291+$I$2291*($F2293-$A$2291),IF($F2293&lt;$C$2291,$F$2291+$J$2291*($F2293-$B$2291),$G$2291+$K$2291*($F2293-$C$2291)))</f>
        <v/>
      </c>
      <c r="P2293" s="208">
        <f>MIN(1,MAX(0,(nr_MEndPm1-$G2293+0.5)/$C$2290))-MIN(1,MAX(0,(nr_MStartPm1-1-$G2293+0.5)/$C$2290))</f>
        <v/>
      </c>
      <c r="Q2293" s="208">
        <f>MIN(1,MAX(0,(nr_MEndP-$G2293+0.5)/$C$2290))-MIN(1,MAX(0,(nr_MStartP-1-$G2293+0.5)/$C$2290))</f>
        <v/>
      </c>
      <c r="R2293" s="208">
        <f>MIN(1,MAX(0,(nr_MEndP1-$G2293+0.5)/$C$2290))-MIN(1,MAX(0,(nr_MStartP1-1-$G2293+0.5)/$C$2290))</f>
        <v/>
      </c>
      <c r="S2293" s="208">
        <f>IF($L$2290,$N2293*IF($O$2290=1,$O2293/$F$2290,1),"")</f>
        <v/>
      </c>
      <c r="T2293" s="208">
        <f>IF(NOT($L$2290),"",IF($G2293&lt;nr_MStartP,$S2293,$T2281*(1+IF($G2293&lt;nr_MStartP1,$M$2290,$N$2290))))</f>
        <v/>
      </c>
      <c r="U2293" s="208">
        <f>IF($L$2290,$T2293,$N2293)</f>
        <v/>
      </c>
    </row>
    <row r="2294">
      <c r="A2294" s="145" t="n">
        <v>2</v>
      </c>
      <c r="B2294" s="204">
        <f>EDATE($B2293,1)</f>
        <v/>
      </c>
      <c r="C2294" s="205">
        <f>EOMONTH($B2294,0)</f>
        <v/>
      </c>
      <c r="D2294" s="201">
        <f>$C2294-$B2294+1</f>
        <v/>
      </c>
      <c r="E2294" s="201">
        <f>MONTH($B2294)</f>
        <v/>
      </c>
      <c r="F2294" s="235">
        <f>($B2294+$C2294+1)/2</f>
        <v/>
      </c>
      <c r="G2294" s="201">
        <f>YEAR($B2294)*12+MONTH($B2294)-1</f>
        <v/>
      </c>
      <c r="H2294" s="207">
        <f>IF(OR(nr_SeasonOn="OFF",$D$2290=0,$E$2290=0),1,12*INDEX(se_block,$D$2290,$E2294)/$E$2290)</f>
        <v/>
      </c>
      <c r="I2294" s="208">
        <f>EXP(SUMPRODUCT((rl_eff&lt;$B2294)*(rl_key=$A$2290)*rl_ln1p))</f>
        <v/>
      </c>
      <c r="J2294" s="208">
        <f>EXP(SUMPRODUCT((rl_eff&lt;=$C2294)*(rl_key=$A$2290)*rl_ln1p))</f>
        <v/>
      </c>
      <c r="K2294" s="201">
        <f>COUNTIFS(rl_key,$A$2290,rl_eff,"&gt;="&amp;$B2294,rl_eff,"&lt;="&amp;$C2294)</f>
        <v/>
      </c>
      <c r="L2294" s="201">
        <f>SUMIFS(rl_daysafter,rl_key,$A$2290,rl_effmonth,$B2294,rl_first,1)</f>
        <v/>
      </c>
      <c r="M2294" s="209">
        <f>IF($K2294=0,0,MIN(1,$L2294/$D2294))</f>
        <v/>
      </c>
      <c r="N2294" s="208">
        <f>IF($K2294=0,$J2294,(1-$M2294)*$I2294+$M2294*$J2294)</f>
        <v/>
      </c>
      <c r="O2294" s="209">
        <f>IF($F2294&lt;$B$2291,$E$2291+$I$2291*($F2294-$A$2291),IF($F2294&lt;$C$2291,$F$2291+$J$2291*($F2294-$B$2291),$G$2291+$K$2291*($F2294-$C$2291)))</f>
        <v/>
      </c>
      <c r="P2294" s="208">
        <f>MIN(1,MAX(0,(nr_MEndPm1-$G2294+0.5)/$C$2290))-MIN(1,MAX(0,(nr_MStartPm1-1-$G2294+0.5)/$C$2290))</f>
        <v/>
      </c>
      <c r="Q2294" s="208">
        <f>MIN(1,MAX(0,(nr_MEndP-$G2294+0.5)/$C$2290))-MIN(1,MAX(0,(nr_MStartP-1-$G2294+0.5)/$C$2290))</f>
        <v/>
      </c>
      <c r="R2294" s="208">
        <f>MIN(1,MAX(0,(nr_MEndP1-$G2294+0.5)/$C$2290))-MIN(1,MAX(0,(nr_MStartP1-1-$G2294+0.5)/$C$2290))</f>
        <v/>
      </c>
      <c r="S2294" s="208">
        <f>IF($L$2290,$N2294*IF($O$2290=1,$O2294/$F$2290,1),"")</f>
        <v/>
      </c>
      <c r="T2294" s="208">
        <f>IF(NOT($L$2290),"",IF($G2294&lt;nr_MStartP,$S2294,$T2282*(1+IF($G2294&lt;nr_MStartP1,$M$2290,$N$2290))))</f>
        <v/>
      </c>
      <c r="U2294" s="208">
        <f>IF($L$2290,$T2294,$N2294)</f>
        <v/>
      </c>
    </row>
    <row r="2295">
      <c r="A2295" s="145" t="n">
        <v>3</v>
      </c>
      <c r="B2295" s="204">
        <f>EDATE($B2294,1)</f>
        <v/>
      </c>
      <c r="C2295" s="205">
        <f>EOMONTH($B2295,0)</f>
        <v/>
      </c>
      <c r="D2295" s="201">
        <f>$C2295-$B2295+1</f>
        <v/>
      </c>
      <c r="E2295" s="201">
        <f>MONTH($B2295)</f>
        <v/>
      </c>
      <c r="F2295" s="235">
        <f>($B2295+$C2295+1)/2</f>
        <v/>
      </c>
      <c r="G2295" s="201">
        <f>YEAR($B2295)*12+MONTH($B2295)-1</f>
        <v/>
      </c>
      <c r="H2295" s="207">
        <f>IF(OR(nr_SeasonOn="OFF",$D$2290=0,$E$2290=0),1,12*INDEX(se_block,$D$2290,$E2295)/$E$2290)</f>
        <v/>
      </c>
      <c r="I2295" s="208">
        <f>EXP(SUMPRODUCT((rl_eff&lt;$B2295)*(rl_key=$A$2290)*rl_ln1p))</f>
        <v/>
      </c>
      <c r="J2295" s="208">
        <f>EXP(SUMPRODUCT((rl_eff&lt;=$C2295)*(rl_key=$A$2290)*rl_ln1p))</f>
        <v/>
      </c>
      <c r="K2295" s="201">
        <f>COUNTIFS(rl_key,$A$2290,rl_eff,"&gt;="&amp;$B2295,rl_eff,"&lt;="&amp;$C2295)</f>
        <v/>
      </c>
      <c r="L2295" s="201">
        <f>SUMIFS(rl_daysafter,rl_key,$A$2290,rl_effmonth,$B2295,rl_first,1)</f>
        <v/>
      </c>
      <c r="M2295" s="209">
        <f>IF($K2295=0,0,MIN(1,$L2295/$D2295))</f>
        <v/>
      </c>
      <c r="N2295" s="208">
        <f>IF($K2295=0,$J2295,(1-$M2295)*$I2295+$M2295*$J2295)</f>
        <v/>
      </c>
      <c r="O2295" s="209">
        <f>IF($F2295&lt;$B$2291,$E$2291+$I$2291*($F2295-$A$2291),IF($F2295&lt;$C$2291,$F$2291+$J$2291*($F2295-$B$2291),$G$2291+$K$2291*($F2295-$C$2291)))</f>
        <v/>
      </c>
      <c r="P2295" s="208">
        <f>MIN(1,MAX(0,(nr_MEndPm1-$G2295+0.5)/$C$2290))-MIN(1,MAX(0,(nr_MStartPm1-1-$G2295+0.5)/$C$2290))</f>
        <v/>
      </c>
      <c r="Q2295" s="208">
        <f>MIN(1,MAX(0,(nr_MEndP-$G2295+0.5)/$C$2290))-MIN(1,MAX(0,(nr_MStartP-1-$G2295+0.5)/$C$2290))</f>
        <v/>
      </c>
      <c r="R2295" s="208">
        <f>MIN(1,MAX(0,(nr_MEndP1-$G2295+0.5)/$C$2290))-MIN(1,MAX(0,(nr_MStartP1-1-$G2295+0.5)/$C$2290))</f>
        <v/>
      </c>
      <c r="S2295" s="208">
        <f>IF($L$2290,$N2295*IF($O$2290=1,$O2295/$F$2290,1),"")</f>
        <v/>
      </c>
      <c r="T2295" s="208">
        <f>IF(NOT($L$2290),"",IF($G2295&lt;nr_MStartP,$S2295,$T2283*(1+IF($G2295&lt;nr_MStartP1,$M$2290,$N$2290))))</f>
        <v/>
      </c>
      <c r="U2295" s="208">
        <f>IF($L$2290,$T2295,$N2295)</f>
        <v/>
      </c>
    </row>
    <row r="2296">
      <c r="A2296" s="145" t="n">
        <v>4</v>
      </c>
      <c r="B2296" s="204">
        <f>EDATE($B2295,1)</f>
        <v/>
      </c>
      <c r="C2296" s="205">
        <f>EOMONTH($B2296,0)</f>
        <v/>
      </c>
      <c r="D2296" s="201">
        <f>$C2296-$B2296+1</f>
        <v/>
      </c>
      <c r="E2296" s="201">
        <f>MONTH($B2296)</f>
        <v/>
      </c>
      <c r="F2296" s="235">
        <f>($B2296+$C2296+1)/2</f>
        <v/>
      </c>
      <c r="G2296" s="201">
        <f>YEAR($B2296)*12+MONTH($B2296)-1</f>
        <v/>
      </c>
      <c r="H2296" s="207">
        <f>IF(OR(nr_SeasonOn="OFF",$D$2290=0,$E$2290=0),1,12*INDEX(se_block,$D$2290,$E2296)/$E$2290)</f>
        <v/>
      </c>
      <c r="I2296" s="208">
        <f>EXP(SUMPRODUCT((rl_eff&lt;$B2296)*(rl_key=$A$2290)*rl_ln1p))</f>
        <v/>
      </c>
      <c r="J2296" s="208">
        <f>EXP(SUMPRODUCT((rl_eff&lt;=$C2296)*(rl_key=$A$2290)*rl_ln1p))</f>
        <v/>
      </c>
      <c r="K2296" s="201">
        <f>COUNTIFS(rl_key,$A$2290,rl_eff,"&gt;="&amp;$B2296,rl_eff,"&lt;="&amp;$C2296)</f>
        <v/>
      </c>
      <c r="L2296" s="201">
        <f>SUMIFS(rl_daysafter,rl_key,$A$2290,rl_effmonth,$B2296,rl_first,1)</f>
        <v/>
      </c>
      <c r="M2296" s="209">
        <f>IF($K2296=0,0,MIN(1,$L2296/$D2296))</f>
        <v/>
      </c>
      <c r="N2296" s="208">
        <f>IF($K2296=0,$J2296,(1-$M2296)*$I2296+$M2296*$J2296)</f>
        <v/>
      </c>
      <c r="O2296" s="209">
        <f>IF($F2296&lt;$B$2291,$E$2291+$I$2291*($F2296-$A$2291),IF($F2296&lt;$C$2291,$F$2291+$J$2291*($F2296-$B$2291),$G$2291+$K$2291*($F2296-$C$2291)))</f>
        <v/>
      </c>
      <c r="P2296" s="208">
        <f>MIN(1,MAX(0,(nr_MEndPm1-$G2296+0.5)/$C$2290))-MIN(1,MAX(0,(nr_MStartPm1-1-$G2296+0.5)/$C$2290))</f>
        <v/>
      </c>
      <c r="Q2296" s="208">
        <f>MIN(1,MAX(0,(nr_MEndP-$G2296+0.5)/$C$2290))-MIN(1,MAX(0,(nr_MStartP-1-$G2296+0.5)/$C$2290))</f>
        <v/>
      </c>
      <c r="R2296" s="208">
        <f>MIN(1,MAX(0,(nr_MEndP1-$G2296+0.5)/$C$2290))-MIN(1,MAX(0,(nr_MStartP1-1-$G2296+0.5)/$C$2290))</f>
        <v/>
      </c>
      <c r="S2296" s="208">
        <f>IF($L$2290,$N2296*IF($O$2290=1,$O2296/$F$2290,1),"")</f>
        <v/>
      </c>
      <c r="T2296" s="208">
        <f>IF(NOT($L$2290),"",IF($G2296&lt;nr_MStartP,$S2296,$T2284*(1+IF($G2296&lt;nr_MStartP1,$M$2290,$N$2290))))</f>
        <v/>
      </c>
      <c r="U2296" s="208">
        <f>IF($L$2290,$T2296,$N2296)</f>
        <v/>
      </c>
    </row>
    <row r="2297">
      <c r="A2297" s="145" t="n">
        <v>5</v>
      </c>
      <c r="B2297" s="204">
        <f>EDATE($B2296,1)</f>
        <v/>
      </c>
      <c r="C2297" s="205">
        <f>EOMONTH($B2297,0)</f>
        <v/>
      </c>
      <c r="D2297" s="201">
        <f>$C2297-$B2297+1</f>
        <v/>
      </c>
      <c r="E2297" s="201">
        <f>MONTH($B2297)</f>
        <v/>
      </c>
      <c r="F2297" s="235">
        <f>($B2297+$C2297+1)/2</f>
        <v/>
      </c>
      <c r="G2297" s="201">
        <f>YEAR($B2297)*12+MONTH($B2297)-1</f>
        <v/>
      </c>
      <c r="H2297" s="207">
        <f>IF(OR(nr_SeasonOn="OFF",$D$2290=0,$E$2290=0),1,12*INDEX(se_block,$D$2290,$E2297)/$E$2290)</f>
        <v/>
      </c>
      <c r="I2297" s="208">
        <f>EXP(SUMPRODUCT((rl_eff&lt;$B2297)*(rl_key=$A$2290)*rl_ln1p))</f>
        <v/>
      </c>
      <c r="J2297" s="208">
        <f>EXP(SUMPRODUCT((rl_eff&lt;=$C2297)*(rl_key=$A$2290)*rl_ln1p))</f>
        <v/>
      </c>
      <c r="K2297" s="201">
        <f>COUNTIFS(rl_key,$A$2290,rl_eff,"&gt;="&amp;$B2297,rl_eff,"&lt;="&amp;$C2297)</f>
        <v/>
      </c>
      <c r="L2297" s="201">
        <f>SUMIFS(rl_daysafter,rl_key,$A$2290,rl_effmonth,$B2297,rl_first,1)</f>
        <v/>
      </c>
      <c r="M2297" s="209">
        <f>IF($K2297=0,0,MIN(1,$L2297/$D2297))</f>
        <v/>
      </c>
      <c r="N2297" s="208">
        <f>IF($K2297=0,$J2297,(1-$M2297)*$I2297+$M2297*$J2297)</f>
        <v/>
      </c>
      <c r="O2297" s="209">
        <f>IF($F2297&lt;$B$2291,$E$2291+$I$2291*($F2297-$A$2291),IF($F2297&lt;$C$2291,$F$2291+$J$2291*($F2297-$B$2291),$G$2291+$K$2291*($F2297-$C$2291)))</f>
        <v/>
      </c>
      <c r="P2297" s="208">
        <f>MIN(1,MAX(0,(nr_MEndPm1-$G2297+0.5)/$C$2290))-MIN(1,MAX(0,(nr_MStartPm1-1-$G2297+0.5)/$C$2290))</f>
        <v/>
      </c>
      <c r="Q2297" s="208">
        <f>MIN(1,MAX(0,(nr_MEndP-$G2297+0.5)/$C$2290))-MIN(1,MAX(0,(nr_MStartP-1-$G2297+0.5)/$C$2290))</f>
        <v/>
      </c>
      <c r="R2297" s="208">
        <f>MIN(1,MAX(0,(nr_MEndP1-$G2297+0.5)/$C$2290))-MIN(1,MAX(0,(nr_MStartP1-1-$G2297+0.5)/$C$2290))</f>
        <v/>
      </c>
      <c r="S2297" s="208">
        <f>IF($L$2290,$N2297*IF($O$2290=1,$O2297/$F$2290,1),"")</f>
        <v/>
      </c>
      <c r="T2297" s="208">
        <f>IF(NOT($L$2290),"",IF($G2297&lt;nr_MStartP,$S2297,$T2285*(1+IF($G2297&lt;nr_MStartP1,$M$2290,$N$2290))))</f>
        <v/>
      </c>
      <c r="U2297" s="208">
        <f>IF($L$2290,$T2297,$N2297)</f>
        <v/>
      </c>
    </row>
    <row r="2298">
      <c r="A2298" s="145" t="n">
        <v>6</v>
      </c>
      <c r="B2298" s="204">
        <f>EDATE($B2297,1)</f>
        <v/>
      </c>
      <c r="C2298" s="205">
        <f>EOMONTH($B2298,0)</f>
        <v/>
      </c>
      <c r="D2298" s="201">
        <f>$C2298-$B2298+1</f>
        <v/>
      </c>
      <c r="E2298" s="201">
        <f>MONTH($B2298)</f>
        <v/>
      </c>
      <c r="F2298" s="235">
        <f>($B2298+$C2298+1)/2</f>
        <v/>
      </c>
      <c r="G2298" s="201">
        <f>YEAR($B2298)*12+MONTH($B2298)-1</f>
        <v/>
      </c>
      <c r="H2298" s="207">
        <f>IF(OR(nr_SeasonOn="OFF",$D$2290=0,$E$2290=0),1,12*INDEX(se_block,$D$2290,$E2298)/$E$2290)</f>
        <v/>
      </c>
      <c r="I2298" s="208">
        <f>EXP(SUMPRODUCT((rl_eff&lt;$B2298)*(rl_key=$A$2290)*rl_ln1p))</f>
        <v/>
      </c>
      <c r="J2298" s="208">
        <f>EXP(SUMPRODUCT((rl_eff&lt;=$C2298)*(rl_key=$A$2290)*rl_ln1p))</f>
        <v/>
      </c>
      <c r="K2298" s="201">
        <f>COUNTIFS(rl_key,$A$2290,rl_eff,"&gt;="&amp;$B2298,rl_eff,"&lt;="&amp;$C2298)</f>
        <v/>
      </c>
      <c r="L2298" s="201">
        <f>SUMIFS(rl_daysafter,rl_key,$A$2290,rl_effmonth,$B2298,rl_first,1)</f>
        <v/>
      </c>
      <c r="M2298" s="209">
        <f>IF($K2298=0,0,MIN(1,$L2298/$D2298))</f>
        <v/>
      </c>
      <c r="N2298" s="208">
        <f>IF($K2298=0,$J2298,(1-$M2298)*$I2298+$M2298*$J2298)</f>
        <v/>
      </c>
      <c r="O2298" s="209">
        <f>IF($F2298&lt;$B$2291,$E$2291+$I$2291*($F2298-$A$2291),IF($F2298&lt;$C$2291,$F$2291+$J$2291*($F2298-$B$2291),$G$2291+$K$2291*($F2298-$C$2291)))</f>
        <v/>
      </c>
      <c r="P2298" s="208">
        <f>MIN(1,MAX(0,(nr_MEndPm1-$G2298+0.5)/$C$2290))-MIN(1,MAX(0,(nr_MStartPm1-1-$G2298+0.5)/$C$2290))</f>
        <v/>
      </c>
      <c r="Q2298" s="208">
        <f>MIN(1,MAX(0,(nr_MEndP-$G2298+0.5)/$C$2290))-MIN(1,MAX(0,(nr_MStartP-1-$G2298+0.5)/$C$2290))</f>
        <v/>
      </c>
      <c r="R2298" s="208">
        <f>MIN(1,MAX(0,(nr_MEndP1-$G2298+0.5)/$C$2290))-MIN(1,MAX(0,(nr_MStartP1-1-$G2298+0.5)/$C$2290))</f>
        <v/>
      </c>
      <c r="S2298" s="208">
        <f>IF($L$2290,$N2298*IF($O$2290=1,$O2298/$F$2290,1),"")</f>
        <v/>
      </c>
      <c r="T2298" s="208">
        <f>IF(NOT($L$2290),"",IF($G2298&lt;nr_MStartP,$S2298,$T2286*(1+IF($G2298&lt;nr_MStartP1,$M$2290,$N$2290))))</f>
        <v/>
      </c>
      <c r="U2298" s="208">
        <f>IF($L$2290,$T2298,$N2298)</f>
        <v/>
      </c>
    </row>
    <row r="2299">
      <c r="A2299" s="145" t="n">
        <v>7</v>
      </c>
      <c r="B2299" s="204">
        <f>EDATE($B2298,1)</f>
        <v/>
      </c>
      <c r="C2299" s="205">
        <f>EOMONTH($B2299,0)</f>
        <v/>
      </c>
      <c r="D2299" s="201">
        <f>$C2299-$B2299+1</f>
        <v/>
      </c>
      <c r="E2299" s="201">
        <f>MONTH($B2299)</f>
        <v/>
      </c>
      <c r="F2299" s="235">
        <f>($B2299+$C2299+1)/2</f>
        <v/>
      </c>
      <c r="G2299" s="201">
        <f>YEAR($B2299)*12+MONTH($B2299)-1</f>
        <v/>
      </c>
      <c r="H2299" s="207">
        <f>IF(OR(nr_SeasonOn="OFF",$D$2290=0,$E$2290=0),1,12*INDEX(se_block,$D$2290,$E2299)/$E$2290)</f>
        <v/>
      </c>
      <c r="I2299" s="208">
        <f>EXP(SUMPRODUCT((rl_eff&lt;$B2299)*(rl_key=$A$2290)*rl_ln1p))</f>
        <v/>
      </c>
      <c r="J2299" s="208">
        <f>EXP(SUMPRODUCT((rl_eff&lt;=$C2299)*(rl_key=$A$2290)*rl_ln1p))</f>
        <v/>
      </c>
      <c r="K2299" s="201">
        <f>COUNTIFS(rl_key,$A$2290,rl_eff,"&gt;="&amp;$B2299,rl_eff,"&lt;="&amp;$C2299)</f>
        <v/>
      </c>
      <c r="L2299" s="201">
        <f>SUMIFS(rl_daysafter,rl_key,$A$2290,rl_effmonth,$B2299,rl_first,1)</f>
        <v/>
      </c>
      <c r="M2299" s="209">
        <f>IF($K2299=0,0,MIN(1,$L2299/$D2299))</f>
        <v/>
      </c>
      <c r="N2299" s="208">
        <f>IF($K2299=0,$J2299,(1-$M2299)*$I2299+$M2299*$J2299)</f>
        <v/>
      </c>
      <c r="O2299" s="209">
        <f>IF($F2299&lt;$B$2291,$E$2291+$I$2291*($F2299-$A$2291),IF($F2299&lt;$C$2291,$F$2291+$J$2291*($F2299-$B$2291),$G$2291+$K$2291*($F2299-$C$2291)))</f>
        <v/>
      </c>
      <c r="P2299" s="208">
        <f>MIN(1,MAX(0,(nr_MEndPm1-$G2299+0.5)/$C$2290))-MIN(1,MAX(0,(nr_MStartPm1-1-$G2299+0.5)/$C$2290))</f>
        <v/>
      </c>
      <c r="Q2299" s="208">
        <f>MIN(1,MAX(0,(nr_MEndP-$G2299+0.5)/$C$2290))-MIN(1,MAX(0,(nr_MStartP-1-$G2299+0.5)/$C$2290))</f>
        <v/>
      </c>
      <c r="R2299" s="208">
        <f>MIN(1,MAX(0,(nr_MEndP1-$G2299+0.5)/$C$2290))-MIN(1,MAX(0,(nr_MStartP1-1-$G2299+0.5)/$C$2290))</f>
        <v/>
      </c>
      <c r="S2299" s="208">
        <f>IF($L$2290,$N2299*IF($O$2290=1,$O2299/$F$2290,1),"")</f>
        <v/>
      </c>
      <c r="T2299" s="208">
        <f>IF(NOT($L$2290),"",IF($G2299&lt;nr_MStartP,$S2299,$T2287*(1+IF($G2299&lt;nr_MStartP1,$M$2290,$N$2290))))</f>
        <v/>
      </c>
      <c r="U2299" s="208">
        <f>IF($L$2290,$T2299,$N2299)</f>
        <v/>
      </c>
    </row>
    <row r="2300">
      <c r="A2300" s="145" t="n">
        <v>8</v>
      </c>
      <c r="B2300" s="204">
        <f>EDATE($B2299,1)</f>
        <v/>
      </c>
      <c r="C2300" s="205">
        <f>EOMONTH($B2300,0)</f>
        <v/>
      </c>
      <c r="D2300" s="201">
        <f>$C2300-$B2300+1</f>
        <v/>
      </c>
      <c r="E2300" s="201">
        <f>MONTH($B2300)</f>
        <v/>
      </c>
      <c r="F2300" s="235">
        <f>($B2300+$C2300+1)/2</f>
        <v/>
      </c>
      <c r="G2300" s="201">
        <f>YEAR($B2300)*12+MONTH($B2300)-1</f>
        <v/>
      </c>
      <c r="H2300" s="207">
        <f>IF(OR(nr_SeasonOn="OFF",$D$2290=0,$E$2290=0),1,12*INDEX(se_block,$D$2290,$E2300)/$E$2290)</f>
        <v/>
      </c>
      <c r="I2300" s="208">
        <f>EXP(SUMPRODUCT((rl_eff&lt;$B2300)*(rl_key=$A$2290)*rl_ln1p))</f>
        <v/>
      </c>
      <c r="J2300" s="208">
        <f>EXP(SUMPRODUCT((rl_eff&lt;=$C2300)*(rl_key=$A$2290)*rl_ln1p))</f>
        <v/>
      </c>
      <c r="K2300" s="201">
        <f>COUNTIFS(rl_key,$A$2290,rl_eff,"&gt;="&amp;$B2300,rl_eff,"&lt;="&amp;$C2300)</f>
        <v/>
      </c>
      <c r="L2300" s="201">
        <f>SUMIFS(rl_daysafter,rl_key,$A$2290,rl_effmonth,$B2300,rl_first,1)</f>
        <v/>
      </c>
      <c r="M2300" s="209">
        <f>IF($K2300=0,0,MIN(1,$L2300/$D2300))</f>
        <v/>
      </c>
      <c r="N2300" s="208">
        <f>IF($K2300=0,$J2300,(1-$M2300)*$I2300+$M2300*$J2300)</f>
        <v/>
      </c>
      <c r="O2300" s="209">
        <f>IF($F2300&lt;$B$2291,$E$2291+$I$2291*($F2300-$A$2291),IF($F2300&lt;$C$2291,$F$2291+$J$2291*($F2300-$B$2291),$G$2291+$K$2291*($F2300-$C$2291)))</f>
        <v/>
      </c>
      <c r="P2300" s="208">
        <f>MIN(1,MAX(0,(nr_MEndPm1-$G2300+0.5)/$C$2290))-MIN(1,MAX(0,(nr_MStartPm1-1-$G2300+0.5)/$C$2290))</f>
        <v/>
      </c>
      <c r="Q2300" s="208">
        <f>MIN(1,MAX(0,(nr_MEndP-$G2300+0.5)/$C$2290))-MIN(1,MAX(0,(nr_MStartP-1-$G2300+0.5)/$C$2290))</f>
        <v/>
      </c>
      <c r="R2300" s="208">
        <f>MIN(1,MAX(0,(nr_MEndP1-$G2300+0.5)/$C$2290))-MIN(1,MAX(0,(nr_MStartP1-1-$G2300+0.5)/$C$2290))</f>
        <v/>
      </c>
      <c r="S2300" s="208">
        <f>IF($L$2290,$N2300*IF($O$2290=1,$O2300/$F$2290,1),"")</f>
        <v/>
      </c>
      <c r="T2300" s="208">
        <f>IF(NOT($L$2290),"",IF($G2300&lt;nr_MStartP,$S2300,$T2288*(1+IF($G2300&lt;nr_MStartP1,$M$2290,$N$2290))))</f>
        <v/>
      </c>
      <c r="U2300" s="208">
        <f>IF($L$2290,$T2300,$N2300)</f>
        <v/>
      </c>
    </row>
    <row r="2301">
      <c r="A2301" s="145" t="n">
        <v>9</v>
      </c>
      <c r="B2301" s="204">
        <f>EDATE($B2300,1)</f>
        <v/>
      </c>
      <c r="C2301" s="205">
        <f>EOMONTH($B2301,0)</f>
        <v/>
      </c>
      <c r="D2301" s="201">
        <f>$C2301-$B2301+1</f>
        <v/>
      </c>
      <c r="E2301" s="201">
        <f>MONTH($B2301)</f>
        <v/>
      </c>
      <c r="F2301" s="235">
        <f>($B2301+$C2301+1)/2</f>
        <v/>
      </c>
      <c r="G2301" s="201">
        <f>YEAR($B2301)*12+MONTH($B2301)-1</f>
        <v/>
      </c>
      <c r="H2301" s="207">
        <f>IF(OR(nr_SeasonOn="OFF",$D$2290=0,$E$2290=0),1,12*INDEX(se_block,$D$2290,$E2301)/$E$2290)</f>
        <v/>
      </c>
      <c r="I2301" s="208">
        <f>EXP(SUMPRODUCT((rl_eff&lt;$B2301)*(rl_key=$A$2290)*rl_ln1p))</f>
        <v/>
      </c>
      <c r="J2301" s="208">
        <f>EXP(SUMPRODUCT((rl_eff&lt;=$C2301)*(rl_key=$A$2290)*rl_ln1p))</f>
        <v/>
      </c>
      <c r="K2301" s="201">
        <f>COUNTIFS(rl_key,$A$2290,rl_eff,"&gt;="&amp;$B2301,rl_eff,"&lt;="&amp;$C2301)</f>
        <v/>
      </c>
      <c r="L2301" s="201">
        <f>SUMIFS(rl_daysafter,rl_key,$A$2290,rl_effmonth,$B2301,rl_first,1)</f>
        <v/>
      </c>
      <c r="M2301" s="209">
        <f>IF($K2301=0,0,MIN(1,$L2301/$D2301))</f>
        <v/>
      </c>
      <c r="N2301" s="208">
        <f>IF($K2301=0,$J2301,(1-$M2301)*$I2301+$M2301*$J2301)</f>
        <v/>
      </c>
      <c r="O2301" s="209">
        <f>IF($F2301&lt;$B$2291,$E$2291+$I$2291*($F2301-$A$2291),IF($F2301&lt;$C$2291,$F$2291+$J$2291*($F2301-$B$2291),$G$2291+$K$2291*($F2301-$C$2291)))</f>
        <v/>
      </c>
      <c r="P2301" s="208">
        <f>MIN(1,MAX(0,(nr_MEndPm1-$G2301+0.5)/$C$2290))-MIN(1,MAX(0,(nr_MStartPm1-1-$G2301+0.5)/$C$2290))</f>
        <v/>
      </c>
      <c r="Q2301" s="208">
        <f>MIN(1,MAX(0,(nr_MEndP-$G2301+0.5)/$C$2290))-MIN(1,MAX(0,(nr_MStartP-1-$G2301+0.5)/$C$2290))</f>
        <v/>
      </c>
      <c r="R2301" s="208">
        <f>MIN(1,MAX(0,(nr_MEndP1-$G2301+0.5)/$C$2290))-MIN(1,MAX(0,(nr_MStartP1-1-$G2301+0.5)/$C$2290))</f>
        <v/>
      </c>
      <c r="S2301" s="208">
        <f>IF($L$2290,$N2301*IF($O$2290=1,$O2301/$F$2290,1),"")</f>
        <v/>
      </c>
      <c r="T2301" s="208">
        <f>IF(NOT($L$2290),"",IF($G2301&lt;nr_MStartP,$S2301,$T2289*(1+IF($G2301&lt;nr_MStartP1,$M$2290,$N$2290))))</f>
        <v/>
      </c>
      <c r="U2301" s="208">
        <f>IF($L$2290,$T2301,$N2301)</f>
        <v/>
      </c>
    </row>
    <row r="2302">
      <c r="A2302" s="145" t="n">
        <v>10</v>
      </c>
      <c r="B2302" s="204">
        <f>EDATE($B2301,1)</f>
        <v/>
      </c>
      <c r="C2302" s="205">
        <f>EOMONTH($B2302,0)</f>
        <v/>
      </c>
      <c r="D2302" s="201">
        <f>$C2302-$B2302+1</f>
        <v/>
      </c>
      <c r="E2302" s="201">
        <f>MONTH($B2302)</f>
        <v/>
      </c>
      <c r="F2302" s="235">
        <f>($B2302+$C2302+1)/2</f>
        <v/>
      </c>
      <c r="G2302" s="201">
        <f>YEAR($B2302)*12+MONTH($B2302)-1</f>
        <v/>
      </c>
      <c r="H2302" s="207">
        <f>IF(OR(nr_SeasonOn="OFF",$D$2290=0,$E$2290=0),1,12*INDEX(se_block,$D$2290,$E2302)/$E$2290)</f>
        <v/>
      </c>
      <c r="I2302" s="208">
        <f>EXP(SUMPRODUCT((rl_eff&lt;$B2302)*(rl_key=$A$2290)*rl_ln1p))</f>
        <v/>
      </c>
      <c r="J2302" s="208">
        <f>EXP(SUMPRODUCT((rl_eff&lt;=$C2302)*(rl_key=$A$2290)*rl_ln1p))</f>
        <v/>
      </c>
      <c r="K2302" s="201">
        <f>COUNTIFS(rl_key,$A$2290,rl_eff,"&gt;="&amp;$B2302,rl_eff,"&lt;="&amp;$C2302)</f>
        <v/>
      </c>
      <c r="L2302" s="201">
        <f>SUMIFS(rl_daysafter,rl_key,$A$2290,rl_effmonth,$B2302,rl_first,1)</f>
        <v/>
      </c>
      <c r="M2302" s="209">
        <f>IF($K2302=0,0,MIN(1,$L2302/$D2302))</f>
        <v/>
      </c>
      <c r="N2302" s="208">
        <f>IF($K2302=0,$J2302,(1-$M2302)*$I2302+$M2302*$J2302)</f>
        <v/>
      </c>
      <c r="O2302" s="209">
        <f>IF($F2302&lt;$B$2291,$E$2291+$I$2291*($F2302-$A$2291),IF($F2302&lt;$C$2291,$F$2291+$J$2291*($F2302-$B$2291),$G$2291+$K$2291*($F2302-$C$2291)))</f>
        <v/>
      </c>
      <c r="P2302" s="208">
        <f>MIN(1,MAX(0,(nr_MEndPm1-$G2302+0.5)/$C$2290))-MIN(1,MAX(0,(nr_MStartPm1-1-$G2302+0.5)/$C$2290))</f>
        <v/>
      </c>
      <c r="Q2302" s="208">
        <f>MIN(1,MAX(0,(nr_MEndP-$G2302+0.5)/$C$2290))-MIN(1,MAX(0,(nr_MStartP-1-$G2302+0.5)/$C$2290))</f>
        <v/>
      </c>
      <c r="R2302" s="208">
        <f>MIN(1,MAX(0,(nr_MEndP1-$G2302+0.5)/$C$2290))-MIN(1,MAX(0,(nr_MStartP1-1-$G2302+0.5)/$C$2290))</f>
        <v/>
      </c>
      <c r="S2302" s="208">
        <f>IF($L$2290,$N2302*IF($O$2290=1,$O2302/$F$2290,1),"")</f>
        <v/>
      </c>
      <c r="T2302" s="208">
        <f>IF(NOT($L$2290),"",IF($G2302&lt;nr_MStartP,$S2302,$T2290*(1+IF($G2302&lt;nr_MStartP1,$M$2290,$N$2290))))</f>
        <v/>
      </c>
      <c r="U2302" s="208">
        <f>IF($L$2290,$T2302,$N2302)</f>
        <v/>
      </c>
    </row>
    <row r="2303">
      <c r="A2303" s="145" t="n">
        <v>11</v>
      </c>
      <c r="B2303" s="204">
        <f>EDATE($B2302,1)</f>
        <v/>
      </c>
      <c r="C2303" s="205">
        <f>EOMONTH($B2303,0)</f>
        <v/>
      </c>
      <c r="D2303" s="201">
        <f>$C2303-$B2303+1</f>
        <v/>
      </c>
      <c r="E2303" s="201">
        <f>MONTH($B2303)</f>
        <v/>
      </c>
      <c r="F2303" s="235">
        <f>($B2303+$C2303+1)/2</f>
        <v/>
      </c>
      <c r="G2303" s="201">
        <f>YEAR($B2303)*12+MONTH($B2303)-1</f>
        <v/>
      </c>
      <c r="H2303" s="207">
        <f>IF(OR(nr_SeasonOn="OFF",$D$2290=0,$E$2290=0),1,12*INDEX(se_block,$D$2290,$E2303)/$E$2290)</f>
        <v/>
      </c>
      <c r="I2303" s="208">
        <f>EXP(SUMPRODUCT((rl_eff&lt;$B2303)*(rl_key=$A$2290)*rl_ln1p))</f>
        <v/>
      </c>
      <c r="J2303" s="208">
        <f>EXP(SUMPRODUCT((rl_eff&lt;=$C2303)*(rl_key=$A$2290)*rl_ln1p))</f>
        <v/>
      </c>
      <c r="K2303" s="201">
        <f>COUNTIFS(rl_key,$A$2290,rl_eff,"&gt;="&amp;$B2303,rl_eff,"&lt;="&amp;$C2303)</f>
        <v/>
      </c>
      <c r="L2303" s="201">
        <f>SUMIFS(rl_daysafter,rl_key,$A$2290,rl_effmonth,$B2303,rl_first,1)</f>
        <v/>
      </c>
      <c r="M2303" s="209">
        <f>IF($K2303=0,0,MIN(1,$L2303/$D2303))</f>
        <v/>
      </c>
      <c r="N2303" s="208">
        <f>IF($K2303=0,$J2303,(1-$M2303)*$I2303+$M2303*$J2303)</f>
        <v/>
      </c>
      <c r="O2303" s="209">
        <f>IF($F2303&lt;$B$2291,$E$2291+$I$2291*($F2303-$A$2291),IF($F2303&lt;$C$2291,$F$2291+$J$2291*($F2303-$B$2291),$G$2291+$K$2291*($F2303-$C$2291)))</f>
        <v/>
      </c>
      <c r="P2303" s="208">
        <f>MIN(1,MAX(0,(nr_MEndPm1-$G2303+0.5)/$C$2290))-MIN(1,MAX(0,(nr_MStartPm1-1-$G2303+0.5)/$C$2290))</f>
        <v/>
      </c>
      <c r="Q2303" s="208">
        <f>MIN(1,MAX(0,(nr_MEndP-$G2303+0.5)/$C$2290))-MIN(1,MAX(0,(nr_MStartP-1-$G2303+0.5)/$C$2290))</f>
        <v/>
      </c>
      <c r="R2303" s="208">
        <f>MIN(1,MAX(0,(nr_MEndP1-$G2303+0.5)/$C$2290))-MIN(1,MAX(0,(nr_MStartP1-1-$G2303+0.5)/$C$2290))</f>
        <v/>
      </c>
      <c r="S2303" s="208">
        <f>IF($L$2290,$N2303*IF($O$2290=1,$O2303/$F$2290,1),"")</f>
        <v/>
      </c>
      <c r="T2303" s="208">
        <f>IF(NOT($L$2290),"",IF($G2303&lt;nr_MStartP,$S2303,$T2291*(1+IF($G2303&lt;nr_MStartP1,$M$2290,$N$2290))))</f>
        <v/>
      </c>
      <c r="U2303" s="208">
        <f>IF($L$2290,$T2303,$N2303)</f>
        <v/>
      </c>
    </row>
    <row r="2304">
      <c r="A2304" s="145" t="n">
        <v>12</v>
      </c>
      <c r="B2304" s="204">
        <f>EDATE($B2303,1)</f>
        <v/>
      </c>
      <c r="C2304" s="205">
        <f>EOMONTH($B2304,0)</f>
        <v/>
      </c>
      <c r="D2304" s="201">
        <f>$C2304-$B2304+1</f>
        <v/>
      </c>
      <c r="E2304" s="201">
        <f>MONTH($B2304)</f>
        <v/>
      </c>
      <c r="F2304" s="235">
        <f>($B2304+$C2304+1)/2</f>
        <v/>
      </c>
      <c r="G2304" s="201">
        <f>YEAR($B2304)*12+MONTH($B2304)-1</f>
        <v/>
      </c>
      <c r="H2304" s="207">
        <f>IF(OR(nr_SeasonOn="OFF",$D$2290=0,$E$2290=0),1,12*INDEX(se_block,$D$2290,$E2304)/$E$2290)</f>
        <v/>
      </c>
      <c r="I2304" s="208">
        <f>EXP(SUMPRODUCT((rl_eff&lt;$B2304)*(rl_key=$A$2290)*rl_ln1p))</f>
        <v/>
      </c>
      <c r="J2304" s="208">
        <f>EXP(SUMPRODUCT((rl_eff&lt;=$C2304)*(rl_key=$A$2290)*rl_ln1p))</f>
        <v/>
      </c>
      <c r="K2304" s="201">
        <f>COUNTIFS(rl_key,$A$2290,rl_eff,"&gt;="&amp;$B2304,rl_eff,"&lt;="&amp;$C2304)</f>
        <v/>
      </c>
      <c r="L2304" s="201">
        <f>SUMIFS(rl_daysafter,rl_key,$A$2290,rl_effmonth,$B2304,rl_first,1)</f>
        <v/>
      </c>
      <c r="M2304" s="209">
        <f>IF($K2304=0,0,MIN(1,$L2304/$D2304))</f>
        <v/>
      </c>
      <c r="N2304" s="208">
        <f>IF($K2304=0,$J2304,(1-$M2304)*$I2304+$M2304*$J2304)</f>
        <v/>
      </c>
      <c r="O2304" s="209">
        <f>IF($F2304&lt;$B$2291,$E$2291+$I$2291*($F2304-$A$2291),IF($F2304&lt;$C$2291,$F$2291+$J$2291*($F2304-$B$2291),$G$2291+$K$2291*($F2304-$C$2291)))</f>
        <v/>
      </c>
      <c r="P2304" s="208">
        <f>MIN(1,MAX(0,(nr_MEndPm1-$G2304+0.5)/$C$2290))-MIN(1,MAX(0,(nr_MStartPm1-1-$G2304+0.5)/$C$2290))</f>
        <v/>
      </c>
      <c r="Q2304" s="208">
        <f>MIN(1,MAX(0,(nr_MEndP-$G2304+0.5)/$C$2290))-MIN(1,MAX(0,(nr_MStartP-1-$G2304+0.5)/$C$2290))</f>
        <v/>
      </c>
      <c r="R2304" s="208">
        <f>MIN(1,MAX(0,(nr_MEndP1-$G2304+0.5)/$C$2290))-MIN(1,MAX(0,(nr_MStartP1-1-$G2304+0.5)/$C$2290))</f>
        <v/>
      </c>
      <c r="S2304" s="208">
        <f>IF($L$2290,$N2304*IF($O$2290=1,$O2304/$F$2290,1),"")</f>
        <v/>
      </c>
      <c r="T2304" s="208">
        <f>IF(NOT($L$2290),"",IF($G2304&lt;nr_MStartP,$S2304,$T2292*(1+IF($G2304&lt;nr_MStartP1,$M$2290,$N$2290))))</f>
        <v/>
      </c>
      <c r="U2304" s="208">
        <f>IF($L$2290,$T2304,$N2304)</f>
        <v/>
      </c>
    </row>
    <row r="2305">
      <c r="A2305" s="145" t="n">
        <v>13</v>
      </c>
      <c r="B2305" s="204">
        <f>EDATE($B2304,1)</f>
        <v/>
      </c>
      <c r="C2305" s="205">
        <f>EOMONTH($B2305,0)</f>
        <v/>
      </c>
      <c r="D2305" s="201">
        <f>$C2305-$B2305+1</f>
        <v/>
      </c>
      <c r="E2305" s="201">
        <f>MONTH($B2305)</f>
        <v/>
      </c>
      <c r="F2305" s="235">
        <f>($B2305+$C2305+1)/2</f>
        <v/>
      </c>
      <c r="G2305" s="201">
        <f>YEAR($B2305)*12+MONTH($B2305)-1</f>
        <v/>
      </c>
      <c r="H2305" s="207">
        <f>IF(OR(nr_SeasonOn="OFF",$D$2290=0,$E$2290=0),1,12*INDEX(se_block,$D$2290,$E2305)/$E$2290)</f>
        <v/>
      </c>
      <c r="I2305" s="208">
        <f>EXP(SUMPRODUCT((rl_eff&lt;$B2305)*(rl_key=$A$2290)*rl_ln1p))</f>
        <v/>
      </c>
      <c r="J2305" s="208">
        <f>EXP(SUMPRODUCT((rl_eff&lt;=$C2305)*(rl_key=$A$2290)*rl_ln1p))</f>
        <v/>
      </c>
      <c r="K2305" s="201">
        <f>COUNTIFS(rl_key,$A$2290,rl_eff,"&gt;="&amp;$B2305,rl_eff,"&lt;="&amp;$C2305)</f>
        <v/>
      </c>
      <c r="L2305" s="201">
        <f>SUMIFS(rl_daysafter,rl_key,$A$2290,rl_effmonth,$B2305,rl_first,1)</f>
        <v/>
      </c>
      <c r="M2305" s="209">
        <f>IF($K2305=0,0,MIN(1,$L2305/$D2305))</f>
        <v/>
      </c>
      <c r="N2305" s="208">
        <f>IF($K2305=0,$J2305,(1-$M2305)*$I2305+$M2305*$J2305)</f>
        <v/>
      </c>
      <c r="O2305" s="209">
        <f>IF($F2305&lt;$B$2291,$E$2291+$I$2291*($F2305-$A$2291),IF($F2305&lt;$C$2291,$F$2291+$J$2291*($F2305-$B$2291),$G$2291+$K$2291*($F2305-$C$2291)))</f>
        <v/>
      </c>
      <c r="P2305" s="208">
        <f>MIN(1,MAX(0,(nr_MEndPm1-$G2305+0.5)/$C$2290))-MIN(1,MAX(0,(nr_MStartPm1-1-$G2305+0.5)/$C$2290))</f>
        <v/>
      </c>
      <c r="Q2305" s="208">
        <f>MIN(1,MAX(0,(nr_MEndP-$G2305+0.5)/$C$2290))-MIN(1,MAX(0,(nr_MStartP-1-$G2305+0.5)/$C$2290))</f>
        <v/>
      </c>
      <c r="R2305" s="208">
        <f>MIN(1,MAX(0,(nr_MEndP1-$G2305+0.5)/$C$2290))-MIN(1,MAX(0,(nr_MStartP1-1-$G2305+0.5)/$C$2290))</f>
        <v/>
      </c>
      <c r="S2305" s="208">
        <f>IF($L$2290,$N2305*IF($O$2290=1,$O2305/$F$2290,1),"")</f>
        <v/>
      </c>
      <c r="T2305" s="208">
        <f>IF(NOT($L$2290),"",IF($G2305&lt;nr_MStartP,$S2305,$T2293*(1+IF($G2305&lt;nr_MStartP1,$M$2290,$N$2290))))</f>
        <v/>
      </c>
      <c r="U2305" s="208">
        <f>IF($L$2290,$T2305,$N2305)</f>
        <v/>
      </c>
    </row>
    <row r="2306">
      <c r="A2306" s="145" t="n">
        <v>14</v>
      </c>
      <c r="B2306" s="204">
        <f>EDATE($B2305,1)</f>
        <v/>
      </c>
      <c r="C2306" s="205">
        <f>EOMONTH($B2306,0)</f>
        <v/>
      </c>
      <c r="D2306" s="201">
        <f>$C2306-$B2306+1</f>
        <v/>
      </c>
      <c r="E2306" s="201">
        <f>MONTH($B2306)</f>
        <v/>
      </c>
      <c r="F2306" s="235">
        <f>($B2306+$C2306+1)/2</f>
        <v/>
      </c>
      <c r="G2306" s="201">
        <f>YEAR($B2306)*12+MONTH($B2306)-1</f>
        <v/>
      </c>
      <c r="H2306" s="207">
        <f>IF(OR(nr_SeasonOn="OFF",$D$2290=0,$E$2290=0),1,12*INDEX(se_block,$D$2290,$E2306)/$E$2290)</f>
        <v/>
      </c>
      <c r="I2306" s="208">
        <f>EXP(SUMPRODUCT((rl_eff&lt;$B2306)*(rl_key=$A$2290)*rl_ln1p))</f>
        <v/>
      </c>
      <c r="J2306" s="208">
        <f>EXP(SUMPRODUCT((rl_eff&lt;=$C2306)*(rl_key=$A$2290)*rl_ln1p))</f>
        <v/>
      </c>
      <c r="K2306" s="201">
        <f>COUNTIFS(rl_key,$A$2290,rl_eff,"&gt;="&amp;$B2306,rl_eff,"&lt;="&amp;$C2306)</f>
        <v/>
      </c>
      <c r="L2306" s="201">
        <f>SUMIFS(rl_daysafter,rl_key,$A$2290,rl_effmonth,$B2306,rl_first,1)</f>
        <v/>
      </c>
      <c r="M2306" s="209">
        <f>IF($K2306=0,0,MIN(1,$L2306/$D2306))</f>
        <v/>
      </c>
      <c r="N2306" s="208">
        <f>IF($K2306=0,$J2306,(1-$M2306)*$I2306+$M2306*$J2306)</f>
        <v/>
      </c>
      <c r="O2306" s="209">
        <f>IF($F2306&lt;$B$2291,$E$2291+$I$2291*($F2306-$A$2291),IF($F2306&lt;$C$2291,$F$2291+$J$2291*($F2306-$B$2291),$G$2291+$K$2291*($F2306-$C$2291)))</f>
        <v/>
      </c>
      <c r="P2306" s="208">
        <f>MIN(1,MAX(0,(nr_MEndPm1-$G2306+0.5)/$C$2290))-MIN(1,MAX(0,(nr_MStartPm1-1-$G2306+0.5)/$C$2290))</f>
        <v/>
      </c>
      <c r="Q2306" s="208">
        <f>MIN(1,MAX(0,(nr_MEndP-$G2306+0.5)/$C$2290))-MIN(1,MAX(0,(nr_MStartP-1-$G2306+0.5)/$C$2290))</f>
        <v/>
      </c>
      <c r="R2306" s="208">
        <f>MIN(1,MAX(0,(nr_MEndP1-$G2306+0.5)/$C$2290))-MIN(1,MAX(0,(nr_MStartP1-1-$G2306+0.5)/$C$2290))</f>
        <v/>
      </c>
      <c r="S2306" s="208">
        <f>IF($L$2290,$N2306*IF($O$2290=1,$O2306/$F$2290,1),"")</f>
        <v/>
      </c>
      <c r="T2306" s="208">
        <f>IF(NOT($L$2290),"",IF($G2306&lt;nr_MStartP,$S2306,$T2294*(1+IF($G2306&lt;nr_MStartP1,$M$2290,$N$2290))))</f>
        <v/>
      </c>
      <c r="U2306" s="208">
        <f>IF($L$2290,$T2306,$N2306)</f>
        <v/>
      </c>
    </row>
    <row r="2307">
      <c r="A2307" s="145" t="n">
        <v>15</v>
      </c>
      <c r="B2307" s="204">
        <f>EDATE($B2306,1)</f>
        <v/>
      </c>
      <c r="C2307" s="205">
        <f>EOMONTH($B2307,0)</f>
        <v/>
      </c>
      <c r="D2307" s="201">
        <f>$C2307-$B2307+1</f>
        <v/>
      </c>
      <c r="E2307" s="201">
        <f>MONTH($B2307)</f>
        <v/>
      </c>
      <c r="F2307" s="235">
        <f>($B2307+$C2307+1)/2</f>
        <v/>
      </c>
      <c r="G2307" s="201">
        <f>YEAR($B2307)*12+MONTH($B2307)-1</f>
        <v/>
      </c>
      <c r="H2307" s="207">
        <f>IF(OR(nr_SeasonOn="OFF",$D$2290=0,$E$2290=0),1,12*INDEX(se_block,$D$2290,$E2307)/$E$2290)</f>
        <v/>
      </c>
      <c r="I2307" s="208">
        <f>EXP(SUMPRODUCT((rl_eff&lt;$B2307)*(rl_key=$A$2290)*rl_ln1p))</f>
        <v/>
      </c>
      <c r="J2307" s="208">
        <f>EXP(SUMPRODUCT((rl_eff&lt;=$C2307)*(rl_key=$A$2290)*rl_ln1p))</f>
        <v/>
      </c>
      <c r="K2307" s="201">
        <f>COUNTIFS(rl_key,$A$2290,rl_eff,"&gt;="&amp;$B2307,rl_eff,"&lt;="&amp;$C2307)</f>
        <v/>
      </c>
      <c r="L2307" s="201">
        <f>SUMIFS(rl_daysafter,rl_key,$A$2290,rl_effmonth,$B2307,rl_first,1)</f>
        <v/>
      </c>
      <c r="M2307" s="209">
        <f>IF($K2307=0,0,MIN(1,$L2307/$D2307))</f>
        <v/>
      </c>
      <c r="N2307" s="208">
        <f>IF($K2307=0,$J2307,(1-$M2307)*$I2307+$M2307*$J2307)</f>
        <v/>
      </c>
      <c r="O2307" s="209">
        <f>IF($F2307&lt;$B$2291,$E$2291+$I$2291*($F2307-$A$2291),IF($F2307&lt;$C$2291,$F$2291+$J$2291*($F2307-$B$2291),$G$2291+$K$2291*($F2307-$C$2291)))</f>
        <v/>
      </c>
      <c r="P2307" s="208">
        <f>MIN(1,MAX(0,(nr_MEndPm1-$G2307+0.5)/$C$2290))-MIN(1,MAX(0,(nr_MStartPm1-1-$G2307+0.5)/$C$2290))</f>
        <v/>
      </c>
      <c r="Q2307" s="208">
        <f>MIN(1,MAX(0,(nr_MEndP-$G2307+0.5)/$C$2290))-MIN(1,MAX(0,(nr_MStartP-1-$G2307+0.5)/$C$2290))</f>
        <v/>
      </c>
      <c r="R2307" s="208">
        <f>MIN(1,MAX(0,(nr_MEndP1-$G2307+0.5)/$C$2290))-MIN(1,MAX(0,(nr_MStartP1-1-$G2307+0.5)/$C$2290))</f>
        <v/>
      </c>
      <c r="S2307" s="208">
        <f>IF($L$2290,$N2307*IF($O$2290=1,$O2307/$F$2290,1),"")</f>
        <v/>
      </c>
      <c r="T2307" s="208">
        <f>IF(NOT($L$2290),"",IF($G2307&lt;nr_MStartP,$S2307,$T2295*(1+IF($G2307&lt;nr_MStartP1,$M$2290,$N$2290))))</f>
        <v/>
      </c>
      <c r="U2307" s="208">
        <f>IF($L$2290,$T2307,$N2307)</f>
        <v/>
      </c>
    </row>
    <row r="2308">
      <c r="A2308" s="145" t="n">
        <v>16</v>
      </c>
      <c r="B2308" s="204">
        <f>EDATE($B2307,1)</f>
        <v/>
      </c>
      <c r="C2308" s="205">
        <f>EOMONTH($B2308,0)</f>
        <v/>
      </c>
      <c r="D2308" s="201">
        <f>$C2308-$B2308+1</f>
        <v/>
      </c>
      <c r="E2308" s="201">
        <f>MONTH($B2308)</f>
        <v/>
      </c>
      <c r="F2308" s="235">
        <f>($B2308+$C2308+1)/2</f>
        <v/>
      </c>
      <c r="G2308" s="201">
        <f>YEAR($B2308)*12+MONTH($B2308)-1</f>
        <v/>
      </c>
      <c r="H2308" s="207">
        <f>IF(OR(nr_SeasonOn="OFF",$D$2290=0,$E$2290=0),1,12*INDEX(se_block,$D$2290,$E2308)/$E$2290)</f>
        <v/>
      </c>
      <c r="I2308" s="208">
        <f>EXP(SUMPRODUCT((rl_eff&lt;$B2308)*(rl_key=$A$2290)*rl_ln1p))</f>
        <v/>
      </c>
      <c r="J2308" s="208">
        <f>EXP(SUMPRODUCT((rl_eff&lt;=$C2308)*(rl_key=$A$2290)*rl_ln1p))</f>
        <v/>
      </c>
      <c r="K2308" s="201">
        <f>COUNTIFS(rl_key,$A$2290,rl_eff,"&gt;="&amp;$B2308,rl_eff,"&lt;="&amp;$C2308)</f>
        <v/>
      </c>
      <c r="L2308" s="201">
        <f>SUMIFS(rl_daysafter,rl_key,$A$2290,rl_effmonth,$B2308,rl_first,1)</f>
        <v/>
      </c>
      <c r="M2308" s="209">
        <f>IF($K2308=0,0,MIN(1,$L2308/$D2308))</f>
        <v/>
      </c>
      <c r="N2308" s="208">
        <f>IF($K2308=0,$J2308,(1-$M2308)*$I2308+$M2308*$J2308)</f>
        <v/>
      </c>
      <c r="O2308" s="209">
        <f>IF($F2308&lt;$B$2291,$E$2291+$I$2291*($F2308-$A$2291),IF($F2308&lt;$C$2291,$F$2291+$J$2291*($F2308-$B$2291),$G$2291+$K$2291*($F2308-$C$2291)))</f>
        <v/>
      </c>
      <c r="P2308" s="208">
        <f>MIN(1,MAX(0,(nr_MEndPm1-$G2308+0.5)/$C$2290))-MIN(1,MAX(0,(nr_MStartPm1-1-$G2308+0.5)/$C$2290))</f>
        <v/>
      </c>
      <c r="Q2308" s="208">
        <f>MIN(1,MAX(0,(nr_MEndP-$G2308+0.5)/$C$2290))-MIN(1,MAX(0,(nr_MStartP-1-$G2308+0.5)/$C$2290))</f>
        <v/>
      </c>
      <c r="R2308" s="208">
        <f>MIN(1,MAX(0,(nr_MEndP1-$G2308+0.5)/$C$2290))-MIN(1,MAX(0,(nr_MStartP1-1-$G2308+0.5)/$C$2290))</f>
        <v/>
      </c>
      <c r="S2308" s="208">
        <f>IF($L$2290,$N2308*IF($O$2290=1,$O2308/$F$2290,1),"")</f>
        <v/>
      </c>
      <c r="T2308" s="208">
        <f>IF(NOT($L$2290),"",IF($G2308&lt;nr_MStartP,$S2308,$T2296*(1+IF($G2308&lt;nr_MStartP1,$M$2290,$N$2290))))</f>
        <v/>
      </c>
      <c r="U2308" s="208">
        <f>IF($L$2290,$T2308,$N2308)</f>
        <v/>
      </c>
    </row>
    <row r="2309">
      <c r="A2309" s="145" t="n">
        <v>17</v>
      </c>
      <c r="B2309" s="204">
        <f>EDATE($B2308,1)</f>
        <v/>
      </c>
      <c r="C2309" s="205">
        <f>EOMONTH($B2309,0)</f>
        <v/>
      </c>
      <c r="D2309" s="201">
        <f>$C2309-$B2309+1</f>
        <v/>
      </c>
      <c r="E2309" s="201">
        <f>MONTH($B2309)</f>
        <v/>
      </c>
      <c r="F2309" s="235">
        <f>($B2309+$C2309+1)/2</f>
        <v/>
      </c>
      <c r="G2309" s="201">
        <f>YEAR($B2309)*12+MONTH($B2309)-1</f>
        <v/>
      </c>
      <c r="H2309" s="207">
        <f>IF(OR(nr_SeasonOn="OFF",$D$2290=0,$E$2290=0),1,12*INDEX(se_block,$D$2290,$E2309)/$E$2290)</f>
        <v/>
      </c>
      <c r="I2309" s="208">
        <f>EXP(SUMPRODUCT((rl_eff&lt;$B2309)*(rl_key=$A$2290)*rl_ln1p))</f>
        <v/>
      </c>
      <c r="J2309" s="208">
        <f>EXP(SUMPRODUCT((rl_eff&lt;=$C2309)*(rl_key=$A$2290)*rl_ln1p))</f>
        <v/>
      </c>
      <c r="K2309" s="201">
        <f>COUNTIFS(rl_key,$A$2290,rl_eff,"&gt;="&amp;$B2309,rl_eff,"&lt;="&amp;$C2309)</f>
        <v/>
      </c>
      <c r="L2309" s="201">
        <f>SUMIFS(rl_daysafter,rl_key,$A$2290,rl_effmonth,$B2309,rl_first,1)</f>
        <v/>
      </c>
      <c r="M2309" s="209">
        <f>IF($K2309=0,0,MIN(1,$L2309/$D2309))</f>
        <v/>
      </c>
      <c r="N2309" s="208">
        <f>IF($K2309=0,$J2309,(1-$M2309)*$I2309+$M2309*$J2309)</f>
        <v/>
      </c>
      <c r="O2309" s="209">
        <f>IF($F2309&lt;$B$2291,$E$2291+$I$2291*($F2309-$A$2291),IF($F2309&lt;$C$2291,$F$2291+$J$2291*($F2309-$B$2291),$G$2291+$K$2291*($F2309-$C$2291)))</f>
        <v/>
      </c>
      <c r="P2309" s="208">
        <f>MIN(1,MAX(0,(nr_MEndPm1-$G2309+0.5)/$C$2290))-MIN(1,MAX(0,(nr_MStartPm1-1-$G2309+0.5)/$C$2290))</f>
        <v/>
      </c>
      <c r="Q2309" s="208">
        <f>MIN(1,MAX(0,(nr_MEndP-$G2309+0.5)/$C$2290))-MIN(1,MAX(0,(nr_MStartP-1-$G2309+0.5)/$C$2290))</f>
        <v/>
      </c>
      <c r="R2309" s="208">
        <f>MIN(1,MAX(0,(nr_MEndP1-$G2309+0.5)/$C$2290))-MIN(1,MAX(0,(nr_MStartP1-1-$G2309+0.5)/$C$2290))</f>
        <v/>
      </c>
      <c r="S2309" s="208">
        <f>IF($L$2290,$N2309*IF($O$2290=1,$O2309/$F$2290,1),"")</f>
        <v/>
      </c>
      <c r="T2309" s="208">
        <f>IF(NOT($L$2290),"",IF($G2309&lt;nr_MStartP,$S2309,$T2297*(1+IF($G2309&lt;nr_MStartP1,$M$2290,$N$2290))))</f>
        <v/>
      </c>
      <c r="U2309" s="208">
        <f>IF($L$2290,$T2309,$N2309)</f>
        <v/>
      </c>
    </row>
    <row r="2310">
      <c r="A2310" s="145" t="n">
        <v>18</v>
      </c>
      <c r="B2310" s="204">
        <f>EDATE($B2309,1)</f>
        <v/>
      </c>
      <c r="C2310" s="205">
        <f>EOMONTH($B2310,0)</f>
        <v/>
      </c>
      <c r="D2310" s="201">
        <f>$C2310-$B2310+1</f>
        <v/>
      </c>
      <c r="E2310" s="201">
        <f>MONTH($B2310)</f>
        <v/>
      </c>
      <c r="F2310" s="235">
        <f>($B2310+$C2310+1)/2</f>
        <v/>
      </c>
      <c r="G2310" s="201">
        <f>YEAR($B2310)*12+MONTH($B2310)-1</f>
        <v/>
      </c>
      <c r="H2310" s="207">
        <f>IF(OR(nr_SeasonOn="OFF",$D$2290=0,$E$2290=0),1,12*INDEX(se_block,$D$2290,$E2310)/$E$2290)</f>
        <v/>
      </c>
      <c r="I2310" s="208">
        <f>EXP(SUMPRODUCT((rl_eff&lt;$B2310)*(rl_key=$A$2290)*rl_ln1p))</f>
        <v/>
      </c>
      <c r="J2310" s="208">
        <f>EXP(SUMPRODUCT((rl_eff&lt;=$C2310)*(rl_key=$A$2290)*rl_ln1p))</f>
        <v/>
      </c>
      <c r="K2310" s="201">
        <f>COUNTIFS(rl_key,$A$2290,rl_eff,"&gt;="&amp;$B2310,rl_eff,"&lt;="&amp;$C2310)</f>
        <v/>
      </c>
      <c r="L2310" s="201">
        <f>SUMIFS(rl_daysafter,rl_key,$A$2290,rl_effmonth,$B2310,rl_first,1)</f>
        <v/>
      </c>
      <c r="M2310" s="209">
        <f>IF($K2310=0,0,MIN(1,$L2310/$D2310))</f>
        <v/>
      </c>
      <c r="N2310" s="208">
        <f>IF($K2310=0,$J2310,(1-$M2310)*$I2310+$M2310*$J2310)</f>
        <v/>
      </c>
      <c r="O2310" s="209">
        <f>IF($F2310&lt;$B$2291,$E$2291+$I$2291*($F2310-$A$2291),IF($F2310&lt;$C$2291,$F$2291+$J$2291*($F2310-$B$2291),$G$2291+$K$2291*($F2310-$C$2291)))</f>
        <v/>
      </c>
      <c r="P2310" s="208">
        <f>MIN(1,MAX(0,(nr_MEndPm1-$G2310+0.5)/$C$2290))-MIN(1,MAX(0,(nr_MStartPm1-1-$G2310+0.5)/$C$2290))</f>
        <v/>
      </c>
      <c r="Q2310" s="208">
        <f>MIN(1,MAX(0,(nr_MEndP-$G2310+0.5)/$C$2290))-MIN(1,MAX(0,(nr_MStartP-1-$G2310+0.5)/$C$2290))</f>
        <v/>
      </c>
      <c r="R2310" s="208">
        <f>MIN(1,MAX(0,(nr_MEndP1-$G2310+0.5)/$C$2290))-MIN(1,MAX(0,(nr_MStartP1-1-$G2310+0.5)/$C$2290))</f>
        <v/>
      </c>
      <c r="S2310" s="208">
        <f>IF($L$2290,$N2310*IF($O$2290=1,$O2310/$F$2290,1),"")</f>
        <v/>
      </c>
      <c r="T2310" s="208">
        <f>IF(NOT($L$2290),"",IF($G2310&lt;nr_MStartP,$S2310,$T2298*(1+IF($G2310&lt;nr_MStartP1,$M$2290,$N$2290))))</f>
        <v/>
      </c>
      <c r="U2310" s="208">
        <f>IF($L$2290,$T2310,$N2310)</f>
        <v/>
      </c>
    </row>
    <row r="2311">
      <c r="A2311" s="145" t="n">
        <v>19</v>
      </c>
      <c r="B2311" s="204">
        <f>EDATE($B2310,1)</f>
        <v/>
      </c>
      <c r="C2311" s="205">
        <f>EOMONTH($B2311,0)</f>
        <v/>
      </c>
      <c r="D2311" s="201">
        <f>$C2311-$B2311+1</f>
        <v/>
      </c>
      <c r="E2311" s="201">
        <f>MONTH($B2311)</f>
        <v/>
      </c>
      <c r="F2311" s="235">
        <f>($B2311+$C2311+1)/2</f>
        <v/>
      </c>
      <c r="G2311" s="201">
        <f>YEAR($B2311)*12+MONTH($B2311)-1</f>
        <v/>
      </c>
      <c r="H2311" s="207">
        <f>IF(OR(nr_SeasonOn="OFF",$D$2290=0,$E$2290=0),1,12*INDEX(se_block,$D$2290,$E2311)/$E$2290)</f>
        <v/>
      </c>
      <c r="I2311" s="208">
        <f>EXP(SUMPRODUCT((rl_eff&lt;$B2311)*(rl_key=$A$2290)*rl_ln1p))</f>
        <v/>
      </c>
      <c r="J2311" s="208">
        <f>EXP(SUMPRODUCT((rl_eff&lt;=$C2311)*(rl_key=$A$2290)*rl_ln1p))</f>
        <v/>
      </c>
      <c r="K2311" s="201">
        <f>COUNTIFS(rl_key,$A$2290,rl_eff,"&gt;="&amp;$B2311,rl_eff,"&lt;="&amp;$C2311)</f>
        <v/>
      </c>
      <c r="L2311" s="201">
        <f>SUMIFS(rl_daysafter,rl_key,$A$2290,rl_effmonth,$B2311,rl_first,1)</f>
        <v/>
      </c>
      <c r="M2311" s="209">
        <f>IF($K2311=0,0,MIN(1,$L2311/$D2311))</f>
        <v/>
      </c>
      <c r="N2311" s="208">
        <f>IF($K2311=0,$J2311,(1-$M2311)*$I2311+$M2311*$J2311)</f>
        <v/>
      </c>
      <c r="O2311" s="209">
        <f>IF($F2311&lt;$B$2291,$E$2291+$I$2291*($F2311-$A$2291),IF($F2311&lt;$C$2291,$F$2291+$J$2291*($F2311-$B$2291),$G$2291+$K$2291*($F2311-$C$2291)))</f>
        <v/>
      </c>
      <c r="P2311" s="208">
        <f>MIN(1,MAX(0,(nr_MEndPm1-$G2311+0.5)/$C$2290))-MIN(1,MAX(0,(nr_MStartPm1-1-$G2311+0.5)/$C$2290))</f>
        <v/>
      </c>
      <c r="Q2311" s="208">
        <f>MIN(1,MAX(0,(nr_MEndP-$G2311+0.5)/$C$2290))-MIN(1,MAX(0,(nr_MStartP-1-$G2311+0.5)/$C$2290))</f>
        <v/>
      </c>
      <c r="R2311" s="208">
        <f>MIN(1,MAX(0,(nr_MEndP1-$G2311+0.5)/$C$2290))-MIN(1,MAX(0,(nr_MStartP1-1-$G2311+0.5)/$C$2290))</f>
        <v/>
      </c>
      <c r="S2311" s="208">
        <f>IF($L$2290,$N2311*IF($O$2290=1,$O2311/$F$2290,1),"")</f>
        <v/>
      </c>
      <c r="T2311" s="208">
        <f>IF(NOT($L$2290),"",IF($G2311&lt;nr_MStartP,$S2311,$T2299*(1+IF($G2311&lt;nr_MStartP1,$M$2290,$N$2290))))</f>
        <v/>
      </c>
      <c r="U2311" s="208">
        <f>IF($L$2290,$T2311,$N2311)</f>
        <v/>
      </c>
    </row>
    <row r="2312">
      <c r="A2312" s="145" t="n">
        <v>20</v>
      </c>
      <c r="B2312" s="204">
        <f>EDATE($B2311,1)</f>
        <v/>
      </c>
      <c r="C2312" s="205">
        <f>EOMONTH($B2312,0)</f>
        <v/>
      </c>
      <c r="D2312" s="201">
        <f>$C2312-$B2312+1</f>
        <v/>
      </c>
      <c r="E2312" s="201">
        <f>MONTH($B2312)</f>
        <v/>
      </c>
      <c r="F2312" s="235">
        <f>($B2312+$C2312+1)/2</f>
        <v/>
      </c>
      <c r="G2312" s="201">
        <f>YEAR($B2312)*12+MONTH($B2312)-1</f>
        <v/>
      </c>
      <c r="H2312" s="207">
        <f>IF(OR(nr_SeasonOn="OFF",$D$2290=0,$E$2290=0),1,12*INDEX(se_block,$D$2290,$E2312)/$E$2290)</f>
        <v/>
      </c>
      <c r="I2312" s="208">
        <f>EXP(SUMPRODUCT((rl_eff&lt;$B2312)*(rl_key=$A$2290)*rl_ln1p))</f>
        <v/>
      </c>
      <c r="J2312" s="208">
        <f>EXP(SUMPRODUCT((rl_eff&lt;=$C2312)*(rl_key=$A$2290)*rl_ln1p))</f>
        <v/>
      </c>
      <c r="K2312" s="201">
        <f>COUNTIFS(rl_key,$A$2290,rl_eff,"&gt;="&amp;$B2312,rl_eff,"&lt;="&amp;$C2312)</f>
        <v/>
      </c>
      <c r="L2312" s="201">
        <f>SUMIFS(rl_daysafter,rl_key,$A$2290,rl_effmonth,$B2312,rl_first,1)</f>
        <v/>
      </c>
      <c r="M2312" s="209">
        <f>IF($K2312=0,0,MIN(1,$L2312/$D2312))</f>
        <v/>
      </c>
      <c r="N2312" s="208">
        <f>IF($K2312=0,$J2312,(1-$M2312)*$I2312+$M2312*$J2312)</f>
        <v/>
      </c>
      <c r="O2312" s="209">
        <f>IF($F2312&lt;$B$2291,$E$2291+$I$2291*($F2312-$A$2291),IF($F2312&lt;$C$2291,$F$2291+$J$2291*($F2312-$B$2291),$G$2291+$K$2291*($F2312-$C$2291)))</f>
        <v/>
      </c>
      <c r="P2312" s="208">
        <f>MIN(1,MAX(0,(nr_MEndPm1-$G2312+0.5)/$C$2290))-MIN(1,MAX(0,(nr_MStartPm1-1-$G2312+0.5)/$C$2290))</f>
        <v/>
      </c>
      <c r="Q2312" s="208">
        <f>MIN(1,MAX(0,(nr_MEndP-$G2312+0.5)/$C$2290))-MIN(1,MAX(0,(nr_MStartP-1-$G2312+0.5)/$C$2290))</f>
        <v/>
      </c>
      <c r="R2312" s="208">
        <f>MIN(1,MAX(0,(nr_MEndP1-$G2312+0.5)/$C$2290))-MIN(1,MAX(0,(nr_MStartP1-1-$G2312+0.5)/$C$2290))</f>
        <v/>
      </c>
      <c r="S2312" s="208">
        <f>IF($L$2290,$N2312*IF($O$2290=1,$O2312/$F$2290,1),"")</f>
        <v/>
      </c>
      <c r="T2312" s="208">
        <f>IF(NOT($L$2290),"",IF($G2312&lt;nr_MStartP,$S2312,$T2300*(1+IF($G2312&lt;nr_MStartP1,$M$2290,$N$2290))))</f>
        <v/>
      </c>
      <c r="U2312" s="208">
        <f>IF($L$2290,$T2312,$N2312)</f>
        <v/>
      </c>
    </row>
    <row r="2313">
      <c r="A2313" s="145" t="n">
        <v>21</v>
      </c>
      <c r="B2313" s="204">
        <f>EDATE($B2312,1)</f>
        <v/>
      </c>
      <c r="C2313" s="205">
        <f>EOMONTH($B2313,0)</f>
        <v/>
      </c>
      <c r="D2313" s="201">
        <f>$C2313-$B2313+1</f>
        <v/>
      </c>
      <c r="E2313" s="201">
        <f>MONTH($B2313)</f>
        <v/>
      </c>
      <c r="F2313" s="235">
        <f>($B2313+$C2313+1)/2</f>
        <v/>
      </c>
      <c r="G2313" s="201">
        <f>YEAR($B2313)*12+MONTH($B2313)-1</f>
        <v/>
      </c>
      <c r="H2313" s="207">
        <f>IF(OR(nr_SeasonOn="OFF",$D$2290=0,$E$2290=0),1,12*INDEX(se_block,$D$2290,$E2313)/$E$2290)</f>
        <v/>
      </c>
      <c r="I2313" s="208">
        <f>EXP(SUMPRODUCT((rl_eff&lt;$B2313)*(rl_key=$A$2290)*rl_ln1p))</f>
        <v/>
      </c>
      <c r="J2313" s="208">
        <f>EXP(SUMPRODUCT((rl_eff&lt;=$C2313)*(rl_key=$A$2290)*rl_ln1p))</f>
        <v/>
      </c>
      <c r="K2313" s="201">
        <f>COUNTIFS(rl_key,$A$2290,rl_eff,"&gt;="&amp;$B2313,rl_eff,"&lt;="&amp;$C2313)</f>
        <v/>
      </c>
      <c r="L2313" s="201">
        <f>SUMIFS(rl_daysafter,rl_key,$A$2290,rl_effmonth,$B2313,rl_first,1)</f>
        <v/>
      </c>
      <c r="M2313" s="209">
        <f>IF($K2313=0,0,MIN(1,$L2313/$D2313))</f>
        <v/>
      </c>
      <c r="N2313" s="208">
        <f>IF($K2313=0,$J2313,(1-$M2313)*$I2313+$M2313*$J2313)</f>
        <v/>
      </c>
      <c r="O2313" s="209">
        <f>IF($F2313&lt;$B$2291,$E$2291+$I$2291*($F2313-$A$2291),IF($F2313&lt;$C$2291,$F$2291+$J$2291*($F2313-$B$2291),$G$2291+$K$2291*($F2313-$C$2291)))</f>
        <v/>
      </c>
      <c r="P2313" s="208">
        <f>MIN(1,MAX(0,(nr_MEndPm1-$G2313+0.5)/$C$2290))-MIN(1,MAX(0,(nr_MStartPm1-1-$G2313+0.5)/$C$2290))</f>
        <v/>
      </c>
      <c r="Q2313" s="208">
        <f>MIN(1,MAX(0,(nr_MEndP-$G2313+0.5)/$C$2290))-MIN(1,MAX(0,(nr_MStartP-1-$G2313+0.5)/$C$2290))</f>
        <v/>
      </c>
      <c r="R2313" s="208">
        <f>MIN(1,MAX(0,(nr_MEndP1-$G2313+0.5)/$C$2290))-MIN(1,MAX(0,(nr_MStartP1-1-$G2313+0.5)/$C$2290))</f>
        <v/>
      </c>
      <c r="S2313" s="208">
        <f>IF($L$2290,$N2313*IF($O$2290=1,$O2313/$F$2290,1),"")</f>
        <v/>
      </c>
      <c r="T2313" s="208">
        <f>IF(NOT($L$2290),"",IF($G2313&lt;nr_MStartP,$S2313,$T2301*(1+IF($G2313&lt;nr_MStartP1,$M$2290,$N$2290))))</f>
        <v/>
      </c>
      <c r="U2313" s="208">
        <f>IF($L$2290,$T2313,$N2313)</f>
        <v/>
      </c>
    </row>
    <row r="2314">
      <c r="A2314" s="145" t="n">
        <v>22</v>
      </c>
      <c r="B2314" s="204">
        <f>EDATE($B2313,1)</f>
        <v/>
      </c>
      <c r="C2314" s="205">
        <f>EOMONTH($B2314,0)</f>
        <v/>
      </c>
      <c r="D2314" s="201">
        <f>$C2314-$B2314+1</f>
        <v/>
      </c>
      <c r="E2314" s="201">
        <f>MONTH($B2314)</f>
        <v/>
      </c>
      <c r="F2314" s="235">
        <f>($B2314+$C2314+1)/2</f>
        <v/>
      </c>
      <c r="G2314" s="201">
        <f>YEAR($B2314)*12+MONTH($B2314)-1</f>
        <v/>
      </c>
      <c r="H2314" s="207">
        <f>IF(OR(nr_SeasonOn="OFF",$D$2290=0,$E$2290=0),1,12*INDEX(se_block,$D$2290,$E2314)/$E$2290)</f>
        <v/>
      </c>
      <c r="I2314" s="208">
        <f>EXP(SUMPRODUCT((rl_eff&lt;$B2314)*(rl_key=$A$2290)*rl_ln1p))</f>
        <v/>
      </c>
      <c r="J2314" s="208">
        <f>EXP(SUMPRODUCT((rl_eff&lt;=$C2314)*(rl_key=$A$2290)*rl_ln1p))</f>
        <v/>
      </c>
      <c r="K2314" s="201">
        <f>COUNTIFS(rl_key,$A$2290,rl_eff,"&gt;="&amp;$B2314,rl_eff,"&lt;="&amp;$C2314)</f>
        <v/>
      </c>
      <c r="L2314" s="201">
        <f>SUMIFS(rl_daysafter,rl_key,$A$2290,rl_effmonth,$B2314,rl_first,1)</f>
        <v/>
      </c>
      <c r="M2314" s="209">
        <f>IF($K2314=0,0,MIN(1,$L2314/$D2314))</f>
        <v/>
      </c>
      <c r="N2314" s="208">
        <f>IF($K2314=0,$J2314,(1-$M2314)*$I2314+$M2314*$J2314)</f>
        <v/>
      </c>
      <c r="O2314" s="209">
        <f>IF($F2314&lt;$B$2291,$E$2291+$I$2291*($F2314-$A$2291),IF($F2314&lt;$C$2291,$F$2291+$J$2291*($F2314-$B$2291),$G$2291+$K$2291*($F2314-$C$2291)))</f>
        <v/>
      </c>
      <c r="P2314" s="208">
        <f>MIN(1,MAX(0,(nr_MEndPm1-$G2314+0.5)/$C$2290))-MIN(1,MAX(0,(nr_MStartPm1-1-$G2314+0.5)/$C$2290))</f>
        <v/>
      </c>
      <c r="Q2314" s="208">
        <f>MIN(1,MAX(0,(nr_MEndP-$G2314+0.5)/$C$2290))-MIN(1,MAX(0,(nr_MStartP-1-$G2314+0.5)/$C$2290))</f>
        <v/>
      </c>
      <c r="R2314" s="208">
        <f>MIN(1,MAX(0,(nr_MEndP1-$G2314+0.5)/$C$2290))-MIN(1,MAX(0,(nr_MStartP1-1-$G2314+0.5)/$C$2290))</f>
        <v/>
      </c>
      <c r="S2314" s="208">
        <f>IF($L$2290,$N2314*IF($O$2290=1,$O2314/$F$2290,1),"")</f>
        <v/>
      </c>
      <c r="T2314" s="208">
        <f>IF(NOT($L$2290),"",IF($G2314&lt;nr_MStartP,$S2314,$T2302*(1+IF($G2314&lt;nr_MStartP1,$M$2290,$N$2290))))</f>
        <v/>
      </c>
      <c r="U2314" s="208">
        <f>IF($L$2290,$T2314,$N2314)</f>
        <v/>
      </c>
    </row>
    <row r="2315">
      <c r="A2315" s="145" t="n">
        <v>23</v>
      </c>
      <c r="B2315" s="204">
        <f>EDATE($B2314,1)</f>
        <v/>
      </c>
      <c r="C2315" s="205">
        <f>EOMONTH($B2315,0)</f>
        <v/>
      </c>
      <c r="D2315" s="201">
        <f>$C2315-$B2315+1</f>
        <v/>
      </c>
      <c r="E2315" s="201">
        <f>MONTH($B2315)</f>
        <v/>
      </c>
      <c r="F2315" s="235">
        <f>($B2315+$C2315+1)/2</f>
        <v/>
      </c>
      <c r="G2315" s="201">
        <f>YEAR($B2315)*12+MONTH($B2315)-1</f>
        <v/>
      </c>
      <c r="H2315" s="207">
        <f>IF(OR(nr_SeasonOn="OFF",$D$2290=0,$E$2290=0),1,12*INDEX(se_block,$D$2290,$E2315)/$E$2290)</f>
        <v/>
      </c>
      <c r="I2315" s="208">
        <f>EXP(SUMPRODUCT((rl_eff&lt;$B2315)*(rl_key=$A$2290)*rl_ln1p))</f>
        <v/>
      </c>
      <c r="J2315" s="208">
        <f>EXP(SUMPRODUCT((rl_eff&lt;=$C2315)*(rl_key=$A$2290)*rl_ln1p))</f>
        <v/>
      </c>
      <c r="K2315" s="201">
        <f>COUNTIFS(rl_key,$A$2290,rl_eff,"&gt;="&amp;$B2315,rl_eff,"&lt;="&amp;$C2315)</f>
        <v/>
      </c>
      <c r="L2315" s="201">
        <f>SUMIFS(rl_daysafter,rl_key,$A$2290,rl_effmonth,$B2315,rl_first,1)</f>
        <v/>
      </c>
      <c r="M2315" s="209">
        <f>IF($K2315=0,0,MIN(1,$L2315/$D2315))</f>
        <v/>
      </c>
      <c r="N2315" s="208">
        <f>IF($K2315=0,$J2315,(1-$M2315)*$I2315+$M2315*$J2315)</f>
        <v/>
      </c>
      <c r="O2315" s="209">
        <f>IF($F2315&lt;$B$2291,$E$2291+$I$2291*($F2315-$A$2291),IF($F2315&lt;$C$2291,$F$2291+$J$2291*($F2315-$B$2291),$G$2291+$K$2291*($F2315-$C$2291)))</f>
        <v/>
      </c>
      <c r="P2315" s="208">
        <f>MIN(1,MAX(0,(nr_MEndPm1-$G2315+0.5)/$C$2290))-MIN(1,MAX(0,(nr_MStartPm1-1-$G2315+0.5)/$C$2290))</f>
        <v/>
      </c>
      <c r="Q2315" s="208">
        <f>MIN(1,MAX(0,(nr_MEndP-$G2315+0.5)/$C$2290))-MIN(1,MAX(0,(nr_MStartP-1-$G2315+0.5)/$C$2290))</f>
        <v/>
      </c>
      <c r="R2315" s="208">
        <f>MIN(1,MAX(0,(nr_MEndP1-$G2315+0.5)/$C$2290))-MIN(1,MAX(0,(nr_MStartP1-1-$G2315+0.5)/$C$2290))</f>
        <v/>
      </c>
      <c r="S2315" s="208">
        <f>IF($L$2290,$N2315*IF($O$2290=1,$O2315/$F$2290,1),"")</f>
        <v/>
      </c>
      <c r="T2315" s="208">
        <f>IF(NOT($L$2290),"",IF($G2315&lt;nr_MStartP,$S2315,$T2303*(1+IF($G2315&lt;nr_MStartP1,$M$2290,$N$2290))))</f>
        <v/>
      </c>
      <c r="U2315" s="208">
        <f>IF($L$2290,$T2315,$N2315)</f>
        <v/>
      </c>
    </row>
    <row r="2316">
      <c r="A2316" s="145" t="n">
        <v>24</v>
      </c>
      <c r="B2316" s="204">
        <f>EDATE($B2315,1)</f>
        <v/>
      </c>
      <c r="C2316" s="205">
        <f>EOMONTH($B2316,0)</f>
        <v/>
      </c>
      <c r="D2316" s="201">
        <f>$C2316-$B2316+1</f>
        <v/>
      </c>
      <c r="E2316" s="201">
        <f>MONTH($B2316)</f>
        <v/>
      </c>
      <c r="F2316" s="235">
        <f>($B2316+$C2316+1)/2</f>
        <v/>
      </c>
      <c r="G2316" s="201">
        <f>YEAR($B2316)*12+MONTH($B2316)-1</f>
        <v/>
      </c>
      <c r="H2316" s="207">
        <f>IF(OR(nr_SeasonOn="OFF",$D$2290=0,$E$2290=0),1,12*INDEX(se_block,$D$2290,$E2316)/$E$2290)</f>
        <v/>
      </c>
      <c r="I2316" s="208">
        <f>EXP(SUMPRODUCT((rl_eff&lt;$B2316)*(rl_key=$A$2290)*rl_ln1p))</f>
        <v/>
      </c>
      <c r="J2316" s="208">
        <f>EXP(SUMPRODUCT((rl_eff&lt;=$C2316)*(rl_key=$A$2290)*rl_ln1p))</f>
        <v/>
      </c>
      <c r="K2316" s="201">
        <f>COUNTIFS(rl_key,$A$2290,rl_eff,"&gt;="&amp;$B2316,rl_eff,"&lt;="&amp;$C2316)</f>
        <v/>
      </c>
      <c r="L2316" s="201">
        <f>SUMIFS(rl_daysafter,rl_key,$A$2290,rl_effmonth,$B2316,rl_first,1)</f>
        <v/>
      </c>
      <c r="M2316" s="209">
        <f>IF($K2316=0,0,MIN(1,$L2316/$D2316))</f>
        <v/>
      </c>
      <c r="N2316" s="208">
        <f>IF($K2316=0,$J2316,(1-$M2316)*$I2316+$M2316*$J2316)</f>
        <v/>
      </c>
      <c r="O2316" s="209">
        <f>IF($F2316&lt;$B$2291,$E$2291+$I$2291*($F2316-$A$2291),IF($F2316&lt;$C$2291,$F$2291+$J$2291*($F2316-$B$2291),$G$2291+$K$2291*($F2316-$C$2291)))</f>
        <v/>
      </c>
      <c r="P2316" s="208">
        <f>MIN(1,MAX(0,(nr_MEndPm1-$G2316+0.5)/$C$2290))-MIN(1,MAX(0,(nr_MStartPm1-1-$G2316+0.5)/$C$2290))</f>
        <v/>
      </c>
      <c r="Q2316" s="208">
        <f>MIN(1,MAX(0,(nr_MEndP-$G2316+0.5)/$C$2290))-MIN(1,MAX(0,(nr_MStartP-1-$G2316+0.5)/$C$2290))</f>
        <v/>
      </c>
      <c r="R2316" s="208">
        <f>MIN(1,MAX(0,(nr_MEndP1-$G2316+0.5)/$C$2290))-MIN(1,MAX(0,(nr_MStartP1-1-$G2316+0.5)/$C$2290))</f>
        <v/>
      </c>
      <c r="S2316" s="208">
        <f>IF($L$2290,$N2316*IF($O$2290=1,$O2316/$F$2290,1),"")</f>
        <v/>
      </c>
      <c r="T2316" s="208">
        <f>IF(NOT($L$2290),"",IF($G2316&lt;nr_MStartP,$S2316,$T2304*(1+IF($G2316&lt;nr_MStartP1,$M$2290,$N$2290))))</f>
        <v/>
      </c>
      <c r="U2316" s="208">
        <f>IF($L$2290,$T2316,$N2316)</f>
        <v/>
      </c>
    </row>
    <row r="2317">
      <c r="A2317" s="145" t="n">
        <v>25</v>
      </c>
      <c r="B2317" s="204">
        <f>EDATE($B2316,1)</f>
        <v/>
      </c>
      <c r="C2317" s="205">
        <f>EOMONTH($B2317,0)</f>
        <v/>
      </c>
      <c r="D2317" s="201">
        <f>$C2317-$B2317+1</f>
        <v/>
      </c>
      <c r="E2317" s="201">
        <f>MONTH($B2317)</f>
        <v/>
      </c>
      <c r="F2317" s="235">
        <f>($B2317+$C2317+1)/2</f>
        <v/>
      </c>
      <c r="G2317" s="201">
        <f>YEAR($B2317)*12+MONTH($B2317)-1</f>
        <v/>
      </c>
      <c r="H2317" s="207">
        <f>IF(OR(nr_SeasonOn="OFF",$D$2290=0,$E$2290=0),1,12*INDEX(se_block,$D$2290,$E2317)/$E$2290)</f>
        <v/>
      </c>
      <c r="I2317" s="208">
        <f>EXP(SUMPRODUCT((rl_eff&lt;$B2317)*(rl_key=$A$2290)*rl_ln1p))</f>
        <v/>
      </c>
      <c r="J2317" s="208">
        <f>EXP(SUMPRODUCT((rl_eff&lt;=$C2317)*(rl_key=$A$2290)*rl_ln1p))</f>
        <v/>
      </c>
      <c r="K2317" s="201">
        <f>COUNTIFS(rl_key,$A$2290,rl_eff,"&gt;="&amp;$B2317,rl_eff,"&lt;="&amp;$C2317)</f>
        <v/>
      </c>
      <c r="L2317" s="201">
        <f>SUMIFS(rl_daysafter,rl_key,$A$2290,rl_effmonth,$B2317,rl_first,1)</f>
        <v/>
      </c>
      <c r="M2317" s="209">
        <f>IF($K2317=0,0,MIN(1,$L2317/$D2317))</f>
        <v/>
      </c>
      <c r="N2317" s="208">
        <f>IF($K2317=0,$J2317,(1-$M2317)*$I2317+$M2317*$J2317)</f>
        <v/>
      </c>
      <c r="O2317" s="209">
        <f>IF($F2317&lt;$B$2291,$E$2291+$I$2291*($F2317-$A$2291),IF($F2317&lt;$C$2291,$F$2291+$J$2291*($F2317-$B$2291),$G$2291+$K$2291*($F2317-$C$2291)))</f>
        <v/>
      </c>
      <c r="P2317" s="208">
        <f>MIN(1,MAX(0,(nr_MEndPm1-$G2317+0.5)/$C$2290))-MIN(1,MAX(0,(nr_MStartPm1-1-$G2317+0.5)/$C$2290))</f>
        <v/>
      </c>
      <c r="Q2317" s="208">
        <f>MIN(1,MAX(0,(nr_MEndP-$G2317+0.5)/$C$2290))-MIN(1,MAX(0,(nr_MStartP-1-$G2317+0.5)/$C$2290))</f>
        <v/>
      </c>
      <c r="R2317" s="208">
        <f>MIN(1,MAX(0,(nr_MEndP1-$G2317+0.5)/$C$2290))-MIN(1,MAX(0,(nr_MStartP1-1-$G2317+0.5)/$C$2290))</f>
        <v/>
      </c>
      <c r="S2317" s="208">
        <f>IF($L$2290,$N2317*IF($O$2290=1,$O2317/$F$2290,1),"")</f>
        <v/>
      </c>
      <c r="T2317" s="208">
        <f>IF(NOT($L$2290),"",IF($G2317&lt;nr_MStartP,$S2317,$T2305*(1+IF($G2317&lt;nr_MStartP1,$M$2290,$N$2290))))</f>
        <v/>
      </c>
      <c r="U2317" s="208">
        <f>IF($L$2290,$T2317,$N2317)</f>
        <v/>
      </c>
    </row>
    <row r="2318">
      <c r="A2318" s="145" t="n">
        <v>26</v>
      </c>
      <c r="B2318" s="204">
        <f>EDATE($B2317,1)</f>
        <v/>
      </c>
      <c r="C2318" s="205">
        <f>EOMONTH($B2318,0)</f>
        <v/>
      </c>
      <c r="D2318" s="201">
        <f>$C2318-$B2318+1</f>
        <v/>
      </c>
      <c r="E2318" s="201">
        <f>MONTH($B2318)</f>
        <v/>
      </c>
      <c r="F2318" s="235">
        <f>($B2318+$C2318+1)/2</f>
        <v/>
      </c>
      <c r="G2318" s="201">
        <f>YEAR($B2318)*12+MONTH($B2318)-1</f>
        <v/>
      </c>
      <c r="H2318" s="207">
        <f>IF(OR(nr_SeasonOn="OFF",$D$2290=0,$E$2290=0),1,12*INDEX(se_block,$D$2290,$E2318)/$E$2290)</f>
        <v/>
      </c>
      <c r="I2318" s="208">
        <f>EXP(SUMPRODUCT((rl_eff&lt;$B2318)*(rl_key=$A$2290)*rl_ln1p))</f>
        <v/>
      </c>
      <c r="J2318" s="208">
        <f>EXP(SUMPRODUCT((rl_eff&lt;=$C2318)*(rl_key=$A$2290)*rl_ln1p))</f>
        <v/>
      </c>
      <c r="K2318" s="201">
        <f>COUNTIFS(rl_key,$A$2290,rl_eff,"&gt;="&amp;$B2318,rl_eff,"&lt;="&amp;$C2318)</f>
        <v/>
      </c>
      <c r="L2318" s="201">
        <f>SUMIFS(rl_daysafter,rl_key,$A$2290,rl_effmonth,$B2318,rl_first,1)</f>
        <v/>
      </c>
      <c r="M2318" s="209">
        <f>IF($K2318=0,0,MIN(1,$L2318/$D2318))</f>
        <v/>
      </c>
      <c r="N2318" s="208">
        <f>IF($K2318=0,$J2318,(1-$M2318)*$I2318+$M2318*$J2318)</f>
        <v/>
      </c>
      <c r="O2318" s="209">
        <f>IF($F2318&lt;$B$2291,$E$2291+$I$2291*($F2318-$A$2291),IF($F2318&lt;$C$2291,$F$2291+$J$2291*($F2318-$B$2291),$G$2291+$K$2291*($F2318-$C$2291)))</f>
        <v/>
      </c>
      <c r="P2318" s="208">
        <f>MIN(1,MAX(0,(nr_MEndPm1-$G2318+0.5)/$C$2290))-MIN(1,MAX(0,(nr_MStartPm1-1-$G2318+0.5)/$C$2290))</f>
        <v/>
      </c>
      <c r="Q2318" s="208">
        <f>MIN(1,MAX(0,(nr_MEndP-$G2318+0.5)/$C$2290))-MIN(1,MAX(0,(nr_MStartP-1-$G2318+0.5)/$C$2290))</f>
        <v/>
      </c>
      <c r="R2318" s="208">
        <f>MIN(1,MAX(0,(nr_MEndP1-$G2318+0.5)/$C$2290))-MIN(1,MAX(0,(nr_MStartP1-1-$G2318+0.5)/$C$2290))</f>
        <v/>
      </c>
      <c r="S2318" s="208">
        <f>IF($L$2290,$N2318*IF($O$2290=1,$O2318/$F$2290,1),"")</f>
        <v/>
      </c>
      <c r="T2318" s="208">
        <f>IF(NOT($L$2290),"",IF($G2318&lt;nr_MStartP,$S2318,$T2306*(1+IF($G2318&lt;nr_MStartP1,$M$2290,$N$2290))))</f>
        <v/>
      </c>
      <c r="U2318" s="208">
        <f>IF($L$2290,$T2318,$N2318)</f>
        <v/>
      </c>
    </row>
    <row r="2319">
      <c r="A2319" s="145" t="n">
        <v>27</v>
      </c>
      <c r="B2319" s="204">
        <f>EDATE($B2318,1)</f>
        <v/>
      </c>
      <c r="C2319" s="205">
        <f>EOMONTH($B2319,0)</f>
        <v/>
      </c>
      <c r="D2319" s="201">
        <f>$C2319-$B2319+1</f>
        <v/>
      </c>
      <c r="E2319" s="201">
        <f>MONTH($B2319)</f>
        <v/>
      </c>
      <c r="F2319" s="235">
        <f>($B2319+$C2319+1)/2</f>
        <v/>
      </c>
      <c r="G2319" s="201">
        <f>YEAR($B2319)*12+MONTH($B2319)-1</f>
        <v/>
      </c>
      <c r="H2319" s="207">
        <f>IF(OR(nr_SeasonOn="OFF",$D$2290=0,$E$2290=0),1,12*INDEX(se_block,$D$2290,$E2319)/$E$2290)</f>
        <v/>
      </c>
      <c r="I2319" s="208">
        <f>EXP(SUMPRODUCT((rl_eff&lt;$B2319)*(rl_key=$A$2290)*rl_ln1p))</f>
        <v/>
      </c>
      <c r="J2319" s="208">
        <f>EXP(SUMPRODUCT((rl_eff&lt;=$C2319)*(rl_key=$A$2290)*rl_ln1p))</f>
        <v/>
      </c>
      <c r="K2319" s="201">
        <f>COUNTIFS(rl_key,$A$2290,rl_eff,"&gt;="&amp;$B2319,rl_eff,"&lt;="&amp;$C2319)</f>
        <v/>
      </c>
      <c r="L2319" s="201">
        <f>SUMIFS(rl_daysafter,rl_key,$A$2290,rl_effmonth,$B2319,rl_first,1)</f>
        <v/>
      </c>
      <c r="M2319" s="209">
        <f>IF($K2319=0,0,MIN(1,$L2319/$D2319))</f>
        <v/>
      </c>
      <c r="N2319" s="208">
        <f>IF($K2319=0,$J2319,(1-$M2319)*$I2319+$M2319*$J2319)</f>
        <v/>
      </c>
      <c r="O2319" s="209">
        <f>IF($F2319&lt;$B$2291,$E$2291+$I$2291*($F2319-$A$2291),IF($F2319&lt;$C$2291,$F$2291+$J$2291*($F2319-$B$2291),$G$2291+$K$2291*($F2319-$C$2291)))</f>
        <v/>
      </c>
      <c r="P2319" s="208">
        <f>MIN(1,MAX(0,(nr_MEndPm1-$G2319+0.5)/$C$2290))-MIN(1,MAX(0,(nr_MStartPm1-1-$G2319+0.5)/$C$2290))</f>
        <v/>
      </c>
      <c r="Q2319" s="208">
        <f>MIN(1,MAX(0,(nr_MEndP-$G2319+0.5)/$C$2290))-MIN(1,MAX(0,(nr_MStartP-1-$G2319+0.5)/$C$2290))</f>
        <v/>
      </c>
      <c r="R2319" s="208">
        <f>MIN(1,MAX(0,(nr_MEndP1-$G2319+0.5)/$C$2290))-MIN(1,MAX(0,(nr_MStartP1-1-$G2319+0.5)/$C$2290))</f>
        <v/>
      </c>
      <c r="S2319" s="208">
        <f>IF($L$2290,$N2319*IF($O$2290=1,$O2319/$F$2290,1),"")</f>
        <v/>
      </c>
      <c r="T2319" s="208">
        <f>IF(NOT($L$2290),"",IF($G2319&lt;nr_MStartP,$S2319,$T2307*(1+IF($G2319&lt;nr_MStartP1,$M$2290,$N$2290))))</f>
        <v/>
      </c>
      <c r="U2319" s="208">
        <f>IF($L$2290,$T2319,$N2319)</f>
        <v/>
      </c>
    </row>
    <row r="2320">
      <c r="A2320" s="145" t="n">
        <v>28</v>
      </c>
      <c r="B2320" s="204">
        <f>EDATE($B2319,1)</f>
        <v/>
      </c>
      <c r="C2320" s="205">
        <f>EOMONTH($B2320,0)</f>
        <v/>
      </c>
      <c r="D2320" s="201">
        <f>$C2320-$B2320+1</f>
        <v/>
      </c>
      <c r="E2320" s="201">
        <f>MONTH($B2320)</f>
        <v/>
      </c>
      <c r="F2320" s="235">
        <f>($B2320+$C2320+1)/2</f>
        <v/>
      </c>
      <c r="G2320" s="201">
        <f>YEAR($B2320)*12+MONTH($B2320)-1</f>
        <v/>
      </c>
      <c r="H2320" s="207">
        <f>IF(OR(nr_SeasonOn="OFF",$D$2290=0,$E$2290=0),1,12*INDEX(se_block,$D$2290,$E2320)/$E$2290)</f>
        <v/>
      </c>
      <c r="I2320" s="208">
        <f>EXP(SUMPRODUCT((rl_eff&lt;$B2320)*(rl_key=$A$2290)*rl_ln1p))</f>
        <v/>
      </c>
      <c r="J2320" s="208">
        <f>EXP(SUMPRODUCT((rl_eff&lt;=$C2320)*(rl_key=$A$2290)*rl_ln1p))</f>
        <v/>
      </c>
      <c r="K2320" s="201">
        <f>COUNTIFS(rl_key,$A$2290,rl_eff,"&gt;="&amp;$B2320,rl_eff,"&lt;="&amp;$C2320)</f>
        <v/>
      </c>
      <c r="L2320" s="201">
        <f>SUMIFS(rl_daysafter,rl_key,$A$2290,rl_effmonth,$B2320,rl_first,1)</f>
        <v/>
      </c>
      <c r="M2320" s="209">
        <f>IF($K2320=0,0,MIN(1,$L2320/$D2320))</f>
        <v/>
      </c>
      <c r="N2320" s="208">
        <f>IF($K2320=0,$J2320,(1-$M2320)*$I2320+$M2320*$J2320)</f>
        <v/>
      </c>
      <c r="O2320" s="209">
        <f>IF($F2320&lt;$B$2291,$E$2291+$I$2291*($F2320-$A$2291),IF($F2320&lt;$C$2291,$F$2291+$J$2291*($F2320-$B$2291),$G$2291+$K$2291*($F2320-$C$2291)))</f>
        <v/>
      </c>
      <c r="P2320" s="208">
        <f>MIN(1,MAX(0,(nr_MEndPm1-$G2320+0.5)/$C$2290))-MIN(1,MAX(0,(nr_MStartPm1-1-$G2320+0.5)/$C$2290))</f>
        <v/>
      </c>
      <c r="Q2320" s="208">
        <f>MIN(1,MAX(0,(nr_MEndP-$G2320+0.5)/$C$2290))-MIN(1,MAX(0,(nr_MStartP-1-$G2320+0.5)/$C$2290))</f>
        <v/>
      </c>
      <c r="R2320" s="208">
        <f>MIN(1,MAX(0,(nr_MEndP1-$G2320+0.5)/$C$2290))-MIN(1,MAX(0,(nr_MStartP1-1-$G2320+0.5)/$C$2290))</f>
        <v/>
      </c>
      <c r="S2320" s="208">
        <f>IF($L$2290,$N2320*IF($O$2290=1,$O2320/$F$2290,1),"")</f>
        <v/>
      </c>
      <c r="T2320" s="208">
        <f>IF(NOT($L$2290),"",IF($G2320&lt;nr_MStartP,$S2320,$T2308*(1+IF($G2320&lt;nr_MStartP1,$M$2290,$N$2290))))</f>
        <v/>
      </c>
      <c r="U2320" s="208">
        <f>IF($L$2290,$T2320,$N2320)</f>
        <v/>
      </c>
    </row>
    <row r="2321">
      <c r="A2321" s="145" t="n">
        <v>29</v>
      </c>
      <c r="B2321" s="204">
        <f>EDATE($B2320,1)</f>
        <v/>
      </c>
      <c r="C2321" s="205">
        <f>EOMONTH($B2321,0)</f>
        <v/>
      </c>
      <c r="D2321" s="201">
        <f>$C2321-$B2321+1</f>
        <v/>
      </c>
      <c r="E2321" s="201">
        <f>MONTH($B2321)</f>
        <v/>
      </c>
      <c r="F2321" s="235">
        <f>($B2321+$C2321+1)/2</f>
        <v/>
      </c>
      <c r="G2321" s="201">
        <f>YEAR($B2321)*12+MONTH($B2321)-1</f>
        <v/>
      </c>
      <c r="H2321" s="207">
        <f>IF(OR(nr_SeasonOn="OFF",$D$2290=0,$E$2290=0),1,12*INDEX(se_block,$D$2290,$E2321)/$E$2290)</f>
        <v/>
      </c>
      <c r="I2321" s="208">
        <f>EXP(SUMPRODUCT((rl_eff&lt;$B2321)*(rl_key=$A$2290)*rl_ln1p))</f>
        <v/>
      </c>
      <c r="J2321" s="208">
        <f>EXP(SUMPRODUCT((rl_eff&lt;=$C2321)*(rl_key=$A$2290)*rl_ln1p))</f>
        <v/>
      </c>
      <c r="K2321" s="201">
        <f>COUNTIFS(rl_key,$A$2290,rl_eff,"&gt;="&amp;$B2321,rl_eff,"&lt;="&amp;$C2321)</f>
        <v/>
      </c>
      <c r="L2321" s="201">
        <f>SUMIFS(rl_daysafter,rl_key,$A$2290,rl_effmonth,$B2321,rl_first,1)</f>
        <v/>
      </c>
      <c r="M2321" s="209">
        <f>IF($K2321=0,0,MIN(1,$L2321/$D2321))</f>
        <v/>
      </c>
      <c r="N2321" s="208">
        <f>IF($K2321=0,$J2321,(1-$M2321)*$I2321+$M2321*$J2321)</f>
        <v/>
      </c>
      <c r="O2321" s="209">
        <f>IF($F2321&lt;$B$2291,$E$2291+$I$2291*($F2321-$A$2291),IF($F2321&lt;$C$2291,$F$2291+$J$2291*($F2321-$B$2291),$G$2291+$K$2291*($F2321-$C$2291)))</f>
        <v/>
      </c>
      <c r="P2321" s="208">
        <f>MIN(1,MAX(0,(nr_MEndPm1-$G2321+0.5)/$C$2290))-MIN(1,MAX(0,(nr_MStartPm1-1-$G2321+0.5)/$C$2290))</f>
        <v/>
      </c>
      <c r="Q2321" s="208">
        <f>MIN(1,MAX(0,(nr_MEndP-$G2321+0.5)/$C$2290))-MIN(1,MAX(0,(nr_MStartP-1-$G2321+0.5)/$C$2290))</f>
        <v/>
      </c>
      <c r="R2321" s="208">
        <f>MIN(1,MAX(0,(nr_MEndP1-$G2321+0.5)/$C$2290))-MIN(1,MAX(0,(nr_MStartP1-1-$G2321+0.5)/$C$2290))</f>
        <v/>
      </c>
      <c r="S2321" s="208">
        <f>IF($L$2290,$N2321*IF($O$2290=1,$O2321/$F$2290,1),"")</f>
        <v/>
      </c>
      <c r="T2321" s="208">
        <f>IF(NOT($L$2290),"",IF($G2321&lt;nr_MStartP,$S2321,$T2309*(1+IF($G2321&lt;nr_MStartP1,$M$2290,$N$2290))))</f>
        <v/>
      </c>
      <c r="U2321" s="208">
        <f>IF($L$2290,$T2321,$N2321)</f>
        <v/>
      </c>
    </row>
    <row r="2322">
      <c r="A2322" s="145" t="n">
        <v>30</v>
      </c>
      <c r="B2322" s="204">
        <f>EDATE($B2321,1)</f>
        <v/>
      </c>
      <c r="C2322" s="205">
        <f>EOMONTH($B2322,0)</f>
        <v/>
      </c>
      <c r="D2322" s="201">
        <f>$C2322-$B2322+1</f>
        <v/>
      </c>
      <c r="E2322" s="201">
        <f>MONTH($B2322)</f>
        <v/>
      </c>
      <c r="F2322" s="235">
        <f>($B2322+$C2322+1)/2</f>
        <v/>
      </c>
      <c r="G2322" s="201">
        <f>YEAR($B2322)*12+MONTH($B2322)-1</f>
        <v/>
      </c>
      <c r="H2322" s="207">
        <f>IF(OR(nr_SeasonOn="OFF",$D$2290=0,$E$2290=0),1,12*INDEX(se_block,$D$2290,$E2322)/$E$2290)</f>
        <v/>
      </c>
      <c r="I2322" s="208">
        <f>EXP(SUMPRODUCT((rl_eff&lt;$B2322)*(rl_key=$A$2290)*rl_ln1p))</f>
        <v/>
      </c>
      <c r="J2322" s="208">
        <f>EXP(SUMPRODUCT((rl_eff&lt;=$C2322)*(rl_key=$A$2290)*rl_ln1p))</f>
        <v/>
      </c>
      <c r="K2322" s="201">
        <f>COUNTIFS(rl_key,$A$2290,rl_eff,"&gt;="&amp;$B2322,rl_eff,"&lt;="&amp;$C2322)</f>
        <v/>
      </c>
      <c r="L2322" s="201">
        <f>SUMIFS(rl_daysafter,rl_key,$A$2290,rl_effmonth,$B2322,rl_first,1)</f>
        <v/>
      </c>
      <c r="M2322" s="209">
        <f>IF($K2322=0,0,MIN(1,$L2322/$D2322))</f>
        <v/>
      </c>
      <c r="N2322" s="208">
        <f>IF($K2322=0,$J2322,(1-$M2322)*$I2322+$M2322*$J2322)</f>
        <v/>
      </c>
      <c r="O2322" s="209">
        <f>IF($F2322&lt;$B$2291,$E$2291+$I$2291*($F2322-$A$2291),IF($F2322&lt;$C$2291,$F$2291+$J$2291*($F2322-$B$2291),$G$2291+$K$2291*($F2322-$C$2291)))</f>
        <v/>
      </c>
      <c r="P2322" s="208">
        <f>MIN(1,MAX(0,(nr_MEndPm1-$G2322+0.5)/$C$2290))-MIN(1,MAX(0,(nr_MStartPm1-1-$G2322+0.5)/$C$2290))</f>
        <v/>
      </c>
      <c r="Q2322" s="208">
        <f>MIN(1,MAX(0,(nr_MEndP-$G2322+0.5)/$C$2290))-MIN(1,MAX(0,(nr_MStartP-1-$G2322+0.5)/$C$2290))</f>
        <v/>
      </c>
      <c r="R2322" s="208">
        <f>MIN(1,MAX(0,(nr_MEndP1-$G2322+0.5)/$C$2290))-MIN(1,MAX(0,(nr_MStartP1-1-$G2322+0.5)/$C$2290))</f>
        <v/>
      </c>
      <c r="S2322" s="208">
        <f>IF($L$2290,$N2322*IF($O$2290=1,$O2322/$F$2290,1),"")</f>
        <v/>
      </c>
      <c r="T2322" s="208">
        <f>IF(NOT($L$2290),"",IF($G2322&lt;nr_MStartP,$S2322,$T2310*(1+IF($G2322&lt;nr_MStartP1,$M$2290,$N$2290))))</f>
        <v/>
      </c>
      <c r="U2322" s="208">
        <f>IF($L$2290,$T2322,$N2322)</f>
        <v/>
      </c>
    </row>
    <row r="2323">
      <c r="A2323" s="145" t="n">
        <v>31</v>
      </c>
      <c r="B2323" s="204">
        <f>EDATE($B2322,1)</f>
        <v/>
      </c>
      <c r="C2323" s="205">
        <f>EOMONTH($B2323,0)</f>
        <v/>
      </c>
      <c r="D2323" s="201">
        <f>$C2323-$B2323+1</f>
        <v/>
      </c>
      <c r="E2323" s="201">
        <f>MONTH($B2323)</f>
        <v/>
      </c>
      <c r="F2323" s="235">
        <f>($B2323+$C2323+1)/2</f>
        <v/>
      </c>
      <c r="G2323" s="201">
        <f>YEAR($B2323)*12+MONTH($B2323)-1</f>
        <v/>
      </c>
      <c r="H2323" s="207">
        <f>IF(OR(nr_SeasonOn="OFF",$D$2290=0,$E$2290=0),1,12*INDEX(se_block,$D$2290,$E2323)/$E$2290)</f>
        <v/>
      </c>
      <c r="I2323" s="208">
        <f>EXP(SUMPRODUCT((rl_eff&lt;$B2323)*(rl_key=$A$2290)*rl_ln1p))</f>
        <v/>
      </c>
      <c r="J2323" s="208">
        <f>EXP(SUMPRODUCT((rl_eff&lt;=$C2323)*(rl_key=$A$2290)*rl_ln1p))</f>
        <v/>
      </c>
      <c r="K2323" s="201">
        <f>COUNTIFS(rl_key,$A$2290,rl_eff,"&gt;="&amp;$B2323,rl_eff,"&lt;="&amp;$C2323)</f>
        <v/>
      </c>
      <c r="L2323" s="201">
        <f>SUMIFS(rl_daysafter,rl_key,$A$2290,rl_effmonth,$B2323,rl_first,1)</f>
        <v/>
      </c>
      <c r="M2323" s="209">
        <f>IF($K2323=0,0,MIN(1,$L2323/$D2323))</f>
        <v/>
      </c>
      <c r="N2323" s="208">
        <f>IF($K2323=0,$J2323,(1-$M2323)*$I2323+$M2323*$J2323)</f>
        <v/>
      </c>
      <c r="O2323" s="209">
        <f>IF($F2323&lt;$B$2291,$E$2291+$I$2291*($F2323-$A$2291),IF($F2323&lt;$C$2291,$F$2291+$J$2291*($F2323-$B$2291),$G$2291+$K$2291*($F2323-$C$2291)))</f>
        <v/>
      </c>
      <c r="P2323" s="208">
        <f>MIN(1,MAX(0,(nr_MEndPm1-$G2323+0.5)/$C$2290))-MIN(1,MAX(0,(nr_MStartPm1-1-$G2323+0.5)/$C$2290))</f>
        <v/>
      </c>
      <c r="Q2323" s="208">
        <f>MIN(1,MAX(0,(nr_MEndP-$G2323+0.5)/$C$2290))-MIN(1,MAX(0,(nr_MStartP-1-$G2323+0.5)/$C$2290))</f>
        <v/>
      </c>
      <c r="R2323" s="208">
        <f>MIN(1,MAX(0,(nr_MEndP1-$G2323+0.5)/$C$2290))-MIN(1,MAX(0,(nr_MStartP1-1-$G2323+0.5)/$C$2290))</f>
        <v/>
      </c>
      <c r="S2323" s="208">
        <f>IF($L$2290,$N2323*IF($O$2290=1,$O2323/$F$2290,1),"")</f>
        <v/>
      </c>
      <c r="T2323" s="208">
        <f>IF(NOT($L$2290),"",IF($G2323&lt;nr_MStartP,$S2323,$T2311*(1+IF($G2323&lt;nr_MStartP1,$M$2290,$N$2290))))</f>
        <v/>
      </c>
      <c r="U2323" s="208">
        <f>IF($L$2290,$T2323,$N2323)</f>
        <v/>
      </c>
    </row>
    <row r="2324">
      <c r="A2324" s="145" t="n">
        <v>32</v>
      </c>
      <c r="B2324" s="204">
        <f>EDATE($B2323,1)</f>
        <v/>
      </c>
      <c r="C2324" s="205">
        <f>EOMONTH($B2324,0)</f>
        <v/>
      </c>
      <c r="D2324" s="201">
        <f>$C2324-$B2324+1</f>
        <v/>
      </c>
      <c r="E2324" s="201">
        <f>MONTH($B2324)</f>
        <v/>
      </c>
      <c r="F2324" s="235">
        <f>($B2324+$C2324+1)/2</f>
        <v/>
      </c>
      <c r="G2324" s="201">
        <f>YEAR($B2324)*12+MONTH($B2324)-1</f>
        <v/>
      </c>
      <c r="H2324" s="207">
        <f>IF(OR(nr_SeasonOn="OFF",$D$2290=0,$E$2290=0),1,12*INDEX(se_block,$D$2290,$E2324)/$E$2290)</f>
        <v/>
      </c>
      <c r="I2324" s="208">
        <f>EXP(SUMPRODUCT((rl_eff&lt;$B2324)*(rl_key=$A$2290)*rl_ln1p))</f>
        <v/>
      </c>
      <c r="J2324" s="208">
        <f>EXP(SUMPRODUCT((rl_eff&lt;=$C2324)*(rl_key=$A$2290)*rl_ln1p))</f>
        <v/>
      </c>
      <c r="K2324" s="201">
        <f>COUNTIFS(rl_key,$A$2290,rl_eff,"&gt;="&amp;$B2324,rl_eff,"&lt;="&amp;$C2324)</f>
        <v/>
      </c>
      <c r="L2324" s="201">
        <f>SUMIFS(rl_daysafter,rl_key,$A$2290,rl_effmonth,$B2324,rl_first,1)</f>
        <v/>
      </c>
      <c r="M2324" s="209">
        <f>IF($K2324=0,0,MIN(1,$L2324/$D2324))</f>
        <v/>
      </c>
      <c r="N2324" s="208">
        <f>IF($K2324=0,$J2324,(1-$M2324)*$I2324+$M2324*$J2324)</f>
        <v/>
      </c>
      <c r="O2324" s="209">
        <f>IF($F2324&lt;$B$2291,$E$2291+$I$2291*($F2324-$A$2291),IF($F2324&lt;$C$2291,$F$2291+$J$2291*($F2324-$B$2291),$G$2291+$K$2291*($F2324-$C$2291)))</f>
        <v/>
      </c>
      <c r="P2324" s="208">
        <f>MIN(1,MAX(0,(nr_MEndPm1-$G2324+0.5)/$C$2290))-MIN(1,MAX(0,(nr_MStartPm1-1-$G2324+0.5)/$C$2290))</f>
        <v/>
      </c>
      <c r="Q2324" s="208">
        <f>MIN(1,MAX(0,(nr_MEndP-$G2324+0.5)/$C$2290))-MIN(1,MAX(0,(nr_MStartP-1-$G2324+0.5)/$C$2290))</f>
        <v/>
      </c>
      <c r="R2324" s="208">
        <f>MIN(1,MAX(0,(nr_MEndP1-$G2324+0.5)/$C$2290))-MIN(1,MAX(0,(nr_MStartP1-1-$G2324+0.5)/$C$2290))</f>
        <v/>
      </c>
      <c r="S2324" s="208">
        <f>IF($L$2290,$N2324*IF($O$2290=1,$O2324/$F$2290,1),"")</f>
        <v/>
      </c>
      <c r="T2324" s="208">
        <f>IF(NOT($L$2290),"",IF($G2324&lt;nr_MStartP,$S2324,$T2312*(1+IF($G2324&lt;nr_MStartP1,$M$2290,$N$2290))))</f>
        <v/>
      </c>
      <c r="U2324" s="208">
        <f>IF($L$2290,$T2324,$N2324)</f>
        <v/>
      </c>
    </row>
    <row r="2325">
      <c r="A2325" s="145" t="n">
        <v>33</v>
      </c>
      <c r="B2325" s="204">
        <f>EDATE($B2324,1)</f>
        <v/>
      </c>
      <c r="C2325" s="205">
        <f>EOMONTH($B2325,0)</f>
        <v/>
      </c>
      <c r="D2325" s="201">
        <f>$C2325-$B2325+1</f>
        <v/>
      </c>
      <c r="E2325" s="201">
        <f>MONTH($B2325)</f>
        <v/>
      </c>
      <c r="F2325" s="235">
        <f>($B2325+$C2325+1)/2</f>
        <v/>
      </c>
      <c r="G2325" s="201">
        <f>YEAR($B2325)*12+MONTH($B2325)-1</f>
        <v/>
      </c>
      <c r="H2325" s="207">
        <f>IF(OR(nr_SeasonOn="OFF",$D$2290=0,$E$2290=0),1,12*INDEX(se_block,$D$2290,$E2325)/$E$2290)</f>
        <v/>
      </c>
      <c r="I2325" s="208">
        <f>EXP(SUMPRODUCT((rl_eff&lt;$B2325)*(rl_key=$A$2290)*rl_ln1p))</f>
        <v/>
      </c>
      <c r="J2325" s="208">
        <f>EXP(SUMPRODUCT((rl_eff&lt;=$C2325)*(rl_key=$A$2290)*rl_ln1p))</f>
        <v/>
      </c>
      <c r="K2325" s="201">
        <f>COUNTIFS(rl_key,$A$2290,rl_eff,"&gt;="&amp;$B2325,rl_eff,"&lt;="&amp;$C2325)</f>
        <v/>
      </c>
      <c r="L2325" s="201">
        <f>SUMIFS(rl_daysafter,rl_key,$A$2290,rl_effmonth,$B2325,rl_first,1)</f>
        <v/>
      </c>
      <c r="M2325" s="209">
        <f>IF($K2325=0,0,MIN(1,$L2325/$D2325))</f>
        <v/>
      </c>
      <c r="N2325" s="208">
        <f>IF($K2325=0,$J2325,(1-$M2325)*$I2325+$M2325*$J2325)</f>
        <v/>
      </c>
      <c r="O2325" s="209">
        <f>IF($F2325&lt;$B$2291,$E$2291+$I$2291*($F2325-$A$2291),IF($F2325&lt;$C$2291,$F$2291+$J$2291*($F2325-$B$2291),$G$2291+$K$2291*($F2325-$C$2291)))</f>
        <v/>
      </c>
      <c r="P2325" s="208">
        <f>MIN(1,MAX(0,(nr_MEndPm1-$G2325+0.5)/$C$2290))-MIN(1,MAX(0,(nr_MStartPm1-1-$G2325+0.5)/$C$2290))</f>
        <v/>
      </c>
      <c r="Q2325" s="208">
        <f>MIN(1,MAX(0,(nr_MEndP-$G2325+0.5)/$C$2290))-MIN(1,MAX(0,(nr_MStartP-1-$G2325+0.5)/$C$2290))</f>
        <v/>
      </c>
      <c r="R2325" s="208">
        <f>MIN(1,MAX(0,(nr_MEndP1-$G2325+0.5)/$C$2290))-MIN(1,MAX(0,(nr_MStartP1-1-$G2325+0.5)/$C$2290))</f>
        <v/>
      </c>
      <c r="S2325" s="208">
        <f>IF($L$2290,$N2325*IF($O$2290=1,$O2325/$F$2290,1),"")</f>
        <v/>
      </c>
      <c r="T2325" s="208">
        <f>IF(NOT($L$2290),"",IF($G2325&lt;nr_MStartP,$S2325,$T2313*(1+IF($G2325&lt;nr_MStartP1,$M$2290,$N$2290))))</f>
        <v/>
      </c>
      <c r="U2325" s="208">
        <f>IF($L$2290,$T2325,$N2325)</f>
        <v/>
      </c>
    </row>
    <row r="2326">
      <c r="A2326" s="145" t="n">
        <v>34</v>
      </c>
      <c r="B2326" s="204">
        <f>EDATE($B2325,1)</f>
        <v/>
      </c>
      <c r="C2326" s="205">
        <f>EOMONTH($B2326,0)</f>
        <v/>
      </c>
      <c r="D2326" s="201">
        <f>$C2326-$B2326+1</f>
        <v/>
      </c>
      <c r="E2326" s="201">
        <f>MONTH($B2326)</f>
        <v/>
      </c>
      <c r="F2326" s="235">
        <f>($B2326+$C2326+1)/2</f>
        <v/>
      </c>
      <c r="G2326" s="201">
        <f>YEAR($B2326)*12+MONTH($B2326)-1</f>
        <v/>
      </c>
      <c r="H2326" s="207">
        <f>IF(OR(nr_SeasonOn="OFF",$D$2290=0,$E$2290=0),1,12*INDEX(se_block,$D$2290,$E2326)/$E$2290)</f>
        <v/>
      </c>
      <c r="I2326" s="208">
        <f>EXP(SUMPRODUCT((rl_eff&lt;$B2326)*(rl_key=$A$2290)*rl_ln1p))</f>
        <v/>
      </c>
      <c r="J2326" s="208">
        <f>EXP(SUMPRODUCT((rl_eff&lt;=$C2326)*(rl_key=$A$2290)*rl_ln1p))</f>
        <v/>
      </c>
      <c r="K2326" s="201">
        <f>COUNTIFS(rl_key,$A$2290,rl_eff,"&gt;="&amp;$B2326,rl_eff,"&lt;="&amp;$C2326)</f>
        <v/>
      </c>
      <c r="L2326" s="201">
        <f>SUMIFS(rl_daysafter,rl_key,$A$2290,rl_effmonth,$B2326,rl_first,1)</f>
        <v/>
      </c>
      <c r="M2326" s="209">
        <f>IF($K2326=0,0,MIN(1,$L2326/$D2326))</f>
        <v/>
      </c>
      <c r="N2326" s="208">
        <f>IF($K2326=0,$J2326,(1-$M2326)*$I2326+$M2326*$J2326)</f>
        <v/>
      </c>
      <c r="O2326" s="209">
        <f>IF($F2326&lt;$B$2291,$E$2291+$I$2291*($F2326-$A$2291),IF($F2326&lt;$C$2291,$F$2291+$J$2291*($F2326-$B$2291),$G$2291+$K$2291*($F2326-$C$2291)))</f>
        <v/>
      </c>
      <c r="P2326" s="208">
        <f>MIN(1,MAX(0,(nr_MEndPm1-$G2326+0.5)/$C$2290))-MIN(1,MAX(0,(nr_MStartPm1-1-$G2326+0.5)/$C$2290))</f>
        <v/>
      </c>
      <c r="Q2326" s="208">
        <f>MIN(1,MAX(0,(nr_MEndP-$G2326+0.5)/$C$2290))-MIN(1,MAX(0,(nr_MStartP-1-$G2326+0.5)/$C$2290))</f>
        <v/>
      </c>
      <c r="R2326" s="208">
        <f>MIN(1,MAX(0,(nr_MEndP1-$G2326+0.5)/$C$2290))-MIN(1,MAX(0,(nr_MStartP1-1-$G2326+0.5)/$C$2290))</f>
        <v/>
      </c>
      <c r="S2326" s="208">
        <f>IF($L$2290,$N2326*IF($O$2290=1,$O2326/$F$2290,1),"")</f>
        <v/>
      </c>
      <c r="T2326" s="208">
        <f>IF(NOT($L$2290),"",IF($G2326&lt;nr_MStartP,$S2326,$T2314*(1+IF($G2326&lt;nr_MStartP1,$M$2290,$N$2290))))</f>
        <v/>
      </c>
      <c r="U2326" s="208">
        <f>IF($L$2290,$T2326,$N2326)</f>
        <v/>
      </c>
    </row>
    <row r="2327">
      <c r="A2327" s="145" t="n">
        <v>35</v>
      </c>
      <c r="B2327" s="204">
        <f>EDATE($B2326,1)</f>
        <v/>
      </c>
      <c r="C2327" s="205">
        <f>EOMONTH($B2327,0)</f>
        <v/>
      </c>
      <c r="D2327" s="201">
        <f>$C2327-$B2327+1</f>
        <v/>
      </c>
      <c r="E2327" s="201">
        <f>MONTH($B2327)</f>
        <v/>
      </c>
      <c r="F2327" s="235">
        <f>($B2327+$C2327+1)/2</f>
        <v/>
      </c>
      <c r="G2327" s="201">
        <f>YEAR($B2327)*12+MONTH($B2327)-1</f>
        <v/>
      </c>
      <c r="H2327" s="207">
        <f>IF(OR(nr_SeasonOn="OFF",$D$2290=0,$E$2290=0),1,12*INDEX(se_block,$D$2290,$E2327)/$E$2290)</f>
        <v/>
      </c>
      <c r="I2327" s="208">
        <f>EXP(SUMPRODUCT((rl_eff&lt;$B2327)*(rl_key=$A$2290)*rl_ln1p))</f>
        <v/>
      </c>
      <c r="J2327" s="208">
        <f>EXP(SUMPRODUCT((rl_eff&lt;=$C2327)*(rl_key=$A$2290)*rl_ln1p))</f>
        <v/>
      </c>
      <c r="K2327" s="201">
        <f>COUNTIFS(rl_key,$A$2290,rl_eff,"&gt;="&amp;$B2327,rl_eff,"&lt;="&amp;$C2327)</f>
        <v/>
      </c>
      <c r="L2327" s="201">
        <f>SUMIFS(rl_daysafter,rl_key,$A$2290,rl_effmonth,$B2327,rl_first,1)</f>
        <v/>
      </c>
      <c r="M2327" s="209">
        <f>IF($K2327=0,0,MIN(1,$L2327/$D2327))</f>
        <v/>
      </c>
      <c r="N2327" s="208">
        <f>IF($K2327=0,$J2327,(1-$M2327)*$I2327+$M2327*$J2327)</f>
        <v/>
      </c>
      <c r="O2327" s="209">
        <f>IF($F2327&lt;$B$2291,$E$2291+$I$2291*($F2327-$A$2291),IF($F2327&lt;$C$2291,$F$2291+$J$2291*($F2327-$B$2291),$G$2291+$K$2291*($F2327-$C$2291)))</f>
        <v/>
      </c>
      <c r="P2327" s="208">
        <f>MIN(1,MAX(0,(nr_MEndPm1-$G2327+0.5)/$C$2290))-MIN(1,MAX(0,(nr_MStartPm1-1-$G2327+0.5)/$C$2290))</f>
        <v/>
      </c>
      <c r="Q2327" s="208">
        <f>MIN(1,MAX(0,(nr_MEndP-$G2327+0.5)/$C$2290))-MIN(1,MAX(0,(nr_MStartP-1-$G2327+0.5)/$C$2290))</f>
        <v/>
      </c>
      <c r="R2327" s="208">
        <f>MIN(1,MAX(0,(nr_MEndP1-$G2327+0.5)/$C$2290))-MIN(1,MAX(0,(nr_MStartP1-1-$G2327+0.5)/$C$2290))</f>
        <v/>
      </c>
      <c r="S2327" s="208">
        <f>IF($L$2290,$N2327*IF($O$2290=1,$O2327/$F$2290,1),"")</f>
        <v/>
      </c>
      <c r="T2327" s="208">
        <f>IF(NOT($L$2290),"",IF($G2327&lt;nr_MStartP,$S2327,$T2315*(1+IF($G2327&lt;nr_MStartP1,$M$2290,$N$2290))))</f>
        <v/>
      </c>
      <c r="U2327" s="208">
        <f>IF($L$2290,$T2327,$N2327)</f>
        <v/>
      </c>
    </row>
    <row r="2328">
      <c r="A2328" s="145" t="n">
        <v>36</v>
      </c>
      <c r="B2328" s="204">
        <f>EDATE($B2327,1)</f>
        <v/>
      </c>
      <c r="C2328" s="205">
        <f>EOMONTH($B2328,0)</f>
        <v/>
      </c>
      <c r="D2328" s="201">
        <f>$C2328-$B2328+1</f>
        <v/>
      </c>
      <c r="E2328" s="201">
        <f>MONTH($B2328)</f>
        <v/>
      </c>
      <c r="F2328" s="235">
        <f>($B2328+$C2328+1)/2</f>
        <v/>
      </c>
      <c r="G2328" s="201">
        <f>YEAR($B2328)*12+MONTH($B2328)-1</f>
        <v/>
      </c>
      <c r="H2328" s="207">
        <f>IF(OR(nr_SeasonOn="OFF",$D$2290=0,$E$2290=0),1,12*INDEX(se_block,$D$2290,$E2328)/$E$2290)</f>
        <v/>
      </c>
      <c r="I2328" s="208">
        <f>EXP(SUMPRODUCT((rl_eff&lt;$B2328)*(rl_key=$A$2290)*rl_ln1p))</f>
        <v/>
      </c>
      <c r="J2328" s="208">
        <f>EXP(SUMPRODUCT((rl_eff&lt;=$C2328)*(rl_key=$A$2290)*rl_ln1p))</f>
        <v/>
      </c>
      <c r="K2328" s="201">
        <f>COUNTIFS(rl_key,$A$2290,rl_eff,"&gt;="&amp;$B2328,rl_eff,"&lt;="&amp;$C2328)</f>
        <v/>
      </c>
      <c r="L2328" s="201">
        <f>SUMIFS(rl_daysafter,rl_key,$A$2290,rl_effmonth,$B2328,rl_first,1)</f>
        <v/>
      </c>
      <c r="M2328" s="209">
        <f>IF($K2328=0,0,MIN(1,$L2328/$D2328))</f>
        <v/>
      </c>
      <c r="N2328" s="208">
        <f>IF($K2328=0,$J2328,(1-$M2328)*$I2328+$M2328*$J2328)</f>
        <v/>
      </c>
      <c r="O2328" s="209">
        <f>IF($F2328&lt;$B$2291,$E$2291+$I$2291*($F2328-$A$2291),IF($F2328&lt;$C$2291,$F$2291+$J$2291*($F2328-$B$2291),$G$2291+$K$2291*($F2328-$C$2291)))</f>
        <v/>
      </c>
      <c r="P2328" s="208">
        <f>MIN(1,MAX(0,(nr_MEndPm1-$G2328+0.5)/$C$2290))-MIN(1,MAX(0,(nr_MStartPm1-1-$G2328+0.5)/$C$2290))</f>
        <v/>
      </c>
      <c r="Q2328" s="208">
        <f>MIN(1,MAX(0,(nr_MEndP-$G2328+0.5)/$C$2290))-MIN(1,MAX(0,(nr_MStartP-1-$G2328+0.5)/$C$2290))</f>
        <v/>
      </c>
      <c r="R2328" s="208">
        <f>MIN(1,MAX(0,(nr_MEndP1-$G2328+0.5)/$C$2290))-MIN(1,MAX(0,(nr_MStartP1-1-$G2328+0.5)/$C$2290))</f>
        <v/>
      </c>
      <c r="S2328" s="208">
        <f>IF($L$2290,$N2328*IF($O$2290=1,$O2328/$F$2290,1),"")</f>
        <v/>
      </c>
      <c r="T2328" s="208">
        <f>IF(NOT($L$2290),"",IF($G2328&lt;nr_MStartP,$S2328,$T2316*(1+IF($G2328&lt;nr_MStartP1,$M$2290,$N$2290))))</f>
        <v/>
      </c>
      <c r="U2328" s="208">
        <f>IF($L$2290,$T2328,$N2328)</f>
        <v/>
      </c>
    </row>
    <row r="2329">
      <c r="A2329" s="145" t="n">
        <v>37</v>
      </c>
      <c r="B2329" s="204">
        <f>EDATE($B2328,1)</f>
        <v/>
      </c>
      <c r="C2329" s="205">
        <f>EOMONTH($B2329,0)</f>
        <v/>
      </c>
      <c r="D2329" s="201">
        <f>$C2329-$B2329+1</f>
        <v/>
      </c>
      <c r="E2329" s="201">
        <f>MONTH($B2329)</f>
        <v/>
      </c>
      <c r="F2329" s="235">
        <f>($B2329+$C2329+1)/2</f>
        <v/>
      </c>
      <c r="G2329" s="201">
        <f>YEAR($B2329)*12+MONTH($B2329)-1</f>
        <v/>
      </c>
      <c r="H2329" s="207">
        <f>IF(OR(nr_SeasonOn="OFF",$D$2290=0,$E$2290=0),1,12*INDEX(se_block,$D$2290,$E2329)/$E$2290)</f>
        <v/>
      </c>
      <c r="I2329" s="208">
        <f>EXP(SUMPRODUCT((rl_eff&lt;$B2329)*(rl_key=$A$2290)*rl_ln1p))</f>
        <v/>
      </c>
      <c r="J2329" s="208">
        <f>EXP(SUMPRODUCT((rl_eff&lt;=$C2329)*(rl_key=$A$2290)*rl_ln1p))</f>
        <v/>
      </c>
      <c r="K2329" s="201">
        <f>COUNTIFS(rl_key,$A$2290,rl_eff,"&gt;="&amp;$B2329,rl_eff,"&lt;="&amp;$C2329)</f>
        <v/>
      </c>
      <c r="L2329" s="201">
        <f>SUMIFS(rl_daysafter,rl_key,$A$2290,rl_effmonth,$B2329,rl_first,1)</f>
        <v/>
      </c>
      <c r="M2329" s="209">
        <f>IF($K2329=0,0,MIN(1,$L2329/$D2329))</f>
        <v/>
      </c>
      <c r="N2329" s="208">
        <f>IF($K2329=0,$J2329,(1-$M2329)*$I2329+$M2329*$J2329)</f>
        <v/>
      </c>
      <c r="O2329" s="209">
        <f>IF($F2329&lt;$B$2291,$E$2291+$I$2291*($F2329-$A$2291),IF($F2329&lt;$C$2291,$F$2291+$J$2291*($F2329-$B$2291),$G$2291+$K$2291*($F2329-$C$2291)))</f>
        <v/>
      </c>
      <c r="P2329" s="208">
        <f>MIN(1,MAX(0,(nr_MEndPm1-$G2329+0.5)/$C$2290))-MIN(1,MAX(0,(nr_MStartPm1-1-$G2329+0.5)/$C$2290))</f>
        <v/>
      </c>
      <c r="Q2329" s="208">
        <f>MIN(1,MAX(0,(nr_MEndP-$G2329+0.5)/$C$2290))-MIN(1,MAX(0,(nr_MStartP-1-$G2329+0.5)/$C$2290))</f>
        <v/>
      </c>
      <c r="R2329" s="208">
        <f>MIN(1,MAX(0,(nr_MEndP1-$G2329+0.5)/$C$2290))-MIN(1,MAX(0,(nr_MStartP1-1-$G2329+0.5)/$C$2290))</f>
        <v/>
      </c>
      <c r="S2329" s="208">
        <f>IF($L$2290,$N2329*IF($O$2290=1,$O2329/$F$2290,1),"")</f>
        <v/>
      </c>
      <c r="T2329" s="208">
        <f>IF(NOT($L$2290),"",IF($G2329&lt;nr_MStartP,$S2329,$T2317*(1+IF($G2329&lt;nr_MStartP1,$M$2290,$N$2290))))</f>
        <v/>
      </c>
      <c r="U2329" s="208">
        <f>IF($L$2290,$T2329,$N2329)</f>
        <v/>
      </c>
    </row>
    <row r="2330">
      <c r="A2330" s="145" t="n">
        <v>38</v>
      </c>
      <c r="B2330" s="204">
        <f>EDATE($B2329,1)</f>
        <v/>
      </c>
      <c r="C2330" s="205">
        <f>EOMONTH($B2330,0)</f>
        <v/>
      </c>
      <c r="D2330" s="201">
        <f>$C2330-$B2330+1</f>
        <v/>
      </c>
      <c r="E2330" s="201">
        <f>MONTH($B2330)</f>
        <v/>
      </c>
      <c r="F2330" s="235">
        <f>($B2330+$C2330+1)/2</f>
        <v/>
      </c>
      <c r="G2330" s="201">
        <f>YEAR($B2330)*12+MONTH($B2330)-1</f>
        <v/>
      </c>
      <c r="H2330" s="207">
        <f>IF(OR(nr_SeasonOn="OFF",$D$2290=0,$E$2290=0),1,12*INDEX(se_block,$D$2290,$E2330)/$E$2290)</f>
        <v/>
      </c>
      <c r="I2330" s="208">
        <f>EXP(SUMPRODUCT((rl_eff&lt;$B2330)*(rl_key=$A$2290)*rl_ln1p))</f>
        <v/>
      </c>
      <c r="J2330" s="208">
        <f>EXP(SUMPRODUCT((rl_eff&lt;=$C2330)*(rl_key=$A$2290)*rl_ln1p))</f>
        <v/>
      </c>
      <c r="K2330" s="201">
        <f>COUNTIFS(rl_key,$A$2290,rl_eff,"&gt;="&amp;$B2330,rl_eff,"&lt;="&amp;$C2330)</f>
        <v/>
      </c>
      <c r="L2330" s="201">
        <f>SUMIFS(rl_daysafter,rl_key,$A$2290,rl_effmonth,$B2330,rl_first,1)</f>
        <v/>
      </c>
      <c r="M2330" s="209">
        <f>IF($K2330=0,0,MIN(1,$L2330/$D2330))</f>
        <v/>
      </c>
      <c r="N2330" s="208">
        <f>IF($K2330=0,$J2330,(1-$M2330)*$I2330+$M2330*$J2330)</f>
        <v/>
      </c>
      <c r="O2330" s="209">
        <f>IF($F2330&lt;$B$2291,$E$2291+$I$2291*($F2330-$A$2291),IF($F2330&lt;$C$2291,$F$2291+$J$2291*($F2330-$B$2291),$G$2291+$K$2291*($F2330-$C$2291)))</f>
        <v/>
      </c>
      <c r="P2330" s="208">
        <f>MIN(1,MAX(0,(nr_MEndPm1-$G2330+0.5)/$C$2290))-MIN(1,MAX(0,(nr_MStartPm1-1-$G2330+0.5)/$C$2290))</f>
        <v/>
      </c>
      <c r="Q2330" s="208">
        <f>MIN(1,MAX(0,(nr_MEndP-$G2330+0.5)/$C$2290))-MIN(1,MAX(0,(nr_MStartP-1-$G2330+0.5)/$C$2290))</f>
        <v/>
      </c>
      <c r="R2330" s="208">
        <f>MIN(1,MAX(0,(nr_MEndP1-$G2330+0.5)/$C$2290))-MIN(1,MAX(0,(nr_MStartP1-1-$G2330+0.5)/$C$2290))</f>
        <v/>
      </c>
      <c r="S2330" s="208">
        <f>IF($L$2290,$N2330*IF($O$2290=1,$O2330/$F$2290,1),"")</f>
        <v/>
      </c>
      <c r="T2330" s="208">
        <f>IF(NOT($L$2290),"",IF($G2330&lt;nr_MStartP,$S2330,$T2318*(1+IF($G2330&lt;nr_MStartP1,$M$2290,$N$2290))))</f>
        <v/>
      </c>
      <c r="U2330" s="208">
        <f>IF($L$2290,$T2330,$N2330)</f>
        <v/>
      </c>
    </row>
    <row r="2331">
      <c r="A2331" s="145" t="n">
        <v>39</v>
      </c>
      <c r="B2331" s="204">
        <f>EDATE($B2330,1)</f>
        <v/>
      </c>
      <c r="C2331" s="205">
        <f>EOMONTH($B2331,0)</f>
        <v/>
      </c>
      <c r="D2331" s="201">
        <f>$C2331-$B2331+1</f>
        <v/>
      </c>
      <c r="E2331" s="201">
        <f>MONTH($B2331)</f>
        <v/>
      </c>
      <c r="F2331" s="235">
        <f>($B2331+$C2331+1)/2</f>
        <v/>
      </c>
      <c r="G2331" s="201">
        <f>YEAR($B2331)*12+MONTH($B2331)-1</f>
        <v/>
      </c>
      <c r="H2331" s="207">
        <f>IF(OR(nr_SeasonOn="OFF",$D$2290=0,$E$2290=0),1,12*INDEX(se_block,$D$2290,$E2331)/$E$2290)</f>
        <v/>
      </c>
      <c r="I2331" s="208">
        <f>EXP(SUMPRODUCT((rl_eff&lt;$B2331)*(rl_key=$A$2290)*rl_ln1p))</f>
        <v/>
      </c>
      <c r="J2331" s="208">
        <f>EXP(SUMPRODUCT((rl_eff&lt;=$C2331)*(rl_key=$A$2290)*rl_ln1p))</f>
        <v/>
      </c>
      <c r="K2331" s="201">
        <f>COUNTIFS(rl_key,$A$2290,rl_eff,"&gt;="&amp;$B2331,rl_eff,"&lt;="&amp;$C2331)</f>
        <v/>
      </c>
      <c r="L2331" s="201">
        <f>SUMIFS(rl_daysafter,rl_key,$A$2290,rl_effmonth,$B2331,rl_first,1)</f>
        <v/>
      </c>
      <c r="M2331" s="209">
        <f>IF($K2331=0,0,MIN(1,$L2331/$D2331))</f>
        <v/>
      </c>
      <c r="N2331" s="208">
        <f>IF($K2331=0,$J2331,(1-$M2331)*$I2331+$M2331*$J2331)</f>
        <v/>
      </c>
      <c r="O2331" s="209">
        <f>IF($F2331&lt;$B$2291,$E$2291+$I$2291*($F2331-$A$2291),IF($F2331&lt;$C$2291,$F$2291+$J$2291*($F2331-$B$2291),$G$2291+$K$2291*($F2331-$C$2291)))</f>
        <v/>
      </c>
      <c r="P2331" s="208">
        <f>MIN(1,MAX(0,(nr_MEndPm1-$G2331+0.5)/$C$2290))-MIN(1,MAX(0,(nr_MStartPm1-1-$G2331+0.5)/$C$2290))</f>
        <v/>
      </c>
      <c r="Q2331" s="208">
        <f>MIN(1,MAX(0,(nr_MEndP-$G2331+0.5)/$C$2290))-MIN(1,MAX(0,(nr_MStartP-1-$G2331+0.5)/$C$2290))</f>
        <v/>
      </c>
      <c r="R2331" s="208">
        <f>MIN(1,MAX(0,(nr_MEndP1-$G2331+0.5)/$C$2290))-MIN(1,MAX(0,(nr_MStartP1-1-$G2331+0.5)/$C$2290))</f>
        <v/>
      </c>
      <c r="S2331" s="208">
        <f>IF($L$2290,$N2331*IF($O$2290=1,$O2331/$F$2290,1),"")</f>
        <v/>
      </c>
      <c r="T2331" s="208">
        <f>IF(NOT($L$2290),"",IF($G2331&lt;nr_MStartP,$S2331,$T2319*(1+IF($G2331&lt;nr_MStartP1,$M$2290,$N$2290))))</f>
        <v/>
      </c>
      <c r="U2331" s="208">
        <f>IF($L$2290,$T2331,$N2331)</f>
        <v/>
      </c>
    </row>
    <row r="2332">
      <c r="A2332" s="145" t="n">
        <v>40</v>
      </c>
      <c r="B2332" s="204">
        <f>EDATE($B2331,1)</f>
        <v/>
      </c>
      <c r="C2332" s="205">
        <f>EOMONTH($B2332,0)</f>
        <v/>
      </c>
      <c r="D2332" s="201">
        <f>$C2332-$B2332+1</f>
        <v/>
      </c>
      <c r="E2332" s="201">
        <f>MONTH($B2332)</f>
        <v/>
      </c>
      <c r="F2332" s="235">
        <f>($B2332+$C2332+1)/2</f>
        <v/>
      </c>
      <c r="G2332" s="201">
        <f>YEAR($B2332)*12+MONTH($B2332)-1</f>
        <v/>
      </c>
      <c r="H2332" s="207">
        <f>IF(OR(nr_SeasonOn="OFF",$D$2290=0,$E$2290=0),1,12*INDEX(se_block,$D$2290,$E2332)/$E$2290)</f>
        <v/>
      </c>
      <c r="I2332" s="208">
        <f>EXP(SUMPRODUCT((rl_eff&lt;$B2332)*(rl_key=$A$2290)*rl_ln1p))</f>
        <v/>
      </c>
      <c r="J2332" s="208">
        <f>EXP(SUMPRODUCT((rl_eff&lt;=$C2332)*(rl_key=$A$2290)*rl_ln1p))</f>
        <v/>
      </c>
      <c r="K2332" s="201">
        <f>COUNTIFS(rl_key,$A$2290,rl_eff,"&gt;="&amp;$B2332,rl_eff,"&lt;="&amp;$C2332)</f>
        <v/>
      </c>
      <c r="L2332" s="201">
        <f>SUMIFS(rl_daysafter,rl_key,$A$2290,rl_effmonth,$B2332,rl_first,1)</f>
        <v/>
      </c>
      <c r="M2332" s="209">
        <f>IF($K2332=0,0,MIN(1,$L2332/$D2332))</f>
        <v/>
      </c>
      <c r="N2332" s="208">
        <f>IF($K2332=0,$J2332,(1-$M2332)*$I2332+$M2332*$J2332)</f>
        <v/>
      </c>
      <c r="O2332" s="209">
        <f>IF($F2332&lt;$B$2291,$E$2291+$I$2291*($F2332-$A$2291),IF($F2332&lt;$C$2291,$F$2291+$J$2291*($F2332-$B$2291),$G$2291+$K$2291*($F2332-$C$2291)))</f>
        <v/>
      </c>
      <c r="P2332" s="208">
        <f>MIN(1,MAX(0,(nr_MEndPm1-$G2332+0.5)/$C$2290))-MIN(1,MAX(0,(nr_MStartPm1-1-$G2332+0.5)/$C$2290))</f>
        <v/>
      </c>
      <c r="Q2332" s="208">
        <f>MIN(1,MAX(0,(nr_MEndP-$G2332+0.5)/$C$2290))-MIN(1,MAX(0,(nr_MStartP-1-$G2332+0.5)/$C$2290))</f>
        <v/>
      </c>
      <c r="R2332" s="208">
        <f>MIN(1,MAX(0,(nr_MEndP1-$G2332+0.5)/$C$2290))-MIN(1,MAX(0,(nr_MStartP1-1-$G2332+0.5)/$C$2290))</f>
        <v/>
      </c>
      <c r="S2332" s="208">
        <f>IF($L$2290,$N2332*IF($O$2290=1,$O2332/$F$2290,1),"")</f>
        <v/>
      </c>
      <c r="T2332" s="208">
        <f>IF(NOT($L$2290),"",IF($G2332&lt;nr_MStartP,$S2332,$T2320*(1+IF($G2332&lt;nr_MStartP1,$M$2290,$N$2290))))</f>
        <v/>
      </c>
      <c r="U2332" s="208">
        <f>IF($L$2290,$T2332,$N2332)</f>
        <v/>
      </c>
    </row>
    <row r="2333">
      <c r="A2333" s="145" t="n">
        <v>41</v>
      </c>
      <c r="B2333" s="204">
        <f>EDATE($B2332,1)</f>
        <v/>
      </c>
      <c r="C2333" s="205">
        <f>EOMONTH($B2333,0)</f>
        <v/>
      </c>
      <c r="D2333" s="201">
        <f>$C2333-$B2333+1</f>
        <v/>
      </c>
      <c r="E2333" s="201">
        <f>MONTH($B2333)</f>
        <v/>
      </c>
      <c r="F2333" s="235">
        <f>($B2333+$C2333+1)/2</f>
        <v/>
      </c>
      <c r="G2333" s="201">
        <f>YEAR($B2333)*12+MONTH($B2333)-1</f>
        <v/>
      </c>
      <c r="H2333" s="207">
        <f>IF(OR(nr_SeasonOn="OFF",$D$2290=0,$E$2290=0),1,12*INDEX(se_block,$D$2290,$E2333)/$E$2290)</f>
        <v/>
      </c>
      <c r="I2333" s="208">
        <f>EXP(SUMPRODUCT((rl_eff&lt;$B2333)*(rl_key=$A$2290)*rl_ln1p))</f>
        <v/>
      </c>
      <c r="J2333" s="208">
        <f>EXP(SUMPRODUCT((rl_eff&lt;=$C2333)*(rl_key=$A$2290)*rl_ln1p))</f>
        <v/>
      </c>
      <c r="K2333" s="201">
        <f>COUNTIFS(rl_key,$A$2290,rl_eff,"&gt;="&amp;$B2333,rl_eff,"&lt;="&amp;$C2333)</f>
        <v/>
      </c>
      <c r="L2333" s="201">
        <f>SUMIFS(rl_daysafter,rl_key,$A$2290,rl_effmonth,$B2333,rl_first,1)</f>
        <v/>
      </c>
      <c r="M2333" s="209">
        <f>IF($K2333=0,0,MIN(1,$L2333/$D2333))</f>
        <v/>
      </c>
      <c r="N2333" s="208">
        <f>IF($K2333=0,$J2333,(1-$M2333)*$I2333+$M2333*$J2333)</f>
        <v/>
      </c>
      <c r="O2333" s="209">
        <f>IF($F2333&lt;$B$2291,$E$2291+$I$2291*($F2333-$A$2291),IF($F2333&lt;$C$2291,$F$2291+$J$2291*($F2333-$B$2291),$G$2291+$K$2291*($F2333-$C$2291)))</f>
        <v/>
      </c>
      <c r="P2333" s="208">
        <f>MIN(1,MAX(0,(nr_MEndPm1-$G2333+0.5)/$C$2290))-MIN(1,MAX(0,(nr_MStartPm1-1-$G2333+0.5)/$C$2290))</f>
        <v/>
      </c>
      <c r="Q2333" s="208">
        <f>MIN(1,MAX(0,(nr_MEndP-$G2333+0.5)/$C$2290))-MIN(1,MAX(0,(nr_MStartP-1-$G2333+0.5)/$C$2290))</f>
        <v/>
      </c>
      <c r="R2333" s="208">
        <f>MIN(1,MAX(0,(nr_MEndP1-$G2333+0.5)/$C$2290))-MIN(1,MAX(0,(nr_MStartP1-1-$G2333+0.5)/$C$2290))</f>
        <v/>
      </c>
      <c r="S2333" s="208">
        <f>IF($L$2290,$N2333*IF($O$2290=1,$O2333/$F$2290,1),"")</f>
        <v/>
      </c>
      <c r="T2333" s="208">
        <f>IF(NOT($L$2290),"",IF($G2333&lt;nr_MStartP,$S2333,$T2321*(1+IF($G2333&lt;nr_MStartP1,$M$2290,$N$2290))))</f>
        <v/>
      </c>
      <c r="U2333" s="208">
        <f>IF($L$2290,$T2333,$N2333)</f>
        <v/>
      </c>
    </row>
    <row r="2334">
      <c r="A2334" s="145" t="n">
        <v>42</v>
      </c>
      <c r="B2334" s="204">
        <f>EDATE($B2333,1)</f>
        <v/>
      </c>
      <c r="C2334" s="205">
        <f>EOMONTH($B2334,0)</f>
        <v/>
      </c>
      <c r="D2334" s="201">
        <f>$C2334-$B2334+1</f>
        <v/>
      </c>
      <c r="E2334" s="201">
        <f>MONTH($B2334)</f>
        <v/>
      </c>
      <c r="F2334" s="235">
        <f>($B2334+$C2334+1)/2</f>
        <v/>
      </c>
      <c r="G2334" s="201">
        <f>YEAR($B2334)*12+MONTH($B2334)-1</f>
        <v/>
      </c>
      <c r="H2334" s="207">
        <f>IF(OR(nr_SeasonOn="OFF",$D$2290=0,$E$2290=0),1,12*INDEX(se_block,$D$2290,$E2334)/$E$2290)</f>
        <v/>
      </c>
      <c r="I2334" s="208">
        <f>EXP(SUMPRODUCT((rl_eff&lt;$B2334)*(rl_key=$A$2290)*rl_ln1p))</f>
        <v/>
      </c>
      <c r="J2334" s="208">
        <f>EXP(SUMPRODUCT((rl_eff&lt;=$C2334)*(rl_key=$A$2290)*rl_ln1p))</f>
        <v/>
      </c>
      <c r="K2334" s="201">
        <f>COUNTIFS(rl_key,$A$2290,rl_eff,"&gt;="&amp;$B2334,rl_eff,"&lt;="&amp;$C2334)</f>
        <v/>
      </c>
      <c r="L2334" s="201">
        <f>SUMIFS(rl_daysafter,rl_key,$A$2290,rl_effmonth,$B2334,rl_first,1)</f>
        <v/>
      </c>
      <c r="M2334" s="209">
        <f>IF($K2334=0,0,MIN(1,$L2334/$D2334))</f>
        <v/>
      </c>
      <c r="N2334" s="208">
        <f>IF($K2334=0,$J2334,(1-$M2334)*$I2334+$M2334*$J2334)</f>
        <v/>
      </c>
      <c r="O2334" s="209">
        <f>IF($F2334&lt;$B$2291,$E$2291+$I$2291*($F2334-$A$2291),IF($F2334&lt;$C$2291,$F$2291+$J$2291*($F2334-$B$2291),$G$2291+$K$2291*($F2334-$C$2291)))</f>
        <v/>
      </c>
      <c r="P2334" s="208">
        <f>MIN(1,MAX(0,(nr_MEndPm1-$G2334+0.5)/$C$2290))-MIN(1,MAX(0,(nr_MStartPm1-1-$G2334+0.5)/$C$2290))</f>
        <v/>
      </c>
      <c r="Q2334" s="208">
        <f>MIN(1,MAX(0,(nr_MEndP-$G2334+0.5)/$C$2290))-MIN(1,MAX(0,(nr_MStartP-1-$G2334+0.5)/$C$2290))</f>
        <v/>
      </c>
      <c r="R2334" s="208">
        <f>MIN(1,MAX(0,(nr_MEndP1-$G2334+0.5)/$C$2290))-MIN(1,MAX(0,(nr_MStartP1-1-$G2334+0.5)/$C$2290))</f>
        <v/>
      </c>
      <c r="S2334" s="208">
        <f>IF($L$2290,$N2334*IF($O$2290=1,$O2334/$F$2290,1),"")</f>
        <v/>
      </c>
      <c r="T2334" s="208">
        <f>IF(NOT($L$2290),"",IF($G2334&lt;nr_MStartP,$S2334,$T2322*(1+IF($G2334&lt;nr_MStartP1,$M$2290,$N$2290))))</f>
        <v/>
      </c>
      <c r="U2334" s="208">
        <f>IF($L$2290,$T2334,$N2334)</f>
        <v/>
      </c>
    </row>
    <row r="2335">
      <c r="A2335" s="145" t="n">
        <v>43</v>
      </c>
      <c r="B2335" s="204">
        <f>EDATE($B2334,1)</f>
        <v/>
      </c>
      <c r="C2335" s="205">
        <f>EOMONTH($B2335,0)</f>
        <v/>
      </c>
      <c r="D2335" s="201">
        <f>$C2335-$B2335+1</f>
        <v/>
      </c>
      <c r="E2335" s="201">
        <f>MONTH($B2335)</f>
        <v/>
      </c>
      <c r="F2335" s="235">
        <f>($B2335+$C2335+1)/2</f>
        <v/>
      </c>
      <c r="G2335" s="201">
        <f>YEAR($B2335)*12+MONTH($B2335)-1</f>
        <v/>
      </c>
      <c r="H2335" s="207">
        <f>IF(OR(nr_SeasonOn="OFF",$D$2290=0,$E$2290=0),1,12*INDEX(se_block,$D$2290,$E2335)/$E$2290)</f>
        <v/>
      </c>
      <c r="I2335" s="208">
        <f>EXP(SUMPRODUCT((rl_eff&lt;$B2335)*(rl_key=$A$2290)*rl_ln1p))</f>
        <v/>
      </c>
      <c r="J2335" s="208">
        <f>EXP(SUMPRODUCT((rl_eff&lt;=$C2335)*(rl_key=$A$2290)*rl_ln1p))</f>
        <v/>
      </c>
      <c r="K2335" s="201">
        <f>COUNTIFS(rl_key,$A$2290,rl_eff,"&gt;="&amp;$B2335,rl_eff,"&lt;="&amp;$C2335)</f>
        <v/>
      </c>
      <c r="L2335" s="201">
        <f>SUMIFS(rl_daysafter,rl_key,$A$2290,rl_effmonth,$B2335,rl_first,1)</f>
        <v/>
      </c>
      <c r="M2335" s="209">
        <f>IF($K2335=0,0,MIN(1,$L2335/$D2335))</f>
        <v/>
      </c>
      <c r="N2335" s="208">
        <f>IF($K2335=0,$J2335,(1-$M2335)*$I2335+$M2335*$J2335)</f>
        <v/>
      </c>
      <c r="O2335" s="209">
        <f>IF($F2335&lt;$B$2291,$E$2291+$I$2291*($F2335-$A$2291),IF($F2335&lt;$C$2291,$F$2291+$J$2291*($F2335-$B$2291),$G$2291+$K$2291*($F2335-$C$2291)))</f>
        <v/>
      </c>
      <c r="P2335" s="208">
        <f>MIN(1,MAX(0,(nr_MEndPm1-$G2335+0.5)/$C$2290))-MIN(1,MAX(0,(nr_MStartPm1-1-$G2335+0.5)/$C$2290))</f>
        <v/>
      </c>
      <c r="Q2335" s="208">
        <f>MIN(1,MAX(0,(nr_MEndP-$G2335+0.5)/$C$2290))-MIN(1,MAX(0,(nr_MStartP-1-$G2335+0.5)/$C$2290))</f>
        <v/>
      </c>
      <c r="R2335" s="208">
        <f>MIN(1,MAX(0,(nr_MEndP1-$G2335+0.5)/$C$2290))-MIN(1,MAX(0,(nr_MStartP1-1-$G2335+0.5)/$C$2290))</f>
        <v/>
      </c>
      <c r="S2335" s="208">
        <f>IF($L$2290,$N2335*IF($O$2290=1,$O2335/$F$2290,1),"")</f>
        <v/>
      </c>
      <c r="T2335" s="208">
        <f>IF(NOT($L$2290),"",IF($G2335&lt;nr_MStartP,$S2335,$T2323*(1+IF($G2335&lt;nr_MStartP1,$M$2290,$N$2290))))</f>
        <v/>
      </c>
      <c r="U2335" s="208">
        <f>IF($L$2290,$T2335,$N2335)</f>
        <v/>
      </c>
    </row>
    <row r="2336">
      <c r="A2336" s="145" t="n">
        <v>44</v>
      </c>
      <c r="B2336" s="204">
        <f>EDATE($B2335,1)</f>
        <v/>
      </c>
      <c r="C2336" s="205">
        <f>EOMONTH($B2336,0)</f>
        <v/>
      </c>
      <c r="D2336" s="201">
        <f>$C2336-$B2336+1</f>
        <v/>
      </c>
      <c r="E2336" s="201">
        <f>MONTH($B2336)</f>
        <v/>
      </c>
      <c r="F2336" s="235">
        <f>($B2336+$C2336+1)/2</f>
        <v/>
      </c>
      <c r="G2336" s="201">
        <f>YEAR($B2336)*12+MONTH($B2336)-1</f>
        <v/>
      </c>
      <c r="H2336" s="207">
        <f>IF(OR(nr_SeasonOn="OFF",$D$2290=0,$E$2290=0),1,12*INDEX(se_block,$D$2290,$E2336)/$E$2290)</f>
        <v/>
      </c>
      <c r="I2336" s="208">
        <f>EXP(SUMPRODUCT((rl_eff&lt;$B2336)*(rl_key=$A$2290)*rl_ln1p))</f>
        <v/>
      </c>
      <c r="J2336" s="208">
        <f>EXP(SUMPRODUCT((rl_eff&lt;=$C2336)*(rl_key=$A$2290)*rl_ln1p))</f>
        <v/>
      </c>
      <c r="K2336" s="201">
        <f>COUNTIFS(rl_key,$A$2290,rl_eff,"&gt;="&amp;$B2336,rl_eff,"&lt;="&amp;$C2336)</f>
        <v/>
      </c>
      <c r="L2336" s="201">
        <f>SUMIFS(rl_daysafter,rl_key,$A$2290,rl_effmonth,$B2336,rl_first,1)</f>
        <v/>
      </c>
      <c r="M2336" s="209">
        <f>IF($K2336=0,0,MIN(1,$L2336/$D2336))</f>
        <v/>
      </c>
      <c r="N2336" s="208">
        <f>IF($K2336=0,$J2336,(1-$M2336)*$I2336+$M2336*$J2336)</f>
        <v/>
      </c>
      <c r="O2336" s="209">
        <f>IF($F2336&lt;$B$2291,$E$2291+$I$2291*($F2336-$A$2291),IF($F2336&lt;$C$2291,$F$2291+$J$2291*($F2336-$B$2291),$G$2291+$K$2291*($F2336-$C$2291)))</f>
        <v/>
      </c>
      <c r="P2336" s="208">
        <f>MIN(1,MAX(0,(nr_MEndPm1-$G2336+0.5)/$C$2290))-MIN(1,MAX(0,(nr_MStartPm1-1-$G2336+0.5)/$C$2290))</f>
        <v/>
      </c>
      <c r="Q2336" s="208">
        <f>MIN(1,MAX(0,(nr_MEndP-$G2336+0.5)/$C$2290))-MIN(1,MAX(0,(nr_MStartP-1-$G2336+0.5)/$C$2290))</f>
        <v/>
      </c>
      <c r="R2336" s="208">
        <f>MIN(1,MAX(0,(nr_MEndP1-$G2336+0.5)/$C$2290))-MIN(1,MAX(0,(nr_MStartP1-1-$G2336+0.5)/$C$2290))</f>
        <v/>
      </c>
      <c r="S2336" s="208">
        <f>IF($L$2290,$N2336*IF($O$2290=1,$O2336/$F$2290,1),"")</f>
        <v/>
      </c>
      <c r="T2336" s="208">
        <f>IF(NOT($L$2290),"",IF($G2336&lt;nr_MStartP,$S2336,$T2324*(1+IF($G2336&lt;nr_MStartP1,$M$2290,$N$2290))))</f>
        <v/>
      </c>
      <c r="U2336" s="208">
        <f>IF($L$2290,$T2336,$N2336)</f>
        <v/>
      </c>
    </row>
    <row r="2337">
      <c r="A2337" s="145" t="n">
        <v>45</v>
      </c>
      <c r="B2337" s="204">
        <f>EDATE($B2336,1)</f>
        <v/>
      </c>
      <c r="C2337" s="205">
        <f>EOMONTH($B2337,0)</f>
        <v/>
      </c>
      <c r="D2337" s="201">
        <f>$C2337-$B2337+1</f>
        <v/>
      </c>
      <c r="E2337" s="201">
        <f>MONTH($B2337)</f>
        <v/>
      </c>
      <c r="F2337" s="235">
        <f>($B2337+$C2337+1)/2</f>
        <v/>
      </c>
      <c r="G2337" s="201">
        <f>YEAR($B2337)*12+MONTH($B2337)-1</f>
        <v/>
      </c>
      <c r="H2337" s="207">
        <f>IF(OR(nr_SeasonOn="OFF",$D$2290=0,$E$2290=0),1,12*INDEX(se_block,$D$2290,$E2337)/$E$2290)</f>
        <v/>
      </c>
      <c r="I2337" s="208">
        <f>EXP(SUMPRODUCT((rl_eff&lt;$B2337)*(rl_key=$A$2290)*rl_ln1p))</f>
        <v/>
      </c>
      <c r="J2337" s="208">
        <f>EXP(SUMPRODUCT((rl_eff&lt;=$C2337)*(rl_key=$A$2290)*rl_ln1p))</f>
        <v/>
      </c>
      <c r="K2337" s="201">
        <f>COUNTIFS(rl_key,$A$2290,rl_eff,"&gt;="&amp;$B2337,rl_eff,"&lt;="&amp;$C2337)</f>
        <v/>
      </c>
      <c r="L2337" s="201">
        <f>SUMIFS(rl_daysafter,rl_key,$A$2290,rl_effmonth,$B2337,rl_first,1)</f>
        <v/>
      </c>
      <c r="M2337" s="209">
        <f>IF($K2337=0,0,MIN(1,$L2337/$D2337))</f>
        <v/>
      </c>
      <c r="N2337" s="208">
        <f>IF($K2337=0,$J2337,(1-$M2337)*$I2337+$M2337*$J2337)</f>
        <v/>
      </c>
      <c r="O2337" s="209">
        <f>IF($F2337&lt;$B$2291,$E$2291+$I$2291*($F2337-$A$2291),IF($F2337&lt;$C$2291,$F$2291+$J$2291*($F2337-$B$2291),$G$2291+$K$2291*($F2337-$C$2291)))</f>
        <v/>
      </c>
      <c r="P2337" s="208">
        <f>MIN(1,MAX(0,(nr_MEndPm1-$G2337+0.5)/$C$2290))-MIN(1,MAX(0,(nr_MStartPm1-1-$G2337+0.5)/$C$2290))</f>
        <v/>
      </c>
      <c r="Q2337" s="208">
        <f>MIN(1,MAX(0,(nr_MEndP-$G2337+0.5)/$C$2290))-MIN(1,MAX(0,(nr_MStartP-1-$G2337+0.5)/$C$2290))</f>
        <v/>
      </c>
      <c r="R2337" s="208">
        <f>MIN(1,MAX(0,(nr_MEndP1-$G2337+0.5)/$C$2290))-MIN(1,MAX(0,(nr_MStartP1-1-$G2337+0.5)/$C$2290))</f>
        <v/>
      </c>
      <c r="S2337" s="208">
        <f>IF($L$2290,$N2337*IF($O$2290=1,$O2337/$F$2290,1),"")</f>
        <v/>
      </c>
      <c r="T2337" s="208">
        <f>IF(NOT($L$2290),"",IF($G2337&lt;nr_MStartP,$S2337,$T2325*(1+IF($G2337&lt;nr_MStartP1,$M$2290,$N$2290))))</f>
        <v/>
      </c>
      <c r="U2337" s="208">
        <f>IF($L$2290,$T2337,$N2337)</f>
        <v/>
      </c>
    </row>
    <row r="2338">
      <c r="A2338" s="145" t="n">
        <v>46</v>
      </c>
      <c r="B2338" s="204">
        <f>EDATE($B2337,1)</f>
        <v/>
      </c>
      <c r="C2338" s="205">
        <f>EOMONTH($B2338,0)</f>
        <v/>
      </c>
      <c r="D2338" s="201">
        <f>$C2338-$B2338+1</f>
        <v/>
      </c>
      <c r="E2338" s="201">
        <f>MONTH($B2338)</f>
        <v/>
      </c>
      <c r="F2338" s="235">
        <f>($B2338+$C2338+1)/2</f>
        <v/>
      </c>
      <c r="G2338" s="201">
        <f>YEAR($B2338)*12+MONTH($B2338)-1</f>
        <v/>
      </c>
      <c r="H2338" s="207">
        <f>IF(OR(nr_SeasonOn="OFF",$D$2290=0,$E$2290=0),1,12*INDEX(se_block,$D$2290,$E2338)/$E$2290)</f>
        <v/>
      </c>
      <c r="I2338" s="208">
        <f>EXP(SUMPRODUCT((rl_eff&lt;$B2338)*(rl_key=$A$2290)*rl_ln1p))</f>
        <v/>
      </c>
      <c r="J2338" s="208">
        <f>EXP(SUMPRODUCT((rl_eff&lt;=$C2338)*(rl_key=$A$2290)*rl_ln1p))</f>
        <v/>
      </c>
      <c r="K2338" s="201">
        <f>COUNTIFS(rl_key,$A$2290,rl_eff,"&gt;="&amp;$B2338,rl_eff,"&lt;="&amp;$C2338)</f>
        <v/>
      </c>
      <c r="L2338" s="201">
        <f>SUMIFS(rl_daysafter,rl_key,$A$2290,rl_effmonth,$B2338,rl_first,1)</f>
        <v/>
      </c>
      <c r="M2338" s="209">
        <f>IF($K2338=0,0,MIN(1,$L2338/$D2338))</f>
        <v/>
      </c>
      <c r="N2338" s="208">
        <f>IF($K2338=0,$J2338,(1-$M2338)*$I2338+$M2338*$J2338)</f>
        <v/>
      </c>
      <c r="O2338" s="209">
        <f>IF($F2338&lt;$B$2291,$E$2291+$I$2291*($F2338-$A$2291),IF($F2338&lt;$C$2291,$F$2291+$J$2291*($F2338-$B$2291),$G$2291+$K$2291*($F2338-$C$2291)))</f>
        <v/>
      </c>
      <c r="P2338" s="208">
        <f>MIN(1,MAX(0,(nr_MEndPm1-$G2338+0.5)/$C$2290))-MIN(1,MAX(0,(nr_MStartPm1-1-$G2338+0.5)/$C$2290))</f>
        <v/>
      </c>
      <c r="Q2338" s="208">
        <f>MIN(1,MAX(0,(nr_MEndP-$G2338+0.5)/$C$2290))-MIN(1,MAX(0,(nr_MStartP-1-$G2338+0.5)/$C$2290))</f>
        <v/>
      </c>
      <c r="R2338" s="208">
        <f>MIN(1,MAX(0,(nr_MEndP1-$G2338+0.5)/$C$2290))-MIN(1,MAX(0,(nr_MStartP1-1-$G2338+0.5)/$C$2290))</f>
        <v/>
      </c>
      <c r="S2338" s="208">
        <f>IF($L$2290,$N2338*IF($O$2290=1,$O2338/$F$2290,1),"")</f>
        <v/>
      </c>
      <c r="T2338" s="208">
        <f>IF(NOT($L$2290),"",IF($G2338&lt;nr_MStartP,$S2338,$T2326*(1+IF($G2338&lt;nr_MStartP1,$M$2290,$N$2290))))</f>
        <v/>
      </c>
      <c r="U2338" s="208">
        <f>IF($L$2290,$T2338,$N2338)</f>
        <v/>
      </c>
    </row>
    <row r="2339">
      <c r="A2339" s="145" t="n">
        <v>47</v>
      </c>
      <c r="B2339" s="204">
        <f>EDATE($B2338,1)</f>
        <v/>
      </c>
      <c r="C2339" s="205">
        <f>EOMONTH($B2339,0)</f>
        <v/>
      </c>
      <c r="D2339" s="201">
        <f>$C2339-$B2339+1</f>
        <v/>
      </c>
      <c r="E2339" s="201">
        <f>MONTH($B2339)</f>
        <v/>
      </c>
      <c r="F2339" s="235">
        <f>($B2339+$C2339+1)/2</f>
        <v/>
      </c>
      <c r="G2339" s="201">
        <f>YEAR($B2339)*12+MONTH($B2339)-1</f>
        <v/>
      </c>
      <c r="H2339" s="207">
        <f>IF(OR(nr_SeasonOn="OFF",$D$2290=0,$E$2290=0),1,12*INDEX(se_block,$D$2290,$E2339)/$E$2290)</f>
        <v/>
      </c>
      <c r="I2339" s="208">
        <f>EXP(SUMPRODUCT((rl_eff&lt;$B2339)*(rl_key=$A$2290)*rl_ln1p))</f>
        <v/>
      </c>
      <c r="J2339" s="208">
        <f>EXP(SUMPRODUCT((rl_eff&lt;=$C2339)*(rl_key=$A$2290)*rl_ln1p))</f>
        <v/>
      </c>
      <c r="K2339" s="201">
        <f>COUNTIFS(rl_key,$A$2290,rl_eff,"&gt;="&amp;$B2339,rl_eff,"&lt;="&amp;$C2339)</f>
        <v/>
      </c>
      <c r="L2339" s="201">
        <f>SUMIFS(rl_daysafter,rl_key,$A$2290,rl_effmonth,$B2339,rl_first,1)</f>
        <v/>
      </c>
      <c r="M2339" s="209">
        <f>IF($K2339=0,0,MIN(1,$L2339/$D2339))</f>
        <v/>
      </c>
      <c r="N2339" s="208">
        <f>IF($K2339=0,$J2339,(1-$M2339)*$I2339+$M2339*$J2339)</f>
        <v/>
      </c>
      <c r="O2339" s="209">
        <f>IF($F2339&lt;$B$2291,$E$2291+$I$2291*($F2339-$A$2291),IF($F2339&lt;$C$2291,$F$2291+$J$2291*($F2339-$B$2291),$G$2291+$K$2291*($F2339-$C$2291)))</f>
        <v/>
      </c>
      <c r="P2339" s="208">
        <f>MIN(1,MAX(0,(nr_MEndPm1-$G2339+0.5)/$C$2290))-MIN(1,MAX(0,(nr_MStartPm1-1-$G2339+0.5)/$C$2290))</f>
        <v/>
      </c>
      <c r="Q2339" s="208">
        <f>MIN(1,MAX(0,(nr_MEndP-$G2339+0.5)/$C$2290))-MIN(1,MAX(0,(nr_MStartP-1-$G2339+0.5)/$C$2290))</f>
        <v/>
      </c>
      <c r="R2339" s="208">
        <f>MIN(1,MAX(0,(nr_MEndP1-$G2339+0.5)/$C$2290))-MIN(1,MAX(0,(nr_MStartP1-1-$G2339+0.5)/$C$2290))</f>
        <v/>
      </c>
      <c r="S2339" s="208">
        <f>IF($L$2290,$N2339*IF($O$2290=1,$O2339/$F$2290,1),"")</f>
        <v/>
      </c>
      <c r="T2339" s="208">
        <f>IF(NOT($L$2290),"",IF($G2339&lt;nr_MStartP,$S2339,$T2327*(1+IF($G2339&lt;nr_MStartP1,$M$2290,$N$2290))))</f>
        <v/>
      </c>
      <c r="U2339" s="208">
        <f>IF($L$2290,$T2339,$N2339)</f>
        <v/>
      </c>
    </row>
    <row r="2340">
      <c r="A2340" s="145" t="n">
        <v>48</v>
      </c>
      <c r="B2340" s="204">
        <f>EDATE($B2339,1)</f>
        <v/>
      </c>
      <c r="C2340" s="205">
        <f>EOMONTH($B2340,0)</f>
        <v/>
      </c>
      <c r="D2340" s="201">
        <f>$C2340-$B2340+1</f>
        <v/>
      </c>
      <c r="E2340" s="201">
        <f>MONTH($B2340)</f>
        <v/>
      </c>
      <c r="F2340" s="235">
        <f>($B2340+$C2340+1)/2</f>
        <v/>
      </c>
      <c r="G2340" s="201">
        <f>YEAR($B2340)*12+MONTH($B2340)-1</f>
        <v/>
      </c>
      <c r="H2340" s="207">
        <f>IF(OR(nr_SeasonOn="OFF",$D$2290=0,$E$2290=0),1,12*INDEX(se_block,$D$2290,$E2340)/$E$2290)</f>
        <v/>
      </c>
      <c r="I2340" s="208">
        <f>EXP(SUMPRODUCT((rl_eff&lt;$B2340)*(rl_key=$A$2290)*rl_ln1p))</f>
        <v/>
      </c>
      <c r="J2340" s="208">
        <f>EXP(SUMPRODUCT((rl_eff&lt;=$C2340)*(rl_key=$A$2290)*rl_ln1p))</f>
        <v/>
      </c>
      <c r="K2340" s="201">
        <f>COUNTIFS(rl_key,$A$2290,rl_eff,"&gt;="&amp;$B2340,rl_eff,"&lt;="&amp;$C2340)</f>
        <v/>
      </c>
      <c r="L2340" s="201">
        <f>SUMIFS(rl_daysafter,rl_key,$A$2290,rl_effmonth,$B2340,rl_first,1)</f>
        <v/>
      </c>
      <c r="M2340" s="209">
        <f>IF($K2340=0,0,MIN(1,$L2340/$D2340))</f>
        <v/>
      </c>
      <c r="N2340" s="208">
        <f>IF($K2340=0,$J2340,(1-$M2340)*$I2340+$M2340*$J2340)</f>
        <v/>
      </c>
      <c r="O2340" s="209">
        <f>IF($F2340&lt;$B$2291,$E$2291+$I$2291*($F2340-$A$2291),IF($F2340&lt;$C$2291,$F$2291+$J$2291*($F2340-$B$2291),$G$2291+$K$2291*($F2340-$C$2291)))</f>
        <v/>
      </c>
      <c r="P2340" s="208">
        <f>MIN(1,MAX(0,(nr_MEndPm1-$G2340+0.5)/$C$2290))-MIN(1,MAX(0,(nr_MStartPm1-1-$G2340+0.5)/$C$2290))</f>
        <v/>
      </c>
      <c r="Q2340" s="208">
        <f>MIN(1,MAX(0,(nr_MEndP-$G2340+0.5)/$C$2290))-MIN(1,MAX(0,(nr_MStartP-1-$G2340+0.5)/$C$2290))</f>
        <v/>
      </c>
      <c r="R2340" s="208">
        <f>MIN(1,MAX(0,(nr_MEndP1-$G2340+0.5)/$C$2290))-MIN(1,MAX(0,(nr_MStartP1-1-$G2340+0.5)/$C$2290))</f>
        <v/>
      </c>
      <c r="S2340" s="208">
        <f>IF($L$2290,$N2340*IF($O$2290=1,$O2340/$F$2290,1),"")</f>
        <v/>
      </c>
      <c r="T2340" s="208">
        <f>IF(NOT($L$2290),"",IF($G2340&lt;nr_MStartP,$S2340,$T2328*(1+IF($G2340&lt;nr_MStartP1,$M$2290,$N$2290))))</f>
        <v/>
      </c>
      <c r="U2340" s="208">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184">
        <f>SUMPRODUCT($H$2293:$H$2340,$Q$2293:$Q$2340,$O$2293:$O$2340)/SUMPRODUCT($H$2293:$H$2340,$Q$2293:$Q$2340)</f>
        <v/>
      </c>
      <c r="G2341" s="184">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184">
        <f>IF(N(INDEX(lr_mind,43))=0,1,INDEX(lr_mind,43))</f>
        <v/>
      </c>
      <c r="G2344" s="184">
        <f>IF(N(INDEX(lr_m0,43))=0,1,INDEX(lr_m0,43))</f>
        <v/>
      </c>
      <c r="H2344" s="73">
        <f>IF(N(INDEX(lr_m0asof,43))=0,DATE(nr_PlanYear-1,10,1),INDEX(lr_m0asof,43))</f>
        <v/>
      </c>
      <c r="I2344" s="184">
        <f>IF(N(INDEX(lr_m1,43))=0,1,INDEX(lr_m1,43))</f>
        <v/>
      </c>
      <c r="J2344" s="184">
        <f>INDEX(lr_mprior,43)</f>
        <v/>
      </c>
      <c r="K2344" s="184">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145" t="n">
        <v>1</v>
      </c>
      <c r="B2347" s="204">
        <f>DATE(nr_PlanYear-2,1,1)</f>
        <v/>
      </c>
      <c r="C2347" s="205">
        <f>EOMONTH($B2347,0)</f>
        <v/>
      </c>
      <c r="D2347" s="201">
        <f>$C2347-$B2347+1</f>
        <v/>
      </c>
      <c r="E2347" s="201">
        <f>MONTH($B2347)</f>
        <v/>
      </c>
      <c r="F2347" s="235">
        <f>($B2347+$C2347+1)/2</f>
        <v/>
      </c>
      <c r="G2347" s="201">
        <f>YEAR($B2347)*12+MONTH($B2347)-1</f>
        <v/>
      </c>
      <c r="H2347" s="207">
        <f>IF(OR(nr_SeasonOn="OFF",$D$2344=0,$E$2344=0),1,12*INDEX(se_block,$D$2344,$E2347)/$E$2344)</f>
        <v/>
      </c>
      <c r="I2347" s="208">
        <f>EXP(SUMPRODUCT((rl_eff&lt;$B2347)*(rl_key=$A$2344)*rl_ln1p))</f>
        <v/>
      </c>
      <c r="J2347" s="208">
        <f>EXP(SUMPRODUCT((rl_eff&lt;=$C2347)*(rl_key=$A$2344)*rl_ln1p))</f>
        <v/>
      </c>
      <c r="K2347" s="201">
        <f>COUNTIFS(rl_key,$A$2344,rl_eff,"&gt;="&amp;$B2347,rl_eff,"&lt;="&amp;$C2347)</f>
        <v/>
      </c>
      <c r="L2347" s="201">
        <f>SUMIFS(rl_daysafter,rl_key,$A$2344,rl_effmonth,$B2347,rl_first,1)</f>
        <v/>
      </c>
      <c r="M2347" s="209">
        <f>IF($K2347=0,0,MIN(1,$L2347/$D2347))</f>
        <v/>
      </c>
      <c r="N2347" s="208">
        <f>IF($K2347=0,$J2347,(1-$M2347)*$I2347+$M2347*$J2347)</f>
        <v/>
      </c>
      <c r="O2347" s="209">
        <f>IF($F2347&lt;$B$2345,$E$2345+$I$2345*($F2347-$A$2345),IF($F2347&lt;$C$2345,$F$2345+$J$2345*($F2347-$B$2345),$G$2345+$K$2345*($F2347-$C$2345)))</f>
        <v/>
      </c>
      <c r="P2347" s="208">
        <f>MIN(1,MAX(0,(nr_MEndPm1-$G2347+0.5)/$C$2344))-MIN(1,MAX(0,(nr_MStartPm1-1-$G2347+0.5)/$C$2344))</f>
        <v/>
      </c>
      <c r="Q2347" s="208">
        <f>MIN(1,MAX(0,(nr_MEndP-$G2347+0.5)/$C$2344))-MIN(1,MAX(0,(nr_MStartP-1-$G2347+0.5)/$C$2344))</f>
        <v/>
      </c>
      <c r="R2347" s="208">
        <f>MIN(1,MAX(0,(nr_MEndP1-$G2347+0.5)/$C$2344))-MIN(1,MAX(0,(nr_MStartP1-1-$G2347+0.5)/$C$2344))</f>
        <v/>
      </c>
      <c r="S2347" s="208">
        <f>IF($L$2344,$N2347*IF($O$2344=1,$O2347/$F$2344,1),"")</f>
        <v/>
      </c>
      <c r="T2347" s="208">
        <f>IF(NOT($L$2344),"",IF($G2347&lt;nr_MStartP,$S2347,$T2335*(1+IF($G2347&lt;nr_MStartP1,$M$2344,$N$2344))))</f>
        <v/>
      </c>
      <c r="U2347" s="208">
        <f>IF($L$2344,$T2347,$N2347)</f>
        <v/>
      </c>
    </row>
    <row r="2348">
      <c r="A2348" s="145" t="n">
        <v>2</v>
      </c>
      <c r="B2348" s="204">
        <f>EDATE($B2347,1)</f>
        <v/>
      </c>
      <c r="C2348" s="205">
        <f>EOMONTH($B2348,0)</f>
        <v/>
      </c>
      <c r="D2348" s="201">
        <f>$C2348-$B2348+1</f>
        <v/>
      </c>
      <c r="E2348" s="201">
        <f>MONTH($B2348)</f>
        <v/>
      </c>
      <c r="F2348" s="235">
        <f>($B2348+$C2348+1)/2</f>
        <v/>
      </c>
      <c r="G2348" s="201">
        <f>YEAR($B2348)*12+MONTH($B2348)-1</f>
        <v/>
      </c>
      <c r="H2348" s="207">
        <f>IF(OR(nr_SeasonOn="OFF",$D$2344=0,$E$2344=0),1,12*INDEX(se_block,$D$2344,$E2348)/$E$2344)</f>
        <v/>
      </c>
      <c r="I2348" s="208">
        <f>EXP(SUMPRODUCT((rl_eff&lt;$B2348)*(rl_key=$A$2344)*rl_ln1p))</f>
        <v/>
      </c>
      <c r="J2348" s="208">
        <f>EXP(SUMPRODUCT((rl_eff&lt;=$C2348)*(rl_key=$A$2344)*rl_ln1p))</f>
        <v/>
      </c>
      <c r="K2348" s="201">
        <f>COUNTIFS(rl_key,$A$2344,rl_eff,"&gt;="&amp;$B2348,rl_eff,"&lt;="&amp;$C2348)</f>
        <v/>
      </c>
      <c r="L2348" s="201">
        <f>SUMIFS(rl_daysafter,rl_key,$A$2344,rl_effmonth,$B2348,rl_first,1)</f>
        <v/>
      </c>
      <c r="M2348" s="209">
        <f>IF($K2348=0,0,MIN(1,$L2348/$D2348))</f>
        <v/>
      </c>
      <c r="N2348" s="208">
        <f>IF($K2348=0,$J2348,(1-$M2348)*$I2348+$M2348*$J2348)</f>
        <v/>
      </c>
      <c r="O2348" s="209">
        <f>IF($F2348&lt;$B$2345,$E$2345+$I$2345*($F2348-$A$2345),IF($F2348&lt;$C$2345,$F$2345+$J$2345*($F2348-$B$2345),$G$2345+$K$2345*($F2348-$C$2345)))</f>
        <v/>
      </c>
      <c r="P2348" s="208">
        <f>MIN(1,MAX(0,(nr_MEndPm1-$G2348+0.5)/$C$2344))-MIN(1,MAX(0,(nr_MStartPm1-1-$G2348+0.5)/$C$2344))</f>
        <v/>
      </c>
      <c r="Q2348" s="208">
        <f>MIN(1,MAX(0,(nr_MEndP-$G2348+0.5)/$C$2344))-MIN(1,MAX(0,(nr_MStartP-1-$G2348+0.5)/$C$2344))</f>
        <v/>
      </c>
      <c r="R2348" s="208">
        <f>MIN(1,MAX(0,(nr_MEndP1-$G2348+0.5)/$C$2344))-MIN(1,MAX(0,(nr_MStartP1-1-$G2348+0.5)/$C$2344))</f>
        <v/>
      </c>
      <c r="S2348" s="208">
        <f>IF($L$2344,$N2348*IF($O$2344=1,$O2348/$F$2344,1),"")</f>
        <v/>
      </c>
      <c r="T2348" s="208">
        <f>IF(NOT($L$2344),"",IF($G2348&lt;nr_MStartP,$S2348,$T2336*(1+IF($G2348&lt;nr_MStartP1,$M$2344,$N$2344))))</f>
        <v/>
      </c>
      <c r="U2348" s="208">
        <f>IF($L$2344,$T2348,$N2348)</f>
        <v/>
      </c>
    </row>
    <row r="2349">
      <c r="A2349" s="145" t="n">
        <v>3</v>
      </c>
      <c r="B2349" s="204">
        <f>EDATE($B2348,1)</f>
        <v/>
      </c>
      <c r="C2349" s="205">
        <f>EOMONTH($B2349,0)</f>
        <v/>
      </c>
      <c r="D2349" s="201">
        <f>$C2349-$B2349+1</f>
        <v/>
      </c>
      <c r="E2349" s="201">
        <f>MONTH($B2349)</f>
        <v/>
      </c>
      <c r="F2349" s="235">
        <f>($B2349+$C2349+1)/2</f>
        <v/>
      </c>
      <c r="G2349" s="201">
        <f>YEAR($B2349)*12+MONTH($B2349)-1</f>
        <v/>
      </c>
      <c r="H2349" s="207">
        <f>IF(OR(nr_SeasonOn="OFF",$D$2344=0,$E$2344=0),1,12*INDEX(se_block,$D$2344,$E2349)/$E$2344)</f>
        <v/>
      </c>
      <c r="I2349" s="208">
        <f>EXP(SUMPRODUCT((rl_eff&lt;$B2349)*(rl_key=$A$2344)*rl_ln1p))</f>
        <v/>
      </c>
      <c r="J2349" s="208">
        <f>EXP(SUMPRODUCT((rl_eff&lt;=$C2349)*(rl_key=$A$2344)*rl_ln1p))</f>
        <v/>
      </c>
      <c r="K2349" s="201">
        <f>COUNTIFS(rl_key,$A$2344,rl_eff,"&gt;="&amp;$B2349,rl_eff,"&lt;="&amp;$C2349)</f>
        <v/>
      </c>
      <c r="L2349" s="201">
        <f>SUMIFS(rl_daysafter,rl_key,$A$2344,rl_effmonth,$B2349,rl_first,1)</f>
        <v/>
      </c>
      <c r="M2349" s="209">
        <f>IF($K2349=0,0,MIN(1,$L2349/$D2349))</f>
        <v/>
      </c>
      <c r="N2349" s="208">
        <f>IF($K2349=0,$J2349,(1-$M2349)*$I2349+$M2349*$J2349)</f>
        <v/>
      </c>
      <c r="O2349" s="209">
        <f>IF($F2349&lt;$B$2345,$E$2345+$I$2345*($F2349-$A$2345),IF($F2349&lt;$C$2345,$F$2345+$J$2345*($F2349-$B$2345),$G$2345+$K$2345*($F2349-$C$2345)))</f>
        <v/>
      </c>
      <c r="P2349" s="208">
        <f>MIN(1,MAX(0,(nr_MEndPm1-$G2349+0.5)/$C$2344))-MIN(1,MAX(0,(nr_MStartPm1-1-$G2349+0.5)/$C$2344))</f>
        <v/>
      </c>
      <c r="Q2349" s="208">
        <f>MIN(1,MAX(0,(nr_MEndP-$G2349+0.5)/$C$2344))-MIN(1,MAX(0,(nr_MStartP-1-$G2349+0.5)/$C$2344))</f>
        <v/>
      </c>
      <c r="R2349" s="208">
        <f>MIN(1,MAX(0,(nr_MEndP1-$G2349+0.5)/$C$2344))-MIN(1,MAX(0,(nr_MStartP1-1-$G2349+0.5)/$C$2344))</f>
        <v/>
      </c>
      <c r="S2349" s="208">
        <f>IF($L$2344,$N2349*IF($O$2344=1,$O2349/$F$2344,1),"")</f>
        <v/>
      </c>
      <c r="T2349" s="208">
        <f>IF(NOT($L$2344),"",IF($G2349&lt;nr_MStartP,$S2349,$T2337*(1+IF($G2349&lt;nr_MStartP1,$M$2344,$N$2344))))</f>
        <v/>
      </c>
      <c r="U2349" s="208">
        <f>IF($L$2344,$T2349,$N2349)</f>
        <v/>
      </c>
    </row>
    <row r="2350">
      <c r="A2350" s="145" t="n">
        <v>4</v>
      </c>
      <c r="B2350" s="204">
        <f>EDATE($B2349,1)</f>
        <v/>
      </c>
      <c r="C2350" s="205">
        <f>EOMONTH($B2350,0)</f>
        <v/>
      </c>
      <c r="D2350" s="201">
        <f>$C2350-$B2350+1</f>
        <v/>
      </c>
      <c r="E2350" s="201">
        <f>MONTH($B2350)</f>
        <v/>
      </c>
      <c r="F2350" s="235">
        <f>($B2350+$C2350+1)/2</f>
        <v/>
      </c>
      <c r="G2350" s="201">
        <f>YEAR($B2350)*12+MONTH($B2350)-1</f>
        <v/>
      </c>
      <c r="H2350" s="207">
        <f>IF(OR(nr_SeasonOn="OFF",$D$2344=0,$E$2344=0),1,12*INDEX(se_block,$D$2344,$E2350)/$E$2344)</f>
        <v/>
      </c>
      <c r="I2350" s="208">
        <f>EXP(SUMPRODUCT((rl_eff&lt;$B2350)*(rl_key=$A$2344)*rl_ln1p))</f>
        <v/>
      </c>
      <c r="J2350" s="208">
        <f>EXP(SUMPRODUCT((rl_eff&lt;=$C2350)*(rl_key=$A$2344)*rl_ln1p))</f>
        <v/>
      </c>
      <c r="K2350" s="201">
        <f>COUNTIFS(rl_key,$A$2344,rl_eff,"&gt;="&amp;$B2350,rl_eff,"&lt;="&amp;$C2350)</f>
        <v/>
      </c>
      <c r="L2350" s="201">
        <f>SUMIFS(rl_daysafter,rl_key,$A$2344,rl_effmonth,$B2350,rl_first,1)</f>
        <v/>
      </c>
      <c r="M2350" s="209">
        <f>IF($K2350=0,0,MIN(1,$L2350/$D2350))</f>
        <v/>
      </c>
      <c r="N2350" s="208">
        <f>IF($K2350=0,$J2350,(1-$M2350)*$I2350+$M2350*$J2350)</f>
        <v/>
      </c>
      <c r="O2350" s="209">
        <f>IF($F2350&lt;$B$2345,$E$2345+$I$2345*($F2350-$A$2345),IF($F2350&lt;$C$2345,$F$2345+$J$2345*($F2350-$B$2345),$G$2345+$K$2345*($F2350-$C$2345)))</f>
        <v/>
      </c>
      <c r="P2350" s="208">
        <f>MIN(1,MAX(0,(nr_MEndPm1-$G2350+0.5)/$C$2344))-MIN(1,MAX(0,(nr_MStartPm1-1-$G2350+0.5)/$C$2344))</f>
        <v/>
      </c>
      <c r="Q2350" s="208">
        <f>MIN(1,MAX(0,(nr_MEndP-$G2350+0.5)/$C$2344))-MIN(1,MAX(0,(nr_MStartP-1-$G2350+0.5)/$C$2344))</f>
        <v/>
      </c>
      <c r="R2350" s="208">
        <f>MIN(1,MAX(0,(nr_MEndP1-$G2350+0.5)/$C$2344))-MIN(1,MAX(0,(nr_MStartP1-1-$G2350+0.5)/$C$2344))</f>
        <v/>
      </c>
      <c r="S2350" s="208">
        <f>IF($L$2344,$N2350*IF($O$2344=1,$O2350/$F$2344,1),"")</f>
        <v/>
      </c>
      <c r="T2350" s="208">
        <f>IF(NOT($L$2344),"",IF($G2350&lt;nr_MStartP,$S2350,$T2338*(1+IF($G2350&lt;nr_MStartP1,$M$2344,$N$2344))))</f>
        <v/>
      </c>
      <c r="U2350" s="208">
        <f>IF($L$2344,$T2350,$N2350)</f>
        <v/>
      </c>
    </row>
    <row r="2351">
      <c r="A2351" s="145" t="n">
        <v>5</v>
      </c>
      <c r="B2351" s="204">
        <f>EDATE($B2350,1)</f>
        <v/>
      </c>
      <c r="C2351" s="205">
        <f>EOMONTH($B2351,0)</f>
        <v/>
      </c>
      <c r="D2351" s="201">
        <f>$C2351-$B2351+1</f>
        <v/>
      </c>
      <c r="E2351" s="201">
        <f>MONTH($B2351)</f>
        <v/>
      </c>
      <c r="F2351" s="235">
        <f>($B2351+$C2351+1)/2</f>
        <v/>
      </c>
      <c r="G2351" s="201">
        <f>YEAR($B2351)*12+MONTH($B2351)-1</f>
        <v/>
      </c>
      <c r="H2351" s="207">
        <f>IF(OR(nr_SeasonOn="OFF",$D$2344=0,$E$2344=0),1,12*INDEX(se_block,$D$2344,$E2351)/$E$2344)</f>
        <v/>
      </c>
      <c r="I2351" s="208">
        <f>EXP(SUMPRODUCT((rl_eff&lt;$B2351)*(rl_key=$A$2344)*rl_ln1p))</f>
        <v/>
      </c>
      <c r="J2351" s="208">
        <f>EXP(SUMPRODUCT((rl_eff&lt;=$C2351)*(rl_key=$A$2344)*rl_ln1p))</f>
        <v/>
      </c>
      <c r="K2351" s="201">
        <f>COUNTIFS(rl_key,$A$2344,rl_eff,"&gt;="&amp;$B2351,rl_eff,"&lt;="&amp;$C2351)</f>
        <v/>
      </c>
      <c r="L2351" s="201">
        <f>SUMIFS(rl_daysafter,rl_key,$A$2344,rl_effmonth,$B2351,rl_first,1)</f>
        <v/>
      </c>
      <c r="M2351" s="209">
        <f>IF($K2351=0,0,MIN(1,$L2351/$D2351))</f>
        <v/>
      </c>
      <c r="N2351" s="208">
        <f>IF($K2351=0,$J2351,(1-$M2351)*$I2351+$M2351*$J2351)</f>
        <v/>
      </c>
      <c r="O2351" s="209">
        <f>IF($F2351&lt;$B$2345,$E$2345+$I$2345*($F2351-$A$2345),IF($F2351&lt;$C$2345,$F$2345+$J$2345*($F2351-$B$2345),$G$2345+$K$2345*($F2351-$C$2345)))</f>
        <v/>
      </c>
      <c r="P2351" s="208">
        <f>MIN(1,MAX(0,(nr_MEndPm1-$G2351+0.5)/$C$2344))-MIN(1,MAX(0,(nr_MStartPm1-1-$G2351+0.5)/$C$2344))</f>
        <v/>
      </c>
      <c r="Q2351" s="208">
        <f>MIN(1,MAX(0,(nr_MEndP-$G2351+0.5)/$C$2344))-MIN(1,MAX(0,(nr_MStartP-1-$G2351+0.5)/$C$2344))</f>
        <v/>
      </c>
      <c r="R2351" s="208">
        <f>MIN(1,MAX(0,(nr_MEndP1-$G2351+0.5)/$C$2344))-MIN(1,MAX(0,(nr_MStartP1-1-$G2351+0.5)/$C$2344))</f>
        <v/>
      </c>
      <c r="S2351" s="208">
        <f>IF($L$2344,$N2351*IF($O$2344=1,$O2351/$F$2344,1),"")</f>
        <v/>
      </c>
      <c r="T2351" s="208">
        <f>IF(NOT($L$2344),"",IF($G2351&lt;nr_MStartP,$S2351,$T2339*(1+IF($G2351&lt;nr_MStartP1,$M$2344,$N$2344))))</f>
        <v/>
      </c>
      <c r="U2351" s="208">
        <f>IF($L$2344,$T2351,$N2351)</f>
        <v/>
      </c>
    </row>
    <row r="2352">
      <c r="A2352" s="145" t="n">
        <v>6</v>
      </c>
      <c r="B2352" s="204">
        <f>EDATE($B2351,1)</f>
        <v/>
      </c>
      <c r="C2352" s="205">
        <f>EOMONTH($B2352,0)</f>
        <v/>
      </c>
      <c r="D2352" s="201">
        <f>$C2352-$B2352+1</f>
        <v/>
      </c>
      <c r="E2352" s="201">
        <f>MONTH($B2352)</f>
        <v/>
      </c>
      <c r="F2352" s="235">
        <f>($B2352+$C2352+1)/2</f>
        <v/>
      </c>
      <c r="G2352" s="201">
        <f>YEAR($B2352)*12+MONTH($B2352)-1</f>
        <v/>
      </c>
      <c r="H2352" s="207">
        <f>IF(OR(nr_SeasonOn="OFF",$D$2344=0,$E$2344=0),1,12*INDEX(se_block,$D$2344,$E2352)/$E$2344)</f>
        <v/>
      </c>
      <c r="I2352" s="208">
        <f>EXP(SUMPRODUCT((rl_eff&lt;$B2352)*(rl_key=$A$2344)*rl_ln1p))</f>
        <v/>
      </c>
      <c r="J2352" s="208">
        <f>EXP(SUMPRODUCT((rl_eff&lt;=$C2352)*(rl_key=$A$2344)*rl_ln1p))</f>
        <v/>
      </c>
      <c r="K2352" s="201">
        <f>COUNTIFS(rl_key,$A$2344,rl_eff,"&gt;="&amp;$B2352,rl_eff,"&lt;="&amp;$C2352)</f>
        <v/>
      </c>
      <c r="L2352" s="201">
        <f>SUMIFS(rl_daysafter,rl_key,$A$2344,rl_effmonth,$B2352,rl_first,1)</f>
        <v/>
      </c>
      <c r="M2352" s="209">
        <f>IF($K2352=0,0,MIN(1,$L2352/$D2352))</f>
        <v/>
      </c>
      <c r="N2352" s="208">
        <f>IF($K2352=0,$J2352,(1-$M2352)*$I2352+$M2352*$J2352)</f>
        <v/>
      </c>
      <c r="O2352" s="209">
        <f>IF($F2352&lt;$B$2345,$E$2345+$I$2345*($F2352-$A$2345),IF($F2352&lt;$C$2345,$F$2345+$J$2345*($F2352-$B$2345),$G$2345+$K$2345*($F2352-$C$2345)))</f>
        <v/>
      </c>
      <c r="P2352" s="208">
        <f>MIN(1,MAX(0,(nr_MEndPm1-$G2352+0.5)/$C$2344))-MIN(1,MAX(0,(nr_MStartPm1-1-$G2352+0.5)/$C$2344))</f>
        <v/>
      </c>
      <c r="Q2352" s="208">
        <f>MIN(1,MAX(0,(nr_MEndP-$G2352+0.5)/$C$2344))-MIN(1,MAX(0,(nr_MStartP-1-$G2352+0.5)/$C$2344))</f>
        <v/>
      </c>
      <c r="R2352" s="208">
        <f>MIN(1,MAX(0,(nr_MEndP1-$G2352+0.5)/$C$2344))-MIN(1,MAX(0,(nr_MStartP1-1-$G2352+0.5)/$C$2344))</f>
        <v/>
      </c>
      <c r="S2352" s="208">
        <f>IF($L$2344,$N2352*IF($O$2344=1,$O2352/$F$2344,1),"")</f>
        <v/>
      </c>
      <c r="T2352" s="208">
        <f>IF(NOT($L$2344),"",IF($G2352&lt;nr_MStartP,$S2352,$T2340*(1+IF($G2352&lt;nr_MStartP1,$M$2344,$N$2344))))</f>
        <v/>
      </c>
      <c r="U2352" s="208">
        <f>IF($L$2344,$T2352,$N2352)</f>
        <v/>
      </c>
    </row>
    <row r="2353">
      <c r="A2353" s="145" t="n">
        <v>7</v>
      </c>
      <c r="B2353" s="204">
        <f>EDATE($B2352,1)</f>
        <v/>
      </c>
      <c r="C2353" s="205">
        <f>EOMONTH($B2353,0)</f>
        <v/>
      </c>
      <c r="D2353" s="201">
        <f>$C2353-$B2353+1</f>
        <v/>
      </c>
      <c r="E2353" s="201">
        <f>MONTH($B2353)</f>
        <v/>
      </c>
      <c r="F2353" s="235">
        <f>($B2353+$C2353+1)/2</f>
        <v/>
      </c>
      <c r="G2353" s="201">
        <f>YEAR($B2353)*12+MONTH($B2353)-1</f>
        <v/>
      </c>
      <c r="H2353" s="207">
        <f>IF(OR(nr_SeasonOn="OFF",$D$2344=0,$E$2344=0),1,12*INDEX(se_block,$D$2344,$E2353)/$E$2344)</f>
        <v/>
      </c>
      <c r="I2353" s="208">
        <f>EXP(SUMPRODUCT((rl_eff&lt;$B2353)*(rl_key=$A$2344)*rl_ln1p))</f>
        <v/>
      </c>
      <c r="J2353" s="208">
        <f>EXP(SUMPRODUCT((rl_eff&lt;=$C2353)*(rl_key=$A$2344)*rl_ln1p))</f>
        <v/>
      </c>
      <c r="K2353" s="201">
        <f>COUNTIFS(rl_key,$A$2344,rl_eff,"&gt;="&amp;$B2353,rl_eff,"&lt;="&amp;$C2353)</f>
        <v/>
      </c>
      <c r="L2353" s="201">
        <f>SUMIFS(rl_daysafter,rl_key,$A$2344,rl_effmonth,$B2353,rl_first,1)</f>
        <v/>
      </c>
      <c r="M2353" s="209">
        <f>IF($K2353=0,0,MIN(1,$L2353/$D2353))</f>
        <v/>
      </c>
      <c r="N2353" s="208">
        <f>IF($K2353=0,$J2353,(1-$M2353)*$I2353+$M2353*$J2353)</f>
        <v/>
      </c>
      <c r="O2353" s="209">
        <f>IF($F2353&lt;$B$2345,$E$2345+$I$2345*($F2353-$A$2345),IF($F2353&lt;$C$2345,$F$2345+$J$2345*($F2353-$B$2345),$G$2345+$K$2345*($F2353-$C$2345)))</f>
        <v/>
      </c>
      <c r="P2353" s="208">
        <f>MIN(1,MAX(0,(nr_MEndPm1-$G2353+0.5)/$C$2344))-MIN(1,MAX(0,(nr_MStartPm1-1-$G2353+0.5)/$C$2344))</f>
        <v/>
      </c>
      <c r="Q2353" s="208">
        <f>MIN(1,MAX(0,(nr_MEndP-$G2353+0.5)/$C$2344))-MIN(1,MAX(0,(nr_MStartP-1-$G2353+0.5)/$C$2344))</f>
        <v/>
      </c>
      <c r="R2353" s="208">
        <f>MIN(1,MAX(0,(nr_MEndP1-$G2353+0.5)/$C$2344))-MIN(1,MAX(0,(nr_MStartP1-1-$G2353+0.5)/$C$2344))</f>
        <v/>
      </c>
      <c r="S2353" s="208">
        <f>IF($L$2344,$N2353*IF($O$2344=1,$O2353/$F$2344,1),"")</f>
        <v/>
      </c>
      <c r="T2353" s="208">
        <f>IF(NOT($L$2344),"",IF($G2353&lt;nr_MStartP,$S2353,$T2341*(1+IF($G2353&lt;nr_MStartP1,$M$2344,$N$2344))))</f>
        <v/>
      </c>
      <c r="U2353" s="208">
        <f>IF($L$2344,$T2353,$N2353)</f>
        <v/>
      </c>
    </row>
    <row r="2354">
      <c r="A2354" s="145" t="n">
        <v>8</v>
      </c>
      <c r="B2354" s="204">
        <f>EDATE($B2353,1)</f>
        <v/>
      </c>
      <c r="C2354" s="205">
        <f>EOMONTH($B2354,0)</f>
        <v/>
      </c>
      <c r="D2354" s="201">
        <f>$C2354-$B2354+1</f>
        <v/>
      </c>
      <c r="E2354" s="201">
        <f>MONTH($B2354)</f>
        <v/>
      </c>
      <c r="F2354" s="235">
        <f>($B2354+$C2354+1)/2</f>
        <v/>
      </c>
      <c r="G2354" s="201">
        <f>YEAR($B2354)*12+MONTH($B2354)-1</f>
        <v/>
      </c>
      <c r="H2354" s="207">
        <f>IF(OR(nr_SeasonOn="OFF",$D$2344=0,$E$2344=0),1,12*INDEX(se_block,$D$2344,$E2354)/$E$2344)</f>
        <v/>
      </c>
      <c r="I2354" s="208">
        <f>EXP(SUMPRODUCT((rl_eff&lt;$B2354)*(rl_key=$A$2344)*rl_ln1p))</f>
        <v/>
      </c>
      <c r="J2354" s="208">
        <f>EXP(SUMPRODUCT((rl_eff&lt;=$C2354)*(rl_key=$A$2344)*rl_ln1p))</f>
        <v/>
      </c>
      <c r="K2354" s="201">
        <f>COUNTIFS(rl_key,$A$2344,rl_eff,"&gt;="&amp;$B2354,rl_eff,"&lt;="&amp;$C2354)</f>
        <v/>
      </c>
      <c r="L2354" s="201">
        <f>SUMIFS(rl_daysafter,rl_key,$A$2344,rl_effmonth,$B2354,rl_first,1)</f>
        <v/>
      </c>
      <c r="M2354" s="209">
        <f>IF($K2354=0,0,MIN(1,$L2354/$D2354))</f>
        <v/>
      </c>
      <c r="N2354" s="208">
        <f>IF($K2354=0,$J2354,(1-$M2354)*$I2354+$M2354*$J2354)</f>
        <v/>
      </c>
      <c r="O2354" s="209">
        <f>IF($F2354&lt;$B$2345,$E$2345+$I$2345*($F2354-$A$2345),IF($F2354&lt;$C$2345,$F$2345+$J$2345*($F2354-$B$2345),$G$2345+$K$2345*($F2354-$C$2345)))</f>
        <v/>
      </c>
      <c r="P2354" s="208">
        <f>MIN(1,MAX(0,(nr_MEndPm1-$G2354+0.5)/$C$2344))-MIN(1,MAX(0,(nr_MStartPm1-1-$G2354+0.5)/$C$2344))</f>
        <v/>
      </c>
      <c r="Q2354" s="208">
        <f>MIN(1,MAX(0,(nr_MEndP-$G2354+0.5)/$C$2344))-MIN(1,MAX(0,(nr_MStartP-1-$G2354+0.5)/$C$2344))</f>
        <v/>
      </c>
      <c r="R2354" s="208">
        <f>MIN(1,MAX(0,(nr_MEndP1-$G2354+0.5)/$C$2344))-MIN(1,MAX(0,(nr_MStartP1-1-$G2354+0.5)/$C$2344))</f>
        <v/>
      </c>
      <c r="S2354" s="208">
        <f>IF($L$2344,$N2354*IF($O$2344=1,$O2354/$F$2344,1),"")</f>
        <v/>
      </c>
      <c r="T2354" s="208">
        <f>IF(NOT($L$2344),"",IF($G2354&lt;nr_MStartP,$S2354,$T2342*(1+IF($G2354&lt;nr_MStartP1,$M$2344,$N$2344))))</f>
        <v/>
      </c>
      <c r="U2354" s="208">
        <f>IF($L$2344,$T2354,$N2354)</f>
        <v/>
      </c>
    </row>
    <row r="2355">
      <c r="A2355" s="145" t="n">
        <v>9</v>
      </c>
      <c r="B2355" s="204">
        <f>EDATE($B2354,1)</f>
        <v/>
      </c>
      <c r="C2355" s="205">
        <f>EOMONTH($B2355,0)</f>
        <v/>
      </c>
      <c r="D2355" s="201">
        <f>$C2355-$B2355+1</f>
        <v/>
      </c>
      <c r="E2355" s="201">
        <f>MONTH($B2355)</f>
        <v/>
      </c>
      <c r="F2355" s="235">
        <f>($B2355+$C2355+1)/2</f>
        <v/>
      </c>
      <c r="G2355" s="201">
        <f>YEAR($B2355)*12+MONTH($B2355)-1</f>
        <v/>
      </c>
      <c r="H2355" s="207">
        <f>IF(OR(nr_SeasonOn="OFF",$D$2344=0,$E$2344=0),1,12*INDEX(se_block,$D$2344,$E2355)/$E$2344)</f>
        <v/>
      </c>
      <c r="I2355" s="208">
        <f>EXP(SUMPRODUCT((rl_eff&lt;$B2355)*(rl_key=$A$2344)*rl_ln1p))</f>
        <v/>
      </c>
      <c r="J2355" s="208">
        <f>EXP(SUMPRODUCT((rl_eff&lt;=$C2355)*(rl_key=$A$2344)*rl_ln1p))</f>
        <v/>
      </c>
      <c r="K2355" s="201">
        <f>COUNTIFS(rl_key,$A$2344,rl_eff,"&gt;="&amp;$B2355,rl_eff,"&lt;="&amp;$C2355)</f>
        <v/>
      </c>
      <c r="L2355" s="201">
        <f>SUMIFS(rl_daysafter,rl_key,$A$2344,rl_effmonth,$B2355,rl_first,1)</f>
        <v/>
      </c>
      <c r="M2355" s="209">
        <f>IF($K2355=0,0,MIN(1,$L2355/$D2355))</f>
        <v/>
      </c>
      <c r="N2355" s="208">
        <f>IF($K2355=0,$J2355,(1-$M2355)*$I2355+$M2355*$J2355)</f>
        <v/>
      </c>
      <c r="O2355" s="209">
        <f>IF($F2355&lt;$B$2345,$E$2345+$I$2345*($F2355-$A$2345),IF($F2355&lt;$C$2345,$F$2345+$J$2345*($F2355-$B$2345),$G$2345+$K$2345*($F2355-$C$2345)))</f>
        <v/>
      </c>
      <c r="P2355" s="208">
        <f>MIN(1,MAX(0,(nr_MEndPm1-$G2355+0.5)/$C$2344))-MIN(1,MAX(0,(nr_MStartPm1-1-$G2355+0.5)/$C$2344))</f>
        <v/>
      </c>
      <c r="Q2355" s="208">
        <f>MIN(1,MAX(0,(nr_MEndP-$G2355+0.5)/$C$2344))-MIN(1,MAX(0,(nr_MStartP-1-$G2355+0.5)/$C$2344))</f>
        <v/>
      </c>
      <c r="R2355" s="208">
        <f>MIN(1,MAX(0,(nr_MEndP1-$G2355+0.5)/$C$2344))-MIN(1,MAX(0,(nr_MStartP1-1-$G2355+0.5)/$C$2344))</f>
        <v/>
      </c>
      <c r="S2355" s="208">
        <f>IF($L$2344,$N2355*IF($O$2344=1,$O2355/$F$2344,1),"")</f>
        <v/>
      </c>
      <c r="T2355" s="208">
        <f>IF(NOT($L$2344),"",IF($G2355&lt;nr_MStartP,$S2355,$T2343*(1+IF($G2355&lt;nr_MStartP1,$M$2344,$N$2344))))</f>
        <v/>
      </c>
      <c r="U2355" s="208">
        <f>IF($L$2344,$T2355,$N2355)</f>
        <v/>
      </c>
    </row>
    <row r="2356">
      <c r="A2356" s="145" t="n">
        <v>10</v>
      </c>
      <c r="B2356" s="204">
        <f>EDATE($B2355,1)</f>
        <v/>
      </c>
      <c r="C2356" s="205">
        <f>EOMONTH($B2356,0)</f>
        <v/>
      </c>
      <c r="D2356" s="201">
        <f>$C2356-$B2356+1</f>
        <v/>
      </c>
      <c r="E2356" s="201">
        <f>MONTH($B2356)</f>
        <v/>
      </c>
      <c r="F2356" s="235">
        <f>($B2356+$C2356+1)/2</f>
        <v/>
      </c>
      <c r="G2356" s="201">
        <f>YEAR($B2356)*12+MONTH($B2356)-1</f>
        <v/>
      </c>
      <c r="H2356" s="207">
        <f>IF(OR(nr_SeasonOn="OFF",$D$2344=0,$E$2344=0),1,12*INDEX(se_block,$D$2344,$E2356)/$E$2344)</f>
        <v/>
      </c>
      <c r="I2356" s="208">
        <f>EXP(SUMPRODUCT((rl_eff&lt;$B2356)*(rl_key=$A$2344)*rl_ln1p))</f>
        <v/>
      </c>
      <c r="J2356" s="208">
        <f>EXP(SUMPRODUCT((rl_eff&lt;=$C2356)*(rl_key=$A$2344)*rl_ln1p))</f>
        <v/>
      </c>
      <c r="K2356" s="201">
        <f>COUNTIFS(rl_key,$A$2344,rl_eff,"&gt;="&amp;$B2356,rl_eff,"&lt;="&amp;$C2356)</f>
        <v/>
      </c>
      <c r="L2356" s="201">
        <f>SUMIFS(rl_daysafter,rl_key,$A$2344,rl_effmonth,$B2356,rl_first,1)</f>
        <v/>
      </c>
      <c r="M2356" s="209">
        <f>IF($K2356=0,0,MIN(1,$L2356/$D2356))</f>
        <v/>
      </c>
      <c r="N2356" s="208">
        <f>IF($K2356=0,$J2356,(1-$M2356)*$I2356+$M2356*$J2356)</f>
        <v/>
      </c>
      <c r="O2356" s="209">
        <f>IF($F2356&lt;$B$2345,$E$2345+$I$2345*($F2356-$A$2345),IF($F2356&lt;$C$2345,$F$2345+$J$2345*($F2356-$B$2345),$G$2345+$K$2345*($F2356-$C$2345)))</f>
        <v/>
      </c>
      <c r="P2356" s="208">
        <f>MIN(1,MAX(0,(nr_MEndPm1-$G2356+0.5)/$C$2344))-MIN(1,MAX(0,(nr_MStartPm1-1-$G2356+0.5)/$C$2344))</f>
        <v/>
      </c>
      <c r="Q2356" s="208">
        <f>MIN(1,MAX(0,(nr_MEndP-$G2356+0.5)/$C$2344))-MIN(1,MAX(0,(nr_MStartP-1-$G2356+0.5)/$C$2344))</f>
        <v/>
      </c>
      <c r="R2356" s="208">
        <f>MIN(1,MAX(0,(nr_MEndP1-$G2356+0.5)/$C$2344))-MIN(1,MAX(0,(nr_MStartP1-1-$G2356+0.5)/$C$2344))</f>
        <v/>
      </c>
      <c r="S2356" s="208">
        <f>IF($L$2344,$N2356*IF($O$2344=1,$O2356/$F$2344,1),"")</f>
        <v/>
      </c>
      <c r="T2356" s="208">
        <f>IF(NOT($L$2344),"",IF($G2356&lt;nr_MStartP,$S2356,$T2344*(1+IF($G2356&lt;nr_MStartP1,$M$2344,$N$2344))))</f>
        <v/>
      </c>
      <c r="U2356" s="208">
        <f>IF($L$2344,$T2356,$N2356)</f>
        <v/>
      </c>
    </row>
    <row r="2357">
      <c r="A2357" s="145" t="n">
        <v>11</v>
      </c>
      <c r="B2357" s="204">
        <f>EDATE($B2356,1)</f>
        <v/>
      </c>
      <c r="C2357" s="205">
        <f>EOMONTH($B2357,0)</f>
        <v/>
      </c>
      <c r="D2357" s="201">
        <f>$C2357-$B2357+1</f>
        <v/>
      </c>
      <c r="E2357" s="201">
        <f>MONTH($B2357)</f>
        <v/>
      </c>
      <c r="F2357" s="235">
        <f>($B2357+$C2357+1)/2</f>
        <v/>
      </c>
      <c r="G2357" s="201">
        <f>YEAR($B2357)*12+MONTH($B2357)-1</f>
        <v/>
      </c>
      <c r="H2357" s="207">
        <f>IF(OR(nr_SeasonOn="OFF",$D$2344=0,$E$2344=0),1,12*INDEX(se_block,$D$2344,$E2357)/$E$2344)</f>
        <v/>
      </c>
      <c r="I2357" s="208">
        <f>EXP(SUMPRODUCT((rl_eff&lt;$B2357)*(rl_key=$A$2344)*rl_ln1p))</f>
        <v/>
      </c>
      <c r="J2357" s="208">
        <f>EXP(SUMPRODUCT((rl_eff&lt;=$C2357)*(rl_key=$A$2344)*rl_ln1p))</f>
        <v/>
      </c>
      <c r="K2357" s="201">
        <f>COUNTIFS(rl_key,$A$2344,rl_eff,"&gt;="&amp;$B2357,rl_eff,"&lt;="&amp;$C2357)</f>
        <v/>
      </c>
      <c r="L2357" s="201">
        <f>SUMIFS(rl_daysafter,rl_key,$A$2344,rl_effmonth,$B2357,rl_first,1)</f>
        <v/>
      </c>
      <c r="M2357" s="209">
        <f>IF($K2357=0,0,MIN(1,$L2357/$D2357))</f>
        <v/>
      </c>
      <c r="N2357" s="208">
        <f>IF($K2357=0,$J2357,(1-$M2357)*$I2357+$M2357*$J2357)</f>
        <v/>
      </c>
      <c r="O2357" s="209">
        <f>IF($F2357&lt;$B$2345,$E$2345+$I$2345*($F2357-$A$2345),IF($F2357&lt;$C$2345,$F$2345+$J$2345*($F2357-$B$2345),$G$2345+$K$2345*($F2357-$C$2345)))</f>
        <v/>
      </c>
      <c r="P2357" s="208">
        <f>MIN(1,MAX(0,(nr_MEndPm1-$G2357+0.5)/$C$2344))-MIN(1,MAX(0,(nr_MStartPm1-1-$G2357+0.5)/$C$2344))</f>
        <v/>
      </c>
      <c r="Q2357" s="208">
        <f>MIN(1,MAX(0,(nr_MEndP-$G2357+0.5)/$C$2344))-MIN(1,MAX(0,(nr_MStartP-1-$G2357+0.5)/$C$2344))</f>
        <v/>
      </c>
      <c r="R2357" s="208">
        <f>MIN(1,MAX(0,(nr_MEndP1-$G2357+0.5)/$C$2344))-MIN(1,MAX(0,(nr_MStartP1-1-$G2357+0.5)/$C$2344))</f>
        <v/>
      </c>
      <c r="S2357" s="208">
        <f>IF($L$2344,$N2357*IF($O$2344=1,$O2357/$F$2344,1),"")</f>
        <v/>
      </c>
      <c r="T2357" s="208">
        <f>IF(NOT($L$2344),"",IF($G2357&lt;nr_MStartP,$S2357,$T2345*(1+IF($G2357&lt;nr_MStartP1,$M$2344,$N$2344))))</f>
        <v/>
      </c>
      <c r="U2357" s="208">
        <f>IF($L$2344,$T2357,$N2357)</f>
        <v/>
      </c>
    </row>
    <row r="2358">
      <c r="A2358" s="145" t="n">
        <v>12</v>
      </c>
      <c r="B2358" s="204">
        <f>EDATE($B2357,1)</f>
        <v/>
      </c>
      <c r="C2358" s="205">
        <f>EOMONTH($B2358,0)</f>
        <v/>
      </c>
      <c r="D2358" s="201">
        <f>$C2358-$B2358+1</f>
        <v/>
      </c>
      <c r="E2358" s="201">
        <f>MONTH($B2358)</f>
        <v/>
      </c>
      <c r="F2358" s="235">
        <f>($B2358+$C2358+1)/2</f>
        <v/>
      </c>
      <c r="G2358" s="201">
        <f>YEAR($B2358)*12+MONTH($B2358)-1</f>
        <v/>
      </c>
      <c r="H2358" s="207">
        <f>IF(OR(nr_SeasonOn="OFF",$D$2344=0,$E$2344=0),1,12*INDEX(se_block,$D$2344,$E2358)/$E$2344)</f>
        <v/>
      </c>
      <c r="I2358" s="208">
        <f>EXP(SUMPRODUCT((rl_eff&lt;$B2358)*(rl_key=$A$2344)*rl_ln1p))</f>
        <v/>
      </c>
      <c r="J2358" s="208">
        <f>EXP(SUMPRODUCT((rl_eff&lt;=$C2358)*(rl_key=$A$2344)*rl_ln1p))</f>
        <v/>
      </c>
      <c r="K2358" s="201">
        <f>COUNTIFS(rl_key,$A$2344,rl_eff,"&gt;="&amp;$B2358,rl_eff,"&lt;="&amp;$C2358)</f>
        <v/>
      </c>
      <c r="L2358" s="201">
        <f>SUMIFS(rl_daysafter,rl_key,$A$2344,rl_effmonth,$B2358,rl_first,1)</f>
        <v/>
      </c>
      <c r="M2358" s="209">
        <f>IF($K2358=0,0,MIN(1,$L2358/$D2358))</f>
        <v/>
      </c>
      <c r="N2358" s="208">
        <f>IF($K2358=0,$J2358,(1-$M2358)*$I2358+$M2358*$J2358)</f>
        <v/>
      </c>
      <c r="O2358" s="209">
        <f>IF($F2358&lt;$B$2345,$E$2345+$I$2345*($F2358-$A$2345),IF($F2358&lt;$C$2345,$F$2345+$J$2345*($F2358-$B$2345),$G$2345+$K$2345*($F2358-$C$2345)))</f>
        <v/>
      </c>
      <c r="P2358" s="208">
        <f>MIN(1,MAX(0,(nr_MEndPm1-$G2358+0.5)/$C$2344))-MIN(1,MAX(0,(nr_MStartPm1-1-$G2358+0.5)/$C$2344))</f>
        <v/>
      </c>
      <c r="Q2358" s="208">
        <f>MIN(1,MAX(0,(nr_MEndP-$G2358+0.5)/$C$2344))-MIN(1,MAX(0,(nr_MStartP-1-$G2358+0.5)/$C$2344))</f>
        <v/>
      </c>
      <c r="R2358" s="208">
        <f>MIN(1,MAX(0,(nr_MEndP1-$G2358+0.5)/$C$2344))-MIN(1,MAX(0,(nr_MStartP1-1-$G2358+0.5)/$C$2344))</f>
        <v/>
      </c>
      <c r="S2358" s="208">
        <f>IF($L$2344,$N2358*IF($O$2344=1,$O2358/$F$2344,1),"")</f>
        <v/>
      </c>
      <c r="T2358" s="208">
        <f>IF(NOT($L$2344),"",IF($G2358&lt;nr_MStartP,$S2358,$T2346*(1+IF($G2358&lt;nr_MStartP1,$M$2344,$N$2344))))</f>
        <v/>
      </c>
      <c r="U2358" s="208">
        <f>IF($L$2344,$T2358,$N2358)</f>
        <v/>
      </c>
    </row>
    <row r="2359">
      <c r="A2359" s="145" t="n">
        <v>13</v>
      </c>
      <c r="B2359" s="204">
        <f>EDATE($B2358,1)</f>
        <v/>
      </c>
      <c r="C2359" s="205">
        <f>EOMONTH($B2359,0)</f>
        <v/>
      </c>
      <c r="D2359" s="201">
        <f>$C2359-$B2359+1</f>
        <v/>
      </c>
      <c r="E2359" s="201">
        <f>MONTH($B2359)</f>
        <v/>
      </c>
      <c r="F2359" s="235">
        <f>($B2359+$C2359+1)/2</f>
        <v/>
      </c>
      <c r="G2359" s="201">
        <f>YEAR($B2359)*12+MONTH($B2359)-1</f>
        <v/>
      </c>
      <c r="H2359" s="207">
        <f>IF(OR(nr_SeasonOn="OFF",$D$2344=0,$E$2344=0),1,12*INDEX(se_block,$D$2344,$E2359)/$E$2344)</f>
        <v/>
      </c>
      <c r="I2359" s="208">
        <f>EXP(SUMPRODUCT((rl_eff&lt;$B2359)*(rl_key=$A$2344)*rl_ln1p))</f>
        <v/>
      </c>
      <c r="J2359" s="208">
        <f>EXP(SUMPRODUCT((rl_eff&lt;=$C2359)*(rl_key=$A$2344)*rl_ln1p))</f>
        <v/>
      </c>
      <c r="K2359" s="201">
        <f>COUNTIFS(rl_key,$A$2344,rl_eff,"&gt;="&amp;$B2359,rl_eff,"&lt;="&amp;$C2359)</f>
        <v/>
      </c>
      <c r="L2359" s="201">
        <f>SUMIFS(rl_daysafter,rl_key,$A$2344,rl_effmonth,$B2359,rl_first,1)</f>
        <v/>
      </c>
      <c r="M2359" s="209">
        <f>IF($K2359=0,0,MIN(1,$L2359/$D2359))</f>
        <v/>
      </c>
      <c r="N2359" s="208">
        <f>IF($K2359=0,$J2359,(1-$M2359)*$I2359+$M2359*$J2359)</f>
        <v/>
      </c>
      <c r="O2359" s="209">
        <f>IF($F2359&lt;$B$2345,$E$2345+$I$2345*($F2359-$A$2345),IF($F2359&lt;$C$2345,$F$2345+$J$2345*($F2359-$B$2345),$G$2345+$K$2345*($F2359-$C$2345)))</f>
        <v/>
      </c>
      <c r="P2359" s="208">
        <f>MIN(1,MAX(0,(nr_MEndPm1-$G2359+0.5)/$C$2344))-MIN(1,MAX(0,(nr_MStartPm1-1-$G2359+0.5)/$C$2344))</f>
        <v/>
      </c>
      <c r="Q2359" s="208">
        <f>MIN(1,MAX(0,(nr_MEndP-$G2359+0.5)/$C$2344))-MIN(1,MAX(0,(nr_MStartP-1-$G2359+0.5)/$C$2344))</f>
        <v/>
      </c>
      <c r="R2359" s="208">
        <f>MIN(1,MAX(0,(nr_MEndP1-$G2359+0.5)/$C$2344))-MIN(1,MAX(0,(nr_MStartP1-1-$G2359+0.5)/$C$2344))</f>
        <v/>
      </c>
      <c r="S2359" s="208">
        <f>IF($L$2344,$N2359*IF($O$2344=1,$O2359/$F$2344,1),"")</f>
        <v/>
      </c>
      <c r="T2359" s="208">
        <f>IF(NOT($L$2344),"",IF($G2359&lt;nr_MStartP,$S2359,$T2347*(1+IF($G2359&lt;nr_MStartP1,$M$2344,$N$2344))))</f>
        <v/>
      </c>
      <c r="U2359" s="208">
        <f>IF($L$2344,$T2359,$N2359)</f>
        <v/>
      </c>
    </row>
    <row r="2360">
      <c r="A2360" s="145" t="n">
        <v>14</v>
      </c>
      <c r="B2360" s="204">
        <f>EDATE($B2359,1)</f>
        <v/>
      </c>
      <c r="C2360" s="205">
        <f>EOMONTH($B2360,0)</f>
        <v/>
      </c>
      <c r="D2360" s="201">
        <f>$C2360-$B2360+1</f>
        <v/>
      </c>
      <c r="E2360" s="201">
        <f>MONTH($B2360)</f>
        <v/>
      </c>
      <c r="F2360" s="235">
        <f>($B2360+$C2360+1)/2</f>
        <v/>
      </c>
      <c r="G2360" s="201">
        <f>YEAR($B2360)*12+MONTH($B2360)-1</f>
        <v/>
      </c>
      <c r="H2360" s="207">
        <f>IF(OR(nr_SeasonOn="OFF",$D$2344=0,$E$2344=0),1,12*INDEX(se_block,$D$2344,$E2360)/$E$2344)</f>
        <v/>
      </c>
      <c r="I2360" s="208">
        <f>EXP(SUMPRODUCT((rl_eff&lt;$B2360)*(rl_key=$A$2344)*rl_ln1p))</f>
        <v/>
      </c>
      <c r="J2360" s="208">
        <f>EXP(SUMPRODUCT((rl_eff&lt;=$C2360)*(rl_key=$A$2344)*rl_ln1p))</f>
        <v/>
      </c>
      <c r="K2360" s="201">
        <f>COUNTIFS(rl_key,$A$2344,rl_eff,"&gt;="&amp;$B2360,rl_eff,"&lt;="&amp;$C2360)</f>
        <v/>
      </c>
      <c r="L2360" s="201">
        <f>SUMIFS(rl_daysafter,rl_key,$A$2344,rl_effmonth,$B2360,rl_first,1)</f>
        <v/>
      </c>
      <c r="M2360" s="209">
        <f>IF($K2360=0,0,MIN(1,$L2360/$D2360))</f>
        <v/>
      </c>
      <c r="N2360" s="208">
        <f>IF($K2360=0,$J2360,(1-$M2360)*$I2360+$M2360*$J2360)</f>
        <v/>
      </c>
      <c r="O2360" s="209">
        <f>IF($F2360&lt;$B$2345,$E$2345+$I$2345*($F2360-$A$2345),IF($F2360&lt;$C$2345,$F$2345+$J$2345*($F2360-$B$2345),$G$2345+$K$2345*($F2360-$C$2345)))</f>
        <v/>
      </c>
      <c r="P2360" s="208">
        <f>MIN(1,MAX(0,(nr_MEndPm1-$G2360+0.5)/$C$2344))-MIN(1,MAX(0,(nr_MStartPm1-1-$G2360+0.5)/$C$2344))</f>
        <v/>
      </c>
      <c r="Q2360" s="208">
        <f>MIN(1,MAX(0,(nr_MEndP-$G2360+0.5)/$C$2344))-MIN(1,MAX(0,(nr_MStartP-1-$G2360+0.5)/$C$2344))</f>
        <v/>
      </c>
      <c r="R2360" s="208">
        <f>MIN(1,MAX(0,(nr_MEndP1-$G2360+0.5)/$C$2344))-MIN(1,MAX(0,(nr_MStartP1-1-$G2360+0.5)/$C$2344))</f>
        <v/>
      </c>
      <c r="S2360" s="208">
        <f>IF($L$2344,$N2360*IF($O$2344=1,$O2360/$F$2344,1),"")</f>
        <v/>
      </c>
      <c r="T2360" s="208">
        <f>IF(NOT($L$2344),"",IF($G2360&lt;nr_MStartP,$S2360,$T2348*(1+IF($G2360&lt;nr_MStartP1,$M$2344,$N$2344))))</f>
        <v/>
      </c>
      <c r="U2360" s="208">
        <f>IF($L$2344,$T2360,$N2360)</f>
        <v/>
      </c>
    </row>
    <row r="2361">
      <c r="A2361" s="145" t="n">
        <v>15</v>
      </c>
      <c r="B2361" s="204">
        <f>EDATE($B2360,1)</f>
        <v/>
      </c>
      <c r="C2361" s="205">
        <f>EOMONTH($B2361,0)</f>
        <v/>
      </c>
      <c r="D2361" s="201">
        <f>$C2361-$B2361+1</f>
        <v/>
      </c>
      <c r="E2361" s="201">
        <f>MONTH($B2361)</f>
        <v/>
      </c>
      <c r="F2361" s="235">
        <f>($B2361+$C2361+1)/2</f>
        <v/>
      </c>
      <c r="G2361" s="201">
        <f>YEAR($B2361)*12+MONTH($B2361)-1</f>
        <v/>
      </c>
      <c r="H2361" s="207">
        <f>IF(OR(nr_SeasonOn="OFF",$D$2344=0,$E$2344=0),1,12*INDEX(se_block,$D$2344,$E2361)/$E$2344)</f>
        <v/>
      </c>
      <c r="I2361" s="208">
        <f>EXP(SUMPRODUCT((rl_eff&lt;$B2361)*(rl_key=$A$2344)*rl_ln1p))</f>
        <v/>
      </c>
      <c r="J2361" s="208">
        <f>EXP(SUMPRODUCT((rl_eff&lt;=$C2361)*(rl_key=$A$2344)*rl_ln1p))</f>
        <v/>
      </c>
      <c r="K2361" s="201">
        <f>COUNTIFS(rl_key,$A$2344,rl_eff,"&gt;="&amp;$B2361,rl_eff,"&lt;="&amp;$C2361)</f>
        <v/>
      </c>
      <c r="L2361" s="201">
        <f>SUMIFS(rl_daysafter,rl_key,$A$2344,rl_effmonth,$B2361,rl_first,1)</f>
        <v/>
      </c>
      <c r="M2361" s="209">
        <f>IF($K2361=0,0,MIN(1,$L2361/$D2361))</f>
        <v/>
      </c>
      <c r="N2361" s="208">
        <f>IF($K2361=0,$J2361,(1-$M2361)*$I2361+$M2361*$J2361)</f>
        <v/>
      </c>
      <c r="O2361" s="209">
        <f>IF($F2361&lt;$B$2345,$E$2345+$I$2345*($F2361-$A$2345),IF($F2361&lt;$C$2345,$F$2345+$J$2345*($F2361-$B$2345),$G$2345+$K$2345*($F2361-$C$2345)))</f>
        <v/>
      </c>
      <c r="P2361" s="208">
        <f>MIN(1,MAX(0,(nr_MEndPm1-$G2361+0.5)/$C$2344))-MIN(1,MAX(0,(nr_MStartPm1-1-$G2361+0.5)/$C$2344))</f>
        <v/>
      </c>
      <c r="Q2361" s="208">
        <f>MIN(1,MAX(0,(nr_MEndP-$G2361+0.5)/$C$2344))-MIN(1,MAX(0,(nr_MStartP-1-$G2361+0.5)/$C$2344))</f>
        <v/>
      </c>
      <c r="R2361" s="208">
        <f>MIN(1,MAX(0,(nr_MEndP1-$G2361+0.5)/$C$2344))-MIN(1,MAX(0,(nr_MStartP1-1-$G2361+0.5)/$C$2344))</f>
        <v/>
      </c>
      <c r="S2361" s="208">
        <f>IF($L$2344,$N2361*IF($O$2344=1,$O2361/$F$2344,1),"")</f>
        <v/>
      </c>
      <c r="T2361" s="208">
        <f>IF(NOT($L$2344),"",IF($G2361&lt;nr_MStartP,$S2361,$T2349*(1+IF($G2361&lt;nr_MStartP1,$M$2344,$N$2344))))</f>
        <v/>
      </c>
      <c r="U2361" s="208">
        <f>IF($L$2344,$T2361,$N2361)</f>
        <v/>
      </c>
    </row>
    <row r="2362">
      <c r="A2362" s="145" t="n">
        <v>16</v>
      </c>
      <c r="B2362" s="204">
        <f>EDATE($B2361,1)</f>
        <v/>
      </c>
      <c r="C2362" s="205">
        <f>EOMONTH($B2362,0)</f>
        <v/>
      </c>
      <c r="D2362" s="201">
        <f>$C2362-$B2362+1</f>
        <v/>
      </c>
      <c r="E2362" s="201">
        <f>MONTH($B2362)</f>
        <v/>
      </c>
      <c r="F2362" s="235">
        <f>($B2362+$C2362+1)/2</f>
        <v/>
      </c>
      <c r="G2362" s="201">
        <f>YEAR($B2362)*12+MONTH($B2362)-1</f>
        <v/>
      </c>
      <c r="H2362" s="207">
        <f>IF(OR(nr_SeasonOn="OFF",$D$2344=0,$E$2344=0),1,12*INDEX(se_block,$D$2344,$E2362)/$E$2344)</f>
        <v/>
      </c>
      <c r="I2362" s="208">
        <f>EXP(SUMPRODUCT((rl_eff&lt;$B2362)*(rl_key=$A$2344)*rl_ln1p))</f>
        <v/>
      </c>
      <c r="J2362" s="208">
        <f>EXP(SUMPRODUCT((rl_eff&lt;=$C2362)*(rl_key=$A$2344)*rl_ln1p))</f>
        <v/>
      </c>
      <c r="K2362" s="201">
        <f>COUNTIFS(rl_key,$A$2344,rl_eff,"&gt;="&amp;$B2362,rl_eff,"&lt;="&amp;$C2362)</f>
        <v/>
      </c>
      <c r="L2362" s="201">
        <f>SUMIFS(rl_daysafter,rl_key,$A$2344,rl_effmonth,$B2362,rl_first,1)</f>
        <v/>
      </c>
      <c r="M2362" s="209">
        <f>IF($K2362=0,0,MIN(1,$L2362/$D2362))</f>
        <v/>
      </c>
      <c r="N2362" s="208">
        <f>IF($K2362=0,$J2362,(1-$M2362)*$I2362+$M2362*$J2362)</f>
        <v/>
      </c>
      <c r="O2362" s="209">
        <f>IF($F2362&lt;$B$2345,$E$2345+$I$2345*($F2362-$A$2345),IF($F2362&lt;$C$2345,$F$2345+$J$2345*($F2362-$B$2345),$G$2345+$K$2345*($F2362-$C$2345)))</f>
        <v/>
      </c>
      <c r="P2362" s="208">
        <f>MIN(1,MAX(0,(nr_MEndPm1-$G2362+0.5)/$C$2344))-MIN(1,MAX(0,(nr_MStartPm1-1-$G2362+0.5)/$C$2344))</f>
        <v/>
      </c>
      <c r="Q2362" s="208">
        <f>MIN(1,MAX(0,(nr_MEndP-$G2362+0.5)/$C$2344))-MIN(1,MAX(0,(nr_MStartP-1-$G2362+0.5)/$C$2344))</f>
        <v/>
      </c>
      <c r="R2362" s="208">
        <f>MIN(1,MAX(0,(nr_MEndP1-$G2362+0.5)/$C$2344))-MIN(1,MAX(0,(nr_MStartP1-1-$G2362+0.5)/$C$2344))</f>
        <v/>
      </c>
      <c r="S2362" s="208">
        <f>IF($L$2344,$N2362*IF($O$2344=1,$O2362/$F$2344,1),"")</f>
        <v/>
      </c>
      <c r="T2362" s="208">
        <f>IF(NOT($L$2344),"",IF($G2362&lt;nr_MStartP,$S2362,$T2350*(1+IF($G2362&lt;nr_MStartP1,$M$2344,$N$2344))))</f>
        <v/>
      </c>
      <c r="U2362" s="208">
        <f>IF($L$2344,$T2362,$N2362)</f>
        <v/>
      </c>
    </row>
    <row r="2363">
      <c r="A2363" s="145" t="n">
        <v>17</v>
      </c>
      <c r="B2363" s="204">
        <f>EDATE($B2362,1)</f>
        <v/>
      </c>
      <c r="C2363" s="205">
        <f>EOMONTH($B2363,0)</f>
        <v/>
      </c>
      <c r="D2363" s="201">
        <f>$C2363-$B2363+1</f>
        <v/>
      </c>
      <c r="E2363" s="201">
        <f>MONTH($B2363)</f>
        <v/>
      </c>
      <c r="F2363" s="235">
        <f>($B2363+$C2363+1)/2</f>
        <v/>
      </c>
      <c r="G2363" s="201">
        <f>YEAR($B2363)*12+MONTH($B2363)-1</f>
        <v/>
      </c>
      <c r="H2363" s="207">
        <f>IF(OR(nr_SeasonOn="OFF",$D$2344=0,$E$2344=0),1,12*INDEX(se_block,$D$2344,$E2363)/$E$2344)</f>
        <v/>
      </c>
      <c r="I2363" s="208">
        <f>EXP(SUMPRODUCT((rl_eff&lt;$B2363)*(rl_key=$A$2344)*rl_ln1p))</f>
        <v/>
      </c>
      <c r="J2363" s="208">
        <f>EXP(SUMPRODUCT((rl_eff&lt;=$C2363)*(rl_key=$A$2344)*rl_ln1p))</f>
        <v/>
      </c>
      <c r="K2363" s="201">
        <f>COUNTIFS(rl_key,$A$2344,rl_eff,"&gt;="&amp;$B2363,rl_eff,"&lt;="&amp;$C2363)</f>
        <v/>
      </c>
      <c r="L2363" s="201">
        <f>SUMIFS(rl_daysafter,rl_key,$A$2344,rl_effmonth,$B2363,rl_first,1)</f>
        <v/>
      </c>
      <c r="M2363" s="209">
        <f>IF($K2363=0,0,MIN(1,$L2363/$D2363))</f>
        <v/>
      </c>
      <c r="N2363" s="208">
        <f>IF($K2363=0,$J2363,(1-$M2363)*$I2363+$M2363*$J2363)</f>
        <v/>
      </c>
      <c r="O2363" s="209">
        <f>IF($F2363&lt;$B$2345,$E$2345+$I$2345*($F2363-$A$2345),IF($F2363&lt;$C$2345,$F$2345+$J$2345*($F2363-$B$2345),$G$2345+$K$2345*($F2363-$C$2345)))</f>
        <v/>
      </c>
      <c r="P2363" s="208">
        <f>MIN(1,MAX(0,(nr_MEndPm1-$G2363+0.5)/$C$2344))-MIN(1,MAX(0,(nr_MStartPm1-1-$G2363+0.5)/$C$2344))</f>
        <v/>
      </c>
      <c r="Q2363" s="208">
        <f>MIN(1,MAX(0,(nr_MEndP-$G2363+0.5)/$C$2344))-MIN(1,MAX(0,(nr_MStartP-1-$G2363+0.5)/$C$2344))</f>
        <v/>
      </c>
      <c r="R2363" s="208">
        <f>MIN(1,MAX(0,(nr_MEndP1-$G2363+0.5)/$C$2344))-MIN(1,MAX(0,(nr_MStartP1-1-$G2363+0.5)/$C$2344))</f>
        <v/>
      </c>
      <c r="S2363" s="208">
        <f>IF($L$2344,$N2363*IF($O$2344=1,$O2363/$F$2344,1),"")</f>
        <v/>
      </c>
      <c r="T2363" s="208">
        <f>IF(NOT($L$2344),"",IF($G2363&lt;nr_MStartP,$S2363,$T2351*(1+IF($G2363&lt;nr_MStartP1,$M$2344,$N$2344))))</f>
        <v/>
      </c>
      <c r="U2363" s="208">
        <f>IF($L$2344,$T2363,$N2363)</f>
        <v/>
      </c>
    </row>
    <row r="2364">
      <c r="A2364" s="145" t="n">
        <v>18</v>
      </c>
      <c r="B2364" s="204">
        <f>EDATE($B2363,1)</f>
        <v/>
      </c>
      <c r="C2364" s="205">
        <f>EOMONTH($B2364,0)</f>
        <v/>
      </c>
      <c r="D2364" s="201">
        <f>$C2364-$B2364+1</f>
        <v/>
      </c>
      <c r="E2364" s="201">
        <f>MONTH($B2364)</f>
        <v/>
      </c>
      <c r="F2364" s="235">
        <f>($B2364+$C2364+1)/2</f>
        <v/>
      </c>
      <c r="G2364" s="201">
        <f>YEAR($B2364)*12+MONTH($B2364)-1</f>
        <v/>
      </c>
      <c r="H2364" s="207">
        <f>IF(OR(nr_SeasonOn="OFF",$D$2344=0,$E$2344=0),1,12*INDEX(se_block,$D$2344,$E2364)/$E$2344)</f>
        <v/>
      </c>
      <c r="I2364" s="208">
        <f>EXP(SUMPRODUCT((rl_eff&lt;$B2364)*(rl_key=$A$2344)*rl_ln1p))</f>
        <v/>
      </c>
      <c r="J2364" s="208">
        <f>EXP(SUMPRODUCT((rl_eff&lt;=$C2364)*(rl_key=$A$2344)*rl_ln1p))</f>
        <v/>
      </c>
      <c r="K2364" s="201">
        <f>COUNTIFS(rl_key,$A$2344,rl_eff,"&gt;="&amp;$B2364,rl_eff,"&lt;="&amp;$C2364)</f>
        <v/>
      </c>
      <c r="L2364" s="201">
        <f>SUMIFS(rl_daysafter,rl_key,$A$2344,rl_effmonth,$B2364,rl_first,1)</f>
        <v/>
      </c>
      <c r="M2364" s="209">
        <f>IF($K2364=0,0,MIN(1,$L2364/$D2364))</f>
        <v/>
      </c>
      <c r="N2364" s="208">
        <f>IF($K2364=0,$J2364,(1-$M2364)*$I2364+$M2364*$J2364)</f>
        <v/>
      </c>
      <c r="O2364" s="209">
        <f>IF($F2364&lt;$B$2345,$E$2345+$I$2345*($F2364-$A$2345),IF($F2364&lt;$C$2345,$F$2345+$J$2345*($F2364-$B$2345),$G$2345+$K$2345*($F2364-$C$2345)))</f>
        <v/>
      </c>
      <c r="P2364" s="208">
        <f>MIN(1,MAX(0,(nr_MEndPm1-$G2364+0.5)/$C$2344))-MIN(1,MAX(0,(nr_MStartPm1-1-$G2364+0.5)/$C$2344))</f>
        <v/>
      </c>
      <c r="Q2364" s="208">
        <f>MIN(1,MAX(0,(nr_MEndP-$G2364+0.5)/$C$2344))-MIN(1,MAX(0,(nr_MStartP-1-$G2364+0.5)/$C$2344))</f>
        <v/>
      </c>
      <c r="R2364" s="208">
        <f>MIN(1,MAX(0,(nr_MEndP1-$G2364+0.5)/$C$2344))-MIN(1,MAX(0,(nr_MStartP1-1-$G2364+0.5)/$C$2344))</f>
        <v/>
      </c>
      <c r="S2364" s="208">
        <f>IF($L$2344,$N2364*IF($O$2344=1,$O2364/$F$2344,1),"")</f>
        <v/>
      </c>
      <c r="T2364" s="208">
        <f>IF(NOT($L$2344),"",IF($G2364&lt;nr_MStartP,$S2364,$T2352*(1+IF($G2364&lt;nr_MStartP1,$M$2344,$N$2344))))</f>
        <v/>
      </c>
      <c r="U2364" s="208">
        <f>IF($L$2344,$T2364,$N2364)</f>
        <v/>
      </c>
    </row>
    <row r="2365">
      <c r="A2365" s="145" t="n">
        <v>19</v>
      </c>
      <c r="B2365" s="204">
        <f>EDATE($B2364,1)</f>
        <v/>
      </c>
      <c r="C2365" s="205">
        <f>EOMONTH($B2365,0)</f>
        <v/>
      </c>
      <c r="D2365" s="201">
        <f>$C2365-$B2365+1</f>
        <v/>
      </c>
      <c r="E2365" s="201">
        <f>MONTH($B2365)</f>
        <v/>
      </c>
      <c r="F2365" s="235">
        <f>($B2365+$C2365+1)/2</f>
        <v/>
      </c>
      <c r="G2365" s="201">
        <f>YEAR($B2365)*12+MONTH($B2365)-1</f>
        <v/>
      </c>
      <c r="H2365" s="207">
        <f>IF(OR(nr_SeasonOn="OFF",$D$2344=0,$E$2344=0),1,12*INDEX(se_block,$D$2344,$E2365)/$E$2344)</f>
        <v/>
      </c>
      <c r="I2365" s="208">
        <f>EXP(SUMPRODUCT((rl_eff&lt;$B2365)*(rl_key=$A$2344)*rl_ln1p))</f>
        <v/>
      </c>
      <c r="J2365" s="208">
        <f>EXP(SUMPRODUCT((rl_eff&lt;=$C2365)*(rl_key=$A$2344)*rl_ln1p))</f>
        <v/>
      </c>
      <c r="K2365" s="201">
        <f>COUNTIFS(rl_key,$A$2344,rl_eff,"&gt;="&amp;$B2365,rl_eff,"&lt;="&amp;$C2365)</f>
        <v/>
      </c>
      <c r="L2365" s="201">
        <f>SUMIFS(rl_daysafter,rl_key,$A$2344,rl_effmonth,$B2365,rl_first,1)</f>
        <v/>
      </c>
      <c r="M2365" s="209">
        <f>IF($K2365=0,0,MIN(1,$L2365/$D2365))</f>
        <v/>
      </c>
      <c r="N2365" s="208">
        <f>IF($K2365=0,$J2365,(1-$M2365)*$I2365+$M2365*$J2365)</f>
        <v/>
      </c>
      <c r="O2365" s="209">
        <f>IF($F2365&lt;$B$2345,$E$2345+$I$2345*($F2365-$A$2345),IF($F2365&lt;$C$2345,$F$2345+$J$2345*($F2365-$B$2345),$G$2345+$K$2345*($F2365-$C$2345)))</f>
        <v/>
      </c>
      <c r="P2365" s="208">
        <f>MIN(1,MAX(0,(nr_MEndPm1-$G2365+0.5)/$C$2344))-MIN(1,MAX(0,(nr_MStartPm1-1-$G2365+0.5)/$C$2344))</f>
        <v/>
      </c>
      <c r="Q2365" s="208">
        <f>MIN(1,MAX(0,(nr_MEndP-$G2365+0.5)/$C$2344))-MIN(1,MAX(0,(nr_MStartP-1-$G2365+0.5)/$C$2344))</f>
        <v/>
      </c>
      <c r="R2365" s="208">
        <f>MIN(1,MAX(0,(nr_MEndP1-$G2365+0.5)/$C$2344))-MIN(1,MAX(0,(nr_MStartP1-1-$G2365+0.5)/$C$2344))</f>
        <v/>
      </c>
      <c r="S2365" s="208">
        <f>IF($L$2344,$N2365*IF($O$2344=1,$O2365/$F$2344,1),"")</f>
        <v/>
      </c>
      <c r="T2365" s="208">
        <f>IF(NOT($L$2344),"",IF($G2365&lt;nr_MStartP,$S2365,$T2353*(1+IF($G2365&lt;nr_MStartP1,$M$2344,$N$2344))))</f>
        <v/>
      </c>
      <c r="U2365" s="208">
        <f>IF($L$2344,$T2365,$N2365)</f>
        <v/>
      </c>
    </row>
    <row r="2366">
      <c r="A2366" s="145" t="n">
        <v>20</v>
      </c>
      <c r="B2366" s="204">
        <f>EDATE($B2365,1)</f>
        <v/>
      </c>
      <c r="C2366" s="205">
        <f>EOMONTH($B2366,0)</f>
        <v/>
      </c>
      <c r="D2366" s="201">
        <f>$C2366-$B2366+1</f>
        <v/>
      </c>
      <c r="E2366" s="201">
        <f>MONTH($B2366)</f>
        <v/>
      </c>
      <c r="F2366" s="235">
        <f>($B2366+$C2366+1)/2</f>
        <v/>
      </c>
      <c r="G2366" s="201">
        <f>YEAR($B2366)*12+MONTH($B2366)-1</f>
        <v/>
      </c>
      <c r="H2366" s="207">
        <f>IF(OR(nr_SeasonOn="OFF",$D$2344=0,$E$2344=0),1,12*INDEX(se_block,$D$2344,$E2366)/$E$2344)</f>
        <v/>
      </c>
      <c r="I2366" s="208">
        <f>EXP(SUMPRODUCT((rl_eff&lt;$B2366)*(rl_key=$A$2344)*rl_ln1p))</f>
        <v/>
      </c>
      <c r="J2366" s="208">
        <f>EXP(SUMPRODUCT((rl_eff&lt;=$C2366)*(rl_key=$A$2344)*rl_ln1p))</f>
        <v/>
      </c>
      <c r="K2366" s="201">
        <f>COUNTIFS(rl_key,$A$2344,rl_eff,"&gt;="&amp;$B2366,rl_eff,"&lt;="&amp;$C2366)</f>
        <v/>
      </c>
      <c r="L2366" s="201">
        <f>SUMIFS(rl_daysafter,rl_key,$A$2344,rl_effmonth,$B2366,rl_first,1)</f>
        <v/>
      </c>
      <c r="M2366" s="209">
        <f>IF($K2366=0,0,MIN(1,$L2366/$D2366))</f>
        <v/>
      </c>
      <c r="N2366" s="208">
        <f>IF($K2366=0,$J2366,(1-$M2366)*$I2366+$M2366*$J2366)</f>
        <v/>
      </c>
      <c r="O2366" s="209">
        <f>IF($F2366&lt;$B$2345,$E$2345+$I$2345*($F2366-$A$2345),IF($F2366&lt;$C$2345,$F$2345+$J$2345*($F2366-$B$2345),$G$2345+$K$2345*($F2366-$C$2345)))</f>
        <v/>
      </c>
      <c r="P2366" s="208">
        <f>MIN(1,MAX(0,(nr_MEndPm1-$G2366+0.5)/$C$2344))-MIN(1,MAX(0,(nr_MStartPm1-1-$G2366+0.5)/$C$2344))</f>
        <v/>
      </c>
      <c r="Q2366" s="208">
        <f>MIN(1,MAX(0,(nr_MEndP-$G2366+0.5)/$C$2344))-MIN(1,MAX(0,(nr_MStartP-1-$G2366+0.5)/$C$2344))</f>
        <v/>
      </c>
      <c r="R2366" s="208">
        <f>MIN(1,MAX(0,(nr_MEndP1-$G2366+0.5)/$C$2344))-MIN(1,MAX(0,(nr_MStartP1-1-$G2366+0.5)/$C$2344))</f>
        <v/>
      </c>
      <c r="S2366" s="208">
        <f>IF($L$2344,$N2366*IF($O$2344=1,$O2366/$F$2344,1),"")</f>
        <v/>
      </c>
      <c r="T2366" s="208">
        <f>IF(NOT($L$2344),"",IF($G2366&lt;nr_MStartP,$S2366,$T2354*(1+IF($G2366&lt;nr_MStartP1,$M$2344,$N$2344))))</f>
        <v/>
      </c>
      <c r="U2366" s="208">
        <f>IF($L$2344,$T2366,$N2366)</f>
        <v/>
      </c>
    </row>
    <row r="2367">
      <c r="A2367" s="145" t="n">
        <v>21</v>
      </c>
      <c r="B2367" s="204">
        <f>EDATE($B2366,1)</f>
        <v/>
      </c>
      <c r="C2367" s="205">
        <f>EOMONTH($B2367,0)</f>
        <v/>
      </c>
      <c r="D2367" s="201">
        <f>$C2367-$B2367+1</f>
        <v/>
      </c>
      <c r="E2367" s="201">
        <f>MONTH($B2367)</f>
        <v/>
      </c>
      <c r="F2367" s="235">
        <f>($B2367+$C2367+1)/2</f>
        <v/>
      </c>
      <c r="G2367" s="201">
        <f>YEAR($B2367)*12+MONTH($B2367)-1</f>
        <v/>
      </c>
      <c r="H2367" s="207">
        <f>IF(OR(nr_SeasonOn="OFF",$D$2344=0,$E$2344=0),1,12*INDEX(se_block,$D$2344,$E2367)/$E$2344)</f>
        <v/>
      </c>
      <c r="I2367" s="208">
        <f>EXP(SUMPRODUCT((rl_eff&lt;$B2367)*(rl_key=$A$2344)*rl_ln1p))</f>
        <v/>
      </c>
      <c r="J2367" s="208">
        <f>EXP(SUMPRODUCT((rl_eff&lt;=$C2367)*(rl_key=$A$2344)*rl_ln1p))</f>
        <v/>
      </c>
      <c r="K2367" s="201">
        <f>COUNTIFS(rl_key,$A$2344,rl_eff,"&gt;="&amp;$B2367,rl_eff,"&lt;="&amp;$C2367)</f>
        <v/>
      </c>
      <c r="L2367" s="201">
        <f>SUMIFS(rl_daysafter,rl_key,$A$2344,rl_effmonth,$B2367,rl_first,1)</f>
        <v/>
      </c>
      <c r="M2367" s="209">
        <f>IF($K2367=0,0,MIN(1,$L2367/$D2367))</f>
        <v/>
      </c>
      <c r="N2367" s="208">
        <f>IF($K2367=0,$J2367,(1-$M2367)*$I2367+$M2367*$J2367)</f>
        <v/>
      </c>
      <c r="O2367" s="209">
        <f>IF($F2367&lt;$B$2345,$E$2345+$I$2345*($F2367-$A$2345),IF($F2367&lt;$C$2345,$F$2345+$J$2345*($F2367-$B$2345),$G$2345+$K$2345*($F2367-$C$2345)))</f>
        <v/>
      </c>
      <c r="P2367" s="208">
        <f>MIN(1,MAX(0,(nr_MEndPm1-$G2367+0.5)/$C$2344))-MIN(1,MAX(0,(nr_MStartPm1-1-$G2367+0.5)/$C$2344))</f>
        <v/>
      </c>
      <c r="Q2367" s="208">
        <f>MIN(1,MAX(0,(nr_MEndP-$G2367+0.5)/$C$2344))-MIN(1,MAX(0,(nr_MStartP-1-$G2367+0.5)/$C$2344))</f>
        <v/>
      </c>
      <c r="R2367" s="208">
        <f>MIN(1,MAX(0,(nr_MEndP1-$G2367+0.5)/$C$2344))-MIN(1,MAX(0,(nr_MStartP1-1-$G2367+0.5)/$C$2344))</f>
        <v/>
      </c>
      <c r="S2367" s="208">
        <f>IF($L$2344,$N2367*IF($O$2344=1,$O2367/$F$2344,1),"")</f>
        <v/>
      </c>
      <c r="T2367" s="208">
        <f>IF(NOT($L$2344),"",IF($G2367&lt;nr_MStartP,$S2367,$T2355*(1+IF($G2367&lt;nr_MStartP1,$M$2344,$N$2344))))</f>
        <v/>
      </c>
      <c r="U2367" s="208">
        <f>IF($L$2344,$T2367,$N2367)</f>
        <v/>
      </c>
    </row>
    <row r="2368">
      <c r="A2368" s="145" t="n">
        <v>22</v>
      </c>
      <c r="B2368" s="204">
        <f>EDATE($B2367,1)</f>
        <v/>
      </c>
      <c r="C2368" s="205">
        <f>EOMONTH($B2368,0)</f>
        <v/>
      </c>
      <c r="D2368" s="201">
        <f>$C2368-$B2368+1</f>
        <v/>
      </c>
      <c r="E2368" s="201">
        <f>MONTH($B2368)</f>
        <v/>
      </c>
      <c r="F2368" s="235">
        <f>($B2368+$C2368+1)/2</f>
        <v/>
      </c>
      <c r="G2368" s="201">
        <f>YEAR($B2368)*12+MONTH($B2368)-1</f>
        <v/>
      </c>
      <c r="H2368" s="207">
        <f>IF(OR(nr_SeasonOn="OFF",$D$2344=0,$E$2344=0),1,12*INDEX(se_block,$D$2344,$E2368)/$E$2344)</f>
        <v/>
      </c>
      <c r="I2368" s="208">
        <f>EXP(SUMPRODUCT((rl_eff&lt;$B2368)*(rl_key=$A$2344)*rl_ln1p))</f>
        <v/>
      </c>
      <c r="J2368" s="208">
        <f>EXP(SUMPRODUCT((rl_eff&lt;=$C2368)*(rl_key=$A$2344)*rl_ln1p))</f>
        <v/>
      </c>
      <c r="K2368" s="201">
        <f>COUNTIFS(rl_key,$A$2344,rl_eff,"&gt;="&amp;$B2368,rl_eff,"&lt;="&amp;$C2368)</f>
        <v/>
      </c>
      <c r="L2368" s="201">
        <f>SUMIFS(rl_daysafter,rl_key,$A$2344,rl_effmonth,$B2368,rl_first,1)</f>
        <v/>
      </c>
      <c r="M2368" s="209">
        <f>IF($K2368=0,0,MIN(1,$L2368/$D2368))</f>
        <v/>
      </c>
      <c r="N2368" s="208">
        <f>IF($K2368=0,$J2368,(1-$M2368)*$I2368+$M2368*$J2368)</f>
        <v/>
      </c>
      <c r="O2368" s="209">
        <f>IF($F2368&lt;$B$2345,$E$2345+$I$2345*($F2368-$A$2345),IF($F2368&lt;$C$2345,$F$2345+$J$2345*($F2368-$B$2345),$G$2345+$K$2345*($F2368-$C$2345)))</f>
        <v/>
      </c>
      <c r="P2368" s="208">
        <f>MIN(1,MAX(0,(nr_MEndPm1-$G2368+0.5)/$C$2344))-MIN(1,MAX(0,(nr_MStartPm1-1-$G2368+0.5)/$C$2344))</f>
        <v/>
      </c>
      <c r="Q2368" s="208">
        <f>MIN(1,MAX(0,(nr_MEndP-$G2368+0.5)/$C$2344))-MIN(1,MAX(0,(nr_MStartP-1-$G2368+0.5)/$C$2344))</f>
        <v/>
      </c>
      <c r="R2368" s="208">
        <f>MIN(1,MAX(0,(nr_MEndP1-$G2368+0.5)/$C$2344))-MIN(1,MAX(0,(nr_MStartP1-1-$G2368+0.5)/$C$2344))</f>
        <v/>
      </c>
      <c r="S2368" s="208">
        <f>IF($L$2344,$N2368*IF($O$2344=1,$O2368/$F$2344,1),"")</f>
        <v/>
      </c>
      <c r="T2368" s="208">
        <f>IF(NOT($L$2344),"",IF($G2368&lt;nr_MStartP,$S2368,$T2356*(1+IF($G2368&lt;nr_MStartP1,$M$2344,$N$2344))))</f>
        <v/>
      </c>
      <c r="U2368" s="208">
        <f>IF($L$2344,$T2368,$N2368)</f>
        <v/>
      </c>
    </row>
    <row r="2369">
      <c r="A2369" s="145" t="n">
        <v>23</v>
      </c>
      <c r="B2369" s="204">
        <f>EDATE($B2368,1)</f>
        <v/>
      </c>
      <c r="C2369" s="205">
        <f>EOMONTH($B2369,0)</f>
        <v/>
      </c>
      <c r="D2369" s="201">
        <f>$C2369-$B2369+1</f>
        <v/>
      </c>
      <c r="E2369" s="201">
        <f>MONTH($B2369)</f>
        <v/>
      </c>
      <c r="F2369" s="235">
        <f>($B2369+$C2369+1)/2</f>
        <v/>
      </c>
      <c r="G2369" s="201">
        <f>YEAR($B2369)*12+MONTH($B2369)-1</f>
        <v/>
      </c>
      <c r="H2369" s="207">
        <f>IF(OR(nr_SeasonOn="OFF",$D$2344=0,$E$2344=0),1,12*INDEX(se_block,$D$2344,$E2369)/$E$2344)</f>
        <v/>
      </c>
      <c r="I2369" s="208">
        <f>EXP(SUMPRODUCT((rl_eff&lt;$B2369)*(rl_key=$A$2344)*rl_ln1p))</f>
        <v/>
      </c>
      <c r="J2369" s="208">
        <f>EXP(SUMPRODUCT((rl_eff&lt;=$C2369)*(rl_key=$A$2344)*rl_ln1p))</f>
        <v/>
      </c>
      <c r="K2369" s="201">
        <f>COUNTIFS(rl_key,$A$2344,rl_eff,"&gt;="&amp;$B2369,rl_eff,"&lt;="&amp;$C2369)</f>
        <v/>
      </c>
      <c r="L2369" s="201">
        <f>SUMIFS(rl_daysafter,rl_key,$A$2344,rl_effmonth,$B2369,rl_first,1)</f>
        <v/>
      </c>
      <c r="M2369" s="209">
        <f>IF($K2369=0,0,MIN(1,$L2369/$D2369))</f>
        <v/>
      </c>
      <c r="N2369" s="208">
        <f>IF($K2369=0,$J2369,(1-$M2369)*$I2369+$M2369*$J2369)</f>
        <v/>
      </c>
      <c r="O2369" s="209">
        <f>IF($F2369&lt;$B$2345,$E$2345+$I$2345*($F2369-$A$2345),IF($F2369&lt;$C$2345,$F$2345+$J$2345*($F2369-$B$2345),$G$2345+$K$2345*($F2369-$C$2345)))</f>
        <v/>
      </c>
      <c r="P2369" s="208">
        <f>MIN(1,MAX(0,(nr_MEndPm1-$G2369+0.5)/$C$2344))-MIN(1,MAX(0,(nr_MStartPm1-1-$G2369+0.5)/$C$2344))</f>
        <v/>
      </c>
      <c r="Q2369" s="208">
        <f>MIN(1,MAX(0,(nr_MEndP-$G2369+0.5)/$C$2344))-MIN(1,MAX(0,(nr_MStartP-1-$G2369+0.5)/$C$2344))</f>
        <v/>
      </c>
      <c r="R2369" s="208">
        <f>MIN(1,MAX(0,(nr_MEndP1-$G2369+0.5)/$C$2344))-MIN(1,MAX(0,(nr_MStartP1-1-$G2369+0.5)/$C$2344))</f>
        <v/>
      </c>
      <c r="S2369" s="208">
        <f>IF($L$2344,$N2369*IF($O$2344=1,$O2369/$F$2344,1),"")</f>
        <v/>
      </c>
      <c r="T2369" s="208">
        <f>IF(NOT($L$2344),"",IF($G2369&lt;nr_MStartP,$S2369,$T2357*(1+IF($G2369&lt;nr_MStartP1,$M$2344,$N$2344))))</f>
        <v/>
      </c>
      <c r="U2369" s="208">
        <f>IF($L$2344,$T2369,$N2369)</f>
        <v/>
      </c>
    </row>
    <row r="2370">
      <c r="A2370" s="145" t="n">
        <v>24</v>
      </c>
      <c r="B2370" s="204">
        <f>EDATE($B2369,1)</f>
        <v/>
      </c>
      <c r="C2370" s="205">
        <f>EOMONTH($B2370,0)</f>
        <v/>
      </c>
      <c r="D2370" s="201">
        <f>$C2370-$B2370+1</f>
        <v/>
      </c>
      <c r="E2370" s="201">
        <f>MONTH($B2370)</f>
        <v/>
      </c>
      <c r="F2370" s="235">
        <f>($B2370+$C2370+1)/2</f>
        <v/>
      </c>
      <c r="G2370" s="201">
        <f>YEAR($B2370)*12+MONTH($B2370)-1</f>
        <v/>
      </c>
      <c r="H2370" s="207">
        <f>IF(OR(nr_SeasonOn="OFF",$D$2344=0,$E$2344=0),1,12*INDEX(se_block,$D$2344,$E2370)/$E$2344)</f>
        <v/>
      </c>
      <c r="I2370" s="208">
        <f>EXP(SUMPRODUCT((rl_eff&lt;$B2370)*(rl_key=$A$2344)*rl_ln1p))</f>
        <v/>
      </c>
      <c r="J2370" s="208">
        <f>EXP(SUMPRODUCT((rl_eff&lt;=$C2370)*(rl_key=$A$2344)*rl_ln1p))</f>
        <v/>
      </c>
      <c r="K2370" s="201">
        <f>COUNTIFS(rl_key,$A$2344,rl_eff,"&gt;="&amp;$B2370,rl_eff,"&lt;="&amp;$C2370)</f>
        <v/>
      </c>
      <c r="L2370" s="201">
        <f>SUMIFS(rl_daysafter,rl_key,$A$2344,rl_effmonth,$B2370,rl_first,1)</f>
        <v/>
      </c>
      <c r="M2370" s="209">
        <f>IF($K2370=0,0,MIN(1,$L2370/$D2370))</f>
        <v/>
      </c>
      <c r="N2370" s="208">
        <f>IF($K2370=0,$J2370,(1-$M2370)*$I2370+$M2370*$J2370)</f>
        <v/>
      </c>
      <c r="O2370" s="209">
        <f>IF($F2370&lt;$B$2345,$E$2345+$I$2345*($F2370-$A$2345),IF($F2370&lt;$C$2345,$F$2345+$J$2345*($F2370-$B$2345),$G$2345+$K$2345*($F2370-$C$2345)))</f>
        <v/>
      </c>
      <c r="P2370" s="208">
        <f>MIN(1,MAX(0,(nr_MEndPm1-$G2370+0.5)/$C$2344))-MIN(1,MAX(0,(nr_MStartPm1-1-$G2370+0.5)/$C$2344))</f>
        <v/>
      </c>
      <c r="Q2370" s="208">
        <f>MIN(1,MAX(0,(nr_MEndP-$G2370+0.5)/$C$2344))-MIN(1,MAX(0,(nr_MStartP-1-$G2370+0.5)/$C$2344))</f>
        <v/>
      </c>
      <c r="R2370" s="208">
        <f>MIN(1,MAX(0,(nr_MEndP1-$G2370+0.5)/$C$2344))-MIN(1,MAX(0,(nr_MStartP1-1-$G2370+0.5)/$C$2344))</f>
        <v/>
      </c>
      <c r="S2370" s="208">
        <f>IF($L$2344,$N2370*IF($O$2344=1,$O2370/$F$2344,1),"")</f>
        <v/>
      </c>
      <c r="T2370" s="208">
        <f>IF(NOT($L$2344),"",IF($G2370&lt;nr_MStartP,$S2370,$T2358*(1+IF($G2370&lt;nr_MStartP1,$M$2344,$N$2344))))</f>
        <v/>
      </c>
      <c r="U2370" s="208">
        <f>IF($L$2344,$T2370,$N2370)</f>
        <v/>
      </c>
    </row>
    <row r="2371">
      <c r="A2371" s="145" t="n">
        <v>25</v>
      </c>
      <c r="B2371" s="204">
        <f>EDATE($B2370,1)</f>
        <v/>
      </c>
      <c r="C2371" s="205">
        <f>EOMONTH($B2371,0)</f>
        <v/>
      </c>
      <c r="D2371" s="201">
        <f>$C2371-$B2371+1</f>
        <v/>
      </c>
      <c r="E2371" s="201">
        <f>MONTH($B2371)</f>
        <v/>
      </c>
      <c r="F2371" s="235">
        <f>($B2371+$C2371+1)/2</f>
        <v/>
      </c>
      <c r="G2371" s="201">
        <f>YEAR($B2371)*12+MONTH($B2371)-1</f>
        <v/>
      </c>
      <c r="H2371" s="207">
        <f>IF(OR(nr_SeasonOn="OFF",$D$2344=0,$E$2344=0),1,12*INDEX(se_block,$D$2344,$E2371)/$E$2344)</f>
        <v/>
      </c>
      <c r="I2371" s="208">
        <f>EXP(SUMPRODUCT((rl_eff&lt;$B2371)*(rl_key=$A$2344)*rl_ln1p))</f>
        <v/>
      </c>
      <c r="J2371" s="208">
        <f>EXP(SUMPRODUCT((rl_eff&lt;=$C2371)*(rl_key=$A$2344)*rl_ln1p))</f>
        <v/>
      </c>
      <c r="K2371" s="201">
        <f>COUNTIFS(rl_key,$A$2344,rl_eff,"&gt;="&amp;$B2371,rl_eff,"&lt;="&amp;$C2371)</f>
        <v/>
      </c>
      <c r="L2371" s="201">
        <f>SUMIFS(rl_daysafter,rl_key,$A$2344,rl_effmonth,$B2371,rl_first,1)</f>
        <v/>
      </c>
      <c r="M2371" s="209">
        <f>IF($K2371=0,0,MIN(1,$L2371/$D2371))</f>
        <v/>
      </c>
      <c r="N2371" s="208">
        <f>IF($K2371=0,$J2371,(1-$M2371)*$I2371+$M2371*$J2371)</f>
        <v/>
      </c>
      <c r="O2371" s="209">
        <f>IF($F2371&lt;$B$2345,$E$2345+$I$2345*($F2371-$A$2345),IF($F2371&lt;$C$2345,$F$2345+$J$2345*($F2371-$B$2345),$G$2345+$K$2345*($F2371-$C$2345)))</f>
        <v/>
      </c>
      <c r="P2371" s="208">
        <f>MIN(1,MAX(0,(nr_MEndPm1-$G2371+0.5)/$C$2344))-MIN(1,MAX(0,(nr_MStartPm1-1-$G2371+0.5)/$C$2344))</f>
        <v/>
      </c>
      <c r="Q2371" s="208">
        <f>MIN(1,MAX(0,(nr_MEndP-$G2371+0.5)/$C$2344))-MIN(1,MAX(0,(nr_MStartP-1-$G2371+0.5)/$C$2344))</f>
        <v/>
      </c>
      <c r="R2371" s="208">
        <f>MIN(1,MAX(0,(nr_MEndP1-$G2371+0.5)/$C$2344))-MIN(1,MAX(0,(nr_MStartP1-1-$G2371+0.5)/$C$2344))</f>
        <v/>
      </c>
      <c r="S2371" s="208">
        <f>IF($L$2344,$N2371*IF($O$2344=1,$O2371/$F$2344,1),"")</f>
        <v/>
      </c>
      <c r="T2371" s="208">
        <f>IF(NOT($L$2344),"",IF($G2371&lt;nr_MStartP,$S2371,$T2359*(1+IF($G2371&lt;nr_MStartP1,$M$2344,$N$2344))))</f>
        <v/>
      </c>
      <c r="U2371" s="208">
        <f>IF($L$2344,$T2371,$N2371)</f>
        <v/>
      </c>
    </row>
    <row r="2372">
      <c r="A2372" s="145" t="n">
        <v>26</v>
      </c>
      <c r="B2372" s="204">
        <f>EDATE($B2371,1)</f>
        <v/>
      </c>
      <c r="C2372" s="205">
        <f>EOMONTH($B2372,0)</f>
        <v/>
      </c>
      <c r="D2372" s="201">
        <f>$C2372-$B2372+1</f>
        <v/>
      </c>
      <c r="E2372" s="201">
        <f>MONTH($B2372)</f>
        <v/>
      </c>
      <c r="F2372" s="235">
        <f>($B2372+$C2372+1)/2</f>
        <v/>
      </c>
      <c r="G2372" s="201">
        <f>YEAR($B2372)*12+MONTH($B2372)-1</f>
        <v/>
      </c>
      <c r="H2372" s="207">
        <f>IF(OR(nr_SeasonOn="OFF",$D$2344=0,$E$2344=0),1,12*INDEX(se_block,$D$2344,$E2372)/$E$2344)</f>
        <v/>
      </c>
      <c r="I2372" s="208">
        <f>EXP(SUMPRODUCT((rl_eff&lt;$B2372)*(rl_key=$A$2344)*rl_ln1p))</f>
        <v/>
      </c>
      <c r="J2372" s="208">
        <f>EXP(SUMPRODUCT((rl_eff&lt;=$C2372)*(rl_key=$A$2344)*rl_ln1p))</f>
        <v/>
      </c>
      <c r="K2372" s="201">
        <f>COUNTIFS(rl_key,$A$2344,rl_eff,"&gt;="&amp;$B2372,rl_eff,"&lt;="&amp;$C2372)</f>
        <v/>
      </c>
      <c r="L2372" s="201">
        <f>SUMIFS(rl_daysafter,rl_key,$A$2344,rl_effmonth,$B2372,rl_first,1)</f>
        <v/>
      </c>
      <c r="M2372" s="209">
        <f>IF($K2372=0,0,MIN(1,$L2372/$D2372))</f>
        <v/>
      </c>
      <c r="N2372" s="208">
        <f>IF($K2372=0,$J2372,(1-$M2372)*$I2372+$M2372*$J2372)</f>
        <v/>
      </c>
      <c r="O2372" s="209">
        <f>IF($F2372&lt;$B$2345,$E$2345+$I$2345*($F2372-$A$2345),IF($F2372&lt;$C$2345,$F$2345+$J$2345*($F2372-$B$2345),$G$2345+$K$2345*($F2372-$C$2345)))</f>
        <v/>
      </c>
      <c r="P2372" s="208">
        <f>MIN(1,MAX(0,(nr_MEndPm1-$G2372+0.5)/$C$2344))-MIN(1,MAX(0,(nr_MStartPm1-1-$G2372+0.5)/$C$2344))</f>
        <v/>
      </c>
      <c r="Q2372" s="208">
        <f>MIN(1,MAX(0,(nr_MEndP-$G2372+0.5)/$C$2344))-MIN(1,MAX(0,(nr_MStartP-1-$G2372+0.5)/$C$2344))</f>
        <v/>
      </c>
      <c r="R2372" s="208">
        <f>MIN(1,MAX(0,(nr_MEndP1-$G2372+0.5)/$C$2344))-MIN(1,MAX(0,(nr_MStartP1-1-$G2372+0.5)/$C$2344))</f>
        <v/>
      </c>
      <c r="S2372" s="208">
        <f>IF($L$2344,$N2372*IF($O$2344=1,$O2372/$F$2344,1),"")</f>
        <v/>
      </c>
      <c r="T2372" s="208">
        <f>IF(NOT($L$2344),"",IF($G2372&lt;nr_MStartP,$S2372,$T2360*(1+IF($G2372&lt;nr_MStartP1,$M$2344,$N$2344))))</f>
        <v/>
      </c>
      <c r="U2372" s="208">
        <f>IF($L$2344,$T2372,$N2372)</f>
        <v/>
      </c>
    </row>
    <row r="2373">
      <c r="A2373" s="145" t="n">
        <v>27</v>
      </c>
      <c r="B2373" s="204">
        <f>EDATE($B2372,1)</f>
        <v/>
      </c>
      <c r="C2373" s="205">
        <f>EOMONTH($B2373,0)</f>
        <v/>
      </c>
      <c r="D2373" s="201">
        <f>$C2373-$B2373+1</f>
        <v/>
      </c>
      <c r="E2373" s="201">
        <f>MONTH($B2373)</f>
        <v/>
      </c>
      <c r="F2373" s="235">
        <f>($B2373+$C2373+1)/2</f>
        <v/>
      </c>
      <c r="G2373" s="201">
        <f>YEAR($B2373)*12+MONTH($B2373)-1</f>
        <v/>
      </c>
      <c r="H2373" s="207">
        <f>IF(OR(nr_SeasonOn="OFF",$D$2344=0,$E$2344=0),1,12*INDEX(se_block,$D$2344,$E2373)/$E$2344)</f>
        <v/>
      </c>
      <c r="I2373" s="208">
        <f>EXP(SUMPRODUCT((rl_eff&lt;$B2373)*(rl_key=$A$2344)*rl_ln1p))</f>
        <v/>
      </c>
      <c r="J2373" s="208">
        <f>EXP(SUMPRODUCT((rl_eff&lt;=$C2373)*(rl_key=$A$2344)*rl_ln1p))</f>
        <v/>
      </c>
      <c r="K2373" s="201">
        <f>COUNTIFS(rl_key,$A$2344,rl_eff,"&gt;="&amp;$B2373,rl_eff,"&lt;="&amp;$C2373)</f>
        <v/>
      </c>
      <c r="L2373" s="201">
        <f>SUMIFS(rl_daysafter,rl_key,$A$2344,rl_effmonth,$B2373,rl_first,1)</f>
        <v/>
      </c>
      <c r="M2373" s="209">
        <f>IF($K2373=0,0,MIN(1,$L2373/$D2373))</f>
        <v/>
      </c>
      <c r="N2373" s="208">
        <f>IF($K2373=0,$J2373,(1-$M2373)*$I2373+$M2373*$J2373)</f>
        <v/>
      </c>
      <c r="O2373" s="209">
        <f>IF($F2373&lt;$B$2345,$E$2345+$I$2345*($F2373-$A$2345),IF($F2373&lt;$C$2345,$F$2345+$J$2345*($F2373-$B$2345),$G$2345+$K$2345*($F2373-$C$2345)))</f>
        <v/>
      </c>
      <c r="P2373" s="208">
        <f>MIN(1,MAX(0,(nr_MEndPm1-$G2373+0.5)/$C$2344))-MIN(1,MAX(0,(nr_MStartPm1-1-$G2373+0.5)/$C$2344))</f>
        <v/>
      </c>
      <c r="Q2373" s="208">
        <f>MIN(1,MAX(0,(nr_MEndP-$G2373+0.5)/$C$2344))-MIN(1,MAX(0,(nr_MStartP-1-$G2373+0.5)/$C$2344))</f>
        <v/>
      </c>
      <c r="R2373" s="208">
        <f>MIN(1,MAX(0,(nr_MEndP1-$G2373+0.5)/$C$2344))-MIN(1,MAX(0,(nr_MStartP1-1-$G2373+0.5)/$C$2344))</f>
        <v/>
      </c>
      <c r="S2373" s="208">
        <f>IF($L$2344,$N2373*IF($O$2344=1,$O2373/$F$2344,1),"")</f>
        <v/>
      </c>
      <c r="T2373" s="208">
        <f>IF(NOT($L$2344),"",IF($G2373&lt;nr_MStartP,$S2373,$T2361*(1+IF($G2373&lt;nr_MStartP1,$M$2344,$N$2344))))</f>
        <v/>
      </c>
      <c r="U2373" s="208">
        <f>IF($L$2344,$T2373,$N2373)</f>
        <v/>
      </c>
    </row>
    <row r="2374">
      <c r="A2374" s="145" t="n">
        <v>28</v>
      </c>
      <c r="B2374" s="204">
        <f>EDATE($B2373,1)</f>
        <v/>
      </c>
      <c r="C2374" s="205">
        <f>EOMONTH($B2374,0)</f>
        <v/>
      </c>
      <c r="D2374" s="201">
        <f>$C2374-$B2374+1</f>
        <v/>
      </c>
      <c r="E2374" s="201">
        <f>MONTH($B2374)</f>
        <v/>
      </c>
      <c r="F2374" s="235">
        <f>($B2374+$C2374+1)/2</f>
        <v/>
      </c>
      <c r="G2374" s="201">
        <f>YEAR($B2374)*12+MONTH($B2374)-1</f>
        <v/>
      </c>
      <c r="H2374" s="207">
        <f>IF(OR(nr_SeasonOn="OFF",$D$2344=0,$E$2344=0),1,12*INDEX(se_block,$D$2344,$E2374)/$E$2344)</f>
        <v/>
      </c>
      <c r="I2374" s="208">
        <f>EXP(SUMPRODUCT((rl_eff&lt;$B2374)*(rl_key=$A$2344)*rl_ln1p))</f>
        <v/>
      </c>
      <c r="J2374" s="208">
        <f>EXP(SUMPRODUCT((rl_eff&lt;=$C2374)*(rl_key=$A$2344)*rl_ln1p))</f>
        <v/>
      </c>
      <c r="K2374" s="201">
        <f>COUNTIFS(rl_key,$A$2344,rl_eff,"&gt;="&amp;$B2374,rl_eff,"&lt;="&amp;$C2374)</f>
        <v/>
      </c>
      <c r="L2374" s="201">
        <f>SUMIFS(rl_daysafter,rl_key,$A$2344,rl_effmonth,$B2374,rl_first,1)</f>
        <v/>
      </c>
      <c r="M2374" s="209">
        <f>IF($K2374=0,0,MIN(1,$L2374/$D2374))</f>
        <v/>
      </c>
      <c r="N2374" s="208">
        <f>IF($K2374=0,$J2374,(1-$M2374)*$I2374+$M2374*$J2374)</f>
        <v/>
      </c>
      <c r="O2374" s="209">
        <f>IF($F2374&lt;$B$2345,$E$2345+$I$2345*($F2374-$A$2345),IF($F2374&lt;$C$2345,$F$2345+$J$2345*($F2374-$B$2345),$G$2345+$K$2345*($F2374-$C$2345)))</f>
        <v/>
      </c>
      <c r="P2374" s="208">
        <f>MIN(1,MAX(0,(nr_MEndPm1-$G2374+0.5)/$C$2344))-MIN(1,MAX(0,(nr_MStartPm1-1-$G2374+0.5)/$C$2344))</f>
        <v/>
      </c>
      <c r="Q2374" s="208">
        <f>MIN(1,MAX(0,(nr_MEndP-$G2374+0.5)/$C$2344))-MIN(1,MAX(0,(nr_MStartP-1-$G2374+0.5)/$C$2344))</f>
        <v/>
      </c>
      <c r="R2374" s="208">
        <f>MIN(1,MAX(0,(nr_MEndP1-$G2374+0.5)/$C$2344))-MIN(1,MAX(0,(nr_MStartP1-1-$G2374+0.5)/$C$2344))</f>
        <v/>
      </c>
      <c r="S2374" s="208">
        <f>IF($L$2344,$N2374*IF($O$2344=1,$O2374/$F$2344,1),"")</f>
        <v/>
      </c>
      <c r="T2374" s="208">
        <f>IF(NOT($L$2344),"",IF($G2374&lt;nr_MStartP,$S2374,$T2362*(1+IF($G2374&lt;nr_MStartP1,$M$2344,$N$2344))))</f>
        <v/>
      </c>
      <c r="U2374" s="208">
        <f>IF($L$2344,$T2374,$N2374)</f>
        <v/>
      </c>
    </row>
    <row r="2375">
      <c r="A2375" s="145" t="n">
        <v>29</v>
      </c>
      <c r="B2375" s="204">
        <f>EDATE($B2374,1)</f>
        <v/>
      </c>
      <c r="C2375" s="205">
        <f>EOMONTH($B2375,0)</f>
        <v/>
      </c>
      <c r="D2375" s="201">
        <f>$C2375-$B2375+1</f>
        <v/>
      </c>
      <c r="E2375" s="201">
        <f>MONTH($B2375)</f>
        <v/>
      </c>
      <c r="F2375" s="235">
        <f>($B2375+$C2375+1)/2</f>
        <v/>
      </c>
      <c r="G2375" s="201">
        <f>YEAR($B2375)*12+MONTH($B2375)-1</f>
        <v/>
      </c>
      <c r="H2375" s="207">
        <f>IF(OR(nr_SeasonOn="OFF",$D$2344=0,$E$2344=0),1,12*INDEX(se_block,$D$2344,$E2375)/$E$2344)</f>
        <v/>
      </c>
      <c r="I2375" s="208">
        <f>EXP(SUMPRODUCT((rl_eff&lt;$B2375)*(rl_key=$A$2344)*rl_ln1p))</f>
        <v/>
      </c>
      <c r="J2375" s="208">
        <f>EXP(SUMPRODUCT((rl_eff&lt;=$C2375)*(rl_key=$A$2344)*rl_ln1p))</f>
        <v/>
      </c>
      <c r="K2375" s="201">
        <f>COUNTIFS(rl_key,$A$2344,rl_eff,"&gt;="&amp;$B2375,rl_eff,"&lt;="&amp;$C2375)</f>
        <v/>
      </c>
      <c r="L2375" s="201">
        <f>SUMIFS(rl_daysafter,rl_key,$A$2344,rl_effmonth,$B2375,rl_first,1)</f>
        <v/>
      </c>
      <c r="M2375" s="209">
        <f>IF($K2375=0,0,MIN(1,$L2375/$D2375))</f>
        <v/>
      </c>
      <c r="N2375" s="208">
        <f>IF($K2375=0,$J2375,(1-$M2375)*$I2375+$M2375*$J2375)</f>
        <v/>
      </c>
      <c r="O2375" s="209">
        <f>IF($F2375&lt;$B$2345,$E$2345+$I$2345*($F2375-$A$2345),IF($F2375&lt;$C$2345,$F$2345+$J$2345*($F2375-$B$2345),$G$2345+$K$2345*($F2375-$C$2345)))</f>
        <v/>
      </c>
      <c r="P2375" s="208">
        <f>MIN(1,MAX(0,(nr_MEndPm1-$G2375+0.5)/$C$2344))-MIN(1,MAX(0,(nr_MStartPm1-1-$G2375+0.5)/$C$2344))</f>
        <v/>
      </c>
      <c r="Q2375" s="208">
        <f>MIN(1,MAX(0,(nr_MEndP-$G2375+0.5)/$C$2344))-MIN(1,MAX(0,(nr_MStartP-1-$G2375+0.5)/$C$2344))</f>
        <v/>
      </c>
      <c r="R2375" s="208">
        <f>MIN(1,MAX(0,(nr_MEndP1-$G2375+0.5)/$C$2344))-MIN(1,MAX(0,(nr_MStartP1-1-$G2375+0.5)/$C$2344))</f>
        <v/>
      </c>
      <c r="S2375" s="208">
        <f>IF($L$2344,$N2375*IF($O$2344=1,$O2375/$F$2344,1),"")</f>
        <v/>
      </c>
      <c r="T2375" s="208">
        <f>IF(NOT($L$2344),"",IF($G2375&lt;nr_MStartP,$S2375,$T2363*(1+IF($G2375&lt;nr_MStartP1,$M$2344,$N$2344))))</f>
        <v/>
      </c>
      <c r="U2375" s="208">
        <f>IF($L$2344,$T2375,$N2375)</f>
        <v/>
      </c>
    </row>
    <row r="2376">
      <c r="A2376" s="145" t="n">
        <v>30</v>
      </c>
      <c r="B2376" s="204">
        <f>EDATE($B2375,1)</f>
        <v/>
      </c>
      <c r="C2376" s="205">
        <f>EOMONTH($B2376,0)</f>
        <v/>
      </c>
      <c r="D2376" s="201">
        <f>$C2376-$B2376+1</f>
        <v/>
      </c>
      <c r="E2376" s="201">
        <f>MONTH($B2376)</f>
        <v/>
      </c>
      <c r="F2376" s="235">
        <f>($B2376+$C2376+1)/2</f>
        <v/>
      </c>
      <c r="G2376" s="201">
        <f>YEAR($B2376)*12+MONTH($B2376)-1</f>
        <v/>
      </c>
      <c r="H2376" s="207">
        <f>IF(OR(nr_SeasonOn="OFF",$D$2344=0,$E$2344=0),1,12*INDEX(se_block,$D$2344,$E2376)/$E$2344)</f>
        <v/>
      </c>
      <c r="I2376" s="208">
        <f>EXP(SUMPRODUCT((rl_eff&lt;$B2376)*(rl_key=$A$2344)*rl_ln1p))</f>
        <v/>
      </c>
      <c r="J2376" s="208">
        <f>EXP(SUMPRODUCT((rl_eff&lt;=$C2376)*(rl_key=$A$2344)*rl_ln1p))</f>
        <v/>
      </c>
      <c r="K2376" s="201">
        <f>COUNTIFS(rl_key,$A$2344,rl_eff,"&gt;="&amp;$B2376,rl_eff,"&lt;="&amp;$C2376)</f>
        <v/>
      </c>
      <c r="L2376" s="201">
        <f>SUMIFS(rl_daysafter,rl_key,$A$2344,rl_effmonth,$B2376,rl_first,1)</f>
        <v/>
      </c>
      <c r="M2376" s="209">
        <f>IF($K2376=0,0,MIN(1,$L2376/$D2376))</f>
        <v/>
      </c>
      <c r="N2376" s="208">
        <f>IF($K2376=0,$J2376,(1-$M2376)*$I2376+$M2376*$J2376)</f>
        <v/>
      </c>
      <c r="O2376" s="209">
        <f>IF($F2376&lt;$B$2345,$E$2345+$I$2345*($F2376-$A$2345),IF($F2376&lt;$C$2345,$F$2345+$J$2345*($F2376-$B$2345),$G$2345+$K$2345*($F2376-$C$2345)))</f>
        <v/>
      </c>
      <c r="P2376" s="208">
        <f>MIN(1,MAX(0,(nr_MEndPm1-$G2376+0.5)/$C$2344))-MIN(1,MAX(0,(nr_MStartPm1-1-$G2376+0.5)/$C$2344))</f>
        <v/>
      </c>
      <c r="Q2376" s="208">
        <f>MIN(1,MAX(0,(nr_MEndP-$G2376+0.5)/$C$2344))-MIN(1,MAX(0,(nr_MStartP-1-$G2376+0.5)/$C$2344))</f>
        <v/>
      </c>
      <c r="R2376" s="208">
        <f>MIN(1,MAX(0,(nr_MEndP1-$G2376+0.5)/$C$2344))-MIN(1,MAX(0,(nr_MStartP1-1-$G2376+0.5)/$C$2344))</f>
        <v/>
      </c>
      <c r="S2376" s="208">
        <f>IF($L$2344,$N2376*IF($O$2344=1,$O2376/$F$2344,1),"")</f>
        <v/>
      </c>
      <c r="T2376" s="208">
        <f>IF(NOT($L$2344),"",IF($G2376&lt;nr_MStartP,$S2376,$T2364*(1+IF($G2376&lt;nr_MStartP1,$M$2344,$N$2344))))</f>
        <v/>
      </c>
      <c r="U2376" s="208">
        <f>IF($L$2344,$T2376,$N2376)</f>
        <v/>
      </c>
    </row>
    <row r="2377">
      <c r="A2377" s="145" t="n">
        <v>31</v>
      </c>
      <c r="B2377" s="204">
        <f>EDATE($B2376,1)</f>
        <v/>
      </c>
      <c r="C2377" s="205">
        <f>EOMONTH($B2377,0)</f>
        <v/>
      </c>
      <c r="D2377" s="201">
        <f>$C2377-$B2377+1</f>
        <v/>
      </c>
      <c r="E2377" s="201">
        <f>MONTH($B2377)</f>
        <v/>
      </c>
      <c r="F2377" s="235">
        <f>($B2377+$C2377+1)/2</f>
        <v/>
      </c>
      <c r="G2377" s="201">
        <f>YEAR($B2377)*12+MONTH($B2377)-1</f>
        <v/>
      </c>
      <c r="H2377" s="207">
        <f>IF(OR(nr_SeasonOn="OFF",$D$2344=0,$E$2344=0),1,12*INDEX(se_block,$D$2344,$E2377)/$E$2344)</f>
        <v/>
      </c>
      <c r="I2377" s="208">
        <f>EXP(SUMPRODUCT((rl_eff&lt;$B2377)*(rl_key=$A$2344)*rl_ln1p))</f>
        <v/>
      </c>
      <c r="J2377" s="208">
        <f>EXP(SUMPRODUCT((rl_eff&lt;=$C2377)*(rl_key=$A$2344)*rl_ln1p))</f>
        <v/>
      </c>
      <c r="K2377" s="201">
        <f>COUNTIFS(rl_key,$A$2344,rl_eff,"&gt;="&amp;$B2377,rl_eff,"&lt;="&amp;$C2377)</f>
        <v/>
      </c>
      <c r="L2377" s="201">
        <f>SUMIFS(rl_daysafter,rl_key,$A$2344,rl_effmonth,$B2377,rl_first,1)</f>
        <v/>
      </c>
      <c r="M2377" s="209">
        <f>IF($K2377=0,0,MIN(1,$L2377/$D2377))</f>
        <v/>
      </c>
      <c r="N2377" s="208">
        <f>IF($K2377=0,$J2377,(1-$M2377)*$I2377+$M2377*$J2377)</f>
        <v/>
      </c>
      <c r="O2377" s="209">
        <f>IF($F2377&lt;$B$2345,$E$2345+$I$2345*($F2377-$A$2345),IF($F2377&lt;$C$2345,$F$2345+$J$2345*($F2377-$B$2345),$G$2345+$K$2345*($F2377-$C$2345)))</f>
        <v/>
      </c>
      <c r="P2377" s="208">
        <f>MIN(1,MAX(0,(nr_MEndPm1-$G2377+0.5)/$C$2344))-MIN(1,MAX(0,(nr_MStartPm1-1-$G2377+0.5)/$C$2344))</f>
        <v/>
      </c>
      <c r="Q2377" s="208">
        <f>MIN(1,MAX(0,(nr_MEndP-$G2377+0.5)/$C$2344))-MIN(1,MAX(0,(nr_MStartP-1-$G2377+0.5)/$C$2344))</f>
        <v/>
      </c>
      <c r="R2377" s="208">
        <f>MIN(1,MAX(0,(nr_MEndP1-$G2377+0.5)/$C$2344))-MIN(1,MAX(0,(nr_MStartP1-1-$G2377+0.5)/$C$2344))</f>
        <v/>
      </c>
      <c r="S2377" s="208">
        <f>IF($L$2344,$N2377*IF($O$2344=1,$O2377/$F$2344,1),"")</f>
        <v/>
      </c>
      <c r="T2377" s="208">
        <f>IF(NOT($L$2344),"",IF($G2377&lt;nr_MStartP,$S2377,$T2365*(1+IF($G2377&lt;nr_MStartP1,$M$2344,$N$2344))))</f>
        <v/>
      </c>
      <c r="U2377" s="208">
        <f>IF($L$2344,$T2377,$N2377)</f>
        <v/>
      </c>
    </row>
    <row r="2378">
      <c r="A2378" s="145" t="n">
        <v>32</v>
      </c>
      <c r="B2378" s="204">
        <f>EDATE($B2377,1)</f>
        <v/>
      </c>
      <c r="C2378" s="205">
        <f>EOMONTH($B2378,0)</f>
        <v/>
      </c>
      <c r="D2378" s="201">
        <f>$C2378-$B2378+1</f>
        <v/>
      </c>
      <c r="E2378" s="201">
        <f>MONTH($B2378)</f>
        <v/>
      </c>
      <c r="F2378" s="235">
        <f>($B2378+$C2378+1)/2</f>
        <v/>
      </c>
      <c r="G2378" s="201">
        <f>YEAR($B2378)*12+MONTH($B2378)-1</f>
        <v/>
      </c>
      <c r="H2378" s="207">
        <f>IF(OR(nr_SeasonOn="OFF",$D$2344=0,$E$2344=0),1,12*INDEX(se_block,$D$2344,$E2378)/$E$2344)</f>
        <v/>
      </c>
      <c r="I2378" s="208">
        <f>EXP(SUMPRODUCT((rl_eff&lt;$B2378)*(rl_key=$A$2344)*rl_ln1p))</f>
        <v/>
      </c>
      <c r="J2378" s="208">
        <f>EXP(SUMPRODUCT((rl_eff&lt;=$C2378)*(rl_key=$A$2344)*rl_ln1p))</f>
        <v/>
      </c>
      <c r="K2378" s="201">
        <f>COUNTIFS(rl_key,$A$2344,rl_eff,"&gt;="&amp;$B2378,rl_eff,"&lt;="&amp;$C2378)</f>
        <v/>
      </c>
      <c r="L2378" s="201">
        <f>SUMIFS(rl_daysafter,rl_key,$A$2344,rl_effmonth,$B2378,rl_first,1)</f>
        <v/>
      </c>
      <c r="M2378" s="209">
        <f>IF($K2378=0,0,MIN(1,$L2378/$D2378))</f>
        <v/>
      </c>
      <c r="N2378" s="208">
        <f>IF($K2378=0,$J2378,(1-$M2378)*$I2378+$M2378*$J2378)</f>
        <v/>
      </c>
      <c r="O2378" s="209">
        <f>IF($F2378&lt;$B$2345,$E$2345+$I$2345*($F2378-$A$2345),IF($F2378&lt;$C$2345,$F$2345+$J$2345*($F2378-$B$2345),$G$2345+$K$2345*($F2378-$C$2345)))</f>
        <v/>
      </c>
      <c r="P2378" s="208">
        <f>MIN(1,MAX(0,(nr_MEndPm1-$G2378+0.5)/$C$2344))-MIN(1,MAX(0,(nr_MStartPm1-1-$G2378+0.5)/$C$2344))</f>
        <v/>
      </c>
      <c r="Q2378" s="208">
        <f>MIN(1,MAX(0,(nr_MEndP-$G2378+0.5)/$C$2344))-MIN(1,MAX(0,(nr_MStartP-1-$G2378+0.5)/$C$2344))</f>
        <v/>
      </c>
      <c r="R2378" s="208">
        <f>MIN(1,MAX(0,(nr_MEndP1-$G2378+0.5)/$C$2344))-MIN(1,MAX(0,(nr_MStartP1-1-$G2378+0.5)/$C$2344))</f>
        <v/>
      </c>
      <c r="S2378" s="208">
        <f>IF($L$2344,$N2378*IF($O$2344=1,$O2378/$F$2344,1),"")</f>
        <v/>
      </c>
      <c r="T2378" s="208">
        <f>IF(NOT($L$2344),"",IF($G2378&lt;nr_MStartP,$S2378,$T2366*(1+IF($G2378&lt;nr_MStartP1,$M$2344,$N$2344))))</f>
        <v/>
      </c>
      <c r="U2378" s="208">
        <f>IF($L$2344,$T2378,$N2378)</f>
        <v/>
      </c>
    </row>
    <row r="2379">
      <c r="A2379" s="145" t="n">
        <v>33</v>
      </c>
      <c r="B2379" s="204">
        <f>EDATE($B2378,1)</f>
        <v/>
      </c>
      <c r="C2379" s="205">
        <f>EOMONTH($B2379,0)</f>
        <v/>
      </c>
      <c r="D2379" s="201">
        <f>$C2379-$B2379+1</f>
        <v/>
      </c>
      <c r="E2379" s="201">
        <f>MONTH($B2379)</f>
        <v/>
      </c>
      <c r="F2379" s="235">
        <f>($B2379+$C2379+1)/2</f>
        <v/>
      </c>
      <c r="G2379" s="201">
        <f>YEAR($B2379)*12+MONTH($B2379)-1</f>
        <v/>
      </c>
      <c r="H2379" s="207">
        <f>IF(OR(nr_SeasonOn="OFF",$D$2344=0,$E$2344=0),1,12*INDEX(se_block,$D$2344,$E2379)/$E$2344)</f>
        <v/>
      </c>
      <c r="I2379" s="208">
        <f>EXP(SUMPRODUCT((rl_eff&lt;$B2379)*(rl_key=$A$2344)*rl_ln1p))</f>
        <v/>
      </c>
      <c r="J2379" s="208">
        <f>EXP(SUMPRODUCT((rl_eff&lt;=$C2379)*(rl_key=$A$2344)*rl_ln1p))</f>
        <v/>
      </c>
      <c r="K2379" s="201">
        <f>COUNTIFS(rl_key,$A$2344,rl_eff,"&gt;="&amp;$B2379,rl_eff,"&lt;="&amp;$C2379)</f>
        <v/>
      </c>
      <c r="L2379" s="201">
        <f>SUMIFS(rl_daysafter,rl_key,$A$2344,rl_effmonth,$B2379,rl_first,1)</f>
        <v/>
      </c>
      <c r="M2379" s="209">
        <f>IF($K2379=0,0,MIN(1,$L2379/$D2379))</f>
        <v/>
      </c>
      <c r="N2379" s="208">
        <f>IF($K2379=0,$J2379,(1-$M2379)*$I2379+$M2379*$J2379)</f>
        <v/>
      </c>
      <c r="O2379" s="209">
        <f>IF($F2379&lt;$B$2345,$E$2345+$I$2345*($F2379-$A$2345),IF($F2379&lt;$C$2345,$F$2345+$J$2345*($F2379-$B$2345),$G$2345+$K$2345*($F2379-$C$2345)))</f>
        <v/>
      </c>
      <c r="P2379" s="208">
        <f>MIN(1,MAX(0,(nr_MEndPm1-$G2379+0.5)/$C$2344))-MIN(1,MAX(0,(nr_MStartPm1-1-$G2379+0.5)/$C$2344))</f>
        <v/>
      </c>
      <c r="Q2379" s="208">
        <f>MIN(1,MAX(0,(nr_MEndP-$G2379+0.5)/$C$2344))-MIN(1,MAX(0,(nr_MStartP-1-$G2379+0.5)/$C$2344))</f>
        <v/>
      </c>
      <c r="R2379" s="208">
        <f>MIN(1,MAX(0,(nr_MEndP1-$G2379+0.5)/$C$2344))-MIN(1,MAX(0,(nr_MStartP1-1-$G2379+0.5)/$C$2344))</f>
        <v/>
      </c>
      <c r="S2379" s="208">
        <f>IF($L$2344,$N2379*IF($O$2344=1,$O2379/$F$2344,1),"")</f>
        <v/>
      </c>
      <c r="T2379" s="208">
        <f>IF(NOT($L$2344),"",IF($G2379&lt;nr_MStartP,$S2379,$T2367*(1+IF($G2379&lt;nr_MStartP1,$M$2344,$N$2344))))</f>
        <v/>
      </c>
      <c r="U2379" s="208">
        <f>IF($L$2344,$T2379,$N2379)</f>
        <v/>
      </c>
    </row>
    <row r="2380">
      <c r="A2380" s="145" t="n">
        <v>34</v>
      </c>
      <c r="B2380" s="204">
        <f>EDATE($B2379,1)</f>
        <v/>
      </c>
      <c r="C2380" s="205">
        <f>EOMONTH($B2380,0)</f>
        <v/>
      </c>
      <c r="D2380" s="201">
        <f>$C2380-$B2380+1</f>
        <v/>
      </c>
      <c r="E2380" s="201">
        <f>MONTH($B2380)</f>
        <v/>
      </c>
      <c r="F2380" s="235">
        <f>($B2380+$C2380+1)/2</f>
        <v/>
      </c>
      <c r="G2380" s="201">
        <f>YEAR($B2380)*12+MONTH($B2380)-1</f>
        <v/>
      </c>
      <c r="H2380" s="207">
        <f>IF(OR(nr_SeasonOn="OFF",$D$2344=0,$E$2344=0),1,12*INDEX(se_block,$D$2344,$E2380)/$E$2344)</f>
        <v/>
      </c>
      <c r="I2380" s="208">
        <f>EXP(SUMPRODUCT((rl_eff&lt;$B2380)*(rl_key=$A$2344)*rl_ln1p))</f>
        <v/>
      </c>
      <c r="J2380" s="208">
        <f>EXP(SUMPRODUCT((rl_eff&lt;=$C2380)*(rl_key=$A$2344)*rl_ln1p))</f>
        <v/>
      </c>
      <c r="K2380" s="201">
        <f>COUNTIFS(rl_key,$A$2344,rl_eff,"&gt;="&amp;$B2380,rl_eff,"&lt;="&amp;$C2380)</f>
        <v/>
      </c>
      <c r="L2380" s="201">
        <f>SUMIFS(rl_daysafter,rl_key,$A$2344,rl_effmonth,$B2380,rl_first,1)</f>
        <v/>
      </c>
      <c r="M2380" s="209">
        <f>IF($K2380=0,0,MIN(1,$L2380/$D2380))</f>
        <v/>
      </c>
      <c r="N2380" s="208">
        <f>IF($K2380=0,$J2380,(1-$M2380)*$I2380+$M2380*$J2380)</f>
        <v/>
      </c>
      <c r="O2380" s="209">
        <f>IF($F2380&lt;$B$2345,$E$2345+$I$2345*($F2380-$A$2345),IF($F2380&lt;$C$2345,$F$2345+$J$2345*($F2380-$B$2345),$G$2345+$K$2345*($F2380-$C$2345)))</f>
        <v/>
      </c>
      <c r="P2380" s="208">
        <f>MIN(1,MAX(0,(nr_MEndPm1-$G2380+0.5)/$C$2344))-MIN(1,MAX(0,(nr_MStartPm1-1-$G2380+0.5)/$C$2344))</f>
        <v/>
      </c>
      <c r="Q2380" s="208">
        <f>MIN(1,MAX(0,(nr_MEndP-$G2380+0.5)/$C$2344))-MIN(1,MAX(0,(nr_MStartP-1-$G2380+0.5)/$C$2344))</f>
        <v/>
      </c>
      <c r="R2380" s="208">
        <f>MIN(1,MAX(0,(nr_MEndP1-$G2380+0.5)/$C$2344))-MIN(1,MAX(0,(nr_MStartP1-1-$G2380+0.5)/$C$2344))</f>
        <v/>
      </c>
      <c r="S2380" s="208">
        <f>IF($L$2344,$N2380*IF($O$2344=1,$O2380/$F$2344,1),"")</f>
        <v/>
      </c>
      <c r="T2380" s="208">
        <f>IF(NOT($L$2344),"",IF($G2380&lt;nr_MStartP,$S2380,$T2368*(1+IF($G2380&lt;nr_MStartP1,$M$2344,$N$2344))))</f>
        <v/>
      </c>
      <c r="U2380" s="208">
        <f>IF($L$2344,$T2380,$N2380)</f>
        <v/>
      </c>
    </row>
    <row r="2381">
      <c r="A2381" s="145" t="n">
        <v>35</v>
      </c>
      <c r="B2381" s="204">
        <f>EDATE($B2380,1)</f>
        <v/>
      </c>
      <c r="C2381" s="205">
        <f>EOMONTH($B2381,0)</f>
        <v/>
      </c>
      <c r="D2381" s="201">
        <f>$C2381-$B2381+1</f>
        <v/>
      </c>
      <c r="E2381" s="201">
        <f>MONTH($B2381)</f>
        <v/>
      </c>
      <c r="F2381" s="235">
        <f>($B2381+$C2381+1)/2</f>
        <v/>
      </c>
      <c r="G2381" s="201">
        <f>YEAR($B2381)*12+MONTH($B2381)-1</f>
        <v/>
      </c>
      <c r="H2381" s="207">
        <f>IF(OR(nr_SeasonOn="OFF",$D$2344=0,$E$2344=0),1,12*INDEX(se_block,$D$2344,$E2381)/$E$2344)</f>
        <v/>
      </c>
      <c r="I2381" s="208">
        <f>EXP(SUMPRODUCT((rl_eff&lt;$B2381)*(rl_key=$A$2344)*rl_ln1p))</f>
        <v/>
      </c>
      <c r="J2381" s="208">
        <f>EXP(SUMPRODUCT((rl_eff&lt;=$C2381)*(rl_key=$A$2344)*rl_ln1p))</f>
        <v/>
      </c>
      <c r="K2381" s="201">
        <f>COUNTIFS(rl_key,$A$2344,rl_eff,"&gt;="&amp;$B2381,rl_eff,"&lt;="&amp;$C2381)</f>
        <v/>
      </c>
      <c r="L2381" s="201">
        <f>SUMIFS(rl_daysafter,rl_key,$A$2344,rl_effmonth,$B2381,rl_first,1)</f>
        <v/>
      </c>
      <c r="M2381" s="209">
        <f>IF($K2381=0,0,MIN(1,$L2381/$D2381))</f>
        <v/>
      </c>
      <c r="N2381" s="208">
        <f>IF($K2381=0,$J2381,(1-$M2381)*$I2381+$M2381*$J2381)</f>
        <v/>
      </c>
      <c r="O2381" s="209">
        <f>IF($F2381&lt;$B$2345,$E$2345+$I$2345*($F2381-$A$2345),IF($F2381&lt;$C$2345,$F$2345+$J$2345*($F2381-$B$2345),$G$2345+$K$2345*($F2381-$C$2345)))</f>
        <v/>
      </c>
      <c r="P2381" s="208">
        <f>MIN(1,MAX(0,(nr_MEndPm1-$G2381+0.5)/$C$2344))-MIN(1,MAX(0,(nr_MStartPm1-1-$G2381+0.5)/$C$2344))</f>
        <v/>
      </c>
      <c r="Q2381" s="208">
        <f>MIN(1,MAX(0,(nr_MEndP-$G2381+0.5)/$C$2344))-MIN(1,MAX(0,(nr_MStartP-1-$G2381+0.5)/$C$2344))</f>
        <v/>
      </c>
      <c r="R2381" s="208">
        <f>MIN(1,MAX(0,(nr_MEndP1-$G2381+0.5)/$C$2344))-MIN(1,MAX(0,(nr_MStartP1-1-$G2381+0.5)/$C$2344))</f>
        <v/>
      </c>
      <c r="S2381" s="208">
        <f>IF($L$2344,$N2381*IF($O$2344=1,$O2381/$F$2344,1),"")</f>
        <v/>
      </c>
      <c r="T2381" s="208">
        <f>IF(NOT($L$2344),"",IF($G2381&lt;nr_MStartP,$S2381,$T2369*(1+IF($G2381&lt;nr_MStartP1,$M$2344,$N$2344))))</f>
        <v/>
      </c>
      <c r="U2381" s="208">
        <f>IF($L$2344,$T2381,$N2381)</f>
        <v/>
      </c>
    </row>
    <row r="2382">
      <c r="A2382" s="145" t="n">
        <v>36</v>
      </c>
      <c r="B2382" s="204">
        <f>EDATE($B2381,1)</f>
        <v/>
      </c>
      <c r="C2382" s="205">
        <f>EOMONTH($B2382,0)</f>
        <v/>
      </c>
      <c r="D2382" s="201">
        <f>$C2382-$B2382+1</f>
        <v/>
      </c>
      <c r="E2382" s="201">
        <f>MONTH($B2382)</f>
        <v/>
      </c>
      <c r="F2382" s="235">
        <f>($B2382+$C2382+1)/2</f>
        <v/>
      </c>
      <c r="G2382" s="201">
        <f>YEAR($B2382)*12+MONTH($B2382)-1</f>
        <v/>
      </c>
      <c r="H2382" s="207">
        <f>IF(OR(nr_SeasonOn="OFF",$D$2344=0,$E$2344=0),1,12*INDEX(se_block,$D$2344,$E2382)/$E$2344)</f>
        <v/>
      </c>
      <c r="I2382" s="208">
        <f>EXP(SUMPRODUCT((rl_eff&lt;$B2382)*(rl_key=$A$2344)*rl_ln1p))</f>
        <v/>
      </c>
      <c r="J2382" s="208">
        <f>EXP(SUMPRODUCT((rl_eff&lt;=$C2382)*(rl_key=$A$2344)*rl_ln1p))</f>
        <v/>
      </c>
      <c r="K2382" s="201">
        <f>COUNTIFS(rl_key,$A$2344,rl_eff,"&gt;="&amp;$B2382,rl_eff,"&lt;="&amp;$C2382)</f>
        <v/>
      </c>
      <c r="L2382" s="201">
        <f>SUMIFS(rl_daysafter,rl_key,$A$2344,rl_effmonth,$B2382,rl_first,1)</f>
        <v/>
      </c>
      <c r="M2382" s="209">
        <f>IF($K2382=0,0,MIN(1,$L2382/$D2382))</f>
        <v/>
      </c>
      <c r="N2382" s="208">
        <f>IF($K2382=0,$J2382,(1-$M2382)*$I2382+$M2382*$J2382)</f>
        <v/>
      </c>
      <c r="O2382" s="209">
        <f>IF($F2382&lt;$B$2345,$E$2345+$I$2345*($F2382-$A$2345),IF($F2382&lt;$C$2345,$F$2345+$J$2345*($F2382-$B$2345),$G$2345+$K$2345*($F2382-$C$2345)))</f>
        <v/>
      </c>
      <c r="P2382" s="208">
        <f>MIN(1,MAX(0,(nr_MEndPm1-$G2382+0.5)/$C$2344))-MIN(1,MAX(0,(nr_MStartPm1-1-$G2382+0.5)/$C$2344))</f>
        <v/>
      </c>
      <c r="Q2382" s="208">
        <f>MIN(1,MAX(0,(nr_MEndP-$G2382+0.5)/$C$2344))-MIN(1,MAX(0,(nr_MStartP-1-$G2382+0.5)/$C$2344))</f>
        <v/>
      </c>
      <c r="R2382" s="208">
        <f>MIN(1,MAX(0,(nr_MEndP1-$G2382+0.5)/$C$2344))-MIN(1,MAX(0,(nr_MStartP1-1-$G2382+0.5)/$C$2344))</f>
        <v/>
      </c>
      <c r="S2382" s="208">
        <f>IF($L$2344,$N2382*IF($O$2344=1,$O2382/$F$2344,1),"")</f>
        <v/>
      </c>
      <c r="T2382" s="208">
        <f>IF(NOT($L$2344),"",IF($G2382&lt;nr_MStartP,$S2382,$T2370*(1+IF($G2382&lt;nr_MStartP1,$M$2344,$N$2344))))</f>
        <v/>
      </c>
      <c r="U2382" s="208">
        <f>IF($L$2344,$T2382,$N2382)</f>
        <v/>
      </c>
    </row>
    <row r="2383">
      <c r="A2383" s="145" t="n">
        <v>37</v>
      </c>
      <c r="B2383" s="204">
        <f>EDATE($B2382,1)</f>
        <v/>
      </c>
      <c r="C2383" s="205">
        <f>EOMONTH($B2383,0)</f>
        <v/>
      </c>
      <c r="D2383" s="201">
        <f>$C2383-$B2383+1</f>
        <v/>
      </c>
      <c r="E2383" s="201">
        <f>MONTH($B2383)</f>
        <v/>
      </c>
      <c r="F2383" s="235">
        <f>($B2383+$C2383+1)/2</f>
        <v/>
      </c>
      <c r="G2383" s="201">
        <f>YEAR($B2383)*12+MONTH($B2383)-1</f>
        <v/>
      </c>
      <c r="H2383" s="207">
        <f>IF(OR(nr_SeasonOn="OFF",$D$2344=0,$E$2344=0),1,12*INDEX(se_block,$D$2344,$E2383)/$E$2344)</f>
        <v/>
      </c>
      <c r="I2383" s="208">
        <f>EXP(SUMPRODUCT((rl_eff&lt;$B2383)*(rl_key=$A$2344)*rl_ln1p))</f>
        <v/>
      </c>
      <c r="J2383" s="208">
        <f>EXP(SUMPRODUCT((rl_eff&lt;=$C2383)*(rl_key=$A$2344)*rl_ln1p))</f>
        <v/>
      </c>
      <c r="K2383" s="201">
        <f>COUNTIFS(rl_key,$A$2344,rl_eff,"&gt;="&amp;$B2383,rl_eff,"&lt;="&amp;$C2383)</f>
        <v/>
      </c>
      <c r="L2383" s="201">
        <f>SUMIFS(rl_daysafter,rl_key,$A$2344,rl_effmonth,$B2383,rl_first,1)</f>
        <v/>
      </c>
      <c r="M2383" s="209">
        <f>IF($K2383=0,0,MIN(1,$L2383/$D2383))</f>
        <v/>
      </c>
      <c r="N2383" s="208">
        <f>IF($K2383=0,$J2383,(1-$M2383)*$I2383+$M2383*$J2383)</f>
        <v/>
      </c>
      <c r="O2383" s="209">
        <f>IF($F2383&lt;$B$2345,$E$2345+$I$2345*($F2383-$A$2345),IF($F2383&lt;$C$2345,$F$2345+$J$2345*($F2383-$B$2345),$G$2345+$K$2345*($F2383-$C$2345)))</f>
        <v/>
      </c>
      <c r="P2383" s="208">
        <f>MIN(1,MAX(0,(nr_MEndPm1-$G2383+0.5)/$C$2344))-MIN(1,MAX(0,(nr_MStartPm1-1-$G2383+0.5)/$C$2344))</f>
        <v/>
      </c>
      <c r="Q2383" s="208">
        <f>MIN(1,MAX(0,(nr_MEndP-$G2383+0.5)/$C$2344))-MIN(1,MAX(0,(nr_MStartP-1-$G2383+0.5)/$C$2344))</f>
        <v/>
      </c>
      <c r="R2383" s="208">
        <f>MIN(1,MAX(0,(nr_MEndP1-$G2383+0.5)/$C$2344))-MIN(1,MAX(0,(nr_MStartP1-1-$G2383+0.5)/$C$2344))</f>
        <v/>
      </c>
      <c r="S2383" s="208">
        <f>IF($L$2344,$N2383*IF($O$2344=1,$O2383/$F$2344,1),"")</f>
        <v/>
      </c>
      <c r="T2383" s="208">
        <f>IF(NOT($L$2344),"",IF($G2383&lt;nr_MStartP,$S2383,$T2371*(1+IF($G2383&lt;nr_MStartP1,$M$2344,$N$2344))))</f>
        <v/>
      </c>
      <c r="U2383" s="208">
        <f>IF($L$2344,$T2383,$N2383)</f>
        <v/>
      </c>
    </row>
    <row r="2384">
      <c r="A2384" s="145" t="n">
        <v>38</v>
      </c>
      <c r="B2384" s="204">
        <f>EDATE($B2383,1)</f>
        <v/>
      </c>
      <c r="C2384" s="205">
        <f>EOMONTH($B2384,0)</f>
        <v/>
      </c>
      <c r="D2384" s="201">
        <f>$C2384-$B2384+1</f>
        <v/>
      </c>
      <c r="E2384" s="201">
        <f>MONTH($B2384)</f>
        <v/>
      </c>
      <c r="F2384" s="235">
        <f>($B2384+$C2384+1)/2</f>
        <v/>
      </c>
      <c r="G2384" s="201">
        <f>YEAR($B2384)*12+MONTH($B2384)-1</f>
        <v/>
      </c>
      <c r="H2384" s="207">
        <f>IF(OR(nr_SeasonOn="OFF",$D$2344=0,$E$2344=0),1,12*INDEX(se_block,$D$2344,$E2384)/$E$2344)</f>
        <v/>
      </c>
      <c r="I2384" s="208">
        <f>EXP(SUMPRODUCT((rl_eff&lt;$B2384)*(rl_key=$A$2344)*rl_ln1p))</f>
        <v/>
      </c>
      <c r="J2384" s="208">
        <f>EXP(SUMPRODUCT((rl_eff&lt;=$C2384)*(rl_key=$A$2344)*rl_ln1p))</f>
        <v/>
      </c>
      <c r="K2384" s="201">
        <f>COUNTIFS(rl_key,$A$2344,rl_eff,"&gt;="&amp;$B2384,rl_eff,"&lt;="&amp;$C2384)</f>
        <v/>
      </c>
      <c r="L2384" s="201">
        <f>SUMIFS(rl_daysafter,rl_key,$A$2344,rl_effmonth,$B2384,rl_first,1)</f>
        <v/>
      </c>
      <c r="M2384" s="209">
        <f>IF($K2384=0,0,MIN(1,$L2384/$D2384))</f>
        <v/>
      </c>
      <c r="N2384" s="208">
        <f>IF($K2384=0,$J2384,(1-$M2384)*$I2384+$M2384*$J2384)</f>
        <v/>
      </c>
      <c r="O2384" s="209">
        <f>IF($F2384&lt;$B$2345,$E$2345+$I$2345*($F2384-$A$2345),IF($F2384&lt;$C$2345,$F$2345+$J$2345*($F2384-$B$2345),$G$2345+$K$2345*($F2384-$C$2345)))</f>
        <v/>
      </c>
      <c r="P2384" s="208">
        <f>MIN(1,MAX(0,(nr_MEndPm1-$G2384+0.5)/$C$2344))-MIN(1,MAX(0,(nr_MStartPm1-1-$G2384+0.5)/$C$2344))</f>
        <v/>
      </c>
      <c r="Q2384" s="208">
        <f>MIN(1,MAX(0,(nr_MEndP-$G2384+0.5)/$C$2344))-MIN(1,MAX(0,(nr_MStartP-1-$G2384+0.5)/$C$2344))</f>
        <v/>
      </c>
      <c r="R2384" s="208">
        <f>MIN(1,MAX(0,(nr_MEndP1-$G2384+0.5)/$C$2344))-MIN(1,MAX(0,(nr_MStartP1-1-$G2384+0.5)/$C$2344))</f>
        <v/>
      </c>
      <c r="S2384" s="208">
        <f>IF($L$2344,$N2384*IF($O$2344=1,$O2384/$F$2344,1),"")</f>
        <v/>
      </c>
      <c r="T2384" s="208">
        <f>IF(NOT($L$2344),"",IF($G2384&lt;nr_MStartP,$S2384,$T2372*(1+IF($G2384&lt;nr_MStartP1,$M$2344,$N$2344))))</f>
        <v/>
      </c>
      <c r="U2384" s="208">
        <f>IF($L$2344,$T2384,$N2384)</f>
        <v/>
      </c>
    </row>
    <row r="2385">
      <c r="A2385" s="145" t="n">
        <v>39</v>
      </c>
      <c r="B2385" s="204">
        <f>EDATE($B2384,1)</f>
        <v/>
      </c>
      <c r="C2385" s="205">
        <f>EOMONTH($B2385,0)</f>
        <v/>
      </c>
      <c r="D2385" s="201">
        <f>$C2385-$B2385+1</f>
        <v/>
      </c>
      <c r="E2385" s="201">
        <f>MONTH($B2385)</f>
        <v/>
      </c>
      <c r="F2385" s="235">
        <f>($B2385+$C2385+1)/2</f>
        <v/>
      </c>
      <c r="G2385" s="201">
        <f>YEAR($B2385)*12+MONTH($B2385)-1</f>
        <v/>
      </c>
      <c r="H2385" s="207">
        <f>IF(OR(nr_SeasonOn="OFF",$D$2344=0,$E$2344=0),1,12*INDEX(se_block,$D$2344,$E2385)/$E$2344)</f>
        <v/>
      </c>
      <c r="I2385" s="208">
        <f>EXP(SUMPRODUCT((rl_eff&lt;$B2385)*(rl_key=$A$2344)*rl_ln1p))</f>
        <v/>
      </c>
      <c r="J2385" s="208">
        <f>EXP(SUMPRODUCT((rl_eff&lt;=$C2385)*(rl_key=$A$2344)*rl_ln1p))</f>
        <v/>
      </c>
      <c r="K2385" s="201">
        <f>COUNTIFS(rl_key,$A$2344,rl_eff,"&gt;="&amp;$B2385,rl_eff,"&lt;="&amp;$C2385)</f>
        <v/>
      </c>
      <c r="L2385" s="201">
        <f>SUMIFS(rl_daysafter,rl_key,$A$2344,rl_effmonth,$B2385,rl_first,1)</f>
        <v/>
      </c>
      <c r="M2385" s="209">
        <f>IF($K2385=0,0,MIN(1,$L2385/$D2385))</f>
        <v/>
      </c>
      <c r="N2385" s="208">
        <f>IF($K2385=0,$J2385,(1-$M2385)*$I2385+$M2385*$J2385)</f>
        <v/>
      </c>
      <c r="O2385" s="209">
        <f>IF($F2385&lt;$B$2345,$E$2345+$I$2345*($F2385-$A$2345),IF($F2385&lt;$C$2345,$F$2345+$J$2345*($F2385-$B$2345),$G$2345+$K$2345*($F2385-$C$2345)))</f>
        <v/>
      </c>
      <c r="P2385" s="208">
        <f>MIN(1,MAX(0,(nr_MEndPm1-$G2385+0.5)/$C$2344))-MIN(1,MAX(0,(nr_MStartPm1-1-$G2385+0.5)/$C$2344))</f>
        <v/>
      </c>
      <c r="Q2385" s="208">
        <f>MIN(1,MAX(0,(nr_MEndP-$G2385+0.5)/$C$2344))-MIN(1,MAX(0,(nr_MStartP-1-$G2385+0.5)/$C$2344))</f>
        <v/>
      </c>
      <c r="R2385" s="208">
        <f>MIN(1,MAX(0,(nr_MEndP1-$G2385+0.5)/$C$2344))-MIN(1,MAX(0,(nr_MStartP1-1-$G2385+0.5)/$C$2344))</f>
        <v/>
      </c>
      <c r="S2385" s="208">
        <f>IF($L$2344,$N2385*IF($O$2344=1,$O2385/$F$2344,1),"")</f>
        <v/>
      </c>
      <c r="T2385" s="208">
        <f>IF(NOT($L$2344),"",IF($G2385&lt;nr_MStartP,$S2385,$T2373*(1+IF($G2385&lt;nr_MStartP1,$M$2344,$N$2344))))</f>
        <v/>
      </c>
      <c r="U2385" s="208">
        <f>IF($L$2344,$T2385,$N2385)</f>
        <v/>
      </c>
    </row>
    <row r="2386">
      <c r="A2386" s="145" t="n">
        <v>40</v>
      </c>
      <c r="B2386" s="204">
        <f>EDATE($B2385,1)</f>
        <v/>
      </c>
      <c r="C2386" s="205">
        <f>EOMONTH($B2386,0)</f>
        <v/>
      </c>
      <c r="D2386" s="201">
        <f>$C2386-$B2386+1</f>
        <v/>
      </c>
      <c r="E2386" s="201">
        <f>MONTH($B2386)</f>
        <v/>
      </c>
      <c r="F2386" s="235">
        <f>($B2386+$C2386+1)/2</f>
        <v/>
      </c>
      <c r="G2386" s="201">
        <f>YEAR($B2386)*12+MONTH($B2386)-1</f>
        <v/>
      </c>
      <c r="H2386" s="207">
        <f>IF(OR(nr_SeasonOn="OFF",$D$2344=0,$E$2344=0),1,12*INDEX(se_block,$D$2344,$E2386)/$E$2344)</f>
        <v/>
      </c>
      <c r="I2386" s="208">
        <f>EXP(SUMPRODUCT((rl_eff&lt;$B2386)*(rl_key=$A$2344)*rl_ln1p))</f>
        <v/>
      </c>
      <c r="J2386" s="208">
        <f>EXP(SUMPRODUCT((rl_eff&lt;=$C2386)*(rl_key=$A$2344)*rl_ln1p))</f>
        <v/>
      </c>
      <c r="K2386" s="201">
        <f>COUNTIFS(rl_key,$A$2344,rl_eff,"&gt;="&amp;$B2386,rl_eff,"&lt;="&amp;$C2386)</f>
        <v/>
      </c>
      <c r="L2386" s="201">
        <f>SUMIFS(rl_daysafter,rl_key,$A$2344,rl_effmonth,$B2386,rl_first,1)</f>
        <v/>
      </c>
      <c r="M2386" s="209">
        <f>IF($K2386=0,0,MIN(1,$L2386/$D2386))</f>
        <v/>
      </c>
      <c r="N2386" s="208">
        <f>IF($K2386=0,$J2386,(1-$M2386)*$I2386+$M2386*$J2386)</f>
        <v/>
      </c>
      <c r="O2386" s="209">
        <f>IF($F2386&lt;$B$2345,$E$2345+$I$2345*($F2386-$A$2345),IF($F2386&lt;$C$2345,$F$2345+$J$2345*($F2386-$B$2345),$G$2345+$K$2345*($F2386-$C$2345)))</f>
        <v/>
      </c>
      <c r="P2386" s="208">
        <f>MIN(1,MAX(0,(nr_MEndPm1-$G2386+0.5)/$C$2344))-MIN(1,MAX(0,(nr_MStartPm1-1-$G2386+0.5)/$C$2344))</f>
        <v/>
      </c>
      <c r="Q2386" s="208">
        <f>MIN(1,MAX(0,(nr_MEndP-$G2386+0.5)/$C$2344))-MIN(1,MAX(0,(nr_MStartP-1-$G2386+0.5)/$C$2344))</f>
        <v/>
      </c>
      <c r="R2386" s="208">
        <f>MIN(1,MAX(0,(nr_MEndP1-$G2386+0.5)/$C$2344))-MIN(1,MAX(0,(nr_MStartP1-1-$G2386+0.5)/$C$2344))</f>
        <v/>
      </c>
      <c r="S2386" s="208">
        <f>IF($L$2344,$N2386*IF($O$2344=1,$O2386/$F$2344,1),"")</f>
        <v/>
      </c>
      <c r="T2386" s="208">
        <f>IF(NOT($L$2344),"",IF($G2386&lt;nr_MStartP,$S2386,$T2374*(1+IF($G2386&lt;nr_MStartP1,$M$2344,$N$2344))))</f>
        <v/>
      </c>
      <c r="U2386" s="208">
        <f>IF($L$2344,$T2386,$N2386)</f>
        <v/>
      </c>
    </row>
    <row r="2387">
      <c r="A2387" s="145" t="n">
        <v>41</v>
      </c>
      <c r="B2387" s="204">
        <f>EDATE($B2386,1)</f>
        <v/>
      </c>
      <c r="C2387" s="205">
        <f>EOMONTH($B2387,0)</f>
        <v/>
      </c>
      <c r="D2387" s="201">
        <f>$C2387-$B2387+1</f>
        <v/>
      </c>
      <c r="E2387" s="201">
        <f>MONTH($B2387)</f>
        <v/>
      </c>
      <c r="F2387" s="235">
        <f>($B2387+$C2387+1)/2</f>
        <v/>
      </c>
      <c r="G2387" s="201">
        <f>YEAR($B2387)*12+MONTH($B2387)-1</f>
        <v/>
      </c>
      <c r="H2387" s="207">
        <f>IF(OR(nr_SeasonOn="OFF",$D$2344=0,$E$2344=0),1,12*INDEX(se_block,$D$2344,$E2387)/$E$2344)</f>
        <v/>
      </c>
      <c r="I2387" s="208">
        <f>EXP(SUMPRODUCT((rl_eff&lt;$B2387)*(rl_key=$A$2344)*rl_ln1p))</f>
        <v/>
      </c>
      <c r="J2387" s="208">
        <f>EXP(SUMPRODUCT((rl_eff&lt;=$C2387)*(rl_key=$A$2344)*rl_ln1p))</f>
        <v/>
      </c>
      <c r="K2387" s="201">
        <f>COUNTIFS(rl_key,$A$2344,rl_eff,"&gt;="&amp;$B2387,rl_eff,"&lt;="&amp;$C2387)</f>
        <v/>
      </c>
      <c r="L2387" s="201">
        <f>SUMIFS(rl_daysafter,rl_key,$A$2344,rl_effmonth,$B2387,rl_first,1)</f>
        <v/>
      </c>
      <c r="M2387" s="209">
        <f>IF($K2387=0,0,MIN(1,$L2387/$D2387))</f>
        <v/>
      </c>
      <c r="N2387" s="208">
        <f>IF($K2387=0,$J2387,(1-$M2387)*$I2387+$M2387*$J2387)</f>
        <v/>
      </c>
      <c r="O2387" s="209">
        <f>IF($F2387&lt;$B$2345,$E$2345+$I$2345*($F2387-$A$2345),IF($F2387&lt;$C$2345,$F$2345+$J$2345*($F2387-$B$2345),$G$2345+$K$2345*($F2387-$C$2345)))</f>
        <v/>
      </c>
      <c r="P2387" s="208">
        <f>MIN(1,MAX(0,(nr_MEndPm1-$G2387+0.5)/$C$2344))-MIN(1,MAX(0,(nr_MStartPm1-1-$G2387+0.5)/$C$2344))</f>
        <v/>
      </c>
      <c r="Q2387" s="208">
        <f>MIN(1,MAX(0,(nr_MEndP-$G2387+0.5)/$C$2344))-MIN(1,MAX(0,(nr_MStartP-1-$G2387+0.5)/$C$2344))</f>
        <v/>
      </c>
      <c r="R2387" s="208">
        <f>MIN(1,MAX(0,(nr_MEndP1-$G2387+0.5)/$C$2344))-MIN(1,MAX(0,(nr_MStartP1-1-$G2387+0.5)/$C$2344))</f>
        <v/>
      </c>
      <c r="S2387" s="208">
        <f>IF($L$2344,$N2387*IF($O$2344=1,$O2387/$F$2344,1),"")</f>
        <v/>
      </c>
      <c r="T2387" s="208">
        <f>IF(NOT($L$2344),"",IF($G2387&lt;nr_MStartP,$S2387,$T2375*(1+IF($G2387&lt;nr_MStartP1,$M$2344,$N$2344))))</f>
        <v/>
      </c>
      <c r="U2387" s="208">
        <f>IF($L$2344,$T2387,$N2387)</f>
        <v/>
      </c>
    </row>
    <row r="2388">
      <c r="A2388" s="145" t="n">
        <v>42</v>
      </c>
      <c r="B2388" s="204">
        <f>EDATE($B2387,1)</f>
        <v/>
      </c>
      <c r="C2388" s="205">
        <f>EOMONTH($B2388,0)</f>
        <v/>
      </c>
      <c r="D2388" s="201">
        <f>$C2388-$B2388+1</f>
        <v/>
      </c>
      <c r="E2388" s="201">
        <f>MONTH($B2388)</f>
        <v/>
      </c>
      <c r="F2388" s="235">
        <f>($B2388+$C2388+1)/2</f>
        <v/>
      </c>
      <c r="G2388" s="201">
        <f>YEAR($B2388)*12+MONTH($B2388)-1</f>
        <v/>
      </c>
      <c r="H2388" s="207">
        <f>IF(OR(nr_SeasonOn="OFF",$D$2344=0,$E$2344=0),1,12*INDEX(se_block,$D$2344,$E2388)/$E$2344)</f>
        <v/>
      </c>
      <c r="I2388" s="208">
        <f>EXP(SUMPRODUCT((rl_eff&lt;$B2388)*(rl_key=$A$2344)*rl_ln1p))</f>
        <v/>
      </c>
      <c r="J2388" s="208">
        <f>EXP(SUMPRODUCT((rl_eff&lt;=$C2388)*(rl_key=$A$2344)*rl_ln1p))</f>
        <v/>
      </c>
      <c r="K2388" s="201">
        <f>COUNTIFS(rl_key,$A$2344,rl_eff,"&gt;="&amp;$B2388,rl_eff,"&lt;="&amp;$C2388)</f>
        <v/>
      </c>
      <c r="L2388" s="201">
        <f>SUMIFS(rl_daysafter,rl_key,$A$2344,rl_effmonth,$B2388,rl_first,1)</f>
        <v/>
      </c>
      <c r="M2388" s="209">
        <f>IF($K2388=0,0,MIN(1,$L2388/$D2388))</f>
        <v/>
      </c>
      <c r="N2388" s="208">
        <f>IF($K2388=0,$J2388,(1-$M2388)*$I2388+$M2388*$J2388)</f>
        <v/>
      </c>
      <c r="O2388" s="209">
        <f>IF($F2388&lt;$B$2345,$E$2345+$I$2345*($F2388-$A$2345),IF($F2388&lt;$C$2345,$F$2345+$J$2345*($F2388-$B$2345),$G$2345+$K$2345*($F2388-$C$2345)))</f>
        <v/>
      </c>
      <c r="P2388" s="208">
        <f>MIN(1,MAX(0,(nr_MEndPm1-$G2388+0.5)/$C$2344))-MIN(1,MAX(0,(nr_MStartPm1-1-$G2388+0.5)/$C$2344))</f>
        <v/>
      </c>
      <c r="Q2388" s="208">
        <f>MIN(1,MAX(0,(nr_MEndP-$G2388+0.5)/$C$2344))-MIN(1,MAX(0,(nr_MStartP-1-$G2388+0.5)/$C$2344))</f>
        <v/>
      </c>
      <c r="R2388" s="208">
        <f>MIN(1,MAX(0,(nr_MEndP1-$G2388+0.5)/$C$2344))-MIN(1,MAX(0,(nr_MStartP1-1-$G2388+0.5)/$C$2344))</f>
        <v/>
      </c>
      <c r="S2388" s="208">
        <f>IF($L$2344,$N2388*IF($O$2344=1,$O2388/$F$2344,1),"")</f>
        <v/>
      </c>
      <c r="T2388" s="208">
        <f>IF(NOT($L$2344),"",IF($G2388&lt;nr_MStartP,$S2388,$T2376*(1+IF($G2388&lt;nr_MStartP1,$M$2344,$N$2344))))</f>
        <v/>
      </c>
      <c r="U2388" s="208">
        <f>IF($L$2344,$T2388,$N2388)</f>
        <v/>
      </c>
    </row>
    <row r="2389">
      <c r="A2389" s="145" t="n">
        <v>43</v>
      </c>
      <c r="B2389" s="204">
        <f>EDATE($B2388,1)</f>
        <v/>
      </c>
      <c r="C2389" s="205">
        <f>EOMONTH($B2389,0)</f>
        <v/>
      </c>
      <c r="D2389" s="201">
        <f>$C2389-$B2389+1</f>
        <v/>
      </c>
      <c r="E2389" s="201">
        <f>MONTH($B2389)</f>
        <v/>
      </c>
      <c r="F2389" s="235">
        <f>($B2389+$C2389+1)/2</f>
        <v/>
      </c>
      <c r="G2389" s="201">
        <f>YEAR($B2389)*12+MONTH($B2389)-1</f>
        <v/>
      </c>
      <c r="H2389" s="207">
        <f>IF(OR(nr_SeasonOn="OFF",$D$2344=0,$E$2344=0),1,12*INDEX(se_block,$D$2344,$E2389)/$E$2344)</f>
        <v/>
      </c>
      <c r="I2389" s="208">
        <f>EXP(SUMPRODUCT((rl_eff&lt;$B2389)*(rl_key=$A$2344)*rl_ln1p))</f>
        <v/>
      </c>
      <c r="J2389" s="208">
        <f>EXP(SUMPRODUCT((rl_eff&lt;=$C2389)*(rl_key=$A$2344)*rl_ln1p))</f>
        <v/>
      </c>
      <c r="K2389" s="201">
        <f>COUNTIFS(rl_key,$A$2344,rl_eff,"&gt;="&amp;$B2389,rl_eff,"&lt;="&amp;$C2389)</f>
        <v/>
      </c>
      <c r="L2389" s="201">
        <f>SUMIFS(rl_daysafter,rl_key,$A$2344,rl_effmonth,$B2389,rl_first,1)</f>
        <v/>
      </c>
      <c r="M2389" s="209">
        <f>IF($K2389=0,0,MIN(1,$L2389/$D2389))</f>
        <v/>
      </c>
      <c r="N2389" s="208">
        <f>IF($K2389=0,$J2389,(1-$M2389)*$I2389+$M2389*$J2389)</f>
        <v/>
      </c>
      <c r="O2389" s="209">
        <f>IF($F2389&lt;$B$2345,$E$2345+$I$2345*($F2389-$A$2345),IF($F2389&lt;$C$2345,$F$2345+$J$2345*($F2389-$B$2345),$G$2345+$K$2345*($F2389-$C$2345)))</f>
        <v/>
      </c>
      <c r="P2389" s="208">
        <f>MIN(1,MAX(0,(nr_MEndPm1-$G2389+0.5)/$C$2344))-MIN(1,MAX(0,(nr_MStartPm1-1-$G2389+0.5)/$C$2344))</f>
        <v/>
      </c>
      <c r="Q2389" s="208">
        <f>MIN(1,MAX(0,(nr_MEndP-$G2389+0.5)/$C$2344))-MIN(1,MAX(0,(nr_MStartP-1-$G2389+0.5)/$C$2344))</f>
        <v/>
      </c>
      <c r="R2389" s="208">
        <f>MIN(1,MAX(0,(nr_MEndP1-$G2389+0.5)/$C$2344))-MIN(1,MAX(0,(nr_MStartP1-1-$G2389+0.5)/$C$2344))</f>
        <v/>
      </c>
      <c r="S2389" s="208">
        <f>IF($L$2344,$N2389*IF($O$2344=1,$O2389/$F$2344,1),"")</f>
        <v/>
      </c>
      <c r="T2389" s="208">
        <f>IF(NOT($L$2344),"",IF($G2389&lt;nr_MStartP,$S2389,$T2377*(1+IF($G2389&lt;nr_MStartP1,$M$2344,$N$2344))))</f>
        <v/>
      </c>
      <c r="U2389" s="208">
        <f>IF($L$2344,$T2389,$N2389)</f>
        <v/>
      </c>
    </row>
    <row r="2390">
      <c r="A2390" s="145" t="n">
        <v>44</v>
      </c>
      <c r="B2390" s="204">
        <f>EDATE($B2389,1)</f>
        <v/>
      </c>
      <c r="C2390" s="205">
        <f>EOMONTH($B2390,0)</f>
        <v/>
      </c>
      <c r="D2390" s="201">
        <f>$C2390-$B2390+1</f>
        <v/>
      </c>
      <c r="E2390" s="201">
        <f>MONTH($B2390)</f>
        <v/>
      </c>
      <c r="F2390" s="235">
        <f>($B2390+$C2390+1)/2</f>
        <v/>
      </c>
      <c r="G2390" s="201">
        <f>YEAR($B2390)*12+MONTH($B2390)-1</f>
        <v/>
      </c>
      <c r="H2390" s="207">
        <f>IF(OR(nr_SeasonOn="OFF",$D$2344=0,$E$2344=0),1,12*INDEX(se_block,$D$2344,$E2390)/$E$2344)</f>
        <v/>
      </c>
      <c r="I2390" s="208">
        <f>EXP(SUMPRODUCT((rl_eff&lt;$B2390)*(rl_key=$A$2344)*rl_ln1p))</f>
        <v/>
      </c>
      <c r="J2390" s="208">
        <f>EXP(SUMPRODUCT((rl_eff&lt;=$C2390)*(rl_key=$A$2344)*rl_ln1p))</f>
        <v/>
      </c>
      <c r="K2390" s="201">
        <f>COUNTIFS(rl_key,$A$2344,rl_eff,"&gt;="&amp;$B2390,rl_eff,"&lt;="&amp;$C2390)</f>
        <v/>
      </c>
      <c r="L2390" s="201">
        <f>SUMIFS(rl_daysafter,rl_key,$A$2344,rl_effmonth,$B2390,rl_first,1)</f>
        <v/>
      </c>
      <c r="M2390" s="209">
        <f>IF($K2390=0,0,MIN(1,$L2390/$D2390))</f>
        <v/>
      </c>
      <c r="N2390" s="208">
        <f>IF($K2390=0,$J2390,(1-$M2390)*$I2390+$M2390*$J2390)</f>
        <v/>
      </c>
      <c r="O2390" s="209">
        <f>IF($F2390&lt;$B$2345,$E$2345+$I$2345*($F2390-$A$2345),IF($F2390&lt;$C$2345,$F$2345+$J$2345*($F2390-$B$2345),$G$2345+$K$2345*($F2390-$C$2345)))</f>
        <v/>
      </c>
      <c r="P2390" s="208">
        <f>MIN(1,MAX(0,(nr_MEndPm1-$G2390+0.5)/$C$2344))-MIN(1,MAX(0,(nr_MStartPm1-1-$G2390+0.5)/$C$2344))</f>
        <v/>
      </c>
      <c r="Q2390" s="208">
        <f>MIN(1,MAX(0,(nr_MEndP-$G2390+0.5)/$C$2344))-MIN(1,MAX(0,(nr_MStartP-1-$G2390+0.5)/$C$2344))</f>
        <v/>
      </c>
      <c r="R2390" s="208">
        <f>MIN(1,MAX(0,(nr_MEndP1-$G2390+0.5)/$C$2344))-MIN(1,MAX(0,(nr_MStartP1-1-$G2390+0.5)/$C$2344))</f>
        <v/>
      </c>
      <c r="S2390" s="208">
        <f>IF($L$2344,$N2390*IF($O$2344=1,$O2390/$F$2344,1),"")</f>
        <v/>
      </c>
      <c r="T2390" s="208">
        <f>IF(NOT($L$2344),"",IF($G2390&lt;nr_MStartP,$S2390,$T2378*(1+IF($G2390&lt;nr_MStartP1,$M$2344,$N$2344))))</f>
        <v/>
      </c>
      <c r="U2390" s="208">
        <f>IF($L$2344,$T2390,$N2390)</f>
        <v/>
      </c>
    </row>
    <row r="2391">
      <c r="A2391" s="145" t="n">
        <v>45</v>
      </c>
      <c r="B2391" s="204">
        <f>EDATE($B2390,1)</f>
        <v/>
      </c>
      <c r="C2391" s="205">
        <f>EOMONTH($B2391,0)</f>
        <v/>
      </c>
      <c r="D2391" s="201">
        <f>$C2391-$B2391+1</f>
        <v/>
      </c>
      <c r="E2391" s="201">
        <f>MONTH($B2391)</f>
        <v/>
      </c>
      <c r="F2391" s="235">
        <f>($B2391+$C2391+1)/2</f>
        <v/>
      </c>
      <c r="G2391" s="201">
        <f>YEAR($B2391)*12+MONTH($B2391)-1</f>
        <v/>
      </c>
      <c r="H2391" s="207">
        <f>IF(OR(nr_SeasonOn="OFF",$D$2344=0,$E$2344=0),1,12*INDEX(se_block,$D$2344,$E2391)/$E$2344)</f>
        <v/>
      </c>
      <c r="I2391" s="208">
        <f>EXP(SUMPRODUCT((rl_eff&lt;$B2391)*(rl_key=$A$2344)*rl_ln1p))</f>
        <v/>
      </c>
      <c r="J2391" s="208">
        <f>EXP(SUMPRODUCT((rl_eff&lt;=$C2391)*(rl_key=$A$2344)*rl_ln1p))</f>
        <v/>
      </c>
      <c r="K2391" s="201">
        <f>COUNTIFS(rl_key,$A$2344,rl_eff,"&gt;="&amp;$B2391,rl_eff,"&lt;="&amp;$C2391)</f>
        <v/>
      </c>
      <c r="L2391" s="201">
        <f>SUMIFS(rl_daysafter,rl_key,$A$2344,rl_effmonth,$B2391,rl_first,1)</f>
        <v/>
      </c>
      <c r="M2391" s="209">
        <f>IF($K2391=0,0,MIN(1,$L2391/$D2391))</f>
        <v/>
      </c>
      <c r="N2391" s="208">
        <f>IF($K2391=0,$J2391,(1-$M2391)*$I2391+$M2391*$J2391)</f>
        <v/>
      </c>
      <c r="O2391" s="209">
        <f>IF($F2391&lt;$B$2345,$E$2345+$I$2345*($F2391-$A$2345),IF($F2391&lt;$C$2345,$F$2345+$J$2345*($F2391-$B$2345),$G$2345+$K$2345*($F2391-$C$2345)))</f>
        <v/>
      </c>
      <c r="P2391" s="208">
        <f>MIN(1,MAX(0,(nr_MEndPm1-$G2391+0.5)/$C$2344))-MIN(1,MAX(0,(nr_MStartPm1-1-$G2391+0.5)/$C$2344))</f>
        <v/>
      </c>
      <c r="Q2391" s="208">
        <f>MIN(1,MAX(0,(nr_MEndP-$G2391+0.5)/$C$2344))-MIN(1,MAX(0,(nr_MStartP-1-$G2391+0.5)/$C$2344))</f>
        <v/>
      </c>
      <c r="R2391" s="208">
        <f>MIN(1,MAX(0,(nr_MEndP1-$G2391+0.5)/$C$2344))-MIN(1,MAX(0,(nr_MStartP1-1-$G2391+0.5)/$C$2344))</f>
        <v/>
      </c>
      <c r="S2391" s="208">
        <f>IF($L$2344,$N2391*IF($O$2344=1,$O2391/$F$2344,1),"")</f>
        <v/>
      </c>
      <c r="T2391" s="208">
        <f>IF(NOT($L$2344),"",IF($G2391&lt;nr_MStartP,$S2391,$T2379*(1+IF($G2391&lt;nr_MStartP1,$M$2344,$N$2344))))</f>
        <v/>
      </c>
      <c r="U2391" s="208">
        <f>IF($L$2344,$T2391,$N2391)</f>
        <v/>
      </c>
    </row>
    <row r="2392">
      <c r="A2392" s="145" t="n">
        <v>46</v>
      </c>
      <c r="B2392" s="204">
        <f>EDATE($B2391,1)</f>
        <v/>
      </c>
      <c r="C2392" s="205">
        <f>EOMONTH($B2392,0)</f>
        <v/>
      </c>
      <c r="D2392" s="201">
        <f>$C2392-$B2392+1</f>
        <v/>
      </c>
      <c r="E2392" s="201">
        <f>MONTH($B2392)</f>
        <v/>
      </c>
      <c r="F2392" s="235">
        <f>($B2392+$C2392+1)/2</f>
        <v/>
      </c>
      <c r="G2392" s="201">
        <f>YEAR($B2392)*12+MONTH($B2392)-1</f>
        <v/>
      </c>
      <c r="H2392" s="207">
        <f>IF(OR(nr_SeasonOn="OFF",$D$2344=0,$E$2344=0),1,12*INDEX(se_block,$D$2344,$E2392)/$E$2344)</f>
        <v/>
      </c>
      <c r="I2392" s="208">
        <f>EXP(SUMPRODUCT((rl_eff&lt;$B2392)*(rl_key=$A$2344)*rl_ln1p))</f>
        <v/>
      </c>
      <c r="J2392" s="208">
        <f>EXP(SUMPRODUCT((rl_eff&lt;=$C2392)*(rl_key=$A$2344)*rl_ln1p))</f>
        <v/>
      </c>
      <c r="K2392" s="201">
        <f>COUNTIFS(rl_key,$A$2344,rl_eff,"&gt;="&amp;$B2392,rl_eff,"&lt;="&amp;$C2392)</f>
        <v/>
      </c>
      <c r="L2392" s="201">
        <f>SUMIFS(rl_daysafter,rl_key,$A$2344,rl_effmonth,$B2392,rl_first,1)</f>
        <v/>
      </c>
      <c r="M2392" s="209">
        <f>IF($K2392=0,0,MIN(1,$L2392/$D2392))</f>
        <v/>
      </c>
      <c r="N2392" s="208">
        <f>IF($K2392=0,$J2392,(1-$M2392)*$I2392+$M2392*$J2392)</f>
        <v/>
      </c>
      <c r="O2392" s="209">
        <f>IF($F2392&lt;$B$2345,$E$2345+$I$2345*($F2392-$A$2345),IF($F2392&lt;$C$2345,$F$2345+$J$2345*($F2392-$B$2345),$G$2345+$K$2345*($F2392-$C$2345)))</f>
        <v/>
      </c>
      <c r="P2392" s="208">
        <f>MIN(1,MAX(0,(nr_MEndPm1-$G2392+0.5)/$C$2344))-MIN(1,MAX(0,(nr_MStartPm1-1-$G2392+0.5)/$C$2344))</f>
        <v/>
      </c>
      <c r="Q2392" s="208">
        <f>MIN(1,MAX(0,(nr_MEndP-$G2392+0.5)/$C$2344))-MIN(1,MAX(0,(nr_MStartP-1-$G2392+0.5)/$C$2344))</f>
        <v/>
      </c>
      <c r="R2392" s="208">
        <f>MIN(1,MAX(0,(nr_MEndP1-$G2392+0.5)/$C$2344))-MIN(1,MAX(0,(nr_MStartP1-1-$G2392+0.5)/$C$2344))</f>
        <v/>
      </c>
      <c r="S2392" s="208">
        <f>IF($L$2344,$N2392*IF($O$2344=1,$O2392/$F$2344,1),"")</f>
        <v/>
      </c>
      <c r="T2392" s="208">
        <f>IF(NOT($L$2344),"",IF($G2392&lt;nr_MStartP,$S2392,$T2380*(1+IF($G2392&lt;nr_MStartP1,$M$2344,$N$2344))))</f>
        <v/>
      </c>
      <c r="U2392" s="208">
        <f>IF($L$2344,$T2392,$N2392)</f>
        <v/>
      </c>
    </row>
    <row r="2393">
      <c r="A2393" s="145" t="n">
        <v>47</v>
      </c>
      <c r="B2393" s="204">
        <f>EDATE($B2392,1)</f>
        <v/>
      </c>
      <c r="C2393" s="205">
        <f>EOMONTH($B2393,0)</f>
        <v/>
      </c>
      <c r="D2393" s="201">
        <f>$C2393-$B2393+1</f>
        <v/>
      </c>
      <c r="E2393" s="201">
        <f>MONTH($B2393)</f>
        <v/>
      </c>
      <c r="F2393" s="235">
        <f>($B2393+$C2393+1)/2</f>
        <v/>
      </c>
      <c r="G2393" s="201">
        <f>YEAR($B2393)*12+MONTH($B2393)-1</f>
        <v/>
      </c>
      <c r="H2393" s="207">
        <f>IF(OR(nr_SeasonOn="OFF",$D$2344=0,$E$2344=0),1,12*INDEX(se_block,$D$2344,$E2393)/$E$2344)</f>
        <v/>
      </c>
      <c r="I2393" s="208">
        <f>EXP(SUMPRODUCT((rl_eff&lt;$B2393)*(rl_key=$A$2344)*rl_ln1p))</f>
        <v/>
      </c>
      <c r="J2393" s="208">
        <f>EXP(SUMPRODUCT((rl_eff&lt;=$C2393)*(rl_key=$A$2344)*rl_ln1p))</f>
        <v/>
      </c>
      <c r="K2393" s="201">
        <f>COUNTIFS(rl_key,$A$2344,rl_eff,"&gt;="&amp;$B2393,rl_eff,"&lt;="&amp;$C2393)</f>
        <v/>
      </c>
      <c r="L2393" s="201">
        <f>SUMIFS(rl_daysafter,rl_key,$A$2344,rl_effmonth,$B2393,rl_first,1)</f>
        <v/>
      </c>
      <c r="M2393" s="209">
        <f>IF($K2393=0,0,MIN(1,$L2393/$D2393))</f>
        <v/>
      </c>
      <c r="N2393" s="208">
        <f>IF($K2393=0,$J2393,(1-$M2393)*$I2393+$M2393*$J2393)</f>
        <v/>
      </c>
      <c r="O2393" s="209">
        <f>IF($F2393&lt;$B$2345,$E$2345+$I$2345*($F2393-$A$2345),IF($F2393&lt;$C$2345,$F$2345+$J$2345*($F2393-$B$2345),$G$2345+$K$2345*($F2393-$C$2345)))</f>
        <v/>
      </c>
      <c r="P2393" s="208">
        <f>MIN(1,MAX(0,(nr_MEndPm1-$G2393+0.5)/$C$2344))-MIN(1,MAX(0,(nr_MStartPm1-1-$G2393+0.5)/$C$2344))</f>
        <v/>
      </c>
      <c r="Q2393" s="208">
        <f>MIN(1,MAX(0,(nr_MEndP-$G2393+0.5)/$C$2344))-MIN(1,MAX(0,(nr_MStartP-1-$G2393+0.5)/$C$2344))</f>
        <v/>
      </c>
      <c r="R2393" s="208">
        <f>MIN(1,MAX(0,(nr_MEndP1-$G2393+0.5)/$C$2344))-MIN(1,MAX(0,(nr_MStartP1-1-$G2393+0.5)/$C$2344))</f>
        <v/>
      </c>
      <c r="S2393" s="208">
        <f>IF($L$2344,$N2393*IF($O$2344=1,$O2393/$F$2344,1),"")</f>
        <v/>
      </c>
      <c r="T2393" s="208">
        <f>IF(NOT($L$2344),"",IF($G2393&lt;nr_MStartP,$S2393,$T2381*(1+IF($G2393&lt;nr_MStartP1,$M$2344,$N$2344))))</f>
        <v/>
      </c>
      <c r="U2393" s="208">
        <f>IF($L$2344,$T2393,$N2393)</f>
        <v/>
      </c>
    </row>
    <row r="2394">
      <c r="A2394" s="145" t="n">
        <v>48</v>
      </c>
      <c r="B2394" s="204">
        <f>EDATE($B2393,1)</f>
        <v/>
      </c>
      <c r="C2394" s="205">
        <f>EOMONTH($B2394,0)</f>
        <v/>
      </c>
      <c r="D2394" s="201">
        <f>$C2394-$B2394+1</f>
        <v/>
      </c>
      <c r="E2394" s="201">
        <f>MONTH($B2394)</f>
        <v/>
      </c>
      <c r="F2394" s="235">
        <f>($B2394+$C2394+1)/2</f>
        <v/>
      </c>
      <c r="G2394" s="201">
        <f>YEAR($B2394)*12+MONTH($B2394)-1</f>
        <v/>
      </c>
      <c r="H2394" s="207">
        <f>IF(OR(nr_SeasonOn="OFF",$D$2344=0,$E$2344=0),1,12*INDEX(se_block,$D$2344,$E2394)/$E$2344)</f>
        <v/>
      </c>
      <c r="I2394" s="208">
        <f>EXP(SUMPRODUCT((rl_eff&lt;$B2394)*(rl_key=$A$2344)*rl_ln1p))</f>
        <v/>
      </c>
      <c r="J2394" s="208">
        <f>EXP(SUMPRODUCT((rl_eff&lt;=$C2394)*(rl_key=$A$2344)*rl_ln1p))</f>
        <v/>
      </c>
      <c r="K2394" s="201">
        <f>COUNTIFS(rl_key,$A$2344,rl_eff,"&gt;="&amp;$B2394,rl_eff,"&lt;="&amp;$C2394)</f>
        <v/>
      </c>
      <c r="L2394" s="201">
        <f>SUMIFS(rl_daysafter,rl_key,$A$2344,rl_effmonth,$B2394,rl_first,1)</f>
        <v/>
      </c>
      <c r="M2394" s="209">
        <f>IF($K2394=0,0,MIN(1,$L2394/$D2394))</f>
        <v/>
      </c>
      <c r="N2394" s="208">
        <f>IF($K2394=0,$J2394,(1-$M2394)*$I2394+$M2394*$J2394)</f>
        <v/>
      </c>
      <c r="O2394" s="209">
        <f>IF($F2394&lt;$B$2345,$E$2345+$I$2345*($F2394-$A$2345),IF($F2394&lt;$C$2345,$F$2345+$J$2345*($F2394-$B$2345),$G$2345+$K$2345*($F2394-$C$2345)))</f>
        <v/>
      </c>
      <c r="P2394" s="208">
        <f>MIN(1,MAX(0,(nr_MEndPm1-$G2394+0.5)/$C$2344))-MIN(1,MAX(0,(nr_MStartPm1-1-$G2394+0.5)/$C$2344))</f>
        <v/>
      </c>
      <c r="Q2394" s="208">
        <f>MIN(1,MAX(0,(nr_MEndP-$G2394+0.5)/$C$2344))-MIN(1,MAX(0,(nr_MStartP-1-$G2394+0.5)/$C$2344))</f>
        <v/>
      </c>
      <c r="R2394" s="208">
        <f>MIN(1,MAX(0,(nr_MEndP1-$G2394+0.5)/$C$2344))-MIN(1,MAX(0,(nr_MStartP1-1-$G2394+0.5)/$C$2344))</f>
        <v/>
      </c>
      <c r="S2394" s="208">
        <f>IF($L$2344,$N2394*IF($O$2344=1,$O2394/$F$2344,1),"")</f>
        <v/>
      </c>
      <c r="T2394" s="208">
        <f>IF(NOT($L$2344),"",IF($G2394&lt;nr_MStartP,$S2394,$T2382*(1+IF($G2394&lt;nr_MStartP1,$M$2344,$N$2344))))</f>
        <v/>
      </c>
      <c r="U2394" s="208">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184">
        <f>SUMPRODUCT($H$2347:$H$2394,$Q$2347:$Q$2394,$O$2347:$O$2394)/SUMPRODUCT($H$2347:$H$2394,$Q$2347:$Q$2394)</f>
        <v/>
      </c>
      <c r="G2395" s="184">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184">
        <f>IF(N(INDEX(lr_mind,44))=0,1,INDEX(lr_mind,44))</f>
        <v/>
      </c>
      <c r="G2398" s="184">
        <f>IF(N(INDEX(lr_m0,44))=0,1,INDEX(lr_m0,44))</f>
        <v/>
      </c>
      <c r="H2398" s="73">
        <f>IF(N(INDEX(lr_m0asof,44))=0,DATE(nr_PlanYear-1,10,1),INDEX(lr_m0asof,44))</f>
        <v/>
      </c>
      <c r="I2398" s="184">
        <f>IF(N(INDEX(lr_m1,44))=0,1,INDEX(lr_m1,44))</f>
        <v/>
      </c>
      <c r="J2398" s="184">
        <f>INDEX(lr_mprior,44)</f>
        <v/>
      </c>
      <c r="K2398" s="184">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145" t="n">
        <v>1</v>
      </c>
      <c r="B2401" s="204">
        <f>DATE(nr_PlanYear-2,1,1)</f>
        <v/>
      </c>
      <c r="C2401" s="205">
        <f>EOMONTH($B2401,0)</f>
        <v/>
      </c>
      <c r="D2401" s="201">
        <f>$C2401-$B2401+1</f>
        <v/>
      </c>
      <c r="E2401" s="201">
        <f>MONTH($B2401)</f>
        <v/>
      </c>
      <c r="F2401" s="235">
        <f>($B2401+$C2401+1)/2</f>
        <v/>
      </c>
      <c r="G2401" s="201">
        <f>YEAR($B2401)*12+MONTH($B2401)-1</f>
        <v/>
      </c>
      <c r="H2401" s="207">
        <f>IF(OR(nr_SeasonOn="OFF",$D$2398=0,$E$2398=0),1,12*INDEX(se_block,$D$2398,$E2401)/$E$2398)</f>
        <v/>
      </c>
      <c r="I2401" s="208">
        <f>EXP(SUMPRODUCT((rl_eff&lt;$B2401)*(rl_key=$A$2398)*rl_ln1p))</f>
        <v/>
      </c>
      <c r="J2401" s="208">
        <f>EXP(SUMPRODUCT((rl_eff&lt;=$C2401)*(rl_key=$A$2398)*rl_ln1p))</f>
        <v/>
      </c>
      <c r="K2401" s="201">
        <f>COUNTIFS(rl_key,$A$2398,rl_eff,"&gt;="&amp;$B2401,rl_eff,"&lt;="&amp;$C2401)</f>
        <v/>
      </c>
      <c r="L2401" s="201">
        <f>SUMIFS(rl_daysafter,rl_key,$A$2398,rl_effmonth,$B2401,rl_first,1)</f>
        <v/>
      </c>
      <c r="M2401" s="209">
        <f>IF($K2401=0,0,MIN(1,$L2401/$D2401))</f>
        <v/>
      </c>
      <c r="N2401" s="208">
        <f>IF($K2401=0,$J2401,(1-$M2401)*$I2401+$M2401*$J2401)</f>
        <v/>
      </c>
      <c r="O2401" s="209">
        <f>IF($F2401&lt;$B$2399,$E$2399+$I$2399*($F2401-$A$2399),IF($F2401&lt;$C$2399,$F$2399+$J$2399*($F2401-$B$2399),$G$2399+$K$2399*($F2401-$C$2399)))</f>
        <v/>
      </c>
      <c r="P2401" s="208">
        <f>MIN(1,MAX(0,(nr_MEndPm1-$G2401+0.5)/$C$2398))-MIN(1,MAX(0,(nr_MStartPm1-1-$G2401+0.5)/$C$2398))</f>
        <v/>
      </c>
      <c r="Q2401" s="208">
        <f>MIN(1,MAX(0,(nr_MEndP-$G2401+0.5)/$C$2398))-MIN(1,MAX(0,(nr_MStartP-1-$G2401+0.5)/$C$2398))</f>
        <v/>
      </c>
      <c r="R2401" s="208">
        <f>MIN(1,MAX(0,(nr_MEndP1-$G2401+0.5)/$C$2398))-MIN(1,MAX(0,(nr_MStartP1-1-$G2401+0.5)/$C$2398))</f>
        <v/>
      </c>
      <c r="S2401" s="208">
        <f>IF($L$2398,$N2401*IF($O$2398=1,$O2401/$F$2398,1),"")</f>
        <v/>
      </c>
      <c r="T2401" s="208">
        <f>IF(NOT($L$2398),"",IF($G2401&lt;nr_MStartP,$S2401,$T2389*(1+IF($G2401&lt;nr_MStartP1,$M$2398,$N$2398))))</f>
        <v/>
      </c>
      <c r="U2401" s="208">
        <f>IF($L$2398,$T2401,$N2401)</f>
        <v/>
      </c>
    </row>
    <row r="2402">
      <c r="A2402" s="145" t="n">
        <v>2</v>
      </c>
      <c r="B2402" s="204">
        <f>EDATE($B2401,1)</f>
        <v/>
      </c>
      <c r="C2402" s="205">
        <f>EOMONTH($B2402,0)</f>
        <v/>
      </c>
      <c r="D2402" s="201">
        <f>$C2402-$B2402+1</f>
        <v/>
      </c>
      <c r="E2402" s="201">
        <f>MONTH($B2402)</f>
        <v/>
      </c>
      <c r="F2402" s="235">
        <f>($B2402+$C2402+1)/2</f>
        <v/>
      </c>
      <c r="G2402" s="201">
        <f>YEAR($B2402)*12+MONTH($B2402)-1</f>
        <v/>
      </c>
      <c r="H2402" s="207">
        <f>IF(OR(nr_SeasonOn="OFF",$D$2398=0,$E$2398=0),1,12*INDEX(se_block,$D$2398,$E2402)/$E$2398)</f>
        <v/>
      </c>
      <c r="I2402" s="208">
        <f>EXP(SUMPRODUCT((rl_eff&lt;$B2402)*(rl_key=$A$2398)*rl_ln1p))</f>
        <v/>
      </c>
      <c r="J2402" s="208">
        <f>EXP(SUMPRODUCT((rl_eff&lt;=$C2402)*(rl_key=$A$2398)*rl_ln1p))</f>
        <v/>
      </c>
      <c r="K2402" s="201">
        <f>COUNTIFS(rl_key,$A$2398,rl_eff,"&gt;="&amp;$B2402,rl_eff,"&lt;="&amp;$C2402)</f>
        <v/>
      </c>
      <c r="L2402" s="201">
        <f>SUMIFS(rl_daysafter,rl_key,$A$2398,rl_effmonth,$B2402,rl_first,1)</f>
        <v/>
      </c>
      <c r="M2402" s="209">
        <f>IF($K2402=0,0,MIN(1,$L2402/$D2402))</f>
        <v/>
      </c>
      <c r="N2402" s="208">
        <f>IF($K2402=0,$J2402,(1-$M2402)*$I2402+$M2402*$J2402)</f>
        <v/>
      </c>
      <c r="O2402" s="209">
        <f>IF($F2402&lt;$B$2399,$E$2399+$I$2399*($F2402-$A$2399),IF($F2402&lt;$C$2399,$F$2399+$J$2399*($F2402-$B$2399),$G$2399+$K$2399*($F2402-$C$2399)))</f>
        <v/>
      </c>
      <c r="P2402" s="208">
        <f>MIN(1,MAX(0,(nr_MEndPm1-$G2402+0.5)/$C$2398))-MIN(1,MAX(0,(nr_MStartPm1-1-$G2402+0.5)/$C$2398))</f>
        <v/>
      </c>
      <c r="Q2402" s="208">
        <f>MIN(1,MAX(0,(nr_MEndP-$G2402+0.5)/$C$2398))-MIN(1,MAX(0,(nr_MStartP-1-$G2402+0.5)/$C$2398))</f>
        <v/>
      </c>
      <c r="R2402" s="208">
        <f>MIN(1,MAX(0,(nr_MEndP1-$G2402+0.5)/$C$2398))-MIN(1,MAX(0,(nr_MStartP1-1-$G2402+0.5)/$C$2398))</f>
        <v/>
      </c>
      <c r="S2402" s="208">
        <f>IF($L$2398,$N2402*IF($O$2398=1,$O2402/$F$2398,1),"")</f>
        <v/>
      </c>
      <c r="T2402" s="208">
        <f>IF(NOT($L$2398),"",IF($G2402&lt;nr_MStartP,$S2402,$T2390*(1+IF($G2402&lt;nr_MStartP1,$M$2398,$N$2398))))</f>
        <v/>
      </c>
      <c r="U2402" s="208">
        <f>IF($L$2398,$T2402,$N2402)</f>
        <v/>
      </c>
    </row>
    <row r="2403">
      <c r="A2403" s="145" t="n">
        <v>3</v>
      </c>
      <c r="B2403" s="204">
        <f>EDATE($B2402,1)</f>
        <v/>
      </c>
      <c r="C2403" s="205">
        <f>EOMONTH($B2403,0)</f>
        <v/>
      </c>
      <c r="D2403" s="201">
        <f>$C2403-$B2403+1</f>
        <v/>
      </c>
      <c r="E2403" s="201">
        <f>MONTH($B2403)</f>
        <v/>
      </c>
      <c r="F2403" s="235">
        <f>($B2403+$C2403+1)/2</f>
        <v/>
      </c>
      <c r="G2403" s="201">
        <f>YEAR($B2403)*12+MONTH($B2403)-1</f>
        <v/>
      </c>
      <c r="H2403" s="207">
        <f>IF(OR(nr_SeasonOn="OFF",$D$2398=0,$E$2398=0),1,12*INDEX(se_block,$D$2398,$E2403)/$E$2398)</f>
        <v/>
      </c>
      <c r="I2403" s="208">
        <f>EXP(SUMPRODUCT((rl_eff&lt;$B2403)*(rl_key=$A$2398)*rl_ln1p))</f>
        <v/>
      </c>
      <c r="J2403" s="208">
        <f>EXP(SUMPRODUCT((rl_eff&lt;=$C2403)*(rl_key=$A$2398)*rl_ln1p))</f>
        <v/>
      </c>
      <c r="K2403" s="201">
        <f>COUNTIFS(rl_key,$A$2398,rl_eff,"&gt;="&amp;$B2403,rl_eff,"&lt;="&amp;$C2403)</f>
        <v/>
      </c>
      <c r="L2403" s="201">
        <f>SUMIFS(rl_daysafter,rl_key,$A$2398,rl_effmonth,$B2403,rl_first,1)</f>
        <v/>
      </c>
      <c r="M2403" s="209">
        <f>IF($K2403=0,0,MIN(1,$L2403/$D2403))</f>
        <v/>
      </c>
      <c r="N2403" s="208">
        <f>IF($K2403=0,$J2403,(1-$M2403)*$I2403+$M2403*$J2403)</f>
        <v/>
      </c>
      <c r="O2403" s="209">
        <f>IF($F2403&lt;$B$2399,$E$2399+$I$2399*($F2403-$A$2399),IF($F2403&lt;$C$2399,$F$2399+$J$2399*($F2403-$B$2399),$G$2399+$K$2399*($F2403-$C$2399)))</f>
        <v/>
      </c>
      <c r="P2403" s="208">
        <f>MIN(1,MAX(0,(nr_MEndPm1-$G2403+0.5)/$C$2398))-MIN(1,MAX(0,(nr_MStartPm1-1-$G2403+0.5)/$C$2398))</f>
        <v/>
      </c>
      <c r="Q2403" s="208">
        <f>MIN(1,MAX(0,(nr_MEndP-$G2403+0.5)/$C$2398))-MIN(1,MAX(0,(nr_MStartP-1-$G2403+0.5)/$C$2398))</f>
        <v/>
      </c>
      <c r="R2403" s="208">
        <f>MIN(1,MAX(0,(nr_MEndP1-$G2403+0.5)/$C$2398))-MIN(1,MAX(0,(nr_MStartP1-1-$G2403+0.5)/$C$2398))</f>
        <v/>
      </c>
      <c r="S2403" s="208">
        <f>IF($L$2398,$N2403*IF($O$2398=1,$O2403/$F$2398,1),"")</f>
        <v/>
      </c>
      <c r="T2403" s="208">
        <f>IF(NOT($L$2398),"",IF($G2403&lt;nr_MStartP,$S2403,$T2391*(1+IF($G2403&lt;nr_MStartP1,$M$2398,$N$2398))))</f>
        <v/>
      </c>
      <c r="U2403" s="208">
        <f>IF($L$2398,$T2403,$N2403)</f>
        <v/>
      </c>
    </row>
    <row r="2404">
      <c r="A2404" s="145" t="n">
        <v>4</v>
      </c>
      <c r="B2404" s="204">
        <f>EDATE($B2403,1)</f>
        <v/>
      </c>
      <c r="C2404" s="205">
        <f>EOMONTH($B2404,0)</f>
        <v/>
      </c>
      <c r="D2404" s="201">
        <f>$C2404-$B2404+1</f>
        <v/>
      </c>
      <c r="E2404" s="201">
        <f>MONTH($B2404)</f>
        <v/>
      </c>
      <c r="F2404" s="235">
        <f>($B2404+$C2404+1)/2</f>
        <v/>
      </c>
      <c r="G2404" s="201">
        <f>YEAR($B2404)*12+MONTH($B2404)-1</f>
        <v/>
      </c>
      <c r="H2404" s="207">
        <f>IF(OR(nr_SeasonOn="OFF",$D$2398=0,$E$2398=0),1,12*INDEX(se_block,$D$2398,$E2404)/$E$2398)</f>
        <v/>
      </c>
      <c r="I2404" s="208">
        <f>EXP(SUMPRODUCT((rl_eff&lt;$B2404)*(rl_key=$A$2398)*rl_ln1p))</f>
        <v/>
      </c>
      <c r="J2404" s="208">
        <f>EXP(SUMPRODUCT((rl_eff&lt;=$C2404)*(rl_key=$A$2398)*rl_ln1p))</f>
        <v/>
      </c>
      <c r="K2404" s="201">
        <f>COUNTIFS(rl_key,$A$2398,rl_eff,"&gt;="&amp;$B2404,rl_eff,"&lt;="&amp;$C2404)</f>
        <v/>
      </c>
      <c r="L2404" s="201">
        <f>SUMIFS(rl_daysafter,rl_key,$A$2398,rl_effmonth,$B2404,rl_first,1)</f>
        <v/>
      </c>
      <c r="M2404" s="209">
        <f>IF($K2404=0,0,MIN(1,$L2404/$D2404))</f>
        <v/>
      </c>
      <c r="N2404" s="208">
        <f>IF($K2404=0,$J2404,(1-$M2404)*$I2404+$M2404*$J2404)</f>
        <v/>
      </c>
      <c r="O2404" s="209">
        <f>IF($F2404&lt;$B$2399,$E$2399+$I$2399*($F2404-$A$2399),IF($F2404&lt;$C$2399,$F$2399+$J$2399*($F2404-$B$2399),$G$2399+$K$2399*($F2404-$C$2399)))</f>
        <v/>
      </c>
      <c r="P2404" s="208">
        <f>MIN(1,MAX(0,(nr_MEndPm1-$G2404+0.5)/$C$2398))-MIN(1,MAX(0,(nr_MStartPm1-1-$G2404+0.5)/$C$2398))</f>
        <v/>
      </c>
      <c r="Q2404" s="208">
        <f>MIN(1,MAX(0,(nr_MEndP-$G2404+0.5)/$C$2398))-MIN(1,MAX(0,(nr_MStartP-1-$G2404+0.5)/$C$2398))</f>
        <v/>
      </c>
      <c r="R2404" s="208">
        <f>MIN(1,MAX(0,(nr_MEndP1-$G2404+0.5)/$C$2398))-MIN(1,MAX(0,(nr_MStartP1-1-$G2404+0.5)/$C$2398))</f>
        <v/>
      </c>
      <c r="S2404" s="208">
        <f>IF($L$2398,$N2404*IF($O$2398=1,$O2404/$F$2398,1),"")</f>
        <v/>
      </c>
      <c r="T2404" s="208">
        <f>IF(NOT($L$2398),"",IF($G2404&lt;nr_MStartP,$S2404,$T2392*(1+IF($G2404&lt;nr_MStartP1,$M$2398,$N$2398))))</f>
        <v/>
      </c>
      <c r="U2404" s="208">
        <f>IF($L$2398,$T2404,$N2404)</f>
        <v/>
      </c>
    </row>
    <row r="2405">
      <c r="A2405" s="145" t="n">
        <v>5</v>
      </c>
      <c r="B2405" s="204">
        <f>EDATE($B2404,1)</f>
        <v/>
      </c>
      <c r="C2405" s="205">
        <f>EOMONTH($B2405,0)</f>
        <v/>
      </c>
      <c r="D2405" s="201">
        <f>$C2405-$B2405+1</f>
        <v/>
      </c>
      <c r="E2405" s="201">
        <f>MONTH($B2405)</f>
        <v/>
      </c>
      <c r="F2405" s="235">
        <f>($B2405+$C2405+1)/2</f>
        <v/>
      </c>
      <c r="G2405" s="201">
        <f>YEAR($B2405)*12+MONTH($B2405)-1</f>
        <v/>
      </c>
      <c r="H2405" s="207">
        <f>IF(OR(nr_SeasonOn="OFF",$D$2398=0,$E$2398=0),1,12*INDEX(se_block,$D$2398,$E2405)/$E$2398)</f>
        <v/>
      </c>
      <c r="I2405" s="208">
        <f>EXP(SUMPRODUCT((rl_eff&lt;$B2405)*(rl_key=$A$2398)*rl_ln1p))</f>
        <v/>
      </c>
      <c r="J2405" s="208">
        <f>EXP(SUMPRODUCT((rl_eff&lt;=$C2405)*(rl_key=$A$2398)*rl_ln1p))</f>
        <v/>
      </c>
      <c r="K2405" s="201">
        <f>COUNTIFS(rl_key,$A$2398,rl_eff,"&gt;="&amp;$B2405,rl_eff,"&lt;="&amp;$C2405)</f>
        <v/>
      </c>
      <c r="L2405" s="201">
        <f>SUMIFS(rl_daysafter,rl_key,$A$2398,rl_effmonth,$B2405,rl_first,1)</f>
        <v/>
      </c>
      <c r="M2405" s="209">
        <f>IF($K2405=0,0,MIN(1,$L2405/$D2405))</f>
        <v/>
      </c>
      <c r="N2405" s="208">
        <f>IF($K2405=0,$J2405,(1-$M2405)*$I2405+$M2405*$J2405)</f>
        <v/>
      </c>
      <c r="O2405" s="209">
        <f>IF($F2405&lt;$B$2399,$E$2399+$I$2399*($F2405-$A$2399),IF($F2405&lt;$C$2399,$F$2399+$J$2399*($F2405-$B$2399),$G$2399+$K$2399*($F2405-$C$2399)))</f>
        <v/>
      </c>
      <c r="P2405" s="208">
        <f>MIN(1,MAX(0,(nr_MEndPm1-$G2405+0.5)/$C$2398))-MIN(1,MAX(0,(nr_MStartPm1-1-$G2405+0.5)/$C$2398))</f>
        <v/>
      </c>
      <c r="Q2405" s="208">
        <f>MIN(1,MAX(0,(nr_MEndP-$G2405+0.5)/$C$2398))-MIN(1,MAX(0,(nr_MStartP-1-$G2405+0.5)/$C$2398))</f>
        <v/>
      </c>
      <c r="R2405" s="208">
        <f>MIN(1,MAX(0,(nr_MEndP1-$G2405+0.5)/$C$2398))-MIN(1,MAX(0,(nr_MStartP1-1-$G2405+0.5)/$C$2398))</f>
        <v/>
      </c>
      <c r="S2405" s="208">
        <f>IF($L$2398,$N2405*IF($O$2398=1,$O2405/$F$2398,1),"")</f>
        <v/>
      </c>
      <c r="T2405" s="208">
        <f>IF(NOT($L$2398),"",IF($G2405&lt;nr_MStartP,$S2405,$T2393*(1+IF($G2405&lt;nr_MStartP1,$M$2398,$N$2398))))</f>
        <v/>
      </c>
      <c r="U2405" s="208">
        <f>IF($L$2398,$T2405,$N2405)</f>
        <v/>
      </c>
    </row>
    <row r="2406">
      <c r="A2406" s="145" t="n">
        <v>6</v>
      </c>
      <c r="B2406" s="204">
        <f>EDATE($B2405,1)</f>
        <v/>
      </c>
      <c r="C2406" s="205">
        <f>EOMONTH($B2406,0)</f>
        <v/>
      </c>
      <c r="D2406" s="201">
        <f>$C2406-$B2406+1</f>
        <v/>
      </c>
      <c r="E2406" s="201">
        <f>MONTH($B2406)</f>
        <v/>
      </c>
      <c r="F2406" s="235">
        <f>($B2406+$C2406+1)/2</f>
        <v/>
      </c>
      <c r="G2406" s="201">
        <f>YEAR($B2406)*12+MONTH($B2406)-1</f>
        <v/>
      </c>
      <c r="H2406" s="207">
        <f>IF(OR(nr_SeasonOn="OFF",$D$2398=0,$E$2398=0),1,12*INDEX(se_block,$D$2398,$E2406)/$E$2398)</f>
        <v/>
      </c>
      <c r="I2406" s="208">
        <f>EXP(SUMPRODUCT((rl_eff&lt;$B2406)*(rl_key=$A$2398)*rl_ln1p))</f>
        <v/>
      </c>
      <c r="J2406" s="208">
        <f>EXP(SUMPRODUCT((rl_eff&lt;=$C2406)*(rl_key=$A$2398)*rl_ln1p))</f>
        <v/>
      </c>
      <c r="K2406" s="201">
        <f>COUNTIFS(rl_key,$A$2398,rl_eff,"&gt;="&amp;$B2406,rl_eff,"&lt;="&amp;$C2406)</f>
        <v/>
      </c>
      <c r="L2406" s="201">
        <f>SUMIFS(rl_daysafter,rl_key,$A$2398,rl_effmonth,$B2406,rl_first,1)</f>
        <v/>
      </c>
      <c r="M2406" s="209">
        <f>IF($K2406=0,0,MIN(1,$L2406/$D2406))</f>
        <v/>
      </c>
      <c r="N2406" s="208">
        <f>IF($K2406=0,$J2406,(1-$M2406)*$I2406+$M2406*$J2406)</f>
        <v/>
      </c>
      <c r="O2406" s="209">
        <f>IF($F2406&lt;$B$2399,$E$2399+$I$2399*($F2406-$A$2399),IF($F2406&lt;$C$2399,$F$2399+$J$2399*($F2406-$B$2399),$G$2399+$K$2399*($F2406-$C$2399)))</f>
        <v/>
      </c>
      <c r="P2406" s="208">
        <f>MIN(1,MAX(0,(nr_MEndPm1-$G2406+0.5)/$C$2398))-MIN(1,MAX(0,(nr_MStartPm1-1-$G2406+0.5)/$C$2398))</f>
        <v/>
      </c>
      <c r="Q2406" s="208">
        <f>MIN(1,MAX(0,(nr_MEndP-$G2406+0.5)/$C$2398))-MIN(1,MAX(0,(nr_MStartP-1-$G2406+0.5)/$C$2398))</f>
        <v/>
      </c>
      <c r="R2406" s="208">
        <f>MIN(1,MAX(0,(nr_MEndP1-$G2406+0.5)/$C$2398))-MIN(1,MAX(0,(nr_MStartP1-1-$G2406+0.5)/$C$2398))</f>
        <v/>
      </c>
      <c r="S2406" s="208">
        <f>IF($L$2398,$N2406*IF($O$2398=1,$O2406/$F$2398,1),"")</f>
        <v/>
      </c>
      <c r="T2406" s="208">
        <f>IF(NOT($L$2398),"",IF($G2406&lt;nr_MStartP,$S2406,$T2394*(1+IF($G2406&lt;nr_MStartP1,$M$2398,$N$2398))))</f>
        <v/>
      </c>
      <c r="U2406" s="208">
        <f>IF($L$2398,$T2406,$N2406)</f>
        <v/>
      </c>
    </row>
    <row r="2407">
      <c r="A2407" s="145" t="n">
        <v>7</v>
      </c>
      <c r="B2407" s="204">
        <f>EDATE($B2406,1)</f>
        <v/>
      </c>
      <c r="C2407" s="205">
        <f>EOMONTH($B2407,0)</f>
        <v/>
      </c>
      <c r="D2407" s="201">
        <f>$C2407-$B2407+1</f>
        <v/>
      </c>
      <c r="E2407" s="201">
        <f>MONTH($B2407)</f>
        <v/>
      </c>
      <c r="F2407" s="235">
        <f>($B2407+$C2407+1)/2</f>
        <v/>
      </c>
      <c r="G2407" s="201">
        <f>YEAR($B2407)*12+MONTH($B2407)-1</f>
        <v/>
      </c>
      <c r="H2407" s="207">
        <f>IF(OR(nr_SeasonOn="OFF",$D$2398=0,$E$2398=0),1,12*INDEX(se_block,$D$2398,$E2407)/$E$2398)</f>
        <v/>
      </c>
      <c r="I2407" s="208">
        <f>EXP(SUMPRODUCT((rl_eff&lt;$B2407)*(rl_key=$A$2398)*rl_ln1p))</f>
        <v/>
      </c>
      <c r="J2407" s="208">
        <f>EXP(SUMPRODUCT((rl_eff&lt;=$C2407)*(rl_key=$A$2398)*rl_ln1p))</f>
        <v/>
      </c>
      <c r="K2407" s="201">
        <f>COUNTIFS(rl_key,$A$2398,rl_eff,"&gt;="&amp;$B2407,rl_eff,"&lt;="&amp;$C2407)</f>
        <v/>
      </c>
      <c r="L2407" s="201">
        <f>SUMIFS(rl_daysafter,rl_key,$A$2398,rl_effmonth,$B2407,rl_first,1)</f>
        <v/>
      </c>
      <c r="M2407" s="209">
        <f>IF($K2407=0,0,MIN(1,$L2407/$D2407))</f>
        <v/>
      </c>
      <c r="N2407" s="208">
        <f>IF($K2407=0,$J2407,(1-$M2407)*$I2407+$M2407*$J2407)</f>
        <v/>
      </c>
      <c r="O2407" s="209">
        <f>IF($F2407&lt;$B$2399,$E$2399+$I$2399*($F2407-$A$2399),IF($F2407&lt;$C$2399,$F$2399+$J$2399*($F2407-$B$2399),$G$2399+$K$2399*($F2407-$C$2399)))</f>
        <v/>
      </c>
      <c r="P2407" s="208">
        <f>MIN(1,MAX(0,(nr_MEndPm1-$G2407+0.5)/$C$2398))-MIN(1,MAX(0,(nr_MStartPm1-1-$G2407+0.5)/$C$2398))</f>
        <v/>
      </c>
      <c r="Q2407" s="208">
        <f>MIN(1,MAX(0,(nr_MEndP-$G2407+0.5)/$C$2398))-MIN(1,MAX(0,(nr_MStartP-1-$G2407+0.5)/$C$2398))</f>
        <v/>
      </c>
      <c r="R2407" s="208">
        <f>MIN(1,MAX(0,(nr_MEndP1-$G2407+0.5)/$C$2398))-MIN(1,MAX(0,(nr_MStartP1-1-$G2407+0.5)/$C$2398))</f>
        <v/>
      </c>
      <c r="S2407" s="208">
        <f>IF($L$2398,$N2407*IF($O$2398=1,$O2407/$F$2398,1),"")</f>
        <v/>
      </c>
      <c r="T2407" s="208">
        <f>IF(NOT($L$2398),"",IF($G2407&lt;nr_MStartP,$S2407,$T2395*(1+IF($G2407&lt;nr_MStartP1,$M$2398,$N$2398))))</f>
        <v/>
      </c>
      <c r="U2407" s="208">
        <f>IF($L$2398,$T2407,$N2407)</f>
        <v/>
      </c>
    </row>
    <row r="2408">
      <c r="A2408" s="145" t="n">
        <v>8</v>
      </c>
      <c r="B2408" s="204">
        <f>EDATE($B2407,1)</f>
        <v/>
      </c>
      <c r="C2408" s="205">
        <f>EOMONTH($B2408,0)</f>
        <v/>
      </c>
      <c r="D2408" s="201">
        <f>$C2408-$B2408+1</f>
        <v/>
      </c>
      <c r="E2408" s="201">
        <f>MONTH($B2408)</f>
        <v/>
      </c>
      <c r="F2408" s="235">
        <f>($B2408+$C2408+1)/2</f>
        <v/>
      </c>
      <c r="G2408" s="201">
        <f>YEAR($B2408)*12+MONTH($B2408)-1</f>
        <v/>
      </c>
      <c r="H2408" s="207">
        <f>IF(OR(nr_SeasonOn="OFF",$D$2398=0,$E$2398=0),1,12*INDEX(se_block,$D$2398,$E2408)/$E$2398)</f>
        <v/>
      </c>
      <c r="I2408" s="208">
        <f>EXP(SUMPRODUCT((rl_eff&lt;$B2408)*(rl_key=$A$2398)*rl_ln1p))</f>
        <v/>
      </c>
      <c r="J2408" s="208">
        <f>EXP(SUMPRODUCT((rl_eff&lt;=$C2408)*(rl_key=$A$2398)*rl_ln1p))</f>
        <v/>
      </c>
      <c r="K2408" s="201">
        <f>COUNTIFS(rl_key,$A$2398,rl_eff,"&gt;="&amp;$B2408,rl_eff,"&lt;="&amp;$C2408)</f>
        <v/>
      </c>
      <c r="L2408" s="201">
        <f>SUMIFS(rl_daysafter,rl_key,$A$2398,rl_effmonth,$B2408,rl_first,1)</f>
        <v/>
      </c>
      <c r="M2408" s="209">
        <f>IF($K2408=0,0,MIN(1,$L2408/$D2408))</f>
        <v/>
      </c>
      <c r="N2408" s="208">
        <f>IF($K2408=0,$J2408,(1-$M2408)*$I2408+$M2408*$J2408)</f>
        <v/>
      </c>
      <c r="O2408" s="209">
        <f>IF($F2408&lt;$B$2399,$E$2399+$I$2399*($F2408-$A$2399),IF($F2408&lt;$C$2399,$F$2399+$J$2399*($F2408-$B$2399),$G$2399+$K$2399*($F2408-$C$2399)))</f>
        <v/>
      </c>
      <c r="P2408" s="208">
        <f>MIN(1,MAX(0,(nr_MEndPm1-$G2408+0.5)/$C$2398))-MIN(1,MAX(0,(nr_MStartPm1-1-$G2408+0.5)/$C$2398))</f>
        <v/>
      </c>
      <c r="Q2408" s="208">
        <f>MIN(1,MAX(0,(nr_MEndP-$G2408+0.5)/$C$2398))-MIN(1,MAX(0,(nr_MStartP-1-$G2408+0.5)/$C$2398))</f>
        <v/>
      </c>
      <c r="R2408" s="208">
        <f>MIN(1,MAX(0,(nr_MEndP1-$G2408+0.5)/$C$2398))-MIN(1,MAX(0,(nr_MStartP1-1-$G2408+0.5)/$C$2398))</f>
        <v/>
      </c>
      <c r="S2408" s="208">
        <f>IF($L$2398,$N2408*IF($O$2398=1,$O2408/$F$2398,1),"")</f>
        <v/>
      </c>
      <c r="T2408" s="208">
        <f>IF(NOT($L$2398),"",IF($G2408&lt;nr_MStartP,$S2408,$T2396*(1+IF($G2408&lt;nr_MStartP1,$M$2398,$N$2398))))</f>
        <v/>
      </c>
      <c r="U2408" s="208">
        <f>IF($L$2398,$T2408,$N2408)</f>
        <v/>
      </c>
    </row>
    <row r="2409">
      <c r="A2409" s="145" t="n">
        <v>9</v>
      </c>
      <c r="B2409" s="204">
        <f>EDATE($B2408,1)</f>
        <v/>
      </c>
      <c r="C2409" s="205">
        <f>EOMONTH($B2409,0)</f>
        <v/>
      </c>
      <c r="D2409" s="201">
        <f>$C2409-$B2409+1</f>
        <v/>
      </c>
      <c r="E2409" s="201">
        <f>MONTH($B2409)</f>
        <v/>
      </c>
      <c r="F2409" s="235">
        <f>($B2409+$C2409+1)/2</f>
        <v/>
      </c>
      <c r="G2409" s="201">
        <f>YEAR($B2409)*12+MONTH($B2409)-1</f>
        <v/>
      </c>
      <c r="H2409" s="207">
        <f>IF(OR(nr_SeasonOn="OFF",$D$2398=0,$E$2398=0),1,12*INDEX(se_block,$D$2398,$E2409)/$E$2398)</f>
        <v/>
      </c>
      <c r="I2409" s="208">
        <f>EXP(SUMPRODUCT((rl_eff&lt;$B2409)*(rl_key=$A$2398)*rl_ln1p))</f>
        <v/>
      </c>
      <c r="J2409" s="208">
        <f>EXP(SUMPRODUCT((rl_eff&lt;=$C2409)*(rl_key=$A$2398)*rl_ln1p))</f>
        <v/>
      </c>
      <c r="K2409" s="201">
        <f>COUNTIFS(rl_key,$A$2398,rl_eff,"&gt;="&amp;$B2409,rl_eff,"&lt;="&amp;$C2409)</f>
        <v/>
      </c>
      <c r="L2409" s="201">
        <f>SUMIFS(rl_daysafter,rl_key,$A$2398,rl_effmonth,$B2409,rl_first,1)</f>
        <v/>
      </c>
      <c r="M2409" s="209">
        <f>IF($K2409=0,0,MIN(1,$L2409/$D2409))</f>
        <v/>
      </c>
      <c r="N2409" s="208">
        <f>IF($K2409=0,$J2409,(1-$M2409)*$I2409+$M2409*$J2409)</f>
        <v/>
      </c>
      <c r="O2409" s="209">
        <f>IF($F2409&lt;$B$2399,$E$2399+$I$2399*($F2409-$A$2399),IF($F2409&lt;$C$2399,$F$2399+$J$2399*($F2409-$B$2399),$G$2399+$K$2399*($F2409-$C$2399)))</f>
        <v/>
      </c>
      <c r="P2409" s="208">
        <f>MIN(1,MAX(0,(nr_MEndPm1-$G2409+0.5)/$C$2398))-MIN(1,MAX(0,(nr_MStartPm1-1-$G2409+0.5)/$C$2398))</f>
        <v/>
      </c>
      <c r="Q2409" s="208">
        <f>MIN(1,MAX(0,(nr_MEndP-$G2409+0.5)/$C$2398))-MIN(1,MAX(0,(nr_MStartP-1-$G2409+0.5)/$C$2398))</f>
        <v/>
      </c>
      <c r="R2409" s="208">
        <f>MIN(1,MAX(0,(nr_MEndP1-$G2409+0.5)/$C$2398))-MIN(1,MAX(0,(nr_MStartP1-1-$G2409+0.5)/$C$2398))</f>
        <v/>
      </c>
      <c r="S2409" s="208">
        <f>IF($L$2398,$N2409*IF($O$2398=1,$O2409/$F$2398,1),"")</f>
        <v/>
      </c>
      <c r="T2409" s="208">
        <f>IF(NOT($L$2398),"",IF($G2409&lt;nr_MStartP,$S2409,$T2397*(1+IF($G2409&lt;nr_MStartP1,$M$2398,$N$2398))))</f>
        <v/>
      </c>
      <c r="U2409" s="208">
        <f>IF($L$2398,$T2409,$N2409)</f>
        <v/>
      </c>
    </row>
    <row r="2410">
      <c r="A2410" s="145" t="n">
        <v>10</v>
      </c>
      <c r="B2410" s="204">
        <f>EDATE($B2409,1)</f>
        <v/>
      </c>
      <c r="C2410" s="205">
        <f>EOMONTH($B2410,0)</f>
        <v/>
      </c>
      <c r="D2410" s="201">
        <f>$C2410-$B2410+1</f>
        <v/>
      </c>
      <c r="E2410" s="201">
        <f>MONTH($B2410)</f>
        <v/>
      </c>
      <c r="F2410" s="235">
        <f>($B2410+$C2410+1)/2</f>
        <v/>
      </c>
      <c r="G2410" s="201">
        <f>YEAR($B2410)*12+MONTH($B2410)-1</f>
        <v/>
      </c>
      <c r="H2410" s="207">
        <f>IF(OR(nr_SeasonOn="OFF",$D$2398=0,$E$2398=0),1,12*INDEX(se_block,$D$2398,$E2410)/$E$2398)</f>
        <v/>
      </c>
      <c r="I2410" s="208">
        <f>EXP(SUMPRODUCT((rl_eff&lt;$B2410)*(rl_key=$A$2398)*rl_ln1p))</f>
        <v/>
      </c>
      <c r="J2410" s="208">
        <f>EXP(SUMPRODUCT((rl_eff&lt;=$C2410)*(rl_key=$A$2398)*rl_ln1p))</f>
        <v/>
      </c>
      <c r="K2410" s="201">
        <f>COUNTIFS(rl_key,$A$2398,rl_eff,"&gt;="&amp;$B2410,rl_eff,"&lt;="&amp;$C2410)</f>
        <v/>
      </c>
      <c r="L2410" s="201">
        <f>SUMIFS(rl_daysafter,rl_key,$A$2398,rl_effmonth,$B2410,rl_first,1)</f>
        <v/>
      </c>
      <c r="M2410" s="209">
        <f>IF($K2410=0,0,MIN(1,$L2410/$D2410))</f>
        <v/>
      </c>
      <c r="N2410" s="208">
        <f>IF($K2410=0,$J2410,(1-$M2410)*$I2410+$M2410*$J2410)</f>
        <v/>
      </c>
      <c r="O2410" s="209">
        <f>IF($F2410&lt;$B$2399,$E$2399+$I$2399*($F2410-$A$2399),IF($F2410&lt;$C$2399,$F$2399+$J$2399*($F2410-$B$2399),$G$2399+$K$2399*($F2410-$C$2399)))</f>
        <v/>
      </c>
      <c r="P2410" s="208">
        <f>MIN(1,MAX(0,(nr_MEndPm1-$G2410+0.5)/$C$2398))-MIN(1,MAX(0,(nr_MStartPm1-1-$G2410+0.5)/$C$2398))</f>
        <v/>
      </c>
      <c r="Q2410" s="208">
        <f>MIN(1,MAX(0,(nr_MEndP-$G2410+0.5)/$C$2398))-MIN(1,MAX(0,(nr_MStartP-1-$G2410+0.5)/$C$2398))</f>
        <v/>
      </c>
      <c r="R2410" s="208">
        <f>MIN(1,MAX(0,(nr_MEndP1-$G2410+0.5)/$C$2398))-MIN(1,MAX(0,(nr_MStartP1-1-$G2410+0.5)/$C$2398))</f>
        <v/>
      </c>
      <c r="S2410" s="208">
        <f>IF($L$2398,$N2410*IF($O$2398=1,$O2410/$F$2398,1),"")</f>
        <v/>
      </c>
      <c r="T2410" s="208">
        <f>IF(NOT($L$2398),"",IF($G2410&lt;nr_MStartP,$S2410,$T2398*(1+IF($G2410&lt;nr_MStartP1,$M$2398,$N$2398))))</f>
        <v/>
      </c>
      <c r="U2410" s="208">
        <f>IF($L$2398,$T2410,$N2410)</f>
        <v/>
      </c>
    </row>
    <row r="2411">
      <c r="A2411" s="145" t="n">
        <v>11</v>
      </c>
      <c r="B2411" s="204">
        <f>EDATE($B2410,1)</f>
        <v/>
      </c>
      <c r="C2411" s="205">
        <f>EOMONTH($B2411,0)</f>
        <v/>
      </c>
      <c r="D2411" s="201">
        <f>$C2411-$B2411+1</f>
        <v/>
      </c>
      <c r="E2411" s="201">
        <f>MONTH($B2411)</f>
        <v/>
      </c>
      <c r="F2411" s="235">
        <f>($B2411+$C2411+1)/2</f>
        <v/>
      </c>
      <c r="G2411" s="201">
        <f>YEAR($B2411)*12+MONTH($B2411)-1</f>
        <v/>
      </c>
      <c r="H2411" s="207">
        <f>IF(OR(nr_SeasonOn="OFF",$D$2398=0,$E$2398=0),1,12*INDEX(se_block,$D$2398,$E2411)/$E$2398)</f>
        <v/>
      </c>
      <c r="I2411" s="208">
        <f>EXP(SUMPRODUCT((rl_eff&lt;$B2411)*(rl_key=$A$2398)*rl_ln1p))</f>
        <v/>
      </c>
      <c r="J2411" s="208">
        <f>EXP(SUMPRODUCT((rl_eff&lt;=$C2411)*(rl_key=$A$2398)*rl_ln1p))</f>
        <v/>
      </c>
      <c r="K2411" s="201">
        <f>COUNTIFS(rl_key,$A$2398,rl_eff,"&gt;="&amp;$B2411,rl_eff,"&lt;="&amp;$C2411)</f>
        <v/>
      </c>
      <c r="L2411" s="201">
        <f>SUMIFS(rl_daysafter,rl_key,$A$2398,rl_effmonth,$B2411,rl_first,1)</f>
        <v/>
      </c>
      <c r="M2411" s="209">
        <f>IF($K2411=0,0,MIN(1,$L2411/$D2411))</f>
        <v/>
      </c>
      <c r="N2411" s="208">
        <f>IF($K2411=0,$J2411,(1-$M2411)*$I2411+$M2411*$J2411)</f>
        <v/>
      </c>
      <c r="O2411" s="209">
        <f>IF($F2411&lt;$B$2399,$E$2399+$I$2399*($F2411-$A$2399),IF($F2411&lt;$C$2399,$F$2399+$J$2399*($F2411-$B$2399),$G$2399+$K$2399*($F2411-$C$2399)))</f>
        <v/>
      </c>
      <c r="P2411" s="208">
        <f>MIN(1,MAX(0,(nr_MEndPm1-$G2411+0.5)/$C$2398))-MIN(1,MAX(0,(nr_MStartPm1-1-$G2411+0.5)/$C$2398))</f>
        <v/>
      </c>
      <c r="Q2411" s="208">
        <f>MIN(1,MAX(0,(nr_MEndP-$G2411+0.5)/$C$2398))-MIN(1,MAX(0,(nr_MStartP-1-$G2411+0.5)/$C$2398))</f>
        <v/>
      </c>
      <c r="R2411" s="208">
        <f>MIN(1,MAX(0,(nr_MEndP1-$G2411+0.5)/$C$2398))-MIN(1,MAX(0,(nr_MStartP1-1-$G2411+0.5)/$C$2398))</f>
        <v/>
      </c>
      <c r="S2411" s="208">
        <f>IF($L$2398,$N2411*IF($O$2398=1,$O2411/$F$2398,1),"")</f>
        <v/>
      </c>
      <c r="T2411" s="208">
        <f>IF(NOT($L$2398),"",IF($G2411&lt;nr_MStartP,$S2411,$T2399*(1+IF($G2411&lt;nr_MStartP1,$M$2398,$N$2398))))</f>
        <v/>
      </c>
      <c r="U2411" s="208">
        <f>IF($L$2398,$T2411,$N2411)</f>
        <v/>
      </c>
    </row>
    <row r="2412">
      <c r="A2412" s="145" t="n">
        <v>12</v>
      </c>
      <c r="B2412" s="204">
        <f>EDATE($B2411,1)</f>
        <v/>
      </c>
      <c r="C2412" s="205">
        <f>EOMONTH($B2412,0)</f>
        <v/>
      </c>
      <c r="D2412" s="201">
        <f>$C2412-$B2412+1</f>
        <v/>
      </c>
      <c r="E2412" s="201">
        <f>MONTH($B2412)</f>
        <v/>
      </c>
      <c r="F2412" s="235">
        <f>($B2412+$C2412+1)/2</f>
        <v/>
      </c>
      <c r="G2412" s="201">
        <f>YEAR($B2412)*12+MONTH($B2412)-1</f>
        <v/>
      </c>
      <c r="H2412" s="207">
        <f>IF(OR(nr_SeasonOn="OFF",$D$2398=0,$E$2398=0),1,12*INDEX(se_block,$D$2398,$E2412)/$E$2398)</f>
        <v/>
      </c>
      <c r="I2412" s="208">
        <f>EXP(SUMPRODUCT((rl_eff&lt;$B2412)*(rl_key=$A$2398)*rl_ln1p))</f>
        <v/>
      </c>
      <c r="J2412" s="208">
        <f>EXP(SUMPRODUCT((rl_eff&lt;=$C2412)*(rl_key=$A$2398)*rl_ln1p))</f>
        <v/>
      </c>
      <c r="K2412" s="201">
        <f>COUNTIFS(rl_key,$A$2398,rl_eff,"&gt;="&amp;$B2412,rl_eff,"&lt;="&amp;$C2412)</f>
        <v/>
      </c>
      <c r="L2412" s="201">
        <f>SUMIFS(rl_daysafter,rl_key,$A$2398,rl_effmonth,$B2412,rl_first,1)</f>
        <v/>
      </c>
      <c r="M2412" s="209">
        <f>IF($K2412=0,0,MIN(1,$L2412/$D2412))</f>
        <v/>
      </c>
      <c r="N2412" s="208">
        <f>IF($K2412=0,$J2412,(1-$M2412)*$I2412+$M2412*$J2412)</f>
        <v/>
      </c>
      <c r="O2412" s="209">
        <f>IF($F2412&lt;$B$2399,$E$2399+$I$2399*($F2412-$A$2399),IF($F2412&lt;$C$2399,$F$2399+$J$2399*($F2412-$B$2399),$G$2399+$K$2399*($F2412-$C$2399)))</f>
        <v/>
      </c>
      <c r="P2412" s="208">
        <f>MIN(1,MAX(0,(nr_MEndPm1-$G2412+0.5)/$C$2398))-MIN(1,MAX(0,(nr_MStartPm1-1-$G2412+0.5)/$C$2398))</f>
        <v/>
      </c>
      <c r="Q2412" s="208">
        <f>MIN(1,MAX(0,(nr_MEndP-$G2412+0.5)/$C$2398))-MIN(1,MAX(0,(nr_MStartP-1-$G2412+0.5)/$C$2398))</f>
        <v/>
      </c>
      <c r="R2412" s="208">
        <f>MIN(1,MAX(0,(nr_MEndP1-$G2412+0.5)/$C$2398))-MIN(1,MAX(0,(nr_MStartP1-1-$G2412+0.5)/$C$2398))</f>
        <v/>
      </c>
      <c r="S2412" s="208">
        <f>IF($L$2398,$N2412*IF($O$2398=1,$O2412/$F$2398,1),"")</f>
        <v/>
      </c>
      <c r="T2412" s="208">
        <f>IF(NOT($L$2398),"",IF($G2412&lt;nr_MStartP,$S2412,$T2400*(1+IF($G2412&lt;nr_MStartP1,$M$2398,$N$2398))))</f>
        <v/>
      </c>
      <c r="U2412" s="208">
        <f>IF($L$2398,$T2412,$N2412)</f>
        <v/>
      </c>
    </row>
    <row r="2413">
      <c r="A2413" s="145" t="n">
        <v>13</v>
      </c>
      <c r="B2413" s="204">
        <f>EDATE($B2412,1)</f>
        <v/>
      </c>
      <c r="C2413" s="205">
        <f>EOMONTH($B2413,0)</f>
        <v/>
      </c>
      <c r="D2413" s="201">
        <f>$C2413-$B2413+1</f>
        <v/>
      </c>
      <c r="E2413" s="201">
        <f>MONTH($B2413)</f>
        <v/>
      </c>
      <c r="F2413" s="235">
        <f>($B2413+$C2413+1)/2</f>
        <v/>
      </c>
      <c r="G2413" s="201">
        <f>YEAR($B2413)*12+MONTH($B2413)-1</f>
        <v/>
      </c>
      <c r="H2413" s="207">
        <f>IF(OR(nr_SeasonOn="OFF",$D$2398=0,$E$2398=0),1,12*INDEX(se_block,$D$2398,$E2413)/$E$2398)</f>
        <v/>
      </c>
      <c r="I2413" s="208">
        <f>EXP(SUMPRODUCT((rl_eff&lt;$B2413)*(rl_key=$A$2398)*rl_ln1p))</f>
        <v/>
      </c>
      <c r="J2413" s="208">
        <f>EXP(SUMPRODUCT((rl_eff&lt;=$C2413)*(rl_key=$A$2398)*rl_ln1p))</f>
        <v/>
      </c>
      <c r="K2413" s="201">
        <f>COUNTIFS(rl_key,$A$2398,rl_eff,"&gt;="&amp;$B2413,rl_eff,"&lt;="&amp;$C2413)</f>
        <v/>
      </c>
      <c r="L2413" s="201">
        <f>SUMIFS(rl_daysafter,rl_key,$A$2398,rl_effmonth,$B2413,rl_first,1)</f>
        <v/>
      </c>
      <c r="M2413" s="209">
        <f>IF($K2413=0,0,MIN(1,$L2413/$D2413))</f>
        <v/>
      </c>
      <c r="N2413" s="208">
        <f>IF($K2413=0,$J2413,(1-$M2413)*$I2413+$M2413*$J2413)</f>
        <v/>
      </c>
      <c r="O2413" s="209">
        <f>IF($F2413&lt;$B$2399,$E$2399+$I$2399*($F2413-$A$2399),IF($F2413&lt;$C$2399,$F$2399+$J$2399*($F2413-$B$2399),$G$2399+$K$2399*($F2413-$C$2399)))</f>
        <v/>
      </c>
      <c r="P2413" s="208">
        <f>MIN(1,MAX(0,(nr_MEndPm1-$G2413+0.5)/$C$2398))-MIN(1,MAX(0,(nr_MStartPm1-1-$G2413+0.5)/$C$2398))</f>
        <v/>
      </c>
      <c r="Q2413" s="208">
        <f>MIN(1,MAX(0,(nr_MEndP-$G2413+0.5)/$C$2398))-MIN(1,MAX(0,(nr_MStartP-1-$G2413+0.5)/$C$2398))</f>
        <v/>
      </c>
      <c r="R2413" s="208">
        <f>MIN(1,MAX(0,(nr_MEndP1-$G2413+0.5)/$C$2398))-MIN(1,MAX(0,(nr_MStartP1-1-$G2413+0.5)/$C$2398))</f>
        <v/>
      </c>
      <c r="S2413" s="208">
        <f>IF($L$2398,$N2413*IF($O$2398=1,$O2413/$F$2398,1),"")</f>
        <v/>
      </c>
      <c r="T2413" s="208">
        <f>IF(NOT($L$2398),"",IF($G2413&lt;nr_MStartP,$S2413,$T2401*(1+IF($G2413&lt;nr_MStartP1,$M$2398,$N$2398))))</f>
        <v/>
      </c>
      <c r="U2413" s="208">
        <f>IF($L$2398,$T2413,$N2413)</f>
        <v/>
      </c>
    </row>
    <row r="2414">
      <c r="A2414" s="145" t="n">
        <v>14</v>
      </c>
      <c r="B2414" s="204">
        <f>EDATE($B2413,1)</f>
        <v/>
      </c>
      <c r="C2414" s="205">
        <f>EOMONTH($B2414,0)</f>
        <v/>
      </c>
      <c r="D2414" s="201">
        <f>$C2414-$B2414+1</f>
        <v/>
      </c>
      <c r="E2414" s="201">
        <f>MONTH($B2414)</f>
        <v/>
      </c>
      <c r="F2414" s="235">
        <f>($B2414+$C2414+1)/2</f>
        <v/>
      </c>
      <c r="G2414" s="201">
        <f>YEAR($B2414)*12+MONTH($B2414)-1</f>
        <v/>
      </c>
      <c r="H2414" s="207">
        <f>IF(OR(nr_SeasonOn="OFF",$D$2398=0,$E$2398=0),1,12*INDEX(se_block,$D$2398,$E2414)/$E$2398)</f>
        <v/>
      </c>
      <c r="I2414" s="208">
        <f>EXP(SUMPRODUCT((rl_eff&lt;$B2414)*(rl_key=$A$2398)*rl_ln1p))</f>
        <v/>
      </c>
      <c r="J2414" s="208">
        <f>EXP(SUMPRODUCT((rl_eff&lt;=$C2414)*(rl_key=$A$2398)*rl_ln1p))</f>
        <v/>
      </c>
      <c r="K2414" s="201">
        <f>COUNTIFS(rl_key,$A$2398,rl_eff,"&gt;="&amp;$B2414,rl_eff,"&lt;="&amp;$C2414)</f>
        <v/>
      </c>
      <c r="L2414" s="201">
        <f>SUMIFS(rl_daysafter,rl_key,$A$2398,rl_effmonth,$B2414,rl_first,1)</f>
        <v/>
      </c>
      <c r="M2414" s="209">
        <f>IF($K2414=0,0,MIN(1,$L2414/$D2414))</f>
        <v/>
      </c>
      <c r="N2414" s="208">
        <f>IF($K2414=0,$J2414,(1-$M2414)*$I2414+$M2414*$J2414)</f>
        <v/>
      </c>
      <c r="O2414" s="209">
        <f>IF($F2414&lt;$B$2399,$E$2399+$I$2399*($F2414-$A$2399),IF($F2414&lt;$C$2399,$F$2399+$J$2399*($F2414-$B$2399),$G$2399+$K$2399*($F2414-$C$2399)))</f>
        <v/>
      </c>
      <c r="P2414" s="208">
        <f>MIN(1,MAX(0,(nr_MEndPm1-$G2414+0.5)/$C$2398))-MIN(1,MAX(0,(nr_MStartPm1-1-$G2414+0.5)/$C$2398))</f>
        <v/>
      </c>
      <c r="Q2414" s="208">
        <f>MIN(1,MAX(0,(nr_MEndP-$G2414+0.5)/$C$2398))-MIN(1,MAX(0,(nr_MStartP-1-$G2414+0.5)/$C$2398))</f>
        <v/>
      </c>
      <c r="R2414" s="208">
        <f>MIN(1,MAX(0,(nr_MEndP1-$G2414+0.5)/$C$2398))-MIN(1,MAX(0,(nr_MStartP1-1-$G2414+0.5)/$C$2398))</f>
        <v/>
      </c>
      <c r="S2414" s="208">
        <f>IF($L$2398,$N2414*IF($O$2398=1,$O2414/$F$2398,1),"")</f>
        <v/>
      </c>
      <c r="T2414" s="208">
        <f>IF(NOT($L$2398),"",IF($G2414&lt;nr_MStartP,$S2414,$T2402*(1+IF($G2414&lt;nr_MStartP1,$M$2398,$N$2398))))</f>
        <v/>
      </c>
      <c r="U2414" s="208">
        <f>IF($L$2398,$T2414,$N2414)</f>
        <v/>
      </c>
    </row>
    <row r="2415">
      <c r="A2415" s="145" t="n">
        <v>15</v>
      </c>
      <c r="B2415" s="204">
        <f>EDATE($B2414,1)</f>
        <v/>
      </c>
      <c r="C2415" s="205">
        <f>EOMONTH($B2415,0)</f>
        <v/>
      </c>
      <c r="D2415" s="201">
        <f>$C2415-$B2415+1</f>
        <v/>
      </c>
      <c r="E2415" s="201">
        <f>MONTH($B2415)</f>
        <v/>
      </c>
      <c r="F2415" s="235">
        <f>($B2415+$C2415+1)/2</f>
        <v/>
      </c>
      <c r="G2415" s="201">
        <f>YEAR($B2415)*12+MONTH($B2415)-1</f>
        <v/>
      </c>
      <c r="H2415" s="207">
        <f>IF(OR(nr_SeasonOn="OFF",$D$2398=0,$E$2398=0),1,12*INDEX(se_block,$D$2398,$E2415)/$E$2398)</f>
        <v/>
      </c>
      <c r="I2415" s="208">
        <f>EXP(SUMPRODUCT((rl_eff&lt;$B2415)*(rl_key=$A$2398)*rl_ln1p))</f>
        <v/>
      </c>
      <c r="J2415" s="208">
        <f>EXP(SUMPRODUCT((rl_eff&lt;=$C2415)*(rl_key=$A$2398)*rl_ln1p))</f>
        <v/>
      </c>
      <c r="K2415" s="201">
        <f>COUNTIFS(rl_key,$A$2398,rl_eff,"&gt;="&amp;$B2415,rl_eff,"&lt;="&amp;$C2415)</f>
        <v/>
      </c>
      <c r="L2415" s="201">
        <f>SUMIFS(rl_daysafter,rl_key,$A$2398,rl_effmonth,$B2415,rl_first,1)</f>
        <v/>
      </c>
      <c r="M2415" s="209">
        <f>IF($K2415=0,0,MIN(1,$L2415/$D2415))</f>
        <v/>
      </c>
      <c r="N2415" s="208">
        <f>IF($K2415=0,$J2415,(1-$M2415)*$I2415+$M2415*$J2415)</f>
        <v/>
      </c>
      <c r="O2415" s="209">
        <f>IF($F2415&lt;$B$2399,$E$2399+$I$2399*($F2415-$A$2399),IF($F2415&lt;$C$2399,$F$2399+$J$2399*($F2415-$B$2399),$G$2399+$K$2399*($F2415-$C$2399)))</f>
        <v/>
      </c>
      <c r="P2415" s="208">
        <f>MIN(1,MAX(0,(nr_MEndPm1-$G2415+0.5)/$C$2398))-MIN(1,MAX(0,(nr_MStartPm1-1-$G2415+0.5)/$C$2398))</f>
        <v/>
      </c>
      <c r="Q2415" s="208">
        <f>MIN(1,MAX(0,(nr_MEndP-$G2415+0.5)/$C$2398))-MIN(1,MAX(0,(nr_MStartP-1-$G2415+0.5)/$C$2398))</f>
        <v/>
      </c>
      <c r="R2415" s="208">
        <f>MIN(1,MAX(0,(nr_MEndP1-$G2415+0.5)/$C$2398))-MIN(1,MAX(0,(nr_MStartP1-1-$G2415+0.5)/$C$2398))</f>
        <v/>
      </c>
      <c r="S2415" s="208">
        <f>IF($L$2398,$N2415*IF($O$2398=1,$O2415/$F$2398,1),"")</f>
        <v/>
      </c>
      <c r="T2415" s="208">
        <f>IF(NOT($L$2398),"",IF($G2415&lt;nr_MStartP,$S2415,$T2403*(1+IF($G2415&lt;nr_MStartP1,$M$2398,$N$2398))))</f>
        <v/>
      </c>
      <c r="U2415" s="208">
        <f>IF($L$2398,$T2415,$N2415)</f>
        <v/>
      </c>
    </row>
    <row r="2416">
      <c r="A2416" s="145" t="n">
        <v>16</v>
      </c>
      <c r="B2416" s="204">
        <f>EDATE($B2415,1)</f>
        <v/>
      </c>
      <c r="C2416" s="205">
        <f>EOMONTH($B2416,0)</f>
        <v/>
      </c>
      <c r="D2416" s="201">
        <f>$C2416-$B2416+1</f>
        <v/>
      </c>
      <c r="E2416" s="201">
        <f>MONTH($B2416)</f>
        <v/>
      </c>
      <c r="F2416" s="235">
        <f>($B2416+$C2416+1)/2</f>
        <v/>
      </c>
      <c r="G2416" s="201">
        <f>YEAR($B2416)*12+MONTH($B2416)-1</f>
        <v/>
      </c>
      <c r="H2416" s="207">
        <f>IF(OR(nr_SeasonOn="OFF",$D$2398=0,$E$2398=0),1,12*INDEX(se_block,$D$2398,$E2416)/$E$2398)</f>
        <v/>
      </c>
      <c r="I2416" s="208">
        <f>EXP(SUMPRODUCT((rl_eff&lt;$B2416)*(rl_key=$A$2398)*rl_ln1p))</f>
        <v/>
      </c>
      <c r="J2416" s="208">
        <f>EXP(SUMPRODUCT((rl_eff&lt;=$C2416)*(rl_key=$A$2398)*rl_ln1p))</f>
        <v/>
      </c>
      <c r="K2416" s="201">
        <f>COUNTIFS(rl_key,$A$2398,rl_eff,"&gt;="&amp;$B2416,rl_eff,"&lt;="&amp;$C2416)</f>
        <v/>
      </c>
      <c r="L2416" s="201">
        <f>SUMIFS(rl_daysafter,rl_key,$A$2398,rl_effmonth,$B2416,rl_first,1)</f>
        <v/>
      </c>
      <c r="M2416" s="209">
        <f>IF($K2416=0,0,MIN(1,$L2416/$D2416))</f>
        <v/>
      </c>
      <c r="N2416" s="208">
        <f>IF($K2416=0,$J2416,(1-$M2416)*$I2416+$M2416*$J2416)</f>
        <v/>
      </c>
      <c r="O2416" s="209">
        <f>IF($F2416&lt;$B$2399,$E$2399+$I$2399*($F2416-$A$2399),IF($F2416&lt;$C$2399,$F$2399+$J$2399*($F2416-$B$2399),$G$2399+$K$2399*($F2416-$C$2399)))</f>
        <v/>
      </c>
      <c r="P2416" s="208">
        <f>MIN(1,MAX(0,(nr_MEndPm1-$G2416+0.5)/$C$2398))-MIN(1,MAX(0,(nr_MStartPm1-1-$G2416+0.5)/$C$2398))</f>
        <v/>
      </c>
      <c r="Q2416" s="208">
        <f>MIN(1,MAX(0,(nr_MEndP-$G2416+0.5)/$C$2398))-MIN(1,MAX(0,(nr_MStartP-1-$G2416+0.5)/$C$2398))</f>
        <v/>
      </c>
      <c r="R2416" s="208">
        <f>MIN(1,MAX(0,(nr_MEndP1-$G2416+0.5)/$C$2398))-MIN(1,MAX(0,(nr_MStartP1-1-$G2416+0.5)/$C$2398))</f>
        <v/>
      </c>
      <c r="S2416" s="208">
        <f>IF($L$2398,$N2416*IF($O$2398=1,$O2416/$F$2398,1),"")</f>
        <v/>
      </c>
      <c r="T2416" s="208">
        <f>IF(NOT($L$2398),"",IF($G2416&lt;nr_MStartP,$S2416,$T2404*(1+IF($G2416&lt;nr_MStartP1,$M$2398,$N$2398))))</f>
        <v/>
      </c>
      <c r="U2416" s="208">
        <f>IF($L$2398,$T2416,$N2416)</f>
        <v/>
      </c>
    </row>
    <row r="2417">
      <c r="A2417" s="145" t="n">
        <v>17</v>
      </c>
      <c r="B2417" s="204">
        <f>EDATE($B2416,1)</f>
        <v/>
      </c>
      <c r="C2417" s="205">
        <f>EOMONTH($B2417,0)</f>
        <v/>
      </c>
      <c r="D2417" s="201">
        <f>$C2417-$B2417+1</f>
        <v/>
      </c>
      <c r="E2417" s="201">
        <f>MONTH($B2417)</f>
        <v/>
      </c>
      <c r="F2417" s="235">
        <f>($B2417+$C2417+1)/2</f>
        <v/>
      </c>
      <c r="G2417" s="201">
        <f>YEAR($B2417)*12+MONTH($B2417)-1</f>
        <v/>
      </c>
      <c r="H2417" s="207">
        <f>IF(OR(nr_SeasonOn="OFF",$D$2398=0,$E$2398=0),1,12*INDEX(se_block,$D$2398,$E2417)/$E$2398)</f>
        <v/>
      </c>
      <c r="I2417" s="208">
        <f>EXP(SUMPRODUCT((rl_eff&lt;$B2417)*(rl_key=$A$2398)*rl_ln1p))</f>
        <v/>
      </c>
      <c r="J2417" s="208">
        <f>EXP(SUMPRODUCT((rl_eff&lt;=$C2417)*(rl_key=$A$2398)*rl_ln1p))</f>
        <v/>
      </c>
      <c r="K2417" s="201">
        <f>COUNTIFS(rl_key,$A$2398,rl_eff,"&gt;="&amp;$B2417,rl_eff,"&lt;="&amp;$C2417)</f>
        <v/>
      </c>
      <c r="L2417" s="201">
        <f>SUMIFS(rl_daysafter,rl_key,$A$2398,rl_effmonth,$B2417,rl_first,1)</f>
        <v/>
      </c>
      <c r="M2417" s="209">
        <f>IF($K2417=0,0,MIN(1,$L2417/$D2417))</f>
        <v/>
      </c>
      <c r="N2417" s="208">
        <f>IF($K2417=0,$J2417,(1-$M2417)*$I2417+$M2417*$J2417)</f>
        <v/>
      </c>
      <c r="O2417" s="209">
        <f>IF($F2417&lt;$B$2399,$E$2399+$I$2399*($F2417-$A$2399),IF($F2417&lt;$C$2399,$F$2399+$J$2399*($F2417-$B$2399),$G$2399+$K$2399*($F2417-$C$2399)))</f>
        <v/>
      </c>
      <c r="P2417" s="208">
        <f>MIN(1,MAX(0,(nr_MEndPm1-$G2417+0.5)/$C$2398))-MIN(1,MAX(0,(nr_MStartPm1-1-$G2417+0.5)/$C$2398))</f>
        <v/>
      </c>
      <c r="Q2417" s="208">
        <f>MIN(1,MAX(0,(nr_MEndP-$G2417+0.5)/$C$2398))-MIN(1,MAX(0,(nr_MStartP-1-$G2417+0.5)/$C$2398))</f>
        <v/>
      </c>
      <c r="R2417" s="208">
        <f>MIN(1,MAX(0,(nr_MEndP1-$G2417+0.5)/$C$2398))-MIN(1,MAX(0,(nr_MStartP1-1-$G2417+0.5)/$C$2398))</f>
        <v/>
      </c>
      <c r="S2417" s="208">
        <f>IF($L$2398,$N2417*IF($O$2398=1,$O2417/$F$2398,1),"")</f>
        <v/>
      </c>
      <c r="T2417" s="208">
        <f>IF(NOT($L$2398),"",IF($G2417&lt;nr_MStartP,$S2417,$T2405*(1+IF($G2417&lt;nr_MStartP1,$M$2398,$N$2398))))</f>
        <v/>
      </c>
      <c r="U2417" s="208">
        <f>IF($L$2398,$T2417,$N2417)</f>
        <v/>
      </c>
    </row>
    <row r="2418">
      <c r="A2418" s="145" t="n">
        <v>18</v>
      </c>
      <c r="B2418" s="204">
        <f>EDATE($B2417,1)</f>
        <v/>
      </c>
      <c r="C2418" s="205">
        <f>EOMONTH($B2418,0)</f>
        <v/>
      </c>
      <c r="D2418" s="201">
        <f>$C2418-$B2418+1</f>
        <v/>
      </c>
      <c r="E2418" s="201">
        <f>MONTH($B2418)</f>
        <v/>
      </c>
      <c r="F2418" s="235">
        <f>($B2418+$C2418+1)/2</f>
        <v/>
      </c>
      <c r="G2418" s="201">
        <f>YEAR($B2418)*12+MONTH($B2418)-1</f>
        <v/>
      </c>
      <c r="H2418" s="207">
        <f>IF(OR(nr_SeasonOn="OFF",$D$2398=0,$E$2398=0),1,12*INDEX(se_block,$D$2398,$E2418)/$E$2398)</f>
        <v/>
      </c>
      <c r="I2418" s="208">
        <f>EXP(SUMPRODUCT((rl_eff&lt;$B2418)*(rl_key=$A$2398)*rl_ln1p))</f>
        <v/>
      </c>
      <c r="J2418" s="208">
        <f>EXP(SUMPRODUCT((rl_eff&lt;=$C2418)*(rl_key=$A$2398)*rl_ln1p))</f>
        <v/>
      </c>
      <c r="K2418" s="201">
        <f>COUNTIFS(rl_key,$A$2398,rl_eff,"&gt;="&amp;$B2418,rl_eff,"&lt;="&amp;$C2418)</f>
        <v/>
      </c>
      <c r="L2418" s="201">
        <f>SUMIFS(rl_daysafter,rl_key,$A$2398,rl_effmonth,$B2418,rl_first,1)</f>
        <v/>
      </c>
      <c r="M2418" s="209">
        <f>IF($K2418=0,0,MIN(1,$L2418/$D2418))</f>
        <v/>
      </c>
      <c r="N2418" s="208">
        <f>IF($K2418=0,$J2418,(1-$M2418)*$I2418+$M2418*$J2418)</f>
        <v/>
      </c>
      <c r="O2418" s="209">
        <f>IF($F2418&lt;$B$2399,$E$2399+$I$2399*($F2418-$A$2399),IF($F2418&lt;$C$2399,$F$2399+$J$2399*($F2418-$B$2399),$G$2399+$K$2399*($F2418-$C$2399)))</f>
        <v/>
      </c>
      <c r="P2418" s="208">
        <f>MIN(1,MAX(0,(nr_MEndPm1-$G2418+0.5)/$C$2398))-MIN(1,MAX(0,(nr_MStartPm1-1-$G2418+0.5)/$C$2398))</f>
        <v/>
      </c>
      <c r="Q2418" s="208">
        <f>MIN(1,MAX(0,(nr_MEndP-$G2418+0.5)/$C$2398))-MIN(1,MAX(0,(nr_MStartP-1-$G2418+0.5)/$C$2398))</f>
        <v/>
      </c>
      <c r="R2418" s="208">
        <f>MIN(1,MAX(0,(nr_MEndP1-$G2418+0.5)/$C$2398))-MIN(1,MAX(0,(nr_MStartP1-1-$G2418+0.5)/$C$2398))</f>
        <v/>
      </c>
      <c r="S2418" s="208">
        <f>IF($L$2398,$N2418*IF($O$2398=1,$O2418/$F$2398,1),"")</f>
        <v/>
      </c>
      <c r="T2418" s="208">
        <f>IF(NOT($L$2398),"",IF($G2418&lt;nr_MStartP,$S2418,$T2406*(1+IF($G2418&lt;nr_MStartP1,$M$2398,$N$2398))))</f>
        <v/>
      </c>
      <c r="U2418" s="208">
        <f>IF($L$2398,$T2418,$N2418)</f>
        <v/>
      </c>
    </row>
    <row r="2419">
      <c r="A2419" s="145" t="n">
        <v>19</v>
      </c>
      <c r="B2419" s="204">
        <f>EDATE($B2418,1)</f>
        <v/>
      </c>
      <c r="C2419" s="205">
        <f>EOMONTH($B2419,0)</f>
        <v/>
      </c>
      <c r="D2419" s="201">
        <f>$C2419-$B2419+1</f>
        <v/>
      </c>
      <c r="E2419" s="201">
        <f>MONTH($B2419)</f>
        <v/>
      </c>
      <c r="F2419" s="235">
        <f>($B2419+$C2419+1)/2</f>
        <v/>
      </c>
      <c r="G2419" s="201">
        <f>YEAR($B2419)*12+MONTH($B2419)-1</f>
        <v/>
      </c>
      <c r="H2419" s="207">
        <f>IF(OR(nr_SeasonOn="OFF",$D$2398=0,$E$2398=0),1,12*INDEX(se_block,$D$2398,$E2419)/$E$2398)</f>
        <v/>
      </c>
      <c r="I2419" s="208">
        <f>EXP(SUMPRODUCT((rl_eff&lt;$B2419)*(rl_key=$A$2398)*rl_ln1p))</f>
        <v/>
      </c>
      <c r="J2419" s="208">
        <f>EXP(SUMPRODUCT((rl_eff&lt;=$C2419)*(rl_key=$A$2398)*rl_ln1p))</f>
        <v/>
      </c>
      <c r="K2419" s="201">
        <f>COUNTIFS(rl_key,$A$2398,rl_eff,"&gt;="&amp;$B2419,rl_eff,"&lt;="&amp;$C2419)</f>
        <v/>
      </c>
      <c r="L2419" s="201">
        <f>SUMIFS(rl_daysafter,rl_key,$A$2398,rl_effmonth,$B2419,rl_first,1)</f>
        <v/>
      </c>
      <c r="M2419" s="209">
        <f>IF($K2419=0,0,MIN(1,$L2419/$D2419))</f>
        <v/>
      </c>
      <c r="N2419" s="208">
        <f>IF($K2419=0,$J2419,(1-$M2419)*$I2419+$M2419*$J2419)</f>
        <v/>
      </c>
      <c r="O2419" s="209">
        <f>IF($F2419&lt;$B$2399,$E$2399+$I$2399*($F2419-$A$2399),IF($F2419&lt;$C$2399,$F$2399+$J$2399*($F2419-$B$2399),$G$2399+$K$2399*($F2419-$C$2399)))</f>
        <v/>
      </c>
      <c r="P2419" s="208">
        <f>MIN(1,MAX(0,(nr_MEndPm1-$G2419+0.5)/$C$2398))-MIN(1,MAX(0,(nr_MStartPm1-1-$G2419+0.5)/$C$2398))</f>
        <v/>
      </c>
      <c r="Q2419" s="208">
        <f>MIN(1,MAX(0,(nr_MEndP-$G2419+0.5)/$C$2398))-MIN(1,MAX(0,(nr_MStartP-1-$G2419+0.5)/$C$2398))</f>
        <v/>
      </c>
      <c r="R2419" s="208">
        <f>MIN(1,MAX(0,(nr_MEndP1-$G2419+0.5)/$C$2398))-MIN(1,MAX(0,(nr_MStartP1-1-$G2419+0.5)/$C$2398))</f>
        <v/>
      </c>
      <c r="S2419" s="208">
        <f>IF($L$2398,$N2419*IF($O$2398=1,$O2419/$F$2398,1),"")</f>
        <v/>
      </c>
      <c r="T2419" s="208">
        <f>IF(NOT($L$2398),"",IF($G2419&lt;nr_MStartP,$S2419,$T2407*(1+IF($G2419&lt;nr_MStartP1,$M$2398,$N$2398))))</f>
        <v/>
      </c>
      <c r="U2419" s="208">
        <f>IF($L$2398,$T2419,$N2419)</f>
        <v/>
      </c>
    </row>
    <row r="2420">
      <c r="A2420" s="145" t="n">
        <v>20</v>
      </c>
      <c r="B2420" s="204">
        <f>EDATE($B2419,1)</f>
        <v/>
      </c>
      <c r="C2420" s="205">
        <f>EOMONTH($B2420,0)</f>
        <v/>
      </c>
      <c r="D2420" s="201">
        <f>$C2420-$B2420+1</f>
        <v/>
      </c>
      <c r="E2420" s="201">
        <f>MONTH($B2420)</f>
        <v/>
      </c>
      <c r="F2420" s="235">
        <f>($B2420+$C2420+1)/2</f>
        <v/>
      </c>
      <c r="G2420" s="201">
        <f>YEAR($B2420)*12+MONTH($B2420)-1</f>
        <v/>
      </c>
      <c r="H2420" s="207">
        <f>IF(OR(nr_SeasonOn="OFF",$D$2398=0,$E$2398=0),1,12*INDEX(se_block,$D$2398,$E2420)/$E$2398)</f>
        <v/>
      </c>
      <c r="I2420" s="208">
        <f>EXP(SUMPRODUCT((rl_eff&lt;$B2420)*(rl_key=$A$2398)*rl_ln1p))</f>
        <v/>
      </c>
      <c r="J2420" s="208">
        <f>EXP(SUMPRODUCT((rl_eff&lt;=$C2420)*(rl_key=$A$2398)*rl_ln1p))</f>
        <v/>
      </c>
      <c r="K2420" s="201">
        <f>COUNTIFS(rl_key,$A$2398,rl_eff,"&gt;="&amp;$B2420,rl_eff,"&lt;="&amp;$C2420)</f>
        <v/>
      </c>
      <c r="L2420" s="201">
        <f>SUMIFS(rl_daysafter,rl_key,$A$2398,rl_effmonth,$B2420,rl_first,1)</f>
        <v/>
      </c>
      <c r="M2420" s="209">
        <f>IF($K2420=0,0,MIN(1,$L2420/$D2420))</f>
        <v/>
      </c>
      <c r="N2420" s="208">
        <f>IF($K2420=0,$J2420,(1-$M2420)*$I2420+$M2420*$J2420)</f>
        <v/>
      </c>
      <c r="O2420" s="209">
        <f>IF($F2420&lt;$B$2399,$E$2399+$I$2399*($F2420-$A$2399),IF($F2420&lt;$C$2399,$F$2399+$J$2399*($F2420-$B$2399),$G$2399+$K$2399*($F2420-$C$2399)))</f>
        <v/>
      </c>
      <c r="P2420" s="208">
        <f>MIN(1,MAX(0,(nr_MEndPm1-$G2420+0.5)/$C$2398))-MIN(1,MAX(0,(nr_MStartPm1-1-$G2420+0.5)/$C$2398))</f>
        <v/>
      </c>
      <c r="Q2420" s="208">
        <f>MIN(1,MAX(0,(nr_MEndP-$G2420+0.5)/$C$2398))-MIN(1,MAX(0,(nr_MStartP-1-$G2420+0.5)/$C$2398))</f>
        <v/>
      </c>
      <c r="R2420" s="208">
        <f>MIN(1,MAX(0,(nr_MEndP1-$G2420+0.5)/$C$2398))-MIN(1,MAX(0,(nr_MStartP1-1-$G2420+0.5)/$C$2398))</f>
        <v/>
      </c>
      <c r="S2420" s="208">
        <f>IF($L$2398,$N2420*IF($O$2398=1,$O2420/$F$2398,1),"")</f>
        <v/>
      </c>
      <c r="T2420" s="208">
        <f>IF(NOT($L$2398),"",IF($G2420&lt;nr_MStartP,$S2420,$T2408*(1+IF($G2420&lt;nr_MStartP1,$M$2398,$N$2398))))</f>
        <v/>
      </c>
      <c r="U2420" s="208">
        <f>IF($L$2398,$T2420,$N2420)</f>
        <v/>
      </c>
    </row>
    <row r="2421">
      <c r="A2421" s="145" t="n">
        <v>21</v>
      </c>
      <c r="B2421" s="204">
        <f>EDATE($B2420,1)</f>
        <v/>
      </c>
      <c r="C2421" s="205">
        <f>EOMONTH($B2421,0)</f>
        <v/>
      </c>
      <c r="D2421" s="201">
        <f>$C2421-$B2421+1</f>
        <v/>
      </c>
      <c r="E2421" s="201">
        <f>MONTH($B2421)</f>
        <v/>
      </c>
      <c r="F2421" s="235">
        <f>($B2421+$C2421+1)/2</f>
        <v/>
      </c>
      <c r="G2421" s="201">
        <f>YEAR($B2421)*12+MONTH($B2421)-1</f>
        <v/>
      </c>
      <c r="H2421" s="207">
        <f>IF(OR(nr_SeasonOn="OFF",$D$2398=0,$E$2398=0),1,12*INDEX(se_block,$D$2398,$E2421)/$E$2398)</f>
        <v/>
      </c>
      <c r="I2421" s="208">
        <f>EXP(SUMPRODUCT((rl_eff&lt;$B2421)*(rl_key=$A$2398)*rl_ln1p))</f>
        <v/>
      </c>
      <c r="J2421" s="208">
        <f>EXP(SUMPRODUCT((rl_eff&lt;=$C2421)*(rl_key=$A$2398)*rl_ln1p))</f>
        <v/>
      </c>
      <c r="K2421" s="201">
        <f>COUNTIFS(rl_key,$A$2398,rl_eff,"&gt;="&amp;$B2421,rl_eff,"&lt;="&amp;$C2421)</f>
        <v/>
      </c>
      <c r="L2421" s="201">
        <f>SUMIFS(rl_daysafter,rl_key,$A$2398,rl_effmonth,$B2421,rl_first,1)</f>
        <v/>
      </c>
      <c r="M2421" s="209">
        <f>IF($K2421=0,0,MIN(1,$L2421/$D2421))</f>
        <v/>
      </c>
      <c r="N2421" s="208">
        <f>IF($K2421=0,$J2421,(1-$M2421)*$I2421+$M2421*$J2421)</f>
        <v/>
      </c>
      <c r="O2421" s="209">
        <f>IF($F2421&lt;$B$2399,$E$2399+$I$2399*($F2421-$A$2399),IF($F2421&lt;$C$2399,$F$2399+$J$2399*($F2421-$B$2399),$G$2399+$K$2399*($F2421-$C$2399)))</f>
        <v/>
      </c>
      <c r="P2421" s="208">
        <f>MIN(1,MAX(0,(nr_MEndPm1-$G2421+0.5)/$C$2398))-MIN(1,MAX(0,(nr_MStartPm1-1-$G2421+0.5)/$C$2398))</f>
        <v/>
      </c>
      <c r="Q2421" s="208">
        <f>MIN(1,MAX(0,(nr_MEndP-$G2421+0.5)/$C$2398))-MIN(1,MAX(0,(nr_MStartP-1-$G2421+0.5)/$C$2398))</f>
        <v/>
      </c>
      <c r="R2421" s="208">
        <f>MIN(1,MAX(0,(nr_MEndP1-$G2421+0.5)/$C$2398))-MIN(1,MAX(0,(nr_MStartP1-1-$G2421+0.5)/$C$2398))</f>
        <v/>
      </c>
      <c r="S2421" s="208">
        <f>IF($L$2398,$N2421*IF($O$2398=1,$O2421/$F$2398,1),"")</f>
        <v/>
      </c>
      <c r="T2421" s="208">
        <f>IF(NOT($L$2398),"",IF($G2421&lt;nr_MStartP,$S2421,$T2409*(1+IF($G2421&lt;nr_MStartP1,$M$2398,$N$2398))))</f>
        <v/>
      </c>
      <c r="U2421" s="208">
        <f>IF($L$2398,$T2421,$N2421)</f>
        <v/>
      </c>
    </row>
    <row r="2422">
      <c r="A2422" s="145" t="n">
        <v>22</v>
      </c>
      <c r="B2422" s="204">
        <f>EDATE($B2421,1)</f>
        <v/>
      </c>
      <c r="C2422" s="205">
        <f>EOMONTH($B2422,0)</f>
        <v/>
      </c>
      <c r="D2422" s="201">
        <f>$C2422-$B2422+1</f>
        <v/>
      </c>
      <c r="E2422" s="201">
        <f>MONTH($B2422)</f>
        <v/>
      </c>
      <c r="F2422" s="235">
        <f>($B2422+$C2422+1)/2</f>
        <v/>
      </c>
      <c r="G2422" s="201">
        <f>YEAR($B2422)*12+MONTH($B2422)-1</f>
        <v/>
      </c>
      <c r="H2422" s="207">
        <f>IF(OR(nr_SeasonOn="OFF",$D$2398=0,$E$2398=0),1,12*INDEX(se_block,$D$2398,$E2422)/$E$2398)</f>
        <v/>
      </c>
      <c r="I2422" s="208">
        <f>EXP(SUMPRODUCT((rl_eff&lt;$B2422)*(rl_key=$A$2398)*rl_ln1p))</f>
        <v/>
      </c>
      <c r="J2422" s="208">
        <f>EXP(SUMPRODUCT((rl_eff&lt;=$C2422)*(rl_key=$A$2398)*rl_ln1p))</f>
        <v/>
      </c>
      <c r="K2422" s="201">
        <f>COUNTIFS(rl_key,$A$2398,rl_eff,"&gt;="&amp;$B2422,rl_eff,"&lt;="&amp;$C2422)</f>
        <v/>
      </c>
      <c r="L2422" s="201">
        <f>SUMIFS(rl_daysafter,rl_key,$A$2398,rl_effmonth,$B2422,rl_first,1)</f>
        <v/>
      </c>
      <c r="M2422" s="209">
        <f>IF($K2422=0,0,MIN(1,$L2422/$D2422))</f>
        <v/>
      </c>
      <c r="N2422" s="208">
        <f>IF($K2422=0,$J2422,(1-$M2422)*$I2422+$M2422*$J2422)</f>
        <v/>
      </c>
      <c r="O2422" s="209">
        <f>IF($F2422&lt;$B$2399,$E$2399+$I$2399*($F2422-$A$2399),IF($F2422&lt;$C$2399,$F$2399+$J$2399*($F2422-$B$2399),$G$2399+$K$2399*($F2422-$C$2399)))</f>
        <v/>
      </c>
      <c r="P2422" s="208">
        <f>MIN(1,MAX(0,(nr_MEndPm1-$G2422+0.5)/$C$2398))-MIN(1,MAX(0,(nr_MStartPm1-1-$G2422+0.5)/$C$2398))</f>
        <v/>
      </c>
      <c r="Q2422" s="208">
        <f>MIN(1,MAX(0,(nr_MEndP-$G2422+0.5)/$C$2398))-MIN(1,MAX(0,(nr_MStartP-1-$G2422+0.5)/$C$2398))</f>
        <v/>
      </c>
      <c r="R2422" s="208">
        <f>MIN(1,MAX(0,(nr_MEndP1-$G2422+0.5)/$C$2398))-MIN(1,MAX(0,(nr_MStartP1-1-$G2422+0.5)/$C$2398))</f>
        <v/>
      </c>
      <c r="S2422" s="208">
        <f>IF($L$2398,$N2422*IF($O$2398=1,$O2422/$F$2398,1),"")</f>
        <v/>
      </c>
      <c r="T2422" s="208">
        <f>IF(NOT($L$2398),"",IF($G2422&lt;nr_MStartP,$S2422,$T2410*(1+IF($G2422&lt;nr_MStartP1,$M$2398,$N$2398))))</f>
        <v/>
      </c>
      <c r="U2422" s="208">
        <f>IF($L$2398,$T2422,$N2422)</f>
        <v/>
      </c>
    </row>
    <row r="2423">
      <c r="A2423" s="145" t="n">
        <v>23</v>
      </c>
      <c r="B2423" s="204">
        <f>EDATE($B2422,1)</f>
        <v/>
      </c>
      <c r="C2423" s="205">
        <f>EOMONTH($B2423,0)</f>
        <v/>
      </c>
      <c r="D2423" s="201">
        <f>$C2423-$B2423+1</f>
        <v/>
      </c>
      <c r="E2423" s="201">
        <f>MONTH($B2423)</f>
        <v/>
      </c>
      <c r="F2423" s="235">
        <f>($B2423+$C2423+1)/2</f>
        <v/>
      </c>
      <c r="G2423" s="201">
        <f>YEAR($B2423)*12+MONTH($B2423)-1</f>
        <v/>
      </c>
      <c r="H2423" s="207">
        <f>IF(OR(nr_SeasonOn="OFF",$D$2398=0,$E$2398=0),1,12*INDEX(se_block,$D$2398,$E2423)/$E$2398)</f>
        <v/>
      </c>
      <c r="I2423" s="208">
        <f>EXP(SUMPRODUCT((rl_eff&lt;$B2423)*(rl_key=$A$2398)*rl_ln1p))</f>
        <v/>
      </c>
      <c r="J2423" s="208">
        <f>EXP(SUMPRODUCT((rl_eff&lt;=$C2423)*(rl_key=$A$2398)*rl_ln1p))</f>
        <v/>
      </c>
      <c r="K2423" s="201">
        <f>COUNTIFS(rl_key,$A$2398,rl_eff,"&gt;="&amp;$B2423,rl_eff,"&lt;="&amp;$C2423)</f>
        <v/>
      </c>
      <c r="L2423" s="201">
        <f>SUMIFS(rl_daysafter,rl_key,$A$2398,rl_effmonth,$B2423,rl_first,1)</f>
        <v/>
      </c>
      <c r="M2423" s="209">
        <f>IF($K2423=0,0,MIN(1,$L2423/$D2423))</f>
        <v/>
      </c>
      <c r="N2423" s="208">
        <f>IF($K2423=0,$J2423,(1-$M2423)*$I2423+$M2423*$J2423)</f>
        <v/>
      </c>
      <c r="O2423" s="209">
        <f>IF($F2423&lt;$B$2399,$E$2399+$I$2399*($F2423-$A$2399),IF($F2423&lt;$C$2399,$F$2399+$J$2399*($F2423-$B$2399),$G$2399+$K$2399*($F2423-$C$2399)))</f>
        <v/>
      </c>
      <c r="P2423" s="208">
        <f>MIN(1,MAX(0,(nr_MEndPm1-$G2423+0.5)/$C$2398))-MIN(1,MAX(0,(nr_MStartPm1-1-$G2423+0.5)/$C$2398))</f>
        <v/>
      </c>
      <c r="Q2423" s="208">
        <f>MIN(1,MAX(0,(nr_MEndP-$G2423+0.5)/$C$2398))-MIN(1,MAX(0,(nr_MStartP-1-$G2423+0.5)/$C$2398))</f>
        <v/>
      </c>
      <c r="R2423" s="208">
        <f>MIN(1,MAX(0,(nr_MEndP1-$G2423+0.5)/$C$2398))-MIN(1,MAX(0,(nr_MStartP1-1-$G2423+0.5)/$C$2398))</f>
        <v/>
      </c>
      <c r="S2423" s="208">
        <f>IF($L$2398,$N2423*IF($O$2398=1,$O2423/$F$2398,1),"")</f>
        <v/>
      </c>
      <c r="T2423" s="208">
        <f>IF(NOT($L$2398),"",IF($G2423&lt;nr_MStartP,$S2423,$T2411*(1+IF($G2423&lt;nr_MStartP1,$M$2398,$N$2398))))</f>
        <v/>
      </c>
      <c r="U2423" s="208">
        <f>IF($L$2398,$T2423,$N2423)</f>
        <v/>
      </c>
    </row>
    <row r="2424">
      <c r="A2424" s="145" t="n">
        <v>24</v>
      </c>
      <c r="B2424" s="204">
        <f>EDATE($B2423,1)</f>
        <v/>
      </c>
      <c r="C2424" s="205">
        <f>EOMONTH($B2424,0)</f>
        <v/>
      </c>
      <c r="D2424" s="201">
        <f>$C2424-$B2424+1</f>
        <v/>
      </c>
      <c r="E2424" s="201">
        <f>MONTH($B2424)</f>
        <v/>
      </c>
      <c r="F2424" s="235">
        <f>($B2424+$C2424+1)/2</f>
        <v/>
      </c>
      <c r="G2424" s="201">
        <f>YEAR($B2424)*12+MONTH($B2424)-1</f>
        <v/>
      </c>
      <c r="H2424" s="207">
        <f>IF(OR(nr_SeasonOn="OFF",$D$2398=0,$E$2398=0),1,12*INDEX(se_block,$D$2398,$E2424)/$E$2398)</f>
        <v/>
      </c>
      <c r="I2424" s="208">
        <f>EXP(SUMPRODUCT((rl_eff&lt;$B2424)*(rl_key=$A$2398)*rl_ln1p))</f>
        <v/>
      </c>
      <c r="J2424" s="208">
        <f>EXP(SUMPRODUCT((rl_eff&lt;=$C2424)*(rl_key=$A$2398)*rl_ln1p))</f>
        <v/>
      </c>
      <c r="K2424" s="201">
        <f>COUNTIFS(rl_key,$A$2398,rl_eff,"&gt;="&amp;$B2424,rl_eff,"&lt;="&amp;$C2424)</f>
        <v/>
      </c>
      <c r="L2424" s="201">
        <f>SUMIFS(rl_daysafter,rl_key,$A$2398,rl_effmonth,$B2424,rl_first,1)</f>
        <v/>
      </c>
      <c r="M2424" s="209">
        <f>IF($K2424=0,0,MIN(1,$L2424/$D2424))</f>
        <v/>
      </c>
      <c r="N2424" s="208">
        <f>IF($K2424=0,$J2424,(1-$M2424)*$I2424+$M2424*$J2424)</f>
        <v/>
      </c>
      <c r="O2424" s="209">
        <f>IF($F2424&lt;$B$2399,$E$2399+$I$2399*($F2424-$A$2399),IF($F2424&lt;$C$2399,$F$2399+$J$2399*($F2424-$B$2399),$G$2399+$K$2399*($F2424-$C$2399)))</f>
        <v/>
      </c>
      <c r="P2424" s="208">
        <f>MIN(1,MAX(0,(nr_MEndPm1-$G2424+0.5)/$C$2398))-MIN(1,MAX(0,(nr_MStartPm1-1-$G2424+0.5)/$C$2398))</f>
        <v/>
      </c>
      <c r="Q2424" s="208">
        <f>MIN(1,MAX(0,(nr_MEndP-$G2424+0.5)/$C$2398))-MIN(1,MAX(0,(nr_MStartP-1-$G2424+0.5)/$C$2398))</f>
        <v/>
      </c>
      <c r="R2424" s="208">
        <f>MIN(1,MAX(0,(nr_MEndP1-$G2424+0.5)/$C$2398))-MIN(1,MAX(0,(nr_MStartP1-1-$G2424+0.5)/$C$2398))</f>
        <v/>
      </c>
      <c r="S2424" s="208">
        <f>IF($L$2398,$N2424*IF($O$2398=1,$O2424/$F$2398,1),"")</f>
        <v/>
      </c>
      <c r="T2424" s="208">
        <f>IF(NOT($L$2398),"",IF($G2424&lt;nr_MStartP,$S2424,$T2412*(1+IF($G2424&lt;nr_MStartP1,$M$2398,$N$2398))))</f>
        <v/>
      </c>
      <c r="U2424" s="208">
        <f>IF($L$2398,$T2424,$N2424)</f>
        <v/>
      </c>
    </row>
    <row r="2425">
      <c r="A2425" s="145" t="n">
        <v>25</v>
      </c>
      <c r="B2425" s="204">
        <f>EDATE($B2424,1)</f>
        <v/>
      </c>
      <c r="C2425" s="205">
        <f>EOMONTH($B2425,0)</f>
        <v/>
      </c>
      <c r="D2425" s="201">
        <f>$C2425-$B2425+1</f>
        <v/>
      </c>
      <c r="E2425" s="201">
        <f>MONTH($B2425)</f>
        <v/>
      </c>
      <c r="F2425" s="235">
        <f>($B2425+$C2425+1)/2</f>
        <v/>
      </c>
      <c r="G2425" s="201">
        <f>YEAR($B2425)*12+MONTH($B2425)-1</f>
        <v/>
      </c>
      <c r="H2425" s="207">
        <f>IF(OR(nr_SeasonOn="OFF",$D$2398=0,$E$2398=0),1,12*INDEX(se_block,$D$2398,$E2425)/$E$2398)</f>
        <v/>
      </c>
      <c r="I2425" s="208">
        <f>EXP(SUMPRODUCT((rl_eff&lt;$B2425)*(rl_key=$A$2398)*rl_ln1p))</f>
        <v/>
      </c>
      <c r="J2425" s="208">
        <f>EXP(SUMPRODUCT((rl_eff&lt;=$C2425)*(rl_key=$A$2398)*rl_ln1p))</f>
        <v/>
      </c>
      <c r="K2425" s="201">
        <f>COUNTIFS(rl_key,$A$2398,rl_eff,"&gt;="&amp;$B2425,rl_eff,"&lt;="&amp;$C2425)</f>
        <v/>
      </c>
      <c r="L2425" s="201">
        <f>SUMIFS(rl_daysafter,rl_key,$A$2398,rl_effmonth,$B2425,rl_first,1)</f>
        <v/>
      </c>
      <c r="M2425" s="209">
        <f>IF($K2425=0,0,MIN(1,$L2425/$D2425))</f>
        <v/>
      </c>
      <c r="N2425" s="208">
        <f>IF($K2425=0,$J2425,(1-$M2425)*$I2425+$M2425*$J2425)</f>
        <v/>
      </c>
      <c r="O2425" s="209">
        <f>IF($F2425&lt;$B$2399,$E$2399+$I$2399*($F2425-$A$2399),IF($F2425&lt;$C$2399,$F$2399+$J$2399*($F2425-$B$2399),$G$2399+$K$2399*($F2425-$C$2399)))</f>
        <v/>
      </c>
      <c r="P2425" s="208">
        <f>MIN(1,MAX(0,(nr_MEndPm1-$G2425+0.5)/$C$2398))-MIN(1,MAX(0,(nr_MStartPm1-1-$G2425+0.5)/$C$2398))</f>
        <v/>
      </c>
      <c r="Q2425" s="208">
        <f>MIN(1,MAX(0,(nr_MEndP-$G2425+0.5)/$C$2398))-MIN(1,MAX(0,(nr_MStartP-1-$G2425+0.5)/$C$2398))</f>
        <v/>
      </c>
      <c r="R2425" s="208">
        <f>MIN(1,MAX(0,(nr_MEndP1-$G2425+0.5)/$C$2398))-MIN(1,MAX(0,(nr_MStartP1-1-$G2425+0.5)/$C$2398))</f>
        <v/>
      </c>
      <c r="S2425" s="208">
        <f>IF($L$2398,$N2425*IF($O$2398=1,$O2425/$F$2398,1),"")</f>
        <v/>
      </c>
      <c r="T2425" s="208">
        <f>IF(NOT($L$2398),"",IF($G2425&lt;nr_MStartP,$S2425,$T2413*(1+IF($G2425&lt;nr_MStartP1,$M$2398,$N$2398))))</f>
        <v/>
      </c>
      <c r="U2425" s="208">
        <f>IF($L$2398,$T2425,$N2425)</f>
        <v/>
      </c>
    </row>
    <row r="2426">
      <c r="A2426" s="145" t="n">
        <v>26</v>
      </c>
      <c r="B2426" s="204">
        <f>EDATE($B2425,1)</f>
        <v/>
      </c>
      <c r="C2426" s="205">
        <f>EOMONTH($B2426,0)</f>
        <v/>
      </c>
      <c r="D2426" s="201">
        <f>$C2426-$B2426+1</f>
        <v/>
      </c>
      <c r="E2426" s="201">
        <f>MONTH($B2426)</f>
        <v/>
      </c>
      <c r="F2426" s="235">
        <f>($B2426+$C2426+1)/2</f>
        <v/>
      </c>
      <c r="G2426" s="201">
        <f>YEAR($B2426)*12+MONTH($B2426)-1</f>
        <v/>
      </c>
      <c r="H2426" s="207">
        <f>IF(OR(nr_SeasonOn="OFF",$D$2398=0,$E$2398=0),1,12*INDEX(se_block,$D$2398,$E2426)/$E$2398)</f>
        <v/>
      </c>
      <c r="I2426" s="208">
        <f>EXP(SUMPRODUCT((rl_eff&lt;$B2426)*(rl_key=$A$2398)*rl_ln1p))</f>
        <v/>
      </c>
      <c r="J2426" s="208">
        <f>EXP(SUMPRODUCT((rl_eff&lt;=$C2426)*(rl_key=$A$2398)*rl_ln1p))</f>
        <v/>
      </c>
      <c r="K2426" s="201">
        <f>COUNTIFS(rl_key,$A$2398,rl_eff,"&gt;="&amp;$B2426,rl_eff,"&lt;="&amp;$C2426)</f>
        <v/>
      </c>
      <c r="L2426" s="201">
        <f>SUMIFS(rl_daysafter,rl_key,$A$2398,rl_effmonth,$B2426,rl_first,1)</f>
        <v/>
      </c>
      <c r="M2426" s="209">
        <f>IF($K2426=0,0,MIN(1,$L2426/$D2426))</f>
        <v/>
      </c>
      <c r="N2426" s="208">
        <f>IF($K2426=0,$J2426,(1-$M2426)*$I2426+$M2426*$J2426)</f>
        <v/>
      </c>
      <c r="O2426" s="209">
        <f>IF($F2426&lt;$B$2399,$E$2399+$I$2399*($F2426-$A$2399),IF($F2426&lt;$C$2399,$F$2399+$J$2399*($F2426-$B$2399),$G$2399+$K$2399*($F2426-$C$2399)))</f>
        <v/>
      </c>
      <c r="P2426" s="208">
        <f>MIN(1,MAX(0,(nr_MEndPm1-$G2426+0.5)/$C$2398))-MIN(1,MAX(0,(nr_MStartPm1-1-$G2426+0.5)/$C$2398))</f>
        <v/>
      </c>
      <c r="Q2426" s="208">
        <f>MIN(1,MAX(0,(nr_MEndP-$G2426+0.5)/$C$2398))-MIN(1,MAX(0,(nr_MStartP-1-$G2426+0.5)/$C$2398))</f>
        <v/>
      </c>
      <c r="R2426" s="208">
        <f>MIN(1,MAX(0,(nr_MEndP1-$G2426+0.5)/$C$2398))-MIN(1,MAX(0,(nr_MStartP1-1-$G2426+0.5)/$C$2398))</f>
        <v/>
      </c>
      <c r="S2426" s="208">
        <f>IF($L$2398,$N2426*IF($O$2398=1,$O2426/$F$2398,1),"")</f>
        <v/>
      </c>
      <c r="T2426" s="208">
        <f>IF(NOT($L$2398),"",IF($G2426&lt;nr_MStartP,$S2426,$T2414*(1+IF($G2426&lt;nr_MStartP1,$M$2398,$N$2398))))</f>
        <v/>
      </c>
      <c r="U2426" s="208">
        <f>IF($L$2398,$T2426,$N2426)</f>
        <v/>
      </c>
    </row>
    <row r="2427">
      <c r="A2427" s="145" t="n">
        <v>27</v>
      </c>
      <c r="B2427" s="204">
        <f>EDATE($B2426,1)</f>
        <v/>
      </c>
      <c r="C2427" s="205">
        <f>EOMONTH($B2427,0)</f>
        <v/>
      </c>
      <c r="D2427" s="201">
        <f>$C2427-$B2427+1</f>
        <v/>
      </c>
      <c r="E2427" s="201">
        <f>MONTH($B2427)</f>
        <v/>
      </c>
      <c r="F2427" s="235">
        <f>($B2427+$C2427+1)/2</f>
        <v/>
      </c>
      <c r="G2427" s="201">
        <f>YEAR($B2427)*12+MONTH($B2427)-1</f>
        <v/>
      </c>
      <c r="H2427" s="207">
        <f>IF(OR(nr_SeasonOn="OFF",$D$2398=0,$E$2398=0),1,12*INDEX(se_block,$D$2398,$E2427)/$E$2398)</f>
        <v/>
      </c>
      <c r="I2427" s="208">
        <f>EXP(SUMPRODUCT((rl_eff&lt;$B2427)*(rl_key=$A$2398)*rl_ln1p))</f>
        <v/>
      </c>
      <c r="J2427" s="208">
        <f>EXP(SUMPRODUCT((rl_eff&lt;=$C2427)*(rl_key=$A$2398)*rl_ln1p))</f>
        <v/>
      </c>
      <c r="K2427" s="201">
        <f>COUNTIFS(rl_key,$A$2398,rl_eff,"&gt;="&amp;$B2427,rl_eff,"&lt;="&amp;$C2427)</f>
        <v/>
      </c>
      <c r="L2427" s="201">
        <f>SUMIFS(rl_daysafter,rl_key,$A$2398,rl_effmonth,$B2427,rl_first,1)</f>
        <v/>
      </c>
      <c r="M2427" s="209">
        <f>IF($K2427=0,0,MIN(1,$L2427/$D2427))</f>
        <v/>
      </c>
      <c r="N2427" s="208">
        <f>IF($K2427=0,$J2427,(1-$M2427)*$I2427+$M2427*$J2427)</f>
        <v/>
      </c>
      <c r="O2427" s="209">
        <f>IF($F2427&lt;$B$2399,$E$2399+$I$2399*($F2427-$A$2399),IF($F2427&lt;$C$2399,$F$2399+$J$2399*($F2427-$B$2399),$G$2399+$K$2399*($F2427-$C$2399)))</f>
        <v/>
      </c>
      <c r="P2427" s="208">
        <f>MIN(1,MAX(0,(nr_MEndPm1-$G2427+0.5)/$C$2398))-MIN(1,MAX(0,(nr_MStartPm1-1-$G2427+0.5)/$C$2398))</f>
        <v/>
      </c>
      <c r="Q2427" s="208">
        <f>MIN(1,MAX(0,(nr_MEndP-$G2427+0.5)/$C$2398))-MIN(1,MAX(0,(nr_MStartP-1-$G2427+0.5)/$C$2398))</f>
        <v/>
      </c>
      <c r="R2427" s="208">
        <f>MIN(1,MAX(0,(nr_MEndP1-$G2427+0.5)/$C$2398))-MIN(1,MAX(0,(nr_MStartP1-1-$G2427+0.5)/$C$2398))</f>
        <v/>
      </c>
      <c r="S2427" s="208">
        <f>IF($L$2398,$N2427*IF($O$2398=1,$O2427/$F$2398,1),"")</f>
        <v/>
      </c>
      <c r="T2427" s="208">
        <f>IF(NOT($L$2398),"",IF($G2427&lt;nr_MStartP,$S2427,$T2415*(1+IF($G2427&lt;nr_MStartP1,$M$2398,$N$2398))))</f>
        <v/>
      </c>
      <c r="U2427" s="208">
        <f>IF($L$2398,$T2427,$N2427)</f>
        <v/>
      </c>
    </row>
    <row r="2428">
      <c r="A2428" s="145" t="n">
        <v>28</v>
      </c>
      <c r="B2428" s="204">
        <f>EDATE($B2427,1)</f>
        <v/>
      </c>
      <c r="C2428" s="205">
        <f>EOMONTH($B2428,0)</f>
        <v/>
      </c>
      <c r="D2428" s="201">
        <f>$C2428-$B2428+1</f>
        <v/>
      </c>
      <c r="E2428" s="201">
        <f>MONTH($B2428)</f>
        <v/>
      </c>
      <c r="F2428" s="235">
        <f>($B2428+$C2428+1)/2</f>
        <v/>
      </c>
      <c r="G2428" s="201">
        <f>YEAR($B2428)*12+MONTH($B2428)-1</f>
        <v/>
      </c>
      <c r="H2428" s="207">
        <f>IF(OR(nr_SeasonOn="OFF",$D$2398=0,$E$2398=0),1,12*INDEX(se_block,$D$2398,$E2428)/$E$2398)</f>
        <v/>
      </c>
      <c r="I2428" s="208">
        <f>EXP(SUMPRODUCT((rl_eff&lt;$B2428)*(rl_key=$A$2398)*rl_ln1p))</f>
        <v/>
      </c>
      <c r="J2428" s="208">
        <f>EXP(SUMPRODUCT((rl_eff&lt;=$C2428)*(rl_key=$A$2398)*rl_ln1p))</f>
        <v/>
      </c>
      <c r="K2428" s="201">
        <f>COUNTIFS(rl_key,$A$2398,rl_eff,"&gt;="&amp;$B2428,rl_eff,"&lt;="&amp;$C2428)</f>
        <v/>
      </c>
      <c r="L2428" s="201">
        <f>SUMIFS(rl_daysafter,rl_key,$A$2398,rl_effmonth,$B2428,rl_first,1)</f>
        <v/>
      </c>
      <c r="M2428" s="209">
        <f>IF($K2428=0,0,MIN(1,$L2428/$D2428))</f>
        <v/>
      </c>
      <c r="N2428" s="208">
        <f>IF($K2428=0,$J2428,(1-$M2428)*$I2428+$M2428*$J2428)</f>
        <v/>
      </c>
      <c r="O2428" s="209">
        <f>IF($F2428&lt;$B$2399,$E$2399+$I$2399*($F2428-$A$2399),IF($F2428&lt;$C$2399,$F$2399+$J$2399*($F2428-$B$2399),$G$2399+$K$2399*($F2428-$C$2399)))</f>
        <v/>
      </c>
      <c r="P2428" s="208">
        <f>MIN(1,MAX(0,(nr_MEndPm1-$G2428+0.5)/$C$2398))-MIN(1,MAX(0,(nr_MStartPm1-1-$G2428+0.5)/$C$2398))</f>
        <v/>
      </c>
      <c r="Q2428" s="208">
        <f>MIN(1,MAX(0,(nr_MEndP-$G2428+0.5)/$C$2398))-MIN(1,MAX(0,(nr_MStartP-1-$G2428+0.5)/$C$2398))</f>
        <v/>
      </c>
      <c r="R2428" s="208">
        <f>MIN(1,MAX(0,(nr_MEndP1-$G2428+0.5)/$C$2398))-MIN(1,MAX(0,(nr_MStartP1-1-$G2428+0.5)/$C$2398))</f>
        <v/>
      </c>
      <c r="S2428" s="208">
        <f>IF($L$2398,$N2428*IF($O$2398=1,$O2428/$F$2398,1),"")</f>
        <v/>
      </c>
      <c r="T2428" s="208">
        <f>IF(NOT($L$2398),"",IF($G2428&lt;nr_MStartP,$S2428,$T2416*(1+IF($G2428&lt;nr_MStartP1,$M$2398,$N$2398))))</f>
        <v/>
      </c>
      <c r="U2428" s="208">
        <f>IF($L$2398,$T2428,$N2428)</f>
        <v/>
      </c>
    </row>
    <row r="2429">
      <c r="A2429" s="145" t="n">
        <v>29</v>
      </c>
      <c r="B2429" s="204">
        <f>EDATE($B2428,1)</f>
        <v/>
      </c>
      <c r="C2429" s="205">
        <f>EOMONTH($B2429,0)</f>
        <v/>
      </c>
      <c r="D2429" s="201">
        <f>$C2429-$B2429+1</f>
        <v/>
      </c>
      <c r="E2429" s="201">
        <f>MONTH($B2429)</f>
        <v/>
      </c>
      <c r="F2429" s="235">
        <f>($B2429+$C2429+1)/2</f>
        <v/>
      </c>
      <c r="G2429" s="201">
        <f>YEAR($B2429)*12+MONTH($B2429)-1</f>
        <v/>
      </c>
      <c r="H2429" s="207">
        <f>IF(OR(nr_SeasonOn="OFF",$D$2398=0,$E$2398=0),1,12*INDEX(se_block,$D$2398,$E2429)/$E$2398)</f>
        <v/>
      </c>
      <c r="I2429" s="208">
        <f>EXP(SUMPRODUCT((rl_eff&lt;$B2429)*(rl_key=$A$2398)*rl_ln1p))</f>
        <v/>
      </c>
      <c r="J2429" s="208">
        <f>EXP(SUMPRODUCT((rl_eff&lt;=$C2429)*(rl_key=$A$2398)*rl_ln1p))</f>
        <v/>
      </c>
      <c r="K2429" s="201">
        <f>COUNTIFS(rl_key,$A$2398,rl_eff,"&gt;="&amp;$B2429,rl_eff,"&lt;="&amp;$C2429)</f>
        <v/>
      </c>
      <c r="L2429" s="201">
        <f>SUMIFS(rl_daysafter,rl_key,$A$2398,rl_effmonth,$B2429,rl_first,1)</f>
        <v/>
      </c>
      <c r="M2429" s="209">
        <f>IF($K2429=0,0,MIN(1,$L2429/$D2429))</f>
        <v/>
      </c>
      <c r="N2429" s="208">
        <f>IF($K2429=0,$J2429,(1-$M2429)*$I2429+$M2429*$J2429)</f>
        <v/>
      </c>
      <c r="O2429" s="209">
        <f>IF($F2429&lt;$B$2399,$E$2399+$I$2399*($F2429-$A$2399),IF($F2429&lt;$C$2399,$F$2399+$J$2399*($F2429-$B$2399),$G$2399+$K$2399*($F2429-$C$2399)))</f>
        <v/>
      </c>
      <c r="P2429" s="208">
        <f>MIN(1,MAX(0,(nr_MEndPm1-$G2429+0.5)/$C$2398))-MIN(1,MAX(0,(nr_MStartPm1-1-$G2429+0.5)/$C$2398))</f>
        <v/>
      </c>
      <c r="Q2429" s="208">
        <f>MIN(1,MAX(0,(nr_MEndP-$G2429+0.5)/$C$2398))-MIN(1,MAX(0,(nr_MStartP-1-$G2429+0.5)/$C$2398))</f>
        <v/>
      </c>
      <c r="R2429" s="208">
        <f>MIN(1,MAX(0,(nr_MEndP1-$G2429+0.5)/$C$2398))-MIN(1,MAX(0,(nr_MStartP1-1-$G2429+0.5)/$C$2398))</f>
        <v/>
      </c>
      <c r="S2429" s="208">
        <f>IF($L$2398,$N2429*IF($O$2398=1,$O2429/$F$2398,1),"")</f>
        <v/>
      </c>
      <c r="T2429" s="208">
        <f>IF(NOT($L$2398),"",IF($G2429&lt;nr_MStartP,$S2429,$T2417*(1+IF($G2429&lt;nr_MStartP1,$M$2398,$N$2398))))</f>
        <v/>
      </c>
      <c r="U2429" s="208">
        <f>IF($L$2398,$T2429,$N2429)</f>
        <v/>
      </c>
    </row>
    <row r="2430">
      <c r="A2430" s="145" t="n">
        <v>30</v>
      </c>
      <c r="B2430" s="204">
        <f>EDATE($B2429,1)</f>
        <v/>
      </c>
      <c r="C2430" s="205">
        <f>EOMONTH($B2430,0)</f>
        <v/>
      </c>
      <c r="D2430" s="201">
        <f>$C2430-$B2430+1</f>
        <v/>
      </c>
      <c r="E2430" s="201">
        <f>MONTH($B2430)</f>
        <v/>
      </c>
      <c r="F2430" s="235">
        <f>($B2430+$C2430+1)/2</f>
        <v/>
      </c>
      <c r="G2430" s="201">
        <f>YEAR($B2430)*12+MONTH($B2430)-1</f>
        <v/>
      </c>
      <c r="H2430" s="207">
        <f>IF(OR(nr_SeasonOn="OFF",$D$2398=0,$E$2398=0),1,12*INDEX(se_block,$D$2398,$E2430)/$E$2398)</f>
        <v/>
      </c>
      <c r="I2430" s="208">
        <f>EXP(SUMPRODUCT((rl_eff&lt;$B2430)*(rl_key=$A$2398)*rl_ln1p))</f>
        <v/>
      </c>
      <c r="J2430" s="208">
        <f>EXP(SUMPRODUCT((rl_eff&lt;=$C2430)*(rl_key=$A$2398)*rl_ln1p))</f>
        <v/>
      </c>
      <c r="K2430" s="201">
        <f>COUNTIFS(rl_key,$A$2398,rl_eff,"&gt;="&amp;$B2430,rl_eff,"&lt;="&amp;$C2430)</f>
        <v/>
      </c>
      <c r="L2430" s="201">
        <f>SUMIFS(rl_daysafter,rl_key,$A$2398,rl_effmonth,$B2430,rl_first,1)</f>
        <v/>
      </c>
      <c r="M2430" s="209">
        <f>IF($K2430=0,0,MIN(1,$L2430/$D2430))</f>
        <v/>
      </c>
      <c r="N2430" s="208">
        <f>IF($K2430=0,$J2430,(1-$M2430)*$I2430+$M2430*$J2430)</f>
        <v/>
      </c>
      <c r="O2430" s="209">
        <f>IF($F2430&lt;$B$2399,$E$2399+$I$2399*($F2430-$A$2399),IF($F2430&lt;$C$2399,$F$2399+$J$2399*($F2430-$B$2399),$G$2399+$K$2399*($F2430-$C$2399)))</f>
        <v/>
      </c>
      <c r="P2430" s="208">
        <f>MIN(1,MAX(0,(nr_MEndPm1-$G2430+0.5)/$C$2398))-MIN(1,MAX(0,(nr_MStartPm1-1-$G2430+0.5)/$C$2398))</f>
        <v/>
      </c>
      <c r="Q2430" s="208">
        <f>MIN(1,MAX(0,(nr_MEndP-$G2430+0.5)/$C$2398))-MIN(1,MAX(0,(nr_MStartP-1-$G2430+0.5)/$C$2398))</f>
        <v/>
      </c>
      <c r="R2430" s="208">
        <f>MIN(1,MAX(0,(nr_MEndP1-$G2430+0.5)/$C$2398))-MIN(1,MAX(0,(nr_MStartP1-1-$G2430+0.5)/$C$2398))</f>
        <v/>
      </c>
      <c r="S2430" s="208">
        <f>IF($L$2398,$N2430*IF($O$2398=1,$O2430/$F$2398,1),"")</f>
        <v/>
      </c>
      <c r="T2430" s="208">
        <f>IF(NOT($L$2398),"",IF($G2430&lt;nr_MStartP,$S2430,$T2418*(1+IF($G2430&lt;nr_MStartP1,$M$2398,$N$2398))))</f>
        <v/>
      </c>
      <c r="U2430" s="208">
        <f>IF($L$2398,$T2430,$N2430)</f>
        <v/>
      </c>
    </row>
    <row r="2431">
      <c r="A2431" s="145" t="n">
        <v>31</v>
      </c>
      <c r="B2431" s="204">
        <f>EDATE($B2430,1)</f>
        <v/>
      </c>
      <c r="C2431" s="205">
        <f>EOMONTH($B2431,0)</f>
        <v/>
      </c>
      <c r="D2431" s="201">
        <f>$C2431-$B2431+1</f>
        <v/>
      </c>
      <c r="E2431" s="201">
        <f>MONTH($B2431)</f>
        <v/>
      </c>
      <c r="F2431" s="235">
        <f>($B2431+$C2431+1)/2</f>
        <v/>
      </c>
      <c r="G2431" s="201">
        <f>YEAR($B2431)*12+MONTH($B2431)-1</f>
        <v/>
      </c>
      <c r="H2431" s="207">
        <f>IF(OR(nr_SeasonOn="OFF",$D$2398=0,$E$2398=0),1,12*INDEX(se_block,$D$2398,$E2431)/$E$2398)</f>
        <v/>
      </c>
      <c r="I2431" s="208">
        <f>EXP(SUMPRODUCT((rl_eff&lt;$B2431)*(rl_key=$A$2398)*rl_ln1p))</f>
        <v/>
      </c>
      <c r="J2431" s="208">
        <f>EXP(SUMPRODUCT((rl_eff&lt;=$C2431)*(rl_key=$A$2398)*rl_ln1p))</f>
        <v/>
      </c>
      <c r="K2431" s="201">
        <f>COUNTIFS(rl_key,$A$2398,rl_eff,"&gt;="&amp;$B2431,rl_eff,"&lt;="&amp;$C2431)</f>
        <v/>
      </c>
      <c r="L2431" s="201">
        <f>SUMIFS(rl_daysafter,rl_key,$A$2398,rl_effmonth,$B2431,rl_first,1)</f>
        <v/>
      </c>
      <c r="M2431" s="209">
        <f>IF($K2431=0,0,MIN(1,$L2431/$D2431))</f>
        <v/>
      </c>
      <c r="N2431" s="208">
        <f>IF($K2431=0,$J2431,(1-$M2431)*$I2431+$M2431*$J2431)</f>
        <v/>
      </c>
      <c r="O2431" s="209">
        <f>IF($F2431&lt;$B$2399,$E$2399+$I$2399*($F2431-$A$2399),IF($F2431&lt;$C$2399,$F$2399+$J$2399*($F2431-$B$2399),$G$2399+$K$2399*($F2431-$C$2399)))</f>
        <v/>
      </c>
      <c r="P2431" s="208">
        <f>MIN(1,MAX(0,(nr_MEndPm1-$G2431+0.5)/$C$2398))-MIN(1,MAX(0,(nr_MStartPm1-1-$G2431+0.5)/$C$2398))</f>
        <v/>
      </c>
      <c r="Q2431" s="208">
        <f>MIN(1,MAX(0,(nr_MEndP-$G2431+0.5)/$C$2398))-MIN(1,MAX(0,(nr_MStartP-1-$G2431+0.5)/$C$2398))</f>
        <v/>
      </c>
      <c r="R2431" s="208">
        <f>MIN(1,MAX(0,(nr_MEndP1-$G2431+0.5)/$C$2398))-MIN(1,MAX(0,(nr_MStartP1-1-$G2431+0.5)/$C$2398))</f>
        <v/>
      </c>
      <c r="S2431" s="208">
        <f>IF($L$2398,$N2431*IF($O$2398=1,$O2431/$F$2398,1),"")</f>
        <v/>
      </c>
      <c r="T2431" s="208">
        <f>IF(NOT($L$2398),"",IF($G2431&lt;nr_MStartP,$S2431,$T2419*(1+IF($G2431&lt;nr_MStartP1,$M$2398,$N$2398))))</f>
        <v/>
      </c>
      <c r="U2431" s="208">
        <f>IF($L$2398,$T2431,$N2431)</f>
        <v/>
      </c>
    </row>
    <row r="2432">
      <c r="A2432" s="145" t="n">
        <v>32</v>
      </c>
      <c r="B2432" s="204">
        <f>EDATE($B2431,1)</f>
        <v/>
      </c>
      <c r="C2432" s="205">
        <f>EOMONTH($B2432,0)</f>
        <v/>
      </c>
      <c r="D2432" s="201">
        <f>$C2432-$B2432+1</f>
        <v/>
      </c>
      <c r="E2432" s="201">
        <f>MONTH($B2432)</f>
        <v/>
      </c>
      <c r="F2432" s="235">
        <f>($B2432+$C2432+1)/2</f>
        <v/>
      </c>
      <c r="G2432" s="201">
        <f>YEAR($B2432)*12+MONTH($B2432)-1</f>
        <v/>
      </c>
      <c r="H2432" s="207">
        <f>IF(OR(nr_SeasonOn="OFF",$D$2398=0,$E$2398=0),1,12*INDEX(se_block,$D$2398,$E2432)/$E$2398)</f>
        <v/>
      </c>
      <c r="I2432" s="208">
        <f>EXP(SUMPRODUCT((rl_eff&lt;$B2432)*(rl_key=$A$2398)*rl_ln1p))</f>
        <v/>
      </c>
      <c r="J2432" s="208">
        <f>EXP(SUMPRODUCT((rl_eff&lt;=$C2432)*(rl_key=$A$2398)*rl_ln1p))</f>
        <v/>
      </c>
      <c r="K2432" s="201">
        <f>COUNTIFS(rl_key,$A$2398,rl_eff,"&gt;="&amp;$B2432,rl_eff,"&lt;="&amp;$C2432)</f>
        <v/>
      </c>
      <c r="L2432" s="201">
        <f>SUMIFS(rl_daysafter,rl_key,$A$2398,rl_effmonth,$B2432,rl_first,1)</f>
        <v/>
      </c>
      <c r="M2432" s="209">
        <f>IF($K2432=0,0,MIN(1,$L2432/$D2432))</f>
        <v/>
      </c>
      <c r="N2432" s="208">
        <f>IF($K2432=0,$J2432,(1-$M2432)*$I2432+$M2432*$J2432)</f>
        <v/>
      </c>
      <c r="O2432" s="209">
        <f>IF($F2432&lt;$B$2399,$E$2399+$I$2399*($F2432-$A$2399),IF($F2432&lt;$C$2399,$F$2399+$J$2399*($F2432-$B$2399),$G$2399+$K$2399*($F2432-$C$2399)))</f>
        <v/>
      </c>
      <c r="P2432" s="208">
        <f>MIN(1,MAX(0,(nr_MEndPm1-$G2432+0.5)/$C$2398))-MIN(1,MAX(0,(nr_MStartPm1-1-$G2432+0.5)/$C$2398))</f>
        <v/>
      </c>
      <c r="Q2432" s="208">
        <f>MIN(1,MAX(0,(nr_MEndP-$G2432+0.5)/$C$2398))-MIN(1,MAX(0,(nr_MStartP-1-$G2432+0.5)/$C$2398))</f>
        <v/>
      </c>
      <c r="R2432" s="208">
        <f>MIN(1,MAX(0,(nr_MEndP1-$G2432+0.5)/$C$2398))-MIN(1,MAX(0,(nr_MStartP1-1-$G2432+0.5)/$C$2398))</f>
        <v/>
      </c>
      <c r="S2432" s="208">
        <f>IF($L$2398,$N2432*IF($O$2398=1,$O2432/$F$2398,1),"")</f>
        <v/>
      </c>
      <c r="T2432" s="208">
        <f>IF(NOT($L$2398),"",IF($G2432&lt;nr_MStartP,$S2432,$T2420*(1+IF($G2432&lt;nr_MStartP1,$M$2398,$N$2398))))</f>
        <v/>
      </c>
      <c r="U2432" s="208">
        <f>IF($L$2398,$T2432,$N2432)</f>
        <v/>
      </c>
    </row>
    <row r="2433">
      <c r="A2433" s="145" t="n">
        <v>33</v>
      </c>
      <c r="B2433" s="204">
        <f>EDATE($B2432,1)</f>
        <v/>
      </c>
      <c r="C2433" s="205">
        <f>EOMONTH($B2433,0)</f>
        <v/>
      </c>
      <c r="D2433" s="201">
        <f>$C2433-$B2433+1</f>
        <v/>
      </c>
      <c r="E2433" s="201">
        <f>MONTH($B2433)</f>
        <v/>
      </c>
      <c r="F2433" s="235">
        <f>($B2433+$C2433+1)/2</f>
        <v/>
      </c>
      <c r="G2433" s="201">
        <f>YEAR($B2433)*12+MONTH($B2433)-1</f>
        <v/>
      </c>
      <c r="H2433" s="207">
        <f>IF(OR(nr_SeasonOn="OFF",$D$2398=0,$E$2398=0),1,12*INDEX(se_block,$D$2398,$E2433)/$E$2398)</f>
        <v/>
      </c>
      <c r="I2433" s="208">
        <f>EXP(SUMPRODUCT((rl_eff&lt;$B2433)*(rl_key=$A$2398)*rl_ln1p))</f>
        <v/>
      </c>
      <c r="J2433" s="208">
        <f>EXP(SUMPRODUCT((rl_eff&lt;=$C2433)*(rl_key=$A$2398)*rl_ln1p))</f>
        <v/>
      </c>
      <c r="K2433" s="201">
        <f>COUNTIFS(rl_key,$A$2398,rl_eff,"&gt;="&amp;$B2433,rl_eff,"&lt;="&amp;$C2433)</f>
        <v/>
      </c>
      <c r="L2433" s="201">
        <f>SUMIFS(rl_daysafter,rl_key,$A$2398,rl_effmonth,$B2433,rl_first,1)</f>
        <v/>
      </c>
      <c r="M2433" s="209">
        <f>IF($K2433=0,0,MIN(1,$L2433/$D2433))</f>
        <v/>
      </c>
      <c r="N2433" s="208">
        <f>IF($K2433=0,$J2433,(1-$M2433)*$I2433+$M2433*$J2433)</f>
        <v/>
      </c>
      <c r="O2433" s="209">
        <f>IF($F2433&lt;$B$2399,$E$2399+$I$2399*($F2433-$A$2399),IF($F2433&lt;$C$2399,$F$2399+$J$2399*($F2433-$B$2399),$G$2399+$K$2399*($F2433-$C$2399)))</f>
        <v/>
      </c>
      <c r="P2433" s="208">
        <f>MIN(1,MAX(0,(nr_MEndPm1-$G2433+0.5)/$C$2398))-MIN(1,MAX(0,(nr_MStartPm1-1-$G2433+0.5)/$C$2398))</f>
        <v/>
      </c>
      <c r="Q2433" s="208">
        <f>MIN(1,MAX(0,(nr_MEndP-$G2433+0.5)/$C$2398))-MIN(1,MAX(0,(nr_MStartP-1-$G2433+0.5)/$C$2398))</f>
        <v/>
      </c>
      <c r="R2433" s="208">
        <f>MIN(1,MAX(0,(nr_MEndP1-$G2433+0.5)/$C$2398))-MIN(1,MAX(0,(nr_MStartP1-1-$G2433+0.5)/$C$2398))</f>
        <v/>
      </c>
      <c r="S2433" s="208">
        <f>IF($L$2398,$N2433*IF($O$2398=1,$O2433/$F$2398,1),"")</f>
        <v/>
      </c>
      <c r="T2433" s="208">
        <f>IF(NOT($L$2398),"",IF($G2433&lt;nr_MStartP,$S2433,$T2421*(1+IF($G2433&lt;nr_MStartP1,$M$2398,$N$2398))))</f>
        <v/>
      </c>
      <c r="U2433" s="208">
        <f>IF($L$2398,$T2433,$N2433)</f>
        <v/>
      </c>
    </row>
    <row r="2434">
      <c r="A2434" s="145" t="n">
        <v>34</v>
      </c>
      <c r="B2434" s="204">
        <f>EDATE($B2433,1)</f>
        <v/>
      </c>
      <c r="C2434" s="205">
        <f>EOMONTH($B2434,0)</f>
        <v/>
      </c>
      <c r="D2434" s="201">
        <f>$C2434-$B2434+1</f>
        <v/>
      </c>
      <c r="E2434" s="201">
        <f>MONTH($B2434)</f>
        <v/>
      </c>
      <c r="F2434" s="235">
        <f>($B2434+$C2434+1)/2</f>
        <v/>
      </c>
      <c r="G2434" s="201">
        <f>YEAR($B2434)*12+MONTH($B2434)-1</f>
        <v/>
      </c>
      <c r="H2434" s="207">
        <f>IF(OR(nr_SeasonOn="OFF",$D$2398=0,$E$2398=0),1,12*INDEX(se_block,$D$2398,$E2434)/$E$2398)</f>
        <v/>
      </c>
      <c r="I2434" s="208">
        <f>EXP(SUMPRODUCT((rl_eff&lt;$B2434)*(rl_key=$A$2398)*rl_ln1p))</f>
        <v/>
      </c>
      <c r="J2434" s="208">
        <f>EXP(SUMPRODUCT((rl_eff&lt;=$C2434)*(rl_key=$A$2398)*rl_ln1p))</f>
        <v/>
      </c>
      <c r="K2434" s="201">
        <f>COUNTIFS(rl_key,$A$2398,rl_eff,"&gt;="&amp;$B2434,rl_eff,"&lt;="&amp;$C2434)</f>
        <v/>
      </c>
      <c r="L2434" s="201">
        <f>SUMIFS(rl_daysafter,rl_key,$A$2398,rl_effmonth,$B2434,rl_first,1)</f>
        <v/>
      </c>
      <c r="M2434" s="209">
        <f>IF($K2434=0,0,MIN(1,$L2434/$D2434))</f>
        <v/>
      </c>
      <c r="N2434" s="208">
        <f>IF($K2434=0,$J2434,(1-$M2434)*$I2434+$M2434*$J2434)</f>
        <v/>
      </c>
      <c r="O2434" s="209">
        <f>IF($F2434&lt;$B$2399,$E$2399+$I$2399*($F2434-$A$2399),IF($F2434&lt;$C$2399,$F$2399+$J$2399*($F2434-$B$2399),$G$2399+$K$2399*($F2434-$C$2399)))</f>
        <v/>
      </c>
      <c r="P2434" s="208">
        <f>MIN(1,MAX(0,(nr_MEndPm1-$G2434+0.5)/$C$2398))-MIN(1,MAX(0,(nr_MStartPm1-1-$G2434+0.5)/$C$2398))</f>
        <v/>
      </c>
      <c r="Q2434" s="208">
        <f>MIN(1,MAX(0,(nr_MEndP-$G2434+0.5)/$C$2398))-MIN(1,MAX(0,(nr_MStartP-1-$G2434+0.5)/$C$2398))</f>
        <v/>
      </c>
      <c r="R2434" s="208">
        <f>MIN(1,MAX(0,(nr_MEndP1-$G2434+0.5)/$C$2398))-MIN(1,MAX(0,(nr_MStartP1-1-$G2434+0.5)/$C$2398))</f>
        <v/>
      </c>
      <c r="S2434" s="208">
        <f>IF($L$2398,$N2434*IF($O$2398=1,$O2434/$F$2398,1),"")</f>
        <v/>
      </c>
      <c r="T2434" s="208">
        <f>IF(NOT($L$2398),"",IF($G2434&lt;nr_MStartP,$S2434,$T2422*(1+IF($G2434&lt;nr_MStartP1,$M$2398,$N$2398))))</f>
        <v/>
      </c>
      <c r="U2434" s="208">
        <f>IF($L$2398,$T2434,$N2434)</f>
        <v/>
      </c>
    </row>
    <row r="2435">
      <c r="A2435" s="145" t="n">
        <v>35</v>
      </c>
      <c r="B2435" s="204">
        <f>EDATE($B2434,1)</f>
        <v/>
      </c>
      <c r="C2435" s="205">
        <f>EOMONTH($B2435,0)</f>
        <v/>
      </c>
      <c r="D2435" s="201">
        <f>$C2435-$B2435+1</f>
        <v/>
      </c>
      <c r="E2435" s="201">
        <f>MONTH($B2435)</f>
        <v/>
      </c>
      <c r="F2435" s="235">
        <f>($B2435+$C2435+1)/2</f>
        <v/>
      </c>
      <c r="G2435" s="201">
        <f>YEAR($B2435)*12+MONTH($B2435)-1</f>
        <v/>
      </c>
      <c r="H2435" s="207">
        <f>IF(OR(nr_SeasonOn="OFF",$D$2398=0,$E$2398=0),1,12*INDEX(se_block,$D$2398,$E2435)/$E$2398)</f>
        <v/>
      </c>
      <c r="I2435" s="208">
        <f>EXP(SUMPRODUCT((rl_eff&lt;$B2435)*(rl_key=$A$2398)*rl_ln1p))</f>
        <v/>
      </c>
      <c r="J2435" s="208">
        <f>EXP(SUMPRODUCT((rl_eff&lt;=$C2435)*(rl_key=$A$2398)*rl_ln1p))</f>
        <v/>
      </c>
      <c r="K2435" s="201">
        <f>COUNTIFS(rl_key,$A$2398,rl_eff,"&gt;="&amp;$B2435,rl_eff,"&lt;="&amp;$C2435)</f>
        <v/>
      </c>
      <c r="L2435" s="201">
        <f>SUMIFS(rl_daysafter,rl_key,$A$2398,rl_effmonth,$B2435,rl_first,1)</f>
        <v/>
      </c>
      <c r="M2435" s="209">
        <f>IF($K2435=0,0,MIN(1,$L2435/$D2435))</f>
        <v/>
      </c>
      <c r="N2435" s="208">
        <f>IF($K2435=0,$J2435,(1-$M2435)*$I2435+$M2435*$J2435)</f>
        <v/>
      </c>
      <c r="O2435" s="209">
        <f>IF($F2435&lt;$B$2399,$E$2399+$I$2399*($F2435-$A$2399),IF($F2435&lt;$C$2399,$F$2399+$J$2399*($F2435-$B$2399),$G$2399+$K$2399*($F2435-$C$2399)))</f>
        <v/>
      </c>
      <c r="P2435" s="208">
        <f>MIN(1,MAX(0,(nr_MEndPm1-$G2435+0.5)/$C$2398))-MIN(1,MAX(0,(nr_MStartPm1-1-$G2435+0.5)/$C$2398))</f>
        <v/>
      </c>
      <c r="Q2435" s="208">
        <f>MIN(1,MAX(0,(nr_MEndP-$G2435+0.5)/$C$2398))-MIN(1,MAX(0,(nr_MStartP-1-$G2435+0.5)/$C$2398))</f>
        <v/>
      </c>
      <c r="R2435" s="208">
        <f>MIN(1,MAX(0,(nr_MEndP1-$G2435+0.5)/$C$2398))-MIN(1,MAX(0,(nr_MStartP1-1-$G2435+0.5)/$C$2398))</f>
        <v/>
      </c>
      <c r="S2435" s="208">
        <f>IF($L$2398,$N2435*IF($O$2398=1,$O2435/$F$2398,1),"")</f>
        <v/>
      </c>
      <c r="T2435" s="208">
        <f>IF(NOT($L$2398),"",IF($G2435&lt;nr_MStartP,$S2435,$T2423*(1+IF($G2435&lt;nr_MStartP1,$M$2398,$N$2398))))</f>
        <v/>
      </c>
      <c r="U2435" s="208">
        <f>IF($L$2398,$T2435,$N2435)</f>
        <v/>
      </c>
    </row>
    <row r="2436">
      <c r="A2436" s="145" t="n">
        <v>36</v>
      </c>
      <c r="B2436" s="204">
        <f>EDATE($B2435,1)</f>
        <v/>
      </c>
      <c r="C2436" s="205">
        <f>EOMONTH($B2436,0)</f>
        <v/>
      </c>
      <c r="D2436" s="201">
        <f>$C2436-$B2436+1</f>
        <v/>
      </c>
      <c r="E2436" s="201">
        <f>MONTH($B2436)</f>
        <v/>
      </c>
      <c r="F2436" s="235">
        <f>($B2436+$C2436+1)/2</f>
        <v/>
      </c>
      <c r="G2436" s="201">
        <f>YEAR($B2436)*12+MONTH($B2436)-1</f>
        <v/>
      </c>
      <c r="H2436" s="207">
        <f>IF(OR(nr_SeasonOn="OFF",$D$2398=0,$E$2398=0),1,12*INDEX(se_block,$D$2398,$E2436)/$E$2398)</f>
        <v/>
      </c>
      <c r="I2436" s="208">
        <f>EXP(SUMPRODUCT((rl_eff&lt;$B2436)*(rl_key=$A$2398)*rl_ln1p))</f>
        <v/>
      </c>
      <c r="J2436" s="208">
        <f>EXP(SUMPRODUCT((rl_eff&lt;=$C2436)*(rl_key=$A$2398)*rl_ln1p))</f>
        <v/>
      </c>
      <c r="K2436" s="201">
        <f>COUNTIFS(rl_key,$A$2398,rl_eff,"&gt;="&amp;$B2436,rl_eff,"&lt;="&amp;$C2436)</f>
        <v/>
      </c>
      <c r="L2436" s="201">
        <f>SUMIFS(rl_daysafter,rl_key,$A$2398,rl_effmonth,$B2436,rl_first,1)</f>
        <v/>
      </c>
      <c r="M2436" s="209">
        <f>IF($K2436=0,0,MIN(1,$L2436/$D2436))</f>
        <v/>
      </c>
      <c r="N2436" s="208">
        <f>IF($K2436=0,$J2436,(1-$M2436)*$I2436+$M2436*$J2436)</f>
        <v/>
      </c>
      <c r="O2436" s="209">
        <f>IF($F2436&lt;$B$2399,$E$2399+$I$2399*($F2436-$A$2399),IF($F2436&lt;$C$2399,$F$2399+$J$2399*($F2436-$B$2399),$G$2399+$K$2399*($F2436-$C$2399)))</f>
        <v/>
      </c>
      <c r="P2436" s="208">
        <f>MIN(1,MAX(0,(nr_MEndPm1-$G2436+0.5)/$C$2398))-MIN(1,MAX(0,(nr_MStartPm1-1-$G2436+0.5)/$C$2398))</f>
        <v/>
      </c>
      <c r="Q2436" s="208">
        <f>MIN(1,MAX(0,(nr_MEndP-$G2436+0.5)/$C$2398))-MIN(1,MAX(0,(nr_MStartP-1-$G2436+0.5)/$C$2398))</f>
        <v/>
      </c>
      <c r="R2436" s="208">
        <f>MIN(1,MAX(0,(nr_MEndP1-$G2436+0.5)/$C$2398))-MIN(1,MAX(0,(nr_MStartP1-1-$G2436+0.5)/$C$2398))</f>
        <v/>
      </c>
      <c r="S2436" s="208">
        <f>IF($L$2398,$N2436*IF($O$2398=1,$O2436/$F$2398,1),"")</f>
        <v/>
      </c>
      <c r="T2436" s="208">
        <f>IF(NOT($L$2398),"",IF($G2436&lt;nr_MStartP,$S2436,$T2424*(1+IF($G2436&lt;nr_MStartP1,$M$2398,$N$2398))))</f>
        <v/>
      </c>
      <c r="U2436" s="208">
        <f>IF($L$2398,$T2436,$N2436)</f>
        <v/>
      </c>
    </row>
    <row r="2437">
      <c r="A2437" s="145" t="n">
        <v>37</v>
      </c>
      <c r="B2437" s="204">
        <f>EDATE($B2436,1)</f>
        <v/>
      </c>
      <c r="C2437" s="205">
        <f>EOMONTH($B2437,0)</f>
        <v/>
      </c>
      <c r="D2437" s="201">
        <f>$C2437-$B2437+1</f>
        <v/>
      </c>
      <c r="E2437" s="201">
        <f>MONTH($B2437)</f>
        <v/>
      </c>
      <c r="F2437" s="235">
        <f>($B2437+$C2437+1)/2</f>
        <v/>
      </c>
      <c r="G2437" s="201">
        <f>YEAR($B2437)*12+MONTH($B2437)-1</f>
        <v/>
      </c>
      <c r="H2437" s="207">
        <f>IF(OR(nr_SeasonOn="OFF",$D$2398=0,$E$2398=0),1,12*INDEX(se_block,$D$2398,$E2437)/$E$2398)</f>
        <v/>
      </c>
      <c r="I2437" s="208">
        <f>EXP(SUMPRODUCT((rl_eff&lt;$B2437)*(rl_key=$A$2398)*rl_ln1p))</f>
        <v/>
      </c>
      <c r="J2437" s="208">
        <f>EXP(SUMPRODUCT((rl_eff&lt;=$C2437)*(rl_key=$A$2398)*rl_ln1p))</f>
        <v/>
      </c>
      <c r="K2437" s="201">
        <f>COUNTIFS(rl_key,$A$2398,rl_eff,"&gt;="&amp;$B2437,rl_eff,"&lt;="&amp;$C2437)</f>
        <v/>
      </c>
      <c r="L2437" s="201">
        <f>SUMIFS(rl_daysafter,rl_key,$A$2398,rl_effmonth,$B2437,rl_first,1)</f>
        <v/>
      </c>
      <c r="M2437" s="209">
        <f>IF($K2437=0,0,MIN(1,$L2437/$D2437))</f>
        <v/>
      </c>
      <c r="N2437" s="208">
        <f>IF($K2437=0,$J2437,(1-$M2437)*$I2437+$M2437*$J2437)</f>
        <v/>
      </c>
      <c r="O2437" s="209">
        <f>IF($F2437&lt;$B$2399,$E$2399+$I$2399*($F2437-$A$2399),IF($F2437&lt;$C$2399,$F$2399+$J$2399*($F2437-$B$2399),$G$2399+$K$2399*($F2437-$C$2399)))</f>
        <v/>
      </c>
      <c r="P2437" s="208">
        <f>MIN(1,MAX(0,(nr_MEndPm1-$G2437+0.5)/$C$2398))-MIN(1,MAX(0,(nr_MStartPm1-1-$G2437+0.5)/$C$2398))</f>
        <v/>
      </c>
      <c r="Q2437" s="208">
        <f>MIN(1,MAX(0,(nr_MEndP-$G2437+0.5)/$C$2398))-MIN(1,MAX(0,(nr_MStartP-1-$G2437+0.5)/$C$2398))</f>
        <v/>
      </c>
      <c r="R2437" s="208">
        <f>MIN(1,MAX(0,(nr_MEndP1-$G2437+0.5)/$C$2398))-MIN(1,MAX(0,(nr_MStartP1-1-$G2437+0.5)/$C$2398))</f>
        <v/>
      </c>
      <c r="S2437" s="208">
        <f>IF($L$2398,$N2437*IF($O$2398=1,$O2437/$F$2398,1),"")</f>
        <v/>
      </c>
      <c r="T2437" s="208">
        <f>IF(NOT($L$2398),"",IF($G2437&lt;nr_MStartP,$S2437,$T2425*(1+IF($G2437&lt;nr_MStartP1,$M$2398,$N$2398))))</f>
        <v/>
      </c>
      <c r="U2437" s="208">
        <f>IF($L$2398,$T2437,$N2437)</f>
        <v/>
      </c>
    </row>
    <row r="2438">
      <c r="A2438" s="145" t="n">
        <v>38</v>
      </c>
      <c r="B2438" s="204">
        <f>EDATE($B2437,1)</f>
        <v/>
      </c>
      <c r="C2438" s="205">
        <f>EOMONTH($B2438,0)</f>
        <v/>
      </c>
      <c r="D2438" s="201">
        <f>$C2438-$B2438+1</f>
        <v/>
      </c>
      <c r="E2438" s="201">
        <f>MONTH($B2438)</f>
        <v/>
      </c>
      <c r="F2438" s="235">
        <f>($B2438+$C2438+1)/2</f>
        <v/>
      </c>
      <c r="G2438" s="201">
        <f>YEAR($B2438)*12+MONTH($B2438)-1</f>
        <v/>
      </c>
      <c r="H2438" s="207">
        <f>IF(OR(nr_SeasonOn="OFF",$D$2398=0,$E$2398=0),1,12*INDEX(se_block,$D$2398,$E2438)/$E$2398)</f>
        <v/>
      </c>
      <c r="I2438" s="208">
        <f>EXP(SUMPRODUCT((rl_eff&lt;$B2438)*(rl_key=$A$2398)*rl_ln1p))</f>
        <v/>
      </c>
      <c r="J2438" s="208">
        <f>EXP(SUMPRODUCT((rl_eff&lt;=$C2438)*(rl_key=$A$2398)*rl_ln1p))</f>
        <v/>
      </c>
      <c r="K2438" s="201">
        <f>COUNTIFS(rl_key,$A$2398,rl_eff,"&gt;="&amp;$B2438,rl_eff,"&lt;="&amp;$C2438)</f>
        <v/>
      </c>
      <c r="L2438" s="201">
        <f>SUMIFS(rl_daysafter,rl_key,$A$2398,rl_effmonth,$B2438,rl_first,1)</f>
        <v/>
      </c>
      <c r="M2438" s="209">
        <f>IF($K2438=0,0,MIN(1,$L2438/$D2438))</f>
        <v/>
      </c>
      <c r="N2438" s="208">
        <f>IF($K2438=0,$J2438,(1-$M2438)*$I2438+$M2438*$J2438)</f>
        <v/>
      </c>
      <c r="O2438" s="209">
        <f>IF($F2438&lt;$B$2399,$E$2399+$I$2399*($F2438-$A$2399),IF($F2438&lt;$C$2399,$F$2399+$J$2399*($F2438-$B$2399),$G$2399+$K$2399*($F2438-$C$2399)))</f>
        <v/>
      </c>
      <c r="P2438" s="208">
        <f>MIN(1,MAX(0,(nr_MEndPm1-$G2438+0.5)/$C$2398))-MIN(1,MAX(0,(nr_MStartPm1-1-$G2438+0.5)/$C$2398))</f>
        <v/>
      </c>
      <c r="Q2438" s="208">
        <f>MIN(1,MAX(0,(nr_MEndP-$G2438+0.5)/$C$2398))-MIN(1,MAX(0,(nr_MStartP-1-$G2438+0.5)/$C$2398))</f>
        <v/>
      </c>
      <c r="R2438" s="208">
        <f>MIN(1,MAX(0,(nr_MEndP1-$G2438+0.5)/$C$2398))-MIN(1,MAX(0,(nr_MStartP1-1-$G2438+0.5)/$C$2398))</f>
        <v/>
      </c>
      <c r="S2438" s="208">
        <f>IF($L$2398,$N2438*IF($O$2398=1,$O2438/$F$2398,1),"")</f>
        <v/>
      </c>
      <c r="T2438" s="208">
        <f>IF(NOT($L$2398),"",IF($G2438&lt;nr_MStartP,$S2438,$T2426*(1+IF($G2438&lt;nr_MStartP1,$M$2398,$N$2398))))</f>
        <v/>
      </c>
      <c r="U2438" s="208">
        <f>IF($L$2398,$T2438,$N2438)</f>
        <v/>
      </c>
    </row>
    <row r="2439">
      <c r="A2439" s="145" t="n">
        <v>39</v>
      </c>
      <c r="B2439" s="204">
        <f>EDATE($B2438,1)</f>
        <v/>
      </c>
      <c r="C2439" s="205">
        <f>EOMONTH($B2439,0)</f>
        <v/>
      </c>
      <c r="D2439" s="201">
        <f>$C2439-$B2439+1</f>
        <v/>
      </c>
      <c r="E2439" s="201">
        <f>MONTH($B2439)</f>
        <v/>
      </c>
      <c r="F2439" s="235">
        <f>($B2439+$C2439+1)/2</f>
        <v/>
      </c>
      <c r="G2439" s="201">
        <f>YEAR($B2439)*12+MONTH($B2439)-1</f>
        <v/>
      </c>
      <c r="H2439" s="207">
        <f>IF(OR(nr_SeasonOn="OFF",$D$2398=0,$E$2398=0),1,12*INDEX(se_block,$D$2398,$E2439)/$E$2398)</f>
        <v/>
      </c>
      <c r="I2439" s="208">
        <f>EXP(SUMPRODUCT((rl_eff&lt;$B2439)*(rl_key=$A$2398)*rl_ln1p))</f>
        <v/>
      </c>
      <c r="J2439" s="208">
        <f>EXP(SUMPRODUCT((rl_eff&lt;=$C2439)*(rl_key=$A$2398)*rl_ln1p))</f>
        <v/>
      </c>
      <c r="K2439" s="201">
        <f>COUNTIFS(rl_key,$A$2398,rl_eff,"&gt;="&amp;$B2439,rl_eff,"&lt;="&amp;$C2439)</f>
        <v/>
      </c>
      <c r="L2439" s="201">
        <f>SUMIFS(rl_daysafter,rl_key,$A$2398,rl_effmonth,$B2439,rl_first,1)</f>
        <v/>
      </c>
      <c r="M2439" s="209">
        <f>IF($K2439=0,0,MIN(1,$L2439/$D2439))</f>
        <v/>
      </c>
      <c r="N2439" s="208">
        <f>IF($K2439=0,$J2439,(1-$M2439)*$I2439+$M2439*$J2439)</f>
        <v/>
      </c>
      <c r="O2439" s="209">
        <f>IF($F2439&lt;$B$2399,$E$2399+$I$2399*($F2439-$A$2399),IF($F2439&lt;$C$2399,$F$2399+$J$2399*($F2439-$B$2399),$G$2399+$K$2399*($F2439-$C$2399)))</f>
        <v/>
      </c>
      <c r="P2439" s="208">
        <f>MIN(1,MAX(0,(nr_MEndPm1-$G2439+0.5)/$C$2398))-MIN(1,MAX(0,(nr_MStartPm1-1-$G2439+0.5)/$C$2398))</f>
        <v/>
      </c>
      <c r="Q2439" s="208">
        <f>MIN(1,MAX(0,(nr_MEndP-$G2439+0.5)/$C$2398))-MIN(1,MAX(0,(nr_MStartP-1-$G2439+0.5)/$C$2398))</f>
        <v/>
      </c>
      <c r="R2439" s="208">
        <f>MIN(1,MAX(0,(nr_MEndP1-$G2439+0.5)/$C$2398))-MIN(1,MAX(0,(nr_MStartP1-1-$G2439+0.5)/$C$2398))</f>
        <v/>
      </c>
      <c r="S2439" s="208">
        <f>IF($L$2398,$N2439*IF($O$2398=1,$O2439/$F$2398,1),"")</f>
        <v/>
      </c>
      <c r="T2439" s="208">
        <f>IF(NOT($L$2398),"",IF($G2439&lt;nr_MStartP,$S2439,$T2427*(1+IF($G2439&lt;nr_MStartP1,$M$2398,$N$2398))))</f>
        <v/>
      </c>
      <c r="U2439" s="208">
        <f>IF($L$2398,$T2439,$N2439)</f>
        <v/>
      </c>
    </row>
    <row r="2440">
      <c r="A2440" s="145" t="n">
        <v>40</v>
      </c>
      <c r="B2440" s="204">
        <f>EDATE($B2439,1)</f>
        <v/>
      </c>
      <c r="C2440" s="205">
        <f>EOMONTH($B2440,0)</f>
        <v/>
      </c>
      <c r="D2440" s="201">
        <f>$C2440-$B2440+1</f>
        <v/>
      </c>
      <c r="E2440" s="201">
        <f>MONTH($B2440)</f>
        <v/>
      </c>
      <c r="F2440" s="235">
        <f>($B2440+$C2440+1)/2</f>
        <v/>
      </c>
      <c r="G2440" s="201">
        <f>YEAR($B2440)*12+MONTH($B2440)-1</f>
        <v/>
      </c>
      <c r="H2440" s="207">
        <f>IF(OR(nr_SeasonOn="OFF",$D$2398=0,$E$2398=0),1,12*INDEX(se_block,$D$2398,$E2440)/$E$2398)</f>
        <v/>
      </c>
      <c r="I2440" s="208">
        <f>EXP(SUMPRODUCT((rl_eff&lt;$B2440)*(rl_key=$A$2398)*rl_ln1p))</f>
        <v/>
      </c>
      <c r="J2440" s="208">
        <f>EXP(SUMPRODUCT((rl_eff&lt;=$C2440)*(rl_key=$A$2398)*rl_ln1p))</f>
        <v/>
      </c>
      <c r="K2440" s="201">
        <f>COUNTIFS(rl_key,$A$2398,rl_eff,"&gt;="&amp;$B2440,rl_eff,"&lt;="&amp;$C2440)</f>
        <v/>
      </c>
      <c r="L2440" s="201">
        <f>SUMIFS(rl_daysafter,rl_key,$A$2398,rl_effmonth,$B2440,rl_first,1)</f>
        <v/>
      </c>
      <c r="M2440" s="209">
        <f>IF($K2440=0,0,MIN(1,$L2440/$D2440))</f>
        <v/>
      </c>
      <c r="N2440" s="208">
        <f>IF($K2440=0,$J2440,(1-$M2440)*$I2440+$M2440*$J2440)</f>
        <v/>
      </c>
      <c r="O2440" s="209">
        <f>IF($F2440&lt;$B$2399,$E$2399+$I$2399*($F2440-$A$2399),IF($F2440&lt;$C$2399,$F$2399+$J$2399*($F2440-$B$2399),$G$2399+$K$2399*($F2440-$C$2399)))</f>
        <v/>
      </c>
      <c r="P2440" s="208">
        <f>MIN(1,MAX(0,(nr_MEndPm1-$G2440+0.5)/$C$2398))-MIN(1,MAX(0,(nr_MStartPm1-1-$G2440+0.5)/$C$2398))</f>
        <v/>
      </c>
      <c r="Q2440" s="208">
        <f>MIN(1,MAX(0,(nr_MEndP-$G2440+0.5)/$C$2398))-MIN(1,MAX(0,(nr_MStartP-1-$G2440+0.5)/$C$2398))</f>
        <v/>
      </c>
      <c r="R2440" s="208">
        <f>MIN(1,MAX(0,(nr_MEndP1-$G2440+0.5)/$C$2398))-MIN(1,MAX(0,(nr_MStartP1-1-$G2440+0.5)/$C$2398))</f>
        <v/>
      </c>
      <c r="S2440" s="208">
        <f>IF($L$2398,$N2440*IF($O$2398=1,$O2440/$F$2398,1),"")</f>
        <v/>
      </c>
      <c r="T2440" s="208">
        <f>IF(NOT($L$2398),"",IF($G2440&lt;nr_MStartP,$S2440,$T2428*(1+IF($G2440&lt;nr_MStartP1,$M$2398,$N$2398))))</f>
        <v/>
      </c>
      <c r="U2440" s="208">
        <f>IF($L$2398,$T2440,$N2440)</f>
        <v/>
      </c>
    </row>
    <row r="2441">
      <c r="A2441" s="145" t="n">
        <v>41</v>
      </c>
      <c r="B2441" s="204">
        <f>EDATE($B2440,1)</f>
        <v/>
      </c>
      <c r="C2441" s="205">
        <f>EOMONTH($B2441,0)</f>
        <v/>
      </c>
      <c r="D2441" s="201">
        <f>$C2441-$B2441+1</f>
        <v/>
      </c>
      <c r="E2441" s="201">
        <f>MONTH($B2441)</f>
        <v/>
      </c>
      <c r="F2441" s="235">
        <f>($B2441+$C2441+1)/2</f>
        <v/>
      </c>
      <c r="G2441" s="201">
        <f>YEAR($B2441)*12+MONTH($B2441)-1</f>
        <v/>
      </c>
      <c r="H2441" s="207">
        <f>IF(OR(nr_SeasonOn="OFF",$D$2398=0,$E$2398=0),1,12*INDEX(se_block,$D$2398,$E2441)/$E$2398)</f>
        <v/>
      </c>
      <c r="I2441" s="208">
        <f>EXP(SUMPRODUCT((rl_eff&lt;$B2441)*(rl_key=$A$2398)*rl_ln1p))</f>
        <v/>
      </c>
      <c r="J2441" s="208">
        <f>EXP(SUMPRODUCT((rl_eff&lt;=$C2441)*(rl_key=$A$2398)*rl_ln1p))</f>
        <v/>
      </c>
      <c r="K2441" s="201">
        <f>COUNTIFS(rl_key,$A$2398,rl_eff,"&gt;="&amp;$B2441,rl_eff,"&lt;="&amp;$C2441)</f>
        <v/>
      </c>
      <c r="L2441" s="201">
        <f>SUMIFS(rl_daysafter,rl_key,$A$2398,rl_effmonth,$B2441,rl_first,1)</f>
        <v/>
      </c>
      <c r="M2441" s="209">
        <f>IF($K2441=0,0,MIN(1,$L2441/$D2441))</f>
        <v/>
      </c>
      <c r="N2441" s="208">
        <f>IF($K2441=0,$J2441,(1-$M2441)*$I2441+$M2441*$J2441)</f>
        <v/>
      </c>
      <c r="O2441" s="209">
        <f>IF($F2441&lt;$B$2399,$E$2399+$I$2399*($F2441-$A$2399),IF($F2441&lt;$C$2399,$F$2399+$J$2399*($F2441-$B$2399),$G$2399+$K$2399*($F2441-$C$2399)))</f>
        <v/>
      </c>
      <c r="P2441" s="208">
        <f>MIN(1,MAX(0,(nr_MEndPm1-$G2441+0.5)/$C$2398))-MIN(1,MAX(0,(nr_MStartPm1-1-$G2441+0.5)/$C$2398))</f>
        <v/>
      </c>
      <c r="Q2441" s="208">
        <f>MIN(1,MAX(0,(nr_MEndP-$G2441+0.5)/$C$2398))-MIN(1,MAX(0,(nr_MStartP-1-$G2441+0.5)/$C$2398))</f>
        <v/>
      </c>
      <c r="R2441" s="208">
        <f>MIN(1,MAX(0,(nr_MEndP1-$G2441+0.5)/$C$2398))-MIN(1,MAX(0,(nr_MStartP1-1-$G2441+0.5)/$C$2398))</f>
        <v/>
      </c>
      <c r="S2441" s="208">
        <f>IF($L$2398,$N2441*IF($O$2398=1,$O2441/$F$2398,1),"")</f>
        <v/>
      </c>
      <c r="T2441" s="208">
        <f>IF(NOT($L$2398),"",IF($G2441&lt;nr_MStartP,$S2441,$T2429*(1+IF($G2441&lt;nr_MStartP1,$M$2398,$N$2398))))</f>
        <v/>
      </c>
      <c r="U2441" s="208">
        <f>IF($L$2398,$T2441,$N2441)</f>
        <v/>
      </c>
    </row>
    <row r="2442">
      <c r="A2442" s="145" t="n">
        <v>42</v>
      </c>
      <c r="B2442" s="204">
        <f>EDATE($B2441,1)</f>
        <v/>
      </c>
      <c r="C2442" s="205">
        <f>EOMONTH($B2442,0)</f>
        <v/>
      </c>
      <c r="D2442" s="201">
        <f>$C2442-$B2442+1</f>
        <v/>
      </c>
      <c r="E2442" s="201">
        <f>MONTH($B2442)</f>
        <v/>
      </c>
      <c r="F2442" s="235">
        <f>($B2442+$C2442+1)/2</f>
        <v/>
      </c>
      <c r="G2442" s="201">
        <f>YEAR($B2442)*12+MONTH($B2442)-1</f>
        <v/>
      </c>
      <c r="H2442" s="207">
        <f>IF(OR(nr_SeasonOn="OFF",$D$2398=0,$E$2398=0),1,12*INDEX(se_block,$D$2398,$E2442)/$E$2398)</f>
        <v/>
      </c>
      <c r="I2442" s="208">
        <f>EXP(SUMPRODUCT((rl_eff&lt;$B2442)*(rl_key=$A$2398)*rl_ln1p))</f>
        <v/>
      </c>
      <c r="J2442" s="208">
        <f>EXP(SUMPRODUCT((rl_eff&lt;=$C2442)*(rl_key=$A$2398)*rl_ln1p))</f>
        <v/>
      </c>
      <c r="K2442" s="201">
        <f>COUNTIFS(rl_key,$A$2398,rl_eff,"&gt;="&amp;$B2442,rl_eff,"&lt;="&amp;$C2442)</f>
        <v/>
      </c>
      <c r="L2442" s="201">
        <f>SUMIFS(rl_daysafter,rl_key,$A$2398,rl_effmonth,$B2442,rl_first,1)</f>
        <v/>
      </c>
      <c r="M2442" s="209">
        <f>IF($K2442=0,0,MIN(1,$L2442/$D2442))</f>
        <v/>
      </c>
      <c r="N2442" s="208">
        <f>IF($K2442=0,$J2442,(1-$M2442)*$I2442+$M2442*$J2442)</f>
        <v/>
      </c>
      <c r="O2442" s="209">
        <f>IF($F2442&lt;$B$2399,$E$2399+$I$2399*($F2442-$A$2399),IF($F2442&lt;$C$2399,$F$2399+$J$2399*($F2442-$B$2399),$G$2399+$K$2399*($F2442-$C$2399)))</f>
        <v/>
      </c>
      <c r="P2442" s="208">
        <f>MIN(1,MAX(0,(nr_MEndPm1-$G2442+0.5)/$C$2398))-MIN(1,MAX(0,(nr_MStartPm1-1-$G2442+0.5)/$C$2398))</f>
        <v/>
      </c>
      <c r="Q2442" s="208">
        <f>MIN(1,MAX(0,(nr_MEndP-$G2442+0.5)/$C$2398))-MIN(1,MAX(0,(nr_MStartP-1-$G2442+0.5)/$C$2398))</f>
        <v/>
      </c>
      <c r="R2442" s="208">
        <f>MIN(1,MAX(0,(nr_MEndP1-$G2442+0.5)/$C$2398))-MIN(1,MAX(0,(nr_MStartP1-1-$G2442+0.5)/$C$2398))</f>
        <v/>
      </c>
      <c r="S2442" s="208">
        <f>IF($L$2398,$N2442*IF($O$2398=1,$O2442/$F$2398,1),"")</f>
        <v/>
      </c>
      <c r="T2442" s="208">
        <f>IF(NOT($L$2398),"",IF($G2442&lt;nr_MStartP,$S2442,$T2430*(1+IF($G2442&lt;nr_MStartP1,$M$2398,$N$2398))))</f>
        <v/>
      </c>
      <c r="U2442" s="208">
        <f>IF($L$2398,$T2442,$N2442)</f>
        <v/>
      </c>
    </row>
    <row r="2443">
      <c r="A2443" s="145" t="n">
        <v>43</v>
      </c>
      <c r="B2443" s="204">
        <f>EDATE($B2442,1)</f>
        <v/>
      </c>
      <c r="C2443" s="205">
        <f>EOMONTH($B2443,0)</f>
        <v/>
      </c>
      <c r="D2443" s="201">
        <f>$C2443-$B2443+1</f>
        <v/>
      </c>
      <c r="E2443" s="201">
        <f>MONTH($B2443)</f>
        <v/>
      </c>
      <c r="F2443" s="235">
        <f>($B2443+$C2443+1)/2</f>
        <v/>
      </c>
      <c r="G2443" s="201">
        <f>YEAR($B2443)*12+MONTH($B2443)-1</f>
        <v/>
      </c>
      <c r="H2443" s="207">
        <f>IF(OR(nr_SeasonOn="OFF",$D$2398=0,$E$2398=0),1,12*INDEX(se_block,$D$2398,$E2443)/$E$2398)</f>
        <v/>
      </c>
      <c r="I2443" s="208">
        <f>EXP(SUMPRODUCT((rl_eff&lt;$B2443)*(rl_key=$A$2398)*rl_ln1p))</f>
        <v/>
      </c>
      <c r="J2443" s="208">
        <f>EXP(SUMPRODUCT((rl_eff&lt;=$C2443)*(rl_key=$A$2398)*rl_ln1p))</f>
        <v/>
      </c>
      <c r="K2443" s="201">
        <f>COUNTIFS(rl_key,$A$2398,rl_eff,"&gt;="&amp;$B2443,rl_eff,"&lt;="&amp;$C2443)</f>
        <v/>
      </c>
      <c r="L2443" s="201">
        <f>SUMIFS(rl_daysafter,rl_key,$A$2398,rl_effmonth,$B2443,rl_first,1)</f>
        <v/>
      </c>
      <c r="M2443" s="209">
        <f>IF($K2443=0,0,MIN(1,$L2443/$D2443))</f>
        <v/>
      </c>
      <c r="N2443" s="208">
        <f>IF($K2443=0,$J2443,(1-$M2443)*$I2443+$M2443*$J2443)</f>
        <v/>
      </c>
      <c r="O2443" s="209">
        <f>IF($F2443&lt;$B$2399,$E$2399+$I$2399*($F2443-$A$2399),IF($F2443&lt;$C$2399,$F$2399+$J$2399*($F2443-$B$2399),$G$2399+$K$2399*($F2443-$C$2399)))</f>
        <v/>
      </c>
      <c r="P2443" s="208">
        <f>MIN(1,MAX(0,(nr_MEndPm1-$G2443+0.5)/$C$2398))-MIN(1,MAX(0,(nr_MStartPm1-1-$G2443+0.5)/$C$2398))</f>
        <v/>
      </c>
      <c r="Q2443" s="208">
        <f>MIN(1,MAX(0,(nr_MEndP-$G2443+0.5)/$C$2398))-MIN(1,MAX(0,(nr_MStartP-1-$G2443+0.5)/$C$2398))</f>
        <v/>
      </c>
      <c r="R2443" s="208">
        <f>MIN(1,MAX(0,(nr_MEndP1-$G2443+0.5)/$C$2398))-MIN(1,MAX(0,(nr_MStartP1-1-$G2443+0.5)/$C$2398))</f>
        <v/>
      </c>
      <c r="S2443" s="208">
        <f>IF($L$2398,$N2443*IF($O$2398=1,$O2443/$F$2398,1),"")</f>
        <v/>
      </c>
      <c r="T2443" s="208">
        <f>IF(NOT($L$2398),"",IF($G2443&lt;nr_MStartP,$S2443,$T2431*(1+IF($G2443&lt;nr_MStartP1,$M$2398,$N$2398))))</f>
        <v/>
      </c>
      <c r="U2443" s="208">
        <f>IF($L$2398,$T2443,$N2443)</f>
        <v/>
      </c>
    </row>
    <row r="2444">
      <c r="A2444" s="145" t="n">
        <v>44</v>
      </c>
      <c r="B2444" s="204">
        <f>EDATE($B2443,1)</f>
        <v/>
      </c>
      <c r="C2444" s="205">
        <f>EOMONTH($B2444,0)</f>
        <v/>
      </c>
      <c r="D2444" s="201">
        <f>$C2444-$B2444+1</f>
        <v/>
      </c>
      <c r="E2444" s="201">
        <f>MONTH($B2444)</f>
        <v/>
      </c>
      <c r="F2444" s="235">
        <f>($B2444+$C2444+1)/2</f>
        <v/>
      </c>
      <c r="G2444" s="201">
        <f>YEAR($B2444)*12+MONTH($B2444)-1</f>
        <v/>
      </c>
      <c r="H2444" s="207">
        <f>IF(OR(nr_SeasonOn="OFF",$D$2398=0,$E$2398=0),1,12*INDEX(se_block,$D$2398,$E2444)/$E$2398)</f>
        <v/>
      </c>
      <c r="I2444" s="208">
        <f>EXP(SUMPRODUCT((rl_eff&lt;$B2444)*(rl_key=$A$2398)*rl_ln1p))</f>
        <v/>
      </c>
      <c r="J2444" s="208">
        <f>EXP(SUMPRODUCT((rl_eff&lt;=$C2444)*(rl_key=$A$2398)*rl_ln1p))</f>
        <v/>
      </c>
      <c r="K2444" s="201">
        <f>COUNTIFS(rl_key,$A$2398,rl_eff,"&gt;="&amp;$B2444,rl_eff,"&lt;="&amp;$C2444)</f>
        <v/>
      </c>
      <c r="L2444" s="201">
        <f>SUMIFS(rl_daysafter,rl_key,$A$2398,rl_effmonth,$B2444,rl_first,1)</f>
        <v/>
      </c>
      <c r="M2444" s="209">
        <f>IF($K2444=0,0,MIN(1,$L2444/$D2444))</f>
        <v/>
      </c>
      <c r="N2444" s="208">
        <f>IF($K2444=0,$J2444,(1-$M2444)*$I2444+$M2444*$J2444)</f>
        <v/>
      </c>
      <c r="O2444" s="209">
        <f>IF($F2444&lt;$B$2399,$E$2399+$I$2399*($F2444-$A$2399),IF($F2444&lt;$C$2399,$F$2399+$J$2399*($F2444-$B$2399),$G$2399+$K$2399*($F2444-$C$2399)))</f>
        <v/>
      </c>
      <c r="P2444" s="208">
        <f>MIN(1,MAX(0,(nr_MEndPm1-$G2444+0.5)/$C$2398))-MIN(1,MAX(0,(nr_MStartPm1-1-$G2444+0.5)/$C$2398))</f>
        <v/>
      </c>
      <c r="Q2444" s="208">
        <f>MIN(1,MAX(0,(nr_MEndP-$G2444+0.5)/$C$2398))-MIN(1,MAX(0,(nr_MStartP-1-$G2444+0.5)/$C$2398))</f>
        <v/>
      </c>
      <c r="R2444" s="208">
        <f>MIN(1,MAX(0,(nr_MEndP1-$G2444+0.5)/$C$2398))-MIN(1,MAX(0,(nr_MStartP1-1-$G2444+0.5)/$C$2398))</f>
        <v/>
      </c>
      <c r="S2444" s="208">
        <f>IF($L$2398,$N2444*IF($O$2398=1,$O2444/$F$2398,1),"")</f>
        <v/>
      </c>
      <c r="T2444" s="208">
        <f>IF(NOT($L$2398),"",IF($G2444&lt;nr_MStartP,$S2444,$T2432*(1+IF($G2444&lt;nr_MStartP1,$M$2398,$N$2398))))</f>
        <v/>
      </c>
      <c r="U2444" s="208">
        <f>IF($L$2398,$T2444,$N2444)</f>
        <v/>
      </c>
    </row>
    <row r="2445">
      <c r="A2445" s="145" t="n">
        <v>45</v>
      </c>
      <c r="B2445" s="204">
        <f>EDATE($B2444,1)</f>
        <v/>
      </c>
      <c r="C2445" s="205">
        <f>EOMONTH($B2445,0)</f>
        <v/>
      </c>
      <c r="D2445" s="201">
        <f>$C2445-$B2445+1</f>
        <v/>
      </c>
      <c r="E2445" s="201">
        <f>MONTH($B2445)</f>
        <v/>
      </c>
      <c r="F2445" s="235">
        <f>($B2445+$C2445+1)/2</f>
        <v/>
      </c>
      <c r="G2445" s="201">
        <f>YEAR($B2445)*12+MONTH($B2445)-1</f>
        <v/>
      </c>
      <c r="H2445" s="207">
        <f>IF(OR(nr_SeasonOn="OFF",$D$2398=0,$E$2398=0),1,12*INDEX(se_block,$D$2398,$E2445)/$E$2398)</f>
        <v/>
      </c>
      <c r="I2445" s="208">
        <f>EXP(SUMPRODUCT((rl_eff&lt;$B2445)*(rl_key=$A$2398)*rl_ln1p))</f>
        <v/>
      </c>
      <c r="J2445" s="208">
        <f>EXP(SUMPRODUCT((rl_eff&lt;=$C2445)*(rl_key=$A$2398)*rl_ln1p))</f>
        <v/>
      </c>
      <c r="K2445" s="201">
        <f>COUNTIFS(rl_key,$A$2398,rl_eff,"&gt;="&amp;$B2445,rl_eff,"&lt;="&amp;$C2445)</f>
        <v/>
      </c>
      <c r="L2445" s="201">
        <f>SUMIFS(rl_daysafter,rl_key,$A$2398,rl_effmonth,$B2445,rl_first,1)</f>
        <v/>
      </c>
      <c r="M2445" s="209">
        <f>IF($K2445=0,0,MIN(1,$L2445/$D2445))</f>
        <v/>
      </c>
      <c r="N2445" s="208">
        <f>IF($K2445=0,$J2445,(1-$M2445)*$I2445+$M2445*$J2445)</f>
        <v/>
      </c>
      <c r="O2445" s="209">
        <f>IF($F2445&lt;$B$2399,$E$2399+$I$2399*($F2445-$A$2399),IF($F2445&lt;$C$2399,$F$2399+$J$2399*($F2445-$B$2399),$G$2399+$K$2399*($F2445-$C$2399)))</f>
        <v/>
      </c>
      <c r="P2445" s="208">
        <f>MIN(1,MAX(0,(nr_MEndPm1-$G2445+0.5)/$C$2398))-MIN(1,MAX(0,(nr_MStartPm1-1-$G2445+0.5)/$C$2398))</f>
        <v/>
      </c>
      <c r="Q2445" s="208">
        <f>MIN(1,MAX(0,(nr_MEndP-$G2445+0.5)/$C$2398))-MIN(1,MAX(0,(nr_MStartP-1-$G2445+0.5)/$C$2398))</f>
        <v/>
      </c>
      <c r="R2445" s="208">
        <f>MIN(1,MAX(0,(nr_MEndP1-$G2445+0.5)/$C$2398))-MIN(1,MAX(0,(nr_MStartP1-1-$G2445+0.5)/$C$2398))</f>
        <v/>
      </c>
      <c r="S2445" s="208">
        <f>IF($L$2398,$N2445*IF($O$2398=1,$O2445/$F$2398,1),"")</f>
        <v/>
      </c>
      <c r="T2445" s="208">
        <f>IF(NOT($L$2398),"",IF($G2445&lt;nr_MStartP,$S2445,$T2433*(1+IF($G2445&lt;nr_MStartP1,$M$2398,$N$2398))))</f>
        <v/>
      </c>
      <c r="U2445" s="208">
        <f>IF($L$2398,$T2445,$N2445)</f>
        <v/>
      </c>
    </row>
    <row r="2446">
      <c r="A2446" s="145" t="n">
        <v>46</v>
      </c>
      <c r="B2446" s="204">
        <f>EDATE($B2445,1)</f>
        <v/>
      </c>
      <c r="C2446" s="205">
        <f>EOMONTH($B2446,0)</f>
        <v/>
      </c>
      <c r="D2446" s="201">
        <f>$C2446-$B2446+1</f>
        <v/>
      </c>
      <c r="E2446" s="201">
        <f>MONTH($B2446)</f>
        <v/>
      </c>
      <c r="F2446" s="235">
        <f>($B2446+$C2446+1)/2</f>
        <v/>
      </c>
      <c r="G2446" s="201">
        <f>YEAR($B2446)*12+MONTH($B2446)-1</f>
        <v/>
      </c>
      <c r="H2446" s="207">
        <f>IF(OR(nr_SeasonOn="OFF",$D$2398=0,$E$2398=0),1,12*INDEX(se_block,$D$2398,$E2446)/$E$2398)</f>
        <v/>
      </c>
      <c r="I2446" s="208">
        <f>EXP(SUMPRODUCT((rl_eff&lt;$B2446)*(rl_key=$A$2398)*rl_ln1p))</f>
        <v/>
      </c>
      <c r="J2446" s="208">
        <f>EXP(SUMPRODUCT((rl_eff&lt;=$C2446)*(rl_key=$A$2398)*rl_ln1p))</f>
        <v/>
      </c>
      <c r="K2446" s="201">
        <f>COUNTIFS(rl_key,$A$2398,rl_eff,"&gt;="&amp;$B2446,rl_eff,"&lt;="&amp;$C2446)</f>
        <v/>
      </c>
      <c r="L2446" s="201">
        <f>SUMIFS(rl_daysafter,rl_key,$A$2398,rl_effmonth,$B2446,rl_first,1)</f>
        <v/>
      </c>
      <c r="M2446" s="209">
        <f>IF($K2446=0,0,MIN(1,$L2446/$D2446))</f>
        <v/>
      </c>
      <c r="N2446" s="208">
        <f>IF($K2446=0,$J2446,(1-$M2446)*$I2446+$M2446*$J2446)</f>
        <v/>
      </c>
      <c r="O2446" s="209">
        <f>IF($F2446&lt;$B$2399,$E$2399+$I$2399*($F2446-$A$2399),IF($F2446&lt;$C$2399,$F$2399+$J$2399*($F2446-$B$2399),$G$2399+$K$2399*($F2446-$C$2399)))</f>
        <v/>
      </c>
      <c r="P2446" s="208">
        <f>MIN(1,MAX(0,(nr_MEndPm1-$G2446+0.5)/$C$2398))-MIN(1,MAX(0,(nr_MStartPm1-1-$G2446+0.5)/$C$2398))</f>
        <v/>
      </c>
      <c r="Q2446" s="208">
        <f>MIN(1,MAX(0,(nr_MEndP-$G2446+0.5)/$C$2398))-MIN(1,MAX(0,(nr_MStartP-1-$G2446+0.5)/$C$2398))</f>
        <v/>
      </c>
      <c r="R2446" s="208">
        <f>MIN(1,MAX(0,(nr_MEndP1-$G2446+0.5)/$C$2398))-MIN(1,MAX(0,(nr_MStartP1-1-$G2446+0.5)/$C$2398))</f>
        <v/>
      </c>
      <c r="S2446" s="208">
        <f>IF($L$2398,$N2446*IF($O$2398=1,$O2446/$F$2398,1),"")</f>
        <v/>
      </c>
      <c r="T2446" s="208">
        <f>IF(NOT($L$2398),"",IF($G2446&lt;nr_MStartP,$S2446,$T2434*(1+IF($G2446&lt;nr_MStartP1,$M$2398,$N$2398))))</f>
        <v/>
      </c>
      <c r="U2446" s="208">
        <f>IF($L$2398,$T2446,$N2446)</f>
        <v/>
      </c>
    </row>
    <row r="2447">
      <c r="A2447" s="145" t="n">
        <v>47</v>
      </c>
      <c r="B2447" s="204">
        <f>EDATE($B2446,1)</f>
        <v/>
      </c>
      <c r="C2447" s="205">
        <f>EOMONTH($B2447,0)</f>
        <v/>
      </c>
      <c r="D2447" s="201">
        <f>$C2447-$B2447+1</f>
        <v/>
      </c>
      <c r="E2447" s="201">
        <f>MONTH($B2447)</f>
        <v/>
      </c>
      <c r="F2447" s="235">
        <f>($B2447+$C2447+1)/2</f>
        <v/>
      </c>
      <c r="G2447" s="201">
        <f>YEAR($B2447)*12+MONTH($B2447)-1</f>
        <v/>
      </c>
      <c r="H2447" s="207">
        <f>IF(OR(nr_SeasonOn="OFF",$D$2398=0,$E$2398=0),1,12*INDEX(se_block,$D$2398,$E2447)/$E$2398)</f>
        <v/>
      </c>
      <c r="I2447" s="208">
        <f>EXP(SUMPRODUCT((rl_eff&lt;$B2447)*(rl_key=$A$2398)*rl_ln1p))</f>
        <v/>
      </c>
      <c r="J2447" s="208">
        <f>EXP(SUMPRODUCT((rl_eff&lt;=$C2447)*(rl_key=$A$2398)*rl_ln1p))</f>
        <v/>
      </c>
      <c r="K2447" s="201">
        <f>COUNTIFS(rl_key,$A$2398,rl_eff,"&gt;="&amp;$B2447,rl_eff,"&lt;="&amp;$C2447)</f>
        <v/>
      </c>
      <c r="L2447" s="201">
        <f>SUMIFS(rl_daysafter,rl_key,$A$2398,rl_effmonth,$B2447,rl_first,1)</f>
        <v/>
      </c>
      <c r="M2447" s="209">
        <f>IF($K2447=0,0,MIN(1,$L2447/$D2447))</f>
        <v/>
      </c>
      <c r="N2447" s="208">
        <f>IF($K2447=0,$J2447,(1-$M2447)*$I2447+$M2447*$J2447)</f>
        <v/>
      </c>
      <c r="O2447" s="209">
        <f>IF($F2447&lt;$B$2399,$E$2399+$I$2399*($F2447-$A$2399),IF($F2447&lt;$C$2399,$F$2399+$J$2399*($F2447-$B$2399),$G$2399+$K$2399*($F2447-$C$2399)))</f>
        <v/>
      </c>
      <c r="P2447" s="208">
        <f>MIN(1,MAX(0,(nr_MEndPm1-$G2447+0.5)/$C$2398))-MIN(1,MAX(0,(nr_MStartPm1-1-$G2447+0.5)/$C$2398))</f>
        <v/>
      </c>
      <c r="Q2447" s="208">
        <f>MIN(1,MAX(0,(nr_MEndP-$G2447+0.5)/$C$2398))-MIN(1,MAX(0,(nr_MStartP-1-$G2447+0.5)/$C$2398))</f>
        <v/>
      </c>
      <c r="R2447" s="208">
        <f>MIN(1,MAX(0,(nr_MEndP1-$G2447+0.5)/$C$2398))-MIN(1,MAX(0,(nr_MStartP1-1-$G2447+0.5)/$C$2398))</f>
        <v/>
      </c>
      <c r="S2447" s="208">
        <f>IF($L$2398,$N2447*IF($O$2398=1,$O2447/$F$2398,1),"")</f>
        <v/>
      </c>
      <c r="T2447" s="208">
        <f>IF(NOT($L$2398),"",IF($G2447&lt;nr_MStartP,$S2447,$T2435*(1+IF($G2447&lt;nr_MStartP1,$M$2398,$N$2398))))</f>
        <v/>
      </c>
      <c r="U2447" s="208">
        <f>IF($L$2398,$T2447,$N2447)</f>
        <v/>
      </c>
    </row>
    <row r="2448">
      <c r="A2448" s="145" t="n">
        <v>48</v>
      </c>
      <c r="B2448" s="204">
        <f>EDATE($B2447,1)</f>
        <v/>
      </c>
      <c r="C2448" s="205">
        <f>EOMONTH($B2448,0)</f>
        <v/>
      </c>
      <c r="D2448" s="201">
        <f>$C2448-$B2448+1</f>
        <v/>
      </c>
      <c r="E2448" s="201">
        <f>MONTH($B2448)</f>
        <v/>
      </c>
      <c r="F2448" s="235">
        <f>($B2448+$C2448+1)/2</f>
        <v/>
      </c>
      <c r="G2448" s="201">
        <f>YEAR($B2448)*12+MONTH($B2448)-1</f>
        <v/>
      </c>
      <c r="H2448" s="207">
        <f>IF(OR(nr_SeasonOn="OFF",$D$2398=0,$E$2398=0),1,12*INDEX(se_block,$D$2398,$E2448)/$E$2398)</f>
        <v/>
      </c>
      <c r="I2448" s="208">
        <f>EXP(SUMPRODUCT((rl_eff&lt;$B2448)*(rl_key=$A$2398)*rl_ln1p))</f>
        <v/>
      </c>
      <c r="J2448" s="208">
        <f>EXP(SUMPRODUCT((rl_eff&lt;=$C2448)*(rl_key=$A$2398)*rl_ln1p))</f>
        <v/>
      </c>
      <c r="K2448" s="201">
        <f>COUNTIFS(rl_key,$A$2398,rl_eff,"&gt;="&amp;$B2448,rl_eff,"&lt;="&amp;$C2448)</f>
        <v/>
      </c>
      <c r="L2448" s="201">
        <f>SUMIFS(rl_daysafter,rl_key,$A$2398,rl_effmonth,$B2448,rl_first,1)</f>
        <v/>
      </c>
      <c r="M2448" s="209">
        <f>IF($K2448=0,0,MIN(1,$L2448/$D2448))</f>
        <v/>
      </c>
      <c r="N2448" s="208">
        <f>IF($K2448=0,$J2448,(1-$M2448)*$I2448+$M2448*$J2448)</f>
        <v/>
      </c>
      <c r="O2448" s="209">
        <f>IF($F2448&lt;$B$2399,$E$2399+$I$2399*($F2448-$A$2399),IF($F2448&lt;$C$2399,$F$2399+$J$2399*($F2448-$B$2399),$G$2399+$K$2399*($F2448-$C$2399)))</f>
        <v/>
      </c>
      <c r="P2448" s="208">
        <f>MIN(1,MAX(0,(nr_MEndPm1-$G2448+0.5)/$C$2398))-MIN(1,MAX(0,(nr_MStartPm1-1-$G2448+0.5)/$C$2398))</f>
        <v/>
      </c>
      <c r="Q2448" s="208">
        <f>MIN(1,MAX(0,(nr_MEndP-$G2448+0.5)/$C$2398))-MIN(1,MAX(0,(nr_MStartP-1-$G2448+0.5)/$C$2398))</f>
        <v/>
      </c>
      <c r="R2448" s="208">
        <f>MIN(1,MAX(0,(nr_MEndP1-$G2448+0.5)/$C$2398))-MIN(1,MAX(0,(nr_MStartP1-1-$G2448+0.5)/$C$2398))</f>
        <v/>
      </c>
      <c r="S2448" s="208">
        <f>IF($L$2398,$N2448*IF($O$2398=1,$O2448/$F$2398,1),"")</f>
        <v/>
      </c>
      <c r="T2448" s="208">
        <f>IF(NOT($L$2398),"",IF($G2448&lt;nr_MStartP,$S2448,$T2436*(1+IF($G2448&lt;nr_MStartP1,$M$2398,$N$2398))))</f>
        <v/>
      </c>
      <c r="U2448" s="208">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184">
        <f>SUMPRODUCT($H$2401:$H$2448,$Q$2401:$Q$2448,$O$2401:$O$2448)/SUMPRODUCT($H$2401:$H$2448,$Q$2401:$Q$2448)</f>
        <v/>
      </c>
      <c r="G2449" s="184">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184">
        <f>IF(N(INDEX(lr_mind,45))=0,1,INDEX(lr_mind,45))</f>
        <v/>
      </c>
      <c r="G2452" s="184">
        <f>IF(N(INDEX(lr_m0,45))=0,1,INDEX(lr_m0,45))</f>
        <v/>
      </c>
      <c r="H2452" s="73">
        <f>IF(N(INDEX(lr_m0asof,45))=0,DATE(nr_PlanYear-1,10,1),INDEX(lr_m0asof,45))</f>
        <v/>
      </c>
      <c r="I2452" s="184">
        <f>IF(N(INDEX(lr_m1,45))=0,1,INDEX(lr_m1,45))</f>
        <v/>
      </c>
      <c r="J2452" s="184">
        <f>INDEX(lr_mprior,45)</f>
        <v/>
      </c>
      <c r="K2452" s="184">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145" t="n">
        <v>1</v>
      </c>
      <c r="B2455" s="204">
        <f>DATE(nr_PlanYear-2,1,1)</f>
        <v/>
      </c>
      <c r="C2455" s="205">
        <f>EOMONTH($B2455,0)</f>
        <v/>
      </c>
      <c r="D2455" s="201">
        <f>$C2455-$B2455+1</f>
        <v/>
      </c>
      <c r="E2455" s="201">
        <f>MONTH($B2455)</f>
        <v/>
      </c>
      <c r="F2455" s="235">
        <f>($B2455+$C2455+1)/2</f>
        <v/>
      </c>
      <c r="G2455" s="201">
        <f>YEAR($B2455)*12+MONTH($B2455)-1</f>
        <v/>
      </c>
      <c r="H2455" s="207">
        <f>IF(OR(nr_SeasonOn="OFF",$D$2452=0,$E$2452=0),1,12*INDEX(se_block,$D$2452,$E2455)/$E$2452)</f>
        <v/>
      </c>
      <c r="I2455" s="208">
        <f>EXP(SUMPRODUCT((rl_eff&lt;$B2455)*(rl_key=$A$2452)*rl_ln1p))</f>
        <v/>
      </c>
      <c r="J2455" s="208">
        <f>EXP(SUMPRODUCT((rl_eff&lt;=$C2455)*(rl_key=$A$2452)*rl_ln1p))</f>
        <v/>
      </c>
      <c r="K2455" s="201">
        <f>COUNTIFS(rl_key,$A$2452,rl_eff,"&gt;="&amp;$B2455,rl_eff,"&lt;="&amp;$C2455)</f>
        <v/>
      </c>
      <c r="L2455" s="201">
        <f>SUMIFS(rl_daysafter,rl_key,$A$2452,rl_effmonth,$B2455,rl_first,1)</f>
        <v/>
      </c>
      <c r="M2455" s="209">
        <f>IF($K2455=0,0,MIN(1,$L2455/$D2455))</f>
        <v/>
      </c>
      <c r="N2455" s="208">
        <f>IF($K2455=0,$J2455,(1-$M2455)*$I2455+$M2455*$J2455)</f>
        <v/>
      </c>
      <c r="O2455" s="209">
        <f>IF($F2455&lt;$B$2453,$E$2453+$I$2453*($F2455-$A$2453),IF($F2455&lt;$C$2453,$F$2453+$J$2453*($F2455-$B$2453),$G$2453+$K$2453*($F2455-$C$2453)))</f>
        <v/>
      </c>
      <c r="P2455" s="208">
        <f>MIN(1,MAX(0,(nr_MEndPm1-$G2455+0.5)/$C$2452))-MIN(1,MAX(0,(nr_MStartPm1-1-$G2455+0.5)/$C$2452))</f>
        <v/>
      </c>
      <c r="Q2455" s="208">
        <f>MIN(1,MAX(0,(nr_MEndP-$G2455+0.5)/$C$2452))-MIN(1,MAX(0,(nr_MStartP-1-$G2455+0.5)/$C$2452))</f>
        <v/>
      </c>
      <c r="R2455" s="208">
        <f>MIN(1,MAX(0,(nr_MEndP1-$G2455+0.5)/$C$2452))-MIN(1,MAX(0,(nr_MStartP1-1-$G2455+0.5)/$C$2452))</f>
        <v/>
      </c>
      <c r="S2455" s="208">
        <f>IF($L$2452,$N2455*IF($O$2452=1,$O2455/$F$2452,1),"")</f>
        <v/>
      </c>
      <c r="T2455" s="208">
        <f>IF(NOT($L$2452),"",IF($G2455&lt;nr_MStartP,$S2455,$T2443*(1+IF($G2455&lt;nr_MStartP1,$M$2452,$N$2452))))</f>
        <v/>
      </c>
      <c r="U2455" s="208">
        <f>IF($L$2452,$T2455,$N2455)</f>
        <v/>
      </c>
    </row>
    <row r="2456">
      <c r="A2456" s="145" t="n">
        <v>2</v>
      </c>
      <c r="B2456" s="204">
        <f>EDATE($B2455,1)</f>
        <v/>
      </c>
      <c r="C2456" s="205">
        <f>EOMONTH($B2456,0)</f>
        <v/>
      </c>
      <c r="D2456" s="201">
        <f>$C2456-$B2456+1</f>
        <v/>
      </c>
      <c r="E2456" s="201">
        <f>MONTH($B2456)</f>
        <v/>
      </c>
      <c r="F2456" s="235">
        <f>($B2456+$C2456+1)/2</f>
        <v/>
      </c>
      <c r="G2456" s="201">
        <f>YEAR($B2456)*12+MONTH($B2456)-1</f>
        <v/>
      </c>
      <c r="H2456" s="207">
        <f>IF(OR(nr_SeasonOn="OFF",$D$2452=0,$E$2452=0),1,12*INDEX(se_block,$D$2452,$E2456)/$E$2452)</f>
        <v/>
      </c>
      <c r="I2456" s="208">
        <f>EXP(SUMPRODUCT((rl_eff&lt;$B2456)*(rl_key=$A$2452)*rl_ln1p))</f>
        <v/>
      </c>
      <c r="J2456" s="208">
        <f>EXP(SUMPRODUCT((rl_eff&lt;=$C2456)*(rl_key=$A$2452)*rl_ln1p))</f>
        <v/>
      </c>
      <c r="K2456" s="201">
        <f>COUNTIFS(rl_key,$A$2452,rl_eff,"&gt;="&amp;$B2456,rl_eff,"&lt;="&amp;$C2456)</f>
        <v/>
      </c>
      <c r="L2456" s="201">
        <f>SUMIFS(rl_daysafter,rl_key,$A$2452,rl_effmonth,$B2456,rl_first,1)</f>
        <v/>
      </c>
      <c r="M2456" s="209">
        <f>IF($K2456=0,0,MIN(1,$L2456/$D2456))</f>
        <v/>
      </c>
      <c r="N2456" s="208">
        <f>IF($K2456=0,$J2456,(1-$M2456)*$I2456+$M2456*$J2456)</f>
        <v/>
      </c>
      <c r="O2456" s="209">
        <f>IF($F2456&lt;$B$2453,$E$2453+$I$2453*($F2456-$A$2453),IF($F2456&lt;$C$2453,$F$2453+$J$2453*($F2456-$B$2453),$G$2453+$K$2453*($F2456-$C$2453)))</f>
        <v/>
      </c>
      <c r="P2456" s="208">
        <f>MIN(1,MAX(0,(nr_MEndPm1-$G2456+0.5)/$C$2452))-MIN(1,MAX(0,(nr_MStartPm1-1-$G2456+0.5)/$C$2452))</f>
        <v/>
      </c>
      <c r="Q2456" s="208">
        <f>MIN(1,MAX(0,(nr_MEndP-$G2456+0.5)/$C$2452))-MIN(1,MAX(0,(nr_MStartP-1-$G2456+0.5)/$C$2452))</f>
        <v/>
      </c>
      <c r="R2456" s="208">
        <f>MIN(1,MAX(0,(nr_MEndP1-$G2456+0.5)/$C$2452))-MIN(1,MAX(0,(nr_MStartP1-1-$G2456+0.5)/$C$2452))</f>
        <v/>
      </c>
      <c r="S2456" s="208">
        <f>IF($L$2452,$N2456*IF($O$2452=1,$O2456/$F$2452,1),"")</f>
        <v/>
      </c>
      <c r="T2456" s="208">
        <f>IF(NOT($L$2452),"",IF($G2456&lt;nr_MStartP,$S2456,$T2444*(1+IF($G2456&lt;nr_MStartP1,$M$2452,$N$2452))))</f>
        <v/>
      </c>
      <c r="U2456" s="208">
        <f>IF($L$2452,$T2456,$N2456)</f>
        <v/>
      </c>
    </row>
    <row r="2457">
      <c r="A2457" s="145" t="n">
        <v>3</v>
      </c>
      <c r="B2457" s="204">
        <f>EDATE($B2456,1)</f>
        <v/>
      </c>
      <c r="C2457" s="205">
        <f>EOMONTH($B2457,0)</f>
        <v/>
      </c>
      <c r="D2457" s="201">
        <f>$C2457-$B2457+1</f>
        <v/>
      </c>
      <c r="E2457" s="201">
        <f>MONTH($B2457)</f>
        <v/>
      </c>
      <c r="F2457" s="235">
        <f>($B2457+$C2457+1)/2</f>
        <v/>
      </c>
      <c r="G2457" s="201">
        <f>YEAR($B2457)*12+MONTH($B2457)-1</f>
        <v/>
      </c>
      <c r="H2457" s="207">
        <f>IF(OR(nr_SeasonOn="OFF",$D$2452=0,$E$2452=0),1,12*INDEX(se_block,$D$2452,$E2457)/$E$2452)</f>
        <v/>
      </c>
      <c r="I2457" s="208">
        <f>EXP(SUMPRODUCT((rl_eff&lt;$B2457)*(rl_key=$A$2452)*rl_ln1p))</f>
        <v/>
      </c>
      <c r="J2457" s="208">
        <f>EXP(SUMPRODUCT((rl_eff&lt;=$C2457)*(rl_key=$A$2452)*rl_ln1p))</f>
        <v/>
      </c>
      <c r="K2457" s="201">
        <f>COUNTIFS(rl_key,$A$2452,rl_eff,"&gt;="&amp;$B2457,rl_eff,"&lt;="&amp;$C2457)</f>
        <v/>
      </c>
      <c r="L2457" s="201">
        <f>SUMIFS(rl_daysafter,rl_key,$A$2452,rl_effmonth,$B2457,rl_first,1)</f>
        <v/>
      </c>
      <c r="M2457" s="209">
        <f>IF($K2457=0,0,MIN(1,$L2457/$D2457))</f>
        <v/>
      </c>
      <c r="N2457" s="208">
        <f>IF($K2457=0,$J2457,(1-$M2457)*$I2457+$M2457*$J2457)</f>
        <v/>
      </c>
      <c r="O2457" s="209">
        <f>IF($F2457&lt;$B$2453,$E$2453+$I$2453*($F2457-$A$2453),IF($F2457&lt;$C$2453,$F$2453+$J$2453*($F2457-$B$2453),$G$2453+$K$2453*($F2457-$C$2453)))</f>
        <v/>
      </c>
      <c r="P2457" s="208">
        <f>MIN(1,MAX(0,(nr_MEndPm1-$G2457+0.5)/$C$2452))-MIN(1,MAX(0,(nr_MStartPm1-1-$G2457+0.5)/$C$2452))</f>
        <v/>
      </c>
      <c r="Q2457" s="208">
        <f>MIN(1,MAX(0,(nr_MEndP-$G2457+0.5)/$C$2452))-MIN(1,MAX(0,(nr_MStartP-1-$G2457+0.5)/$C$2452))</f>
        <v/>
      </c>
      <c r="R2457" s="208">
        <f>MIN(1,MAX(0,(nr_MEndP1-$G2457+0.5)/$C$2452))-MIN(1,MAX(0,(nr_MStartP1-1-$G2457+0.5)/$C$2452))</f>
        <v/>
      </c>
      <c r="S2457" s="208">
        <f>IF($L$2452,$N2457*IF($O$2452=1,$O2457/$F$2452,1),"")</f>
        <v/>
      </c>
      <c r="T2457" s="208">
        <f>IF(NOT($L$2452),"",IF($G2457&lt;nr_MStartP,$S2457,$T2445*(1+IF($G2457&lt;nr_MStartP1,$M$2452,$N$2452))))</f>
        <v/>
      </c>
      <c r="U2457" s="208">
        <f>IF($L$2452,$T2457,$N2457)</f>
        <v/>
      </c>
    </row>
    <row r="2458">
      <c r="A2458" s="145" t="n">
        <v>4</v>
      </c>
      <c r="B2458" s="204">
        <f>EDATE($B2457,1)</f>
        <v/>
      </c>
      <c r="C2458" s="205">
        <f>EOMONTH($B2458,0)</f>
        <v/>
      </c>
      <c r="D2458" s="201">
        <f>$C2458-$B2458+1</f>
        <v/>
      </c>
      <c r="E2458" s="201">
        <f>MONTH($B2458)</f>
        <v/>
      </c>
      <c r="F2458" s="235">
        <f>($B2458+$C2458+1)/2</f>
        <v/>
      </c>
      <c r="G2458" s="201">
        <f>YEAR($B2458)*12+MONTH($B2458)-1</f>
        <v/>
      </c>
      <c r="H2458" s="207">
        <f>IF(OR(nr_SeasonOn="OFF",$D$2452=0,$E$2452=0),1,12*INDEX(se_block,$D$2452,$E2458)/$E$2452)</f>
        <v/>
      </c>
      <c r="I2458" s="208">
        <f>EXP(SUMPRODUCT((rl_eff&lt;$B2458)*(rl_key=$A$2452)*rl_ln1p))</f>
        <v/>
      </c>
      <c r="J2458" s="208">
        <f>EXP(SUMPRODUCT((rl_eff&lt;=$C2458)*(rl_key=$A$2452)*rl_ln1p))</f>
        <v/>
      </c>
      <c r="K2458" s="201">
        <f>COUNTIFS(rl_key,$A$2452,rl_eff,"&gt;="&amp;$B2458,rl_eff,"&lt;="&amp;$C2458)</f>
        <v/>
      </c>
      <c r="L2458" s="201">
        <f>SUMIFS(rl_daysafter,rl_key,$A$2452,rl_effmonth,$B2458,rl_first,1)</f>
        <v/>
      </c>
      <c r="M2458" s="209">
        <f>IF($K2458=0,0,MIN(1,$L2458/$D2458))</f>
        <v/>
      </c>
      <c r="N2458" s="208">
        <f>IF($K2458=0,$J2458,(1-$M2458)*$I2458+$M2458*$J2458)</f>
        <v/>
      </c>
      <c r="O2458" s="209">
        <f>IF($F2458&lt;$B$2453,$E$2453+$I$2453*($F2458-$A$2453),IF($F2458&lt;$C$2453,$F$2453+$J$2453*($F2458-$B$2453),$G$2453+$K$2453*($F2458-$C$2453)))</f>
        <v/>
      </c>
      <c r="P2458" s="208">
        <f>MIN(1,MAX(0,(nr_MEndPm1-$G2458+0.5)/$C$2452))-MIN(1,MAX(0,(nr_MStartPm1-1-$G2458+0.5)/$C$2452))</f>
        <v/>
      </c>
      <c r="Q2458" s="208">
        <f>MIN(1,MAX(0,(nr_MEndP-$G2458+0.5)/$C$2452))-MIN(1,MAX(0,(nr_MStartP-1-$G2458+0.5)/$C$2452))</f>
        <v/>
      </c>
      <c r="R2458" s="208">
        <f>MIN(1,MAX(0,(nr_MEndP1-$G2458+0.5)/$C$2452))-MIN(1,MAX(0,(nr_MStartP1-1-$G2458+0.5)/$C$2452))</f>
        <v/>
      </c>
      <c r="S2458" s="208">
        <f>IF($L$2452,$N2458*IF($O$2452=1,$O2458/$F$2452,1),"")</f>
        <v/>
      </c>
      <c r="T2458" s="208">
        <f>IF(NOT($L$2452),"",IF($G2458&lt;nr_MStartP,$S2458,$T2446*(1+IF($G2458&lt;nr_MStartP1,$M$2452,$N$2452))))</f>
        <v/>
      </c>
      <c r="U2458" s="208">
        <f>IF($L$2452,$T2458,$N2458)</f>
        <v/>
      </c>
    </row>
    <row r="2459">
      <c r="A2459" s="145" t="n">
        <v>5</v>
      </c>
      <c r="B2459" s="204">
        <f>EDATE($B2458,1)</f>
        <v/>
      </c>
      <c r="C2459" s="205">
        <f>EOMONTH($B2459,0)</f>
        <v/>
      </c>
      <c r="D2459" s="201">
        <f>$C2459-$B2459+1</f>
        <v/>
      </c>
      <c r="E2459" s="201">
        <f>MONTH($B2459)</f>
        <v/>
      </c>
      <c r="F2459" s="235">
        <f>($B2459+$C2459+1)/2</f>
        <v/>
      </c>
      <c r="G2459" s="201">
        <f>YEAR($B2459)*12+MONTH($B2459)-1</f>
        <v/>
      </c>
      <c r="H2459" s="207">
        <f>IF(OR(nr_SeasonOn="OFF",$D$2452=0,$E$2452=0),1,12*INDEX(se_block,$D$2452,$E2459)/$E$2452)</f>
        <v/>
      </c>
      <c r="I2459" s="208">
        <f>EXP(SUMPRODUCT((rl_eff&lt;$B2459)*(rl_key=$A$2452)*rl_ln1p))</f>
        <v/>
      </c>
      <c r="J2459" s="208">
        <f>EXP(SUMPRODUCT((rl_eff&lt;=$C2459)*(rl_key=$A$2452)*rl_ln1p))</f>
        <v/>
      </c>
      <c r="K2459" s="201">
        <f>COUNTIFS(rl_key,$A$2452,rl_eff,"&gt;="&amp;$B2459,rl_eff,"&lt;="&amp;$C2459)</f>
        <v/>
      </c>
      <c r="L2459" s="201">
        <f>SUMIFS(rl_daysafter,rl_key,$A$2452,rl_effmonth,$B2459,rl_first,1)</f>
        <v/>
      </c>
      <c r="M2459" s="209">
        <f>IF($K2459=0,0,MIN(1,$L2459/$D2459))</f>
        <v/>
      </c>
      <c r="N2459" s="208">
        <f>IF($K2459=0,$J2459,(1-$M2459)*$I2459+$M2459*$J2459)</f>
        <v/>
      </c>
      <c r="O2459" s="209">
        <f>IF($F2459&lt;$B$2453,$E$2453+$I$2453*($F2459-$A$2453),IF($F2459&lt;$C$2453,$F$2453+$J$2453*($F2459-$B$2453),$G$2453+$K$2453*($F2459-$C$2453)))</f>
        <v/>
      </c>
      <c r="P2459" s="208">
        <f>MIN(1,MAX(0,(nr_MEndPm1-$G2459+0.5)/$C$2452))-MIN(1,MAX(0,(nr_MStartPm1-1-$G2459+0.5)/$C$2452))</f>
        <v/>
      </c>
      <c r="Q2459" s="208">
        <f>MIN(1,MAX(0,(nr_MEndP-$G2459+0.5)/$C$2452))-MIN(1,MAX(0,(nr_MStartP-1-$G2459+0.5)/$C$2452))</f>
        <v/>
      </c>
      <c r="R2459" s="208">
        <f>MIN(1,MAX(0,(nr_MEndP1-$G2459+0.5)/$C$2452))-MIN(1,MAX(0,(nr_MStartP1-1-$G2459+0.5)/$C$2452))</f>
        <v/>
      </c>
      <c r="S2459" s="208">
        <f>IF($L$2452,$N2459*IF($O$2452=1,$O2459/$F$2452,1),"")</f>
        <v/>
      </c>
      <c r="T2459" s="208">
        <f>IF(NOT($L$2452),"",IF($G2459&lt;nr_MStartP,$S2459,$T2447*(1+IF($G2459&lt;nr_MStartP1,$M$2452,$N$2452))))</f>
        <v/>
      </c>
      <c r="U2459" s="208">
        <f>IF($L$2452,$T2459,$N2459)</f>
        <v/>
      </c>
    </row>
    <row r="2460">
      <c r="A2460" s="145" t="n">
        <v>6</v>
      </c>
      <c r="B2460" s="204">
        <f>EDATE($B2459,1)</f>
        <v/>
      </c>
      <c r="C2460" s="205">
        <f>EOMONTH($B2460,0)</f>
        <v/>
      </c>
      <c r="D2460" s="201">
        <f>$C2460-$B2460+1</f>
        <v/>
      </c>
      <c r="E2460" s="201">
        <f>MONTH($B2460)</f>
        <v/>
      </c>
      <c r="F2460" s="235">
        <f>($B2460+$C2460+1)/2</f>
        <v/>
      </c>
      <c r="G2460" s="201">
        <f>YEAR($B2460)*12+MONTH($B2460)-1</f>
        <v/>
      </c>
      <c r="H2460" s="207">
        <f>IF(OR(nr_SeasonOn="OFF",$D$2452=0,$E$2452=0),1,12*INDEX(se_block,$D$2452,$E2460)/$E$2452)</f>
        <v/>
      </c>
      <c r="I2460" s="208">
        <f>EXP(SUMPRODUCT((rl_eff&lt;$B2460)*(rl_key=$A$2452)*rl_ln1p))</f>
        <v/>
      </c>
      <c r="J2460" s="208">
        <f>EXP(SUMPRODUCT((rl_eff&lt;=$C2460)*(rl_key=$A$2452)*rl_ln1p))</f>
        <v/>
      </c>
      <c r="K2460" s="201">
        <f>COUNTIFS(rl_key,$A$2452,rl_eff,"&gt;="&amp;$B2460,rl_eff,"&lt;="&amp;$C2460)</f>
        <v/>
      </c>
      <c r="L2460" s="201">
        <f>SUMIFS(rl_daysafter,rl_key,$A$2452,rl_effmonth,$B2460,rl_first,1)</f>
        <v/>
      </c>
      <c r="M2460" s="209">
        <f>IF($K2460=0,0,MIN(1,$L2460/$D2460))</f>
        <v/>
      </c>
      <c r="N2460" s="208">
        <f>IF($K2460=0,$J2460,(1-$M2460)*$I2460+$M2460*$J2460)</f>
        <v/>
      </c>
      <c r="O2460" s="209">
        <f>IF($F2460&lt;$B$2453,$E$2453+$I$2453*($F2460-$A$2453),IF($F2460&lt;$C$2453,$F$2453+$J$2453*($F2460-$B$2453),$G$2453+$K$2453*($F2460-$C$2453)))</f>
        <v/>
      </c>
      <c r="P2460" s="208">
        <f>MIN(1,MAX(0,(nr_MEndPm1-$G2460+0.5)/$C$2452))-MIN(1,MAX(0,(nr_MStartPm1-1-$G2460+0.5)/$C$2452))</f>
        <v/>
      </c>
      <c r="Q2460" s="208">
        <f>MIN(1,MAX(0,(nr_MEndP-$G2460+0.5)/$C$2452))-MIN(1,MAX(0,(nr_MStartP-1-$G2460+0.5)/$C$2452))</f>
        <v/>
      </c>
      <c r="R2460" s="208">
        <f>MIN(1,MAX(0,(nr_MEndP1-$G2460+0.5)/$C$2452))-MIN(1,MAX(0,(nr_MStartP1-1-$G2460+0.5)/$C$2452))</f>
        <v/>
      </c>
      <c r="S2460" s="208">
        <f>IF($L$2452,$N2460*IF($O$2452=1,$O2460/$F$2452,1),"")</f>
        <v/>
      </c>
      <c r="T2460" s="208">
        <f>IF(NOT($L$2452),"",IF($G2460&lt;nr_MStartP,$S2460,$T2448*(1+IF($G2460&lt;nr_MStartP1,$M$2452,$N$2452))))</f>
        <v/>
      </c>
      <c r="U2460" s="208">
        <f>IF($L$2452,$T2460,$N2460)</f>
        <v/>
      </c>
    </row>
    <row r="2461">
      <c r="A2461" s="145" t="n">
        <v>7</v>
      </c>
      <c r="B2461" s="204">
        <f>EDATE($B2460,1)</f>
        <v/>
      </c>
      <c r="C2461" s="205">
        <f>EOMONTH($B2461,0)</f>
        <v/>
      </c>
      <c r="D2461" s="201">
        <f>$C2461-$B2461+1</f>
        <v/>
      </c>
      <c r="E2461" s="201">
        <f>MONTH($B2461)</f>
        <v/>
      </c>
      <c r="F2461" s="235">
        <f>($B2461+$C2461+1)/2</f>
        <v/>
      </c>
      <c r="G2461" s="201">
        <f>YEAR($B2461)*12+MONTH($B2461)-1</f>
        <v/>
      </c>
      <c r="H2461" s="207">
        <f>IF(OR(nr_SeasonOn="OFF",$D$2452=0,$E$2452=0),1,12*INDEX(se_block,$D$2452,$E2461)/$E$2452)</f>
        <v/>
      </c>
      <c r="I2461" s="208">
        <f>EXP(SUMPRODUCT((rl_eff&lt;$B2461)*(rl_key=$A$2452)*rl_ln1p))</f>
        <v/>
      </c>
      <c r="J2461" s="208">
        <f>EXP(SUMPRODUCT((rl_eff&lt;=$C2461)*(rl_key=$A$2452)*rl_ln1p))</f>
        <v/>
      </c>
      <c r="K2461" s="201">
        <f>COUNTIFS(rl_key,$A$2452,rl_eff,"&gt;="&amp;$B2461,rl_eff,"&lt;="&amp;$C2461)</f>
        <v/>
      </c>
      <c r="L2461" s="201">
        <f>SUMIFS(rl_daysafter,rl_key,$A$2452,rl_effmonth,$B2461,rl_first,1)</f>
        <v/>
      </c>
      <c r="M2461" s="209">
        <f>IF($K2461=0,0,MIN(1,$L2461/$D2461))</f>
        <v/>
      </c>
      <c r="N2461" s="208">
        <f>IF($K2461=0,$J2461,(1-$M2461)*$I2461+$M2461*$J2461)</f>
        <v/>
      </c>
      <c r="O2461" s="209">
        <f>IF($F2461&lt;$B$2453,$E$2453+$I$2453*($F2461-$A$2453),IF($F2461&lt;$C$2453,$F$2453+$J$2453*($F2461-$B$2453),$G$2453+$K$2453*($F2461-$C$2453)))</f>
        <v/>
      </c>
      <c r="P2461" s="208">
        <f>MIN(1,MAX(0,(nr_MEndPm1-$G2461+0.5)/$C$2452))-MIN(1,MAX(0,(nr_MStartPm1-1-$G2461+0.5)/$C$2452))</f>
        <v/>
      </c>
      <c r="Q2461" s="208">
        <f>MIN(1,MAX(0,(nr_MEndP-$G2461+0.5)/$C$2452))-MIN(1,MAX(0,(nr_MStartP-1-$G2461+0.5)/$C$2452))</f>
        <v/>
      </c>
      <c r="R2461" s="208">
        <f>MIN(1,MAX(0,(nr_MEndP1-$G2461+0.5)/$C$2452))-MIN(1,MAX(0,(nr_MStartP1-1-$G2461+0.5)/$C$2452))</f>
        <v/>
      </c>
      <c r="S2461" s="208">
        <f>IF($L$2452,$N2461*IF($O$2452=1,$O2461/$F$2452,1),"")</f>
        <v/>
      </c>
      <c r="T2461" s="208">
        <f>IF(NOT($L$2452),"",IF($G2461&lt;nr_MStartP,$S2461,$T2449*(1+IF($G2461&lt;nr_MStartP1,$M$2452,$N$2452))))</f>
        <v/>
      </c>
      <c r="U2461" s="208">
        <f>IF($L$2452,$T2461,$N2461)</f>
        <v/>
      </c>
    </row>
    <row r="2462">
      <c r="A2462" s="145" t="n">
        <v>8</v>
      </c>
      <c r="B2462" s="204">
        <f>EDATE($B2461,1)</f>
        <v/>
      </c>
      <c r="C2462" s="205">
        <f>EOMONTH($B2462,0)</f>
        <v/>
      </c>
      <c r="D2462" s="201">
        <f>$C2462-$B2462+1</f>
        <v/>
      </c>
      <c r="E2462" s="201">
        <f>MONTH($B2462)</f>
        <v/>
      </c>
      <c r="F2462" s="235">
        <f>($B2462+$C2462+1)/2</f>
        <v/>
      </c>
      <c r="G2462" s="201">
        <f>YEAR($B2462)*12+MONTH($B2462)-1</f>
        <v/>
      </c>
      <c r="H2462" s="207">
        <f>IF(OR(nr_SeasonOn="OFF",$D$2452=0,$E$2452=0),1,12*INDEX(se_block,$D$2452,$E2462)/$E$2452)</f>
        <v/>
      </c>
      <c r="I2462" s="208">
        <f>EXP(SUMPRODUCT((rl_eff&lt;$B2462)*(rl_key=$A$2452)*rl_ln1p))</f>
        <v/>
      </c>
      <c r="J2462" s="208">
        <f>EXP(SUMPRODUCT((rl_eff&lt;=$C2462)*(rl_key=$A$2452)*rl_ln1p))</f>
        <v/>
      </c>
      <c r="K2462" s="201">
        <f>COUNTIFS(rl_key,$A$2452,rl_eff,"&gt;="&amp;$B2462,rl_eff,"&lt;="&amp;$C2462)</f>
        <v/>
      </c>
      <c r="L2462" s="201">
        <f>SUMIFS(rl_daysafter,rl_key,$A$2452,rl_effmonth,$B2462,rl_first,1)</f>
        <v/>
      </c>
      <c r="M2462" s="209">
        <f>IF($K2462=0,0,MIN(1,$L2462/$D2462))</f>
        <v/>
      </c>
      <c r="N2462" s="208">
        <f>IF($K2462=0,$J2462,(1-$M2462)*$I2462+$M2462*$J2462)</f>
        <v/>
      </c>
      <c r="O2462" s="209">
        <f>IF($F2462&lt;$B$2453,$E$2453+$I$2453*($F2462-$A$2453),IF($F2462&lt;$C$2453,$F$2453+$J$2453*($F2462-$B$2453),$G$2453+$K$2453*($F2462-$C$2453)))</f>
        <v/>
      </c>
      <c r="P2462" s="208">
        <f>MIN(1,MAX(0,(nr_MEndPm1-$G2462+0.5)/$C$2452))-MIN(1,MAX(0,(nr_MStartPm1-1-$G2462+0.5)/$C$2452))</f>
        <v/>
      </c>
      <c r="Q2462" s="208">
        <f>MIN(1,MAX(0,(nr_MEndP-$G2462+0.5)/$C$2452))-MIN(1,MAX(0,(nr_MStartP-1-$G2462+0.5)/$C$2452))</f>
        <v/>
      </c>
      <c r="R2462" s="208">
        <f>MIN(1,MAX(0,(nr_MEndP1-$G2462+0.5)/$C$2452))-MIN(1,MAX(0,(nr_MStartP1-1-$G2462+0.5)/$C$2452))</f>
        <v/>
      </c>
      <c r="S2462" s="208">
        <f>IF($L$2452,$N2462*IF($O$2452=1,$O2462/$F$2452,1),"")</f>
        <v/>
      </c>
      <c r="T2462" s="208">
        <f>IF(NOT($L$2452),"",IF($G2462&lt;nr_MStartP,$S2462,$T2450*(1+IF($G2462&lt;nr_MStartP1,$M$2452,$N$2452))))</f>
        <v/>
      </c>
      <c r="U2462" s="208">
        <f>IF($L$2452,$T2462,$N2462)</f>
        <v/>
      </c>
    </row>
    <row r="2463">
      <c r="A2463" s="145" t="n">
        <v>9</v>
      </c>
      <c r="B2463" s="204">
        <f>EDATE($B2462,1)</f>
        <v/>
      </c>
      <c r="C2463" s="205">
        <f>EOMONTH($B2463,0)</f>
        <v/>
      </c>
      <c r="D2463" s="201">
        <f>$C2463-$B2463+1</f>
        <v/>
      </c>
      <c r="E2463" s="201">
        <f>MONTH($B2463)</f>
        <v/>
      </c>
      <c r="F2463" s="235">
        <f>($B2463+$C2463+1)/2</f>
        <v/>
      </c>
      <c r="G2463" s="201">
        <f>YEAR($B2463)*12+MONTH($B2463)-1</f>
        <v/>
      </c>
      <c r="H2463" s="207">
        <f>IF(OR(nr_SeasonOn="OFF",$D$2452=0,$E$2452=0),1,12*INDEX(se_block,$D$2452,$E2463)/$E$2452)</f>
        <v/>
      </c>
      <c r="I2463" s="208">
        <f>EXP(SUMPRODUCT((rl_eff&lt;$B2463)*(rl_key=$A$2452)*rl_ln1p))</f>
        <v/>
      </c>
      <c r="J2463" s="208">
        <f>EXP(SUMPRODUCT((rl_eff&lt;=$C2463)*(rl_key=$A$2452)*rl_ln1p))</f>
        <v/>
      </c>
      <c r="K2463" s="201">
        <f>COUNTIFS(rl_key,$A$2452,rl_eff,"&gt;="&amp;$B2463,rl_eff,"&lt;="&amp;$C2463)</f>
        <v/>
      </c>
      <c r="L2463" s="201">
        <f>SUMIFS(rl_daysafter,rl_key,$A$2452,rl_effmonth,$B2463,rl_first,1)</f>
        <v/>
      </c>
      <c r="M2463" s="209">
        <f>IF($K2463=0,0,MIN(1,$L2463/$D2463))</f>
        <v/>
      </c>
      <c r="N2463" s="208">
        <f>IF($K2463=0,$J2463,(1-$M2463)*$I2463+$M2463*$J2463)</f>
        <v/>
      </c>
      <c r="O2463" s="209">
        <f>IF($F2463&lt;$B$2453,$E$2453+$I$2453*($F2463-$A$2453),IF($F2463&lt;$C$2453,$F$2453+$J$2453*($F2463-$B$2453),$G$2453+$K$2453*($F2463-$C$2453)))</f>
        <v/>
      </c>
      <c r="P2463" s="208">
        <f>MIN(1,MAX(0,(nr_MEndPm1-$G2463+0.5)/$C$2452))-MIN(1,MAX(0,(nr_MStartPm1-1-$G2463+0.5)/$C$2452))</f>
        <v/>
      </c>
      <c r="Q2463" s="208">
        <f>MIN(1,MAX(0,(nr_MEndP-$G2463+0.5)/$C$2452))-MIN(1,MAX(0,(nr_MStartP-1-$G2463+0.5)/$C$2452))</f>
        <v/>
      </c>
      <c r="R2463" s="208">
        <f>MIN(1,MAX(0,(nr_MEndP1-$G2463+0.5)/$C$2452))-MIN(1,MAX(0,(nr_MStartP1-1-$G2463+0.5)/$C$2452))</f>
        <v/>
      </c>
      <c r="S2463" s="208">
        <f>IF($L$2452,$N2463*IF($O$2452=1,$O2463/$F$2452,1),"")</f>
        <v/>
      </c>
      <c r="T2463" s="208">
        <f>IF(NOT($L$2452),"",IF($G2463&lt;nr_MStartP,$S2463,$T2451*(1+IF($G2463&lt;nr_MStartP1,$M$2452,$N$2452))))</f>
        <v/>
      </c>
      <c r="U2463" s="208">
        <f>IF($L$2452,$T2463,$N2463)</f>
        <v/>
      </c>
    </row>
    <row r="2464">
      <c r="A2464" s="145" t="n">
        <v>10</v>
      </c>
      <c r="B2464" s="204">
        <f>EDATE($B2463,1)</f>
        <v/>
      </c>
      <c r="C2464" s="205">
        <f>EOMONTH($B2464,0)</f>
        <v/>
      </c>
      <c r="D2464" s="201">
        <f>$C2464-$B2464+1</f>
        <v/>
      </c>
      <c r="E2464" s="201">
        <f>MONTH($B2464)</f>
        <v/>
      </c>
      <c r="F2464" s="235">
        <f>($B2464+$C2464+1)/2</f>
        <v/>
      </c>
      <c r="G2464" s="201">
        <f>YEAR($B2464)*12+MONTH($B2464)-1</f>
        <v/>
      </c>
      <c r="H2464" s="207">
        <f>IF(OR(nr_SeasonOn="OFF",$D$2452=0,$E$2452=0),1,12*INDEX(se_block,$D$2452,$E2464)/$E$2452)</f>
        <v/>
      </c>
      <c r="I2464" s="208">
        <f>EXP(SUMPRODUCT((rl_eff&lt;$B2464)*(rl_key=$A$2452)*rl_ln1p))</f>
        <v/>
      </c>
      <c r="J2464" s="208">
        <f>EXP(SUMPRODUCT((rl_eff&lt;=$C2464)*(rl_key=$A$2452)*rl_ln1p))</f>
        <v/>
      </c>
      <c r="K2464" s="201">
        <f>COUNTIFS(rl_key,$A$2452,rl_eff,"&gt;="&amp;$B2464,rl_eff,"&lt;="&amp;$C2464)</f>
        <v/>
      </c>
      <c r="L2464" s="201">
        <f>SUMIFS(rl_daysafter,rl_key,$A$2452,rl_effmonth,$B2464,rl_first,1)</f>
        <v/>
      </c>
      <c r="M2464" s="209">
        <f>IF($K2464=0,0,MIN(1,$L2464/$D2464))</f>
        <v/>
      </c>
      <c r="N2464" s="208">
        <f>IF($K2464=0,$J2464,(1-$M2464)*$I2464+$M2464*$J2464)</f>
        <v/>
      </c>
      <c r="O2464" s="209">
        <f>IF($F2464&lt;$B$2453,$E$2453+$I$2453*($F2464-$A$2453),IF($F2464&lt;$C$2453,$F$2453+$J$2453*($F2464-$B$2453),$G$2453+$K$2453*($F2464-$C$2453)))</f>
        <v/>
      </c>
      <c r="P2464" s="208">
        <f>MIN(1,MAX(0,(nr_MEndPm1-$G2464+0.5)/$C$2452))-MIN(1,MAX(0,(nr_MStartPm1-1-$G2464+0.5)/$C$2452))</f>
        <v/>
      </c>
      <c r="Q2464" s="208">
        <f>MIN(1,MAX(0,(nr_MEndP-$G2464+0.5)/$C$2452))-MIN(1,MAX(0,(nr_MStartP-1-$G2464+0.5)/$C$2452))</f>
        <v/>
      </c>
      <c r="R2464" s="208">
        <f>MIN(1,MAX(0,(nr_MEndP1-$G2464+0.5)/$C$2452))-MIN(1,MAX(0,(nr_MStartP1-1-$G2464+0.5)/$C$2452))</f>
        <v/>
      </c>
      <c r="S2464" s="208">
        <f>IF($L$2452,$N2464*IF($O$2452=1,$O2464/$F$2452,1),"")</f>
        <v/>
      </c>
      <c r="T2464" s="208">
        <f>IF(NOT($L$2452),"",IF($G2464&lt;nr_MStartP,$S2464,$T2452*(1+IF($G2464&lt;nr_MStartP1,$M$2452,$N$2452))))</f>
        <v/>
      </c>
      <c r="U2464" s="208">
        <f>IF($L$2452,$T2464,$N2464)</f>
        <v/>
      </c>
    </row>
    <row r="2465">
      <c r="A2465" s="145" t="n">
        <v>11</v>
      </c>
      <c r="B2465" s="204">
        <f>EDATE($B2464,1)</f>
        <v/>
      </c>
      <c r="C2465" s="205">
        <f>EOMONTH($B2465,0)</f>
        <v/>
      </c>
      <c r="D2465" s="201">
        <f>$C2465-$B2465+1</f>
        <v/>
      </c>
      <c r="E2465" s="201">
        <f>MONTH($B2465)</f>
        <v/>
      </c>
      <c r="F2465" s="235">
        <f>($B2465+$C2465+1)/2</f>
        <v/>
      </c>
      <c r="G2465" s="201">
        <f>YEAR($B2465)*12+MONTH($B2465)-1</f>
        <v/>
      </c>
      <c r="H2465" s="207">
        <f>IF(OR(nr_SeasonOn="OFF",$D$2452=0,$E$2452=0),1,12*INDEX(se_block,$D$2452,$E2465)/$E$2452)</f>
        <v/>
      </c>
      <c r="I2465" s="208">
        <f>EXP(SUMPRODUCT((rl_eff&lt;$B2465)*(rl_key=$A$2452)*rl_ln1p))</f>
        <v/>
      </c>
      <c r="J2465" s="208">
        <f>EXP(SUMPRODUCT((rl_eff&lt;=$C2465)*(rl_key=$A$2452)*rl_ln1p))</f>
        <v/>
      </c>
      <c r="K2465" s="201">
        <f>COUNTIFS(rl_key,$A$2452,rl_eff,"&gt;="&amp;$B2465,rl_eff,"&lt;="&amp;$C2465)</f>
        <v/>
      </c>
      <c r="L2465" s="201">
        <f>SUMIFS(rl_daysafter,rl_key,$A$2452,rl_effmonth,$B2465,rl_first,1)</f>
        <v/>
      </c>
      <c r="M2465" s="209">
        <f>IF($K2465=0,0,MIN(1,$L2465/$D2465))</f>
        <v/>
      </c>
      <c r="N2465" s="208">
        <f>IF($K2465=0,$J2465,(1-$M2465)*$I2465+$M2465*$J2465)</f>
        <v/>
      </c>
      <c r="O2465" s="209">
        <f>IF($F2465&lt;$B$2453,$E$2453+$I$2453*($F2465-$A$2453),IF($F2465&lt;$C$2453,$F$2453+$J$2453*($F2465-$B$2453),$G$2453+$K$2453*($F2465-$C$2453)))</f>
        <v/>
      </c>
      <c r="P2465" s="208">
        <f>MIN(1,MAX(0,(nr_MEndPm1-$G2465+0.5)/$C$2452))-MIN(1,MAX(0,(nr_MStartPm1-1-$G2465+0.5)/$C$2452))</f>
        <v/>
      </c>
      <c r="Q2465" s="208">
        <f>MIN(1,MAX(0,(nr_MEndP-$G2465+0.5)/$C$2452))-MIN(1,MAX(0,(nr_MStartP-1-$G2465+0.5)/$C$2452))</f>
        <v/>
      </c>
      <c r="R2465" s="208">
        <f>MIN(1,MAX(0,(nr_MEndP1-$G2465+0.5)/$C$2452))-MIN(1,MAX(0,(nr_MStartP1-1-$G2465+0.5)/$C$2452))</f>
        <v/>
      </c>
      <c r="S2465" s="208">
        <f>IF($L$2452,$N2465*IF($O$2452=1,$O2465/$F$2452,1),"")</f>
        <v/>
      </c>
      <c r="T2465" s="208">
        <f>IF(NOT($L$2452),"",IF($G2465&lt;nr_MStartP,$S2465,$T2453*(1+IF($G2465&lt;nr_MStartP1,$M$2452,$N$2452))))</f>
        <v/>
      </c>
      <c r="U2465" s="208">
        <f>IF($L$2452,$T2465,$N2465)</f>
        <v/>
      </c>
    </row>
    <row r="2466">
      <c r="A2466" s="145" t="n">
        <v>12</v>
      </c>
      <c r="B2466" s="204">
        <f>EDATE($B2465,1)</f>
        <v/>
      </c>
      <c r="C2466" s="205">
        <f>EOMONTH($B2466,0)</f>
        <v/>
      </c>
      <c r="D2466" s="201">
        <f>$C2466-$B2466+1</f>
        <v/>
      </c>
      <c r="E2466" s="201">
        <f>MONTH($B2466)</f>
        <v/>
      </c>
      <c r="F2466" s="235">
        <f>($B2466+$C2466+1)/2</f>
        <v/>
      </c>
      <c r="G2466" s="201">
        <f>YEAR($B2466)*12+MONTH($B2466)-1</f>
        <v/>
      </c>
      <c r="H2466" s="207">
        <f>IF(OR(nr_SeasonOn="OFF",$D$2452=0,$E$2452=0),1,12*INDEX(se_block,$D$2452,$E2466)/$E$2452)</f>
        <v/>
      </c>
      <c r="I2466" s="208">
        <f>EXP(SUMPRODUCT((rl_eff&lt;$B2466)*(rl_key=$A$2452)*rl_ln1p))</f>
        <v/>
      </c>
      <c r="J2466" s="208">
        <f>EXP(SUMPRODUCT((rl_eff&lt;=$C2466)*(rl_key=$A$2452)*rl_ln1p))</f>
        <v/>
      </c>
      <c r="K2466" s="201">
        <f>COUNTIFS(rl_key,$A$2452,rl_eff,"&gt;="&amp;$B2466,rl_eff,"&lt;="&amp;$C2466)</f>
        <v/>
      </c>
      <c r="L2466" s="201">
        <f>SUMIFS(rl_daysafter,rl_key,$A$2452,rl_effmonth,$B2466,rl_first,1)</f>
        <v/>
      </c>
      <c r="M2466" s="209">
        <f>IF($K2466=0,0,MIN(1,$L2466/$D2466))</f>
        <v/>
      </c>
      <c r="N2466" s="208">
        <f>IF($K2466=0,$J2466,(1-$M2466)*$I2466+$M2466*$J2466)</f>
        <v/>
      </c>
      <c r="O2466" s="209">
        <f>IF($F2466&lt;$B$2453,$E$2453+$I$2453*($F2466-$A$2453),IF($F2466&lt;$C$2453,$F$2453+$J$2453*($F2466-$B$2453),$G$2453+$K$2453*($F2466-$C$2453)))</f>
        <v/>
      </c>
      <c r="P2466" s="208">
        <f>MIN(1,MAX(0,(nr_MEndPm1-$G2466+0.5)/$C$2452))-MIN(1,MAX(0,(nr_MStartPm1-1-$G2466+0.5)/$C$2452))</f>
        <v/>
      </c>
      <c r="Q2466" s="208">
        <f>MIN(1,MAX(0,(nr_MEndP-$G2466+0.5)/$C$2452))-MIN(1,MAX(0,(nr_MStartP-1-$G2466+0.5)/$C$2452))</f>
        <v/>
      </c>
      <c r="R2466" s="208">
        <f>MIN(1,MAX(0,(nr_MEndP1-$G2466+0.5)/$C$2452))-MIN(1,MAX(0,(nr_MStartP1-1-$G2466+0.5)/$C$2452))</f>
        <v/>
      </c>
      <c r="S2466" s="208">
        <f>IF($L$2452,$N2466*IF($O$2452=1,$O2466/$F$2452,1),"")</f>
        <v/>
      </c>
      <c r="T2466" s="208">
        <f>IF(NOT($L$2452),"",IF($G2466&lt;nr_MStartP,$S2466,$T2454*(1+IF($G2466&lt;nr_MStartP1,$M$2452,$N$2452))))</f>
        <v/>
      </c>
      <c r="U2466" s="208">
        <f>IF($L$2452,$T2466,$N2466)</f>
        <v/>
      </c>
    </row>
    <row r="2467">
      <c r="A2467" s="145" t="n">
        <v>13</v>
      </c>
      <c r="B2467" s="204">
        <f>EDATE($B2466,1)</f>
        <v/>
      </c>
      <c r="C2467" s="205">
        <f>EOMONTH($B2467,0)</f>
        <v/>
      </c>
      <c r="D2467" s="201">
        <f>$C2467-$B2467+1</f>
        <v/>
      </c>
      <c r="E2467" s="201">
        <f>MONTH($B2467)</f>
        <v/>
      </c>
      <c r="F2467" s="235">
        <f>($B2467+$C2467+1)/2</f>
        <v/>
      </c>
      <c r="G2467" s="201">
        <f>YEAR($B2467)*12+MONTH($B2467)-1</f>
        <v/>
      </c>
      <c r="H2467" s="207">
        <f>IF(OR(nr_SeasonOn="OFF",$D$2452=0,$E$2452=0),1,12*INDEX(se_block,$D$2452,$E2467)/$E$2452)</f>
        <v/>
      </c>
      <c r="I2467" s="208">
        <f>EXP(SUMPRODUCT((rl_eff&lt;$B2467)*(rl_key=$A$2452)*rl_ln1p))</f>
        <v/>
      </c>
      <c r="J2467" s="208">
        <f>EXP(SUMPRODUCT((rl_eff&lt;=$C2467)*(rl_key=$A$2452)*rl_ln1p))</f>
        <v/>
      </c>
      <c r="K2467" s="201">
        <f>COUNTIFS(rl_key,$A$2452,rl_eff,"&gt;="&amp;$B2467,rl_eff,"&lt;="&amp;$C2467)</f>
        <v/>
      </c>
      <c r="L2467" s="201">
        <f>SUMIFS(rl_daysafter,rl_key,$A$2452,rl_effmonth,$B2467,rl_first,1)</f>
        <v/>
      </c>
      <c r="M2467" s="209">
        <f>IF($K2467=0,0,MIN(1,$L2467/$D2467))</f>
        <v/>
      </c>
      <c r="N2467" s="208">
        <f>IF($K2467=0,$J2467,(1-$M2467)*$I2467+$M2467*$J2467)</f>
        <v/>
      </c>
      <c r="O2467" s="209">
        <f>IF($F2467&lt;$B$2453,$E$2453+$I$2453*($F2467-$A$2453),IF($F2467&lt;$C$2453,$F$2453+$J$2453*($F2467-$B$2453),$G$2453+$K$2453*($F2467-$C$2453)))</f>
        <v/>
      </c>
      <c r="P2467" s="208">
        <f>MIN(1,MAX(0,(nr_MEndPm1-$G2467+0.5)/$C$2452))-MIN(1,MAX(0,(nr_MStartPm1-1-$G2467+0.5)/$C$2452))</f>
        <v/>
      </c>
      <c r="Q2467" s="208">
        <f>MIN(1,MAX(0,(nr_MEndP-$G2467+0.5)/$C$2452))-MIN(1,MAX(0,(nr_MStartP-1-$G2467+0.5)/$C$2452))</f>
        <v/>
      </c>
      <c r="R2467" s="208">
        <f>MIN(1,MAX(0,(nr_MEndP1-$G2467+0.5)/$C$2452))-MIN(1,MAX(0,(nr_MStartP1-1-$G2467+0.5)/$C$2452))</f>
        <v/>
      </c>
      <c r="S2467" s="208">
        <f>IF($L$2452,$N2467*IF($O$2452=1,$O2467/$F$2452,1),"")</f>
        <v/>
      </c>
      <c r="T2467" s="208">
        <f>IF(NOT($L$2452),"",IF($G2467&lt;nr_MStartP,$S2467,$T2455*(1+IF($G2467&lt;nr_MStartP1,$M$2452,$N$2452))))</f>
        <v/>
      </c>
      <c r="U2467" s="208">
        <f>IF($L$2452,$T2467,$N2467)</f>
        <v/>
      </c>
    </row>
    <row r="2468">
      <c r="A2468" s="145" t="n">
        <v>14</v>
      </c>
      <c r="B2468" s="204">
        <f>EDATE($B2467,1)</f>
        <v/>
      </c>
      <c r="C2468" s="205">
        <f>EOMONTH($B2468,0)</f>
        <v/>
      </c>
      <c r="D2468" s="201">
        <f>$C2468-$B2468+1</f>
        <v/>
      </c>
      <c r="E2468" s="201">
        <f>MONTH($B2468)</f>
        <v/>
      </c>
      <c r="F2468" s="235">
        <f>($B2468+$C2468+1)/2</f>
        <v/>
      </c>
      <c r="G2468" s="201">
        <f>YEAR($B2468)*12+MONTH($B2468)-1</f>
        <v/>
      </c>
      <c r="H2468" s="207">
        <f>IF(OR(nr_SeasonOn="OFF",$D$2452=0,$E$2452=0),1,12*INDEX(se_block,$D$2452,$E2468)/$E$2452)</f>
        <v/>
      </c>
      <c r="I2468" s="208">
        <f>EXP(SUMPRODUCT((rl_eff&lt;$B2468)*(rl_key=$A$2452)*rl_ln1p))</f>
        <v/>
      </c>
      <c r="J2468" s="208">
        <f>EXP(SUMPRODUCT((rl_eff&lt;=$C2468)*(rl_key=$A$2452)*rl_ln1p))</f>
        <v/>
      </c>
      <c r="K2468" s="201">
        <f>COUNTIFS(rl_key,$A$2452,rl_eff,"&gt;="&amp;$B2468,rl_eff,"&lt;="&amp;$C2468)</f>
        <v/>
      </c>
      <c r="L2468" s="201">
        <f>SUMIFS(rl_daysafter,rl_key,$A$2452,rl_effmonth,$B2468,rl_first,1)</f>
        <v/>
      </c>
      <c r="M2468" s="209">
        <f>IF($K2468=0,0,MIN(1,$L2468/$D2468))</f>
        <v/>
      </c>
      <c r="N2468" s="208">
        <f>IF($K2468=0,$J2468,(1-$M2468)*$I2468+$M2468*$J2468)</f>
        <v/>
      </c>
      <c r="O2468" s="209">
        <f>IF($F2468&lt;$B$2453,$E$2453+$I$2453*($F2468-$A$2453),IF($F2468&lt;$C$2453,$F$2453+$J$2453*($F2468-$B$2453),$G$2453+$K$2453*($F2468-$C$2453)))</f>
        <v/>
      </c>
      <c r="P2468" s="208">
        <f>MIN(1,MAX(0,(nr_MEndPm1-$G2468+0.5)/$C$2452))-MIN(1,MAX(0,(nr_MStartPm1-1-$G2468+0.5)/$C$2452))</f>
        <v/>
      </c>
      <c r="Q2468" s="208">
        <f>MIN(1,MAX(0,(nr_MEndP-$G2468+0.5)/$C$2452))-MIN(1,MAX(0,(nr_MStartP-1-$G2468+0.5)/$C$2452))</f>
        <v/>
      </c>
      <c r="R2468" s="208">
        <f>MIN(1,MAX(0,(nr_MEndP1-$G2468+0.5)/$C$2452))-MIN(1,MAX(0,(nr_MStartP1-1-$G2468+0.5)/$C$2452))</f>
        <v/>
      </c>
      <c r="S2468" s="208">
        <f>IF($L$2452,$N2468*IF($O$2452=1,$O2468/$F$2452,1),"")</f>
        <v/>
      </c>
      <c r="T2468" s="208">
        <f>IF(NOT($L$2452),"",IF($G2468&lt;nr_MStartP,$S2468,$T2456*(1+IF($G2468&lt;nr_MStartP1,$M$2452,$N$2452))))</f>
        <v/>
      </c>
      <c r="U2468" s="208">
        <f>IF($L$2452,$T2468,$N2468)</f>
        <v/>
      </c>
    </row>
    <row r="2469">
      <c r="A2469" s="145" t="n">
        <v>15</v>
      </c>
      <c r="B2469" s="204">
        <f>EDATE($B2468,1)</f>
        <v/>
      </c>
      <c r="C2469" s="205">
        <f>EOMONTH($B2469,0)</f>
        <v/>
      </c>
      <c r="D2469" s="201">
        <f>$C2469-$B2469+1</f>
        <v/>
      </c>
      <c r="E2469" s="201">
        <f>MONTH($B2469)</f>
        <v/>
      </c>
      <c r="F2469" s="235">
        <f>($B2469+$C2469+1)/2</f>
        <v/>
      </c>
      <c r="G2469" s="201">
        <f>YEAR($B2469)*12+MONTH($B2469)-1</f>
        <v/>
      </c>
      <c r="H2469" s="207">
        <f>IF(OR(nr_SeasonOn="OFF",$D$2452=0,$E$2452=0),1,12*INDEX(se_block,$D$2452,$E2469)/$E$2452)</f>
        <v/>
      </c>
      <c r="I2469" s="208">
        <f>EXP(SUMPRODUCT((rl_eff&lt;$B2469)*(rl_key=$A$2452)*rl_ln1p))</f>
        <v/>
      </c>
      <c r="J2469" s="208">
        <f>EXP(SUMPRODUCT((rl_eff&lt;=$C2469)*(rl_key=$A$2452)*rl_ln1p))</f>
        <v/>
      </c>
      <c r="K2469" s="201">
        <f>COUNTIFS(rl_key,$A$2452,rl_eff,"&gt;="&amp;$B2469,rl_eff,"&lt;="&amp;$C2469)</f>
        <v/>
      </c>
      <c r="L2469" s="201">
        <f>SUMIFS(rl_daysafter,rl_key,$A$2452,rl_effmonth,$B2469,rl_first,1)</f>
        <v/>
      </c>
      <c r="M2469" s="209">
        <f>IF($K2469=0,0,MIN(1,$L2469/$D2469))</f>
        <v/>
      </c>
      <c r="N2469" s="208">
        <f>IF($K2469=0,$J2469,(1-$M2469)*$I2469+$M2469*$J2469)</f>
        <v/>
      </c>
      <c r="O2469" s="209">
        <f>IF($F2469&lt;$B$2453,$E$2453+$I$2453*($F2469-$A$2453),IF($F2469&lt;$C$2453,$F$2453+$J$2453*($F2469-$B$2453),$G$2453+$K$2453*($F2469-$C$2453)))</f>
        <v/>
      </c>
      <c r="P2469" s="208">
        <f>MIN(1,MAX(0,(nr_MEndPm1-$G2469+0.5)/$C$2452))-MIN(1,MAX(0,(nr_MStartPm1-1-$G2469+0.5)/$C$2452))</f>
        <v/>
      </c>
      <c r="Q2469" s="208">
        <f>MIN(1,MAX(0,(nr_MEndP-$G2469+0.5)/$C$2452))-MIN(1,MAX(0,(nr_MStartP-1-$G2469+0.5)/$C$2452))</f>
        <v/>
      </c>
      <c r="R2469" s="208">
        <f>MIN(1,MAX(0,(nr_MEndP1-$G2469+0.5)/$C$2452))-MIN(1,MAX(0,(nr_MStartP1-1-$G2469+0.5)/$C$2452))</f>
        <v/>
      </c>
      <c r="S2469" s="208">
        <f>IF($L$2452,$N2469*IF($O$2452=1,$O2469/$F$2452,1),"")</f>
        <v/>
      </c>
      <c r="T2469" s="208">
        <f>IF(NOT($L$2452),"",IF($G2469&lt;nr_MStartP,$S2469,$T2457*(1+IF($G2469&lt;nr_MStartP1,$M$2452,$N$2452))))</f>
        <v/>
      </c>
      <c r="U2469" s="208">
        <f>IF($L$2452,$T2469,$N2469)</f>
        <v/>
      </c>
    </row>
    <row r="2470">
      <c r="A2470" s="145" t="n">
        <v>16</v>
      </c>
      <c r="B2470" s="204">
        <f>EDATE($B2469,1)</f>
        <v/>
      </c>
      <c r="C2470" s="205">
        <f>EOMONTH($B2470,0)</f>
        <v/>
      </c>
      <c r="D2470" s="201">
        <f>$C2470-$B2470+1</f>
        <v/>
      </c>
      <c r="E2470" s="201">
        <f>MONTH($B2470)</f>
        <v/>
      </c>
      <c r="F2470" s="235">
        <f>($B2470+$C2470+1)/2</f>
        <v/>
      </c>
      <c r="G2470" s="201">
        <f>YEAR($B2470)*12+MONTH($B2470)-1</f>
        <v/>
      </c>
      <c r="H2470" s="207">
        <f>IF(OR(nr_SeasonOn="OFF",$D$2452=0,$E$2452=0),1,12*INDEX(se_block,$D$2452,$E2470)/$E$2452)</f>
        <v/>
      </c>
      <c r="I2470" s="208">
        <f>EXP(SUMPRODUCT((rl_eff&lt;$B2470)*(rl_key=$A$2452)*rl_ln1p))</f>
        <v/>
      </c>
      <c r="J2470" s="208">
        <f>EXP(SUMPRODUCT((rl_eff&lt;=$C2470)*(rl_key=$A$2452)*rl_ln1p))</f>
        <v/>
      </c>
      <c r="K2470" s="201">
        <f>COUNTIFS(rl_key,$A$2452,rl_eff,"&gt;="&amp;$B2470,rl_eff,"&lt;="&amp;$C2470)</f>
        <v/>
      </c>
      <c r="L2470" s="201">
        <f>SUMIFS(rl_daysafter,rl_key,$A$2452,rl_effmonth,$B2470,rl_first,1)</f>
        <v/>
      </c>
      <c r="M2470" s="209">
        <f>IF($K2470=0,0,MIN(1,$L2470/$D2470))</f>
        <v/>
      </c>
      <c r="N2470" s="208">
        <f>IF($K2470=0,$J2470,(1-$M2470)*$I2470+$M2470*$J2470)</f>
        <v/>
      </c>
      <c r="O2470" s="209">
        <f>IF($F2470&lt;$B$2453,$E$2453+$I$2453*($F2470-$A$2453),IF($F2470&lt;$C$2453,$F$2453+$J$2453*($F2470-$B$2453),$G$2453+$K$2453*($F2470-$C$2453)))</f>
        <v/>
      </c>
      <c r="P2470" s="208">
        <f>MIN(1,MAX(0,(nr_MEndPm1-$G2470+0.5)/$C$2452))-MIN(1,MAX(0,(nr_MStartPm1-1-$G2470+0.5)/$C$2452))</f>
        <v/>
      </c>
      <c r="Q2470" s="208">
        <f>MIN(1,MAX(0,(nr_MEndP-$G2470+0.5)/$C$2452))-MIN(1,MAX(0,(nr_MStartP-1-$G2470+0.5)/$C$2452))</f>
        <v/>
      </c>
      <c r="R2470" s="208">
        <f>MIN(1,MAX(0,(nr_MEndP1-$G2470+0.5)/$C$2452))-MIN(1,MAX(0,(nr_MStartP1-1-$G2470+0.5)/$C$2452))</f>
        <v/>
      </c>
      <c r="S2470" s="208">
        <f>IF($L$2452,$N2470*IF($O$2452=1,$O2470/$F$2452,1),"")</f>
        <v/>
      </c>
      <c r="T2470" s="208">
        <f>IF(NOT($L$2452),"",IF($G2470&lt;nr_MStartP,$S2470,$T2458*(1+IF($G2470&lt;nr_MStartP1,$M$2452,$N$2452))))</f>
        <v/>
      </c>
      <c r="U2470" s="208">
        <f>IF($L$2452,$T2470,$N2470)</f>
        <v/>
      </c>
    </row>
    <row r="2471">
      <c r="A2471" s="145" t="n">
        <v>17</v>
      </c>
      <c r="B2471" s="204">
        <f>EDATE($B2470,1)</f>
        <v/>
      </c>
      <c r="C2471" s="205">
        <f>EOMONTH($B2471,0)</f>
        <v/>
      </c>
      <c r="D2471" s="201">
        <f>$C2471-$B2471+1</f>
        <v/>
      </c>
      <c r="E2471" s="201">
        <f>MONTH($B2471)</f>
        <v/>
      </c>
      <c r="F2471" s="235">
        <f>($B2471+$C2471+1)/2</f>
        <v/>
      </c>
      <c r="G2471" s="201">
        <f>YEAR($B2471)*12+MONTH($B2471)-1</f>
        <v/>
      </c>
      <c r="H2471" s="207">
        <f>IF(OR(nr_SeasonOn="OFF",$D$2452=0,$E$2452=0),1,12*INDEX(se_block,$D$2452,$E2471)/$E$2452)</f>
        <v/>
      </c>
      <c r="I2471" s="208">
        <f>EXP(SUMPRODUCT((rl_eff&lt;$B2471)*(rl_key=$A$2452)*rl_ln1p))</f>
        <v/>
      </c>
      <c r="J2471" s="208">
        <f>EXP(SUMPRODUCT((rl_eff&lt;=$C2471)*(rl_key=$A$2452)*rl_ln1p))</f>
        <v/>
      </c>
      <c r="K2471" s="201">
        <f>COUNTIFS(rl_key,$A$2452,rl_eff,"&gt;="&amp;$B2471,rl_eff,"&lt;="&amp;$C2471)</f>
        <v/>
      </c>
      <c r="L2471" s="201">
        <f>SUMIFS(rl_daysafter,rl_key,$A$2452,rl_effmonth,$B2471,rl_first,1)</f>
        <v/>
      </c>
      <c r="M2471" s="209">
        <f>IF($K2471=0,0,MIN(1,$L2471/$D2471))</f>
        <v/>
      </c>
      <c r="N2471" s="208">
        <f>IF($K2471=0,$J2471,(1-$M2471)*$I2471+$M2471*$J2471)</f>
        <v/>
      </c>
      <c r="O2471" s="209">
        <f>IF($F2471&lt;$B$2453,$E$2453+$I$2453*($F2471-$A$2453),IF($F2471&lt;$C$2453,$F$2453+$J$2453*($F2471-$B$2453),$G$2453+$K$2453*($F2471-$C$2453)))</f>
        <v/>
      </c>
      <c r="P2471" s="208">
        <f>MIN(1,MAX(0,(nr_MEndPm1-$G2471+0.5)/$C$2452))-MIN(1,MAX(0,(nr_MStartPm1-1-$G2471+0.5)/$C$2452))</f>
        <v/>
      </c>
      <c r="Q2471" s="208">
        <f>MIN(1,MAX(0,(nr_MEndP-$G2471+0.5)/$C$2452))-MIN(1,MAX(0,(nr_MStartP-1-$G2471+0.5)/$C$2452))</f>
        <v/>
      </c>
      <c r="R2471" s="208">
        <f>MIN(1,MAX(0,(nr_MEndP1-$G2471+0.5)/$C$2452))-MIN(1,MAX(0,(nr_MStartP1-1-$G2471+0.5)/$C$2452))</f>
        <v/>
      </c>
      <c r="S2471" s="208">
        <f>IF($L$2452,$N2471*IF($O$2452=1,$O2471/$F$2452,1),"")</f>
        <v/>
      </c>
      <c r="T2471" s="208">
        <f>IF(NOT($L$2452),"",IF($G2471&lt;nr_MStartP,$S2471,$T2459*(1+IF($G2471&lt;nr_MStartP1,$M$2452,$N$2452))))</f>
        <v/>
      </c>
      <c r="U2471" s="208">
        <f>IF($L$2452,$T2471,$N2471)</f>
        <v/>
      </c>
    </row>
    <row r="2472">
      <c r="A2472" s="145" t="n">
        <v>18</v>
      </c>
      <c r="B2472" s="204">
        <f>EDATE($B2471,1)</f>
        <v/>
      </c>
      <c r="C2472" s="205">
        <f>EOMONTH($B2472,0)</f>
        <v/>
      </c>
      <c r="D2472" s="201">
        <f>$C2472-$B2472+1</f>
        <v/>
      </c>
      <c r="E2472" s="201">
        <f>MONTH($B2472)</f>
        <v/>
      </c>
      <c r="F2472" s="235">
        <f>($B2472+$C2472+1)/2</f>
        <v/>
      </c>
      <c r="G2472" s="201">
        <f>YEAR($B2472)*12+MONTH($B2472)-1</f>
        <v/>
      </c>
      <c r="H2472" s="207">
        <f>IF(OR(nr_SeasonOn="OFF",$D$2452=0,$E$2452=0),1,12*INDEX(se_block,$D$2452,$E2472)/$E$2452)</f>
        <v/>
      </c>
      <c r="I2472" s="208">
        <f>EXP(SUMPRODUCT((rl_eff&lt;$B2472)*(rl_key=$A$2452)*rl_ln1p))</f>
        <v/>
      </c>
      <c r="J2472" s="208">
        <f>EXP(SUMPRODUCT((rl_eff&lt;=$C2472)*(rl_key=$A$2452)*rl_ln1p))</f>
        <v/>
      </c>
      <c r="K2472" s="201">
        <f>COUNTIFS(rl_key,$A$2452,rl_eff,"&gt;="&amp;$B2472,rl_eff,"&lt;="&amp;$C2472)</f>
        <v/>
      </c>
      <c r="L2472" s="201">
        <f>SUMIFS(rl_daysafter,rl_key,$A$2452,rl_effmonth,$B2472,rl_first,1)</f>
        <v/>
      </c>
      <c r="M2472" s="209">
        <f>IF($K2472=0,0,MIN(1,$L2472/$D2472))</f>
        <v/>
      </c>
      <c r="N2472" s="208">
        <f>IF($K2472=0,$J2472,(1-$M2472)*$I2472+$M2472*$J2472)</f>
        <v/>
      </c>
      <c r="O2472" s="209">
        <f>IF($F2472&lt;$B$2453,$E$2453+$I$2453*($F2472-$A$2453),IF($F2472&lt;$C$2453,$F$2453+$J$2453*($F2472-$B$2453),$G$2453+$K$2453*($F2472-$C$2453)))</f>
        <v/>
      </c>
      <c r="P2472" s="208">
        <f>MIN(1,MAX(0,(nr_MEndPm1-$G2472+0.5)/$C$2452))-MIN(1,MAX(0,(nr_MStartPm1-1-$G2472+0.5)/$C$2452))</f>
        <v/>
      </c>
      <c r="Q2472" s="208">
        <f>MIN(1,MAX(0,(nr_MEndP-$G2472+0.5)/$C$2452))-MIN(1,MAX(0,(nr_MStartP-1-$G2472+0.5)/$C$2452))</f>
        <v/>
      </c>
      <c r="R2472" s="208">
        <f>MIN(1,MAX(0,(nr_MEndP1-$G2472+0.5)/$C$2452))-MIN(1,MAX(0,(nr_MStartP1-1-$G2472+0.5)/$C$2452))</f>
        <v/>
      </c>
      <c r="S2472" s="208">
        <f>IF($L$2452,$N2472*IF($O$2452=1,$O2472/$F$2452,1),"")</f>
        <v/>
      </c>
      <c r="T2472" s="208">
        <f>IF(NOT($L$2452),"",IF($G2472&lt;nr_MStartP,$S2472,$T2460*(1+IF($G2472&lt;nr_MStartP1,$M$2452,$N$2452))))</f>
        <v/>
      </c>
      <c r="U2472" s="208">
        <f>IF($L$2452,$T2472,$N2472)</f>
        <v/>
      </c>
    </row>
    <row r="2473">
      <c r="A2473" s="145" t="n">
        <v>19</v>
      </c>
      <c r="B2473" s="204">
        <f>EDATE($B2472,1)</f>
        <v/>
      </c>
      <c r="C2473" s="205">
        <f>EOMONTH($B2473,0)</f>
        <v/>
      </c>
      <c r="D2473" s="201">
        <f>$C2473-$B2473+1</f>
        <v/>
      </c>
      <c r="E2473" s="201">
        <f>MONTH($B2473)</f>
        <v/>
      </c>
      <c r="F2473" s="235">
        <f>($B2473+$C2473+1)/2</f>
        <v/>
      </c>
      <c r="G2473" s="201">
        <f>YEAR($B2473)*12+MONTH($B2473)-1</f>
        <v/>
      </c>
      <c r="H2473" s="207">
        <f>IF(OR(nr_SeasonOn="OFF",$D$2452=0,$E$2452=0),1,12*INDEX(se_block,$D$2452,$E2473)/$E$2452)</f>
        <v/>
      </c>
      <c r="I2473" s="208">
        <f>EXP(SUMPRODUCT((rl_eff&lt;$B2473)*(rl_key=$A$2452)*rl_ln1p))</f>
        <v/>
      </c>
      <c r="J2473" s="208">
        <f>EXP(SUMPRODUCT((rl_eff&lt;=$C2473)*(rl_key=$A$2452)*rl_ln1p))</f>
        <v/>
      </c>
      <c r="K2473" s="201">
        <f>COUNTIFS(rl_key,$A$2452,rl_eff,"&gt;="&amp;$B2473,rl_eff,"&lt;="&amp;$C2473)</f>
        <v/>
      </c>
      <c r="L2473" s="201">
        <f>SUMIFS(rl_daysafter,rl_key,$A$2452,rl_effmonth,$B2473,rl_first,1)</f>
        <v/>
      </c>
      <c r="M2473" s="209">
        <f>IF($K2473=0,0,MIN(1,$L2473/$D2473))</f>
        <v/>
      </c>
      <c r="N2473" s="208">
        <f>IF($K2473=0,$J2473,(1-$M2473)*$I2473+$M2473*$J2473)</f>
        <v/>
      </c>
      <c r="O2473" s="209">
        <f>IF($F2473&lt;$B$2453,$E$2453+$I$2453*($F2473-$A$2453),IF($F2473&lt;$C$2453,$F$2453+$J$2453*($F2473-$B$2453),$G$2453+$K$2453*($F2473-$C$2453)))</f>
        <v/>
      </c>
      <c r="P2473" s="208">
        <f>MIN(1,MAX(0,(nr_MEndPm1-$G2473+0.5)/$C$2452))-MIN(1,MAX(0,(nr_MStartPm1-1-$G2473+0.5)/$C$2452))</f>
        <v/>
      </c>
      <c r="Q2473" s="208">
        <f>MIN(1,MAX(0,(nr_MEndP-$G2473+0.5)/$C$2452))-MIN(1,MAX(0,(nr_MStartP-1-$G2473+0.5)/$C$2452))</f>
        <v/>
      </c>
      <c r="R2473" s="208">
        <f>MIN(1,MAX(0,(nr_MEndP1-$G2473+0.5)/$C$2452))-MIN(1,MAX(0,(nr_MStartP1-1-$G2473+0.5)/$C$2452))</f>
        <v/>
      </c>
      <c r="S2473" s="208">
        <f>IF($L$2452,$N2473*IF($O$2452=1,$O2473/$F$2452,1),"")</f>
        <v/>
      </c>
      <c r="T2473" s="208">
        <f>IF(NOT($L$2452),"",IF($G2473&lt;nr_MStartP,$S2473,$T2461*(1+IF($G2473&lt;nr_MStartP1,$M$2452,$N$2452))))</f>
        <v/>
      </c>
      <c r="U2473" s="208">
        <f>IF($L$2452,$T2473,$N2473)</f>
        <v/>
      </c>
    </row>
    <row r="2474">
      <c r="A2474" s="145" t="n">
        <v>20</v>
      </c>
      <c r="B2474" s="204">
        <f>EDATE($B2473,1)</f>
        <v/>
      </c>
      <c r="C2474" s="205">
        <f>EOMONTH($B2474,0)</f>
        <v/>
      </c>
      <c r="D2474" s="201">
        <f>$C2474-$B2474+1</f>
        <v/>
      </c>
      <c r="E2474" s="201">
        <f>MONTH($B2474)</f>
        <v/>
      </c>
      <c r="F2474" s="235">
        <f>($B2474+$C2474+1)/2</f>
        <v/>
      </c>
      <c r="G2474" s="201">
        <f>YEAR($B2474)*12+MONTH($B2474)-1</f>
        <v/>
      </c>
      <c r="H2474" s="207">
        <f>IF(OR(nr_SeasonOn="OFF",$D$2452=0,$E$2452=0),1,12*INDEX(se_block,$D$2452,$E2474)/$E$2452)</f>
        <v/>
      </c>
      <c r="I2474" s="208">
        <f>EXP(SUMPRODUCT((rl_eff&lt;$B2474)*(rl_key=$A$2452)*rl_ln1p))</f>
        <v/>
      </c>
      <c r="J2474" s="208">
        <f>EXP(SUMPRODUCT((rl_eff&lt;=$C2474)*(rl_key=$A$2452)*rl_ln1p))</f>
        <v/>
      </c>
      <c r="K2474" s="201">
        <f>COUNTIFS(rl_key,$A$2452,rl_eff,"&gt;="&amp;$B2474,rl_eff,"&lt;="&amp;$C2474)</f>
        <v/>
      </c>
      <c r="L2474" s="201">
        <f>SUMIFS(rl_daysafter,rl_key,$A$2452,rl_effmonth,$B2474,rl_first,1)</f>
        <v/>
      </c>
      <c r="M2474" s="209">
        <f>IF($K2474=0,0,MIN(1,$L2474/$D2474))</f>
        <v/>
      </c>
      <c r="N2474" s="208">
        <f>IF($K2474=0,$J2474,(1-$M2474)*$I2474+$M2474*$J2474)</f>
        <v/>
      </c>
      <c r="O2474" s="209">
        <f>IF($F2474&lt;$B$2453,$E$2453+$I$2453*($F2474-$A$2453),IF($F2474&lt;$C$2453,$F$2453+$J$2453*($F2474-$B$2453),$G$2453+$K$2453*($F2474-$C$2453)))</f>
        <v/>
      </c>
      <c r="P2474" s="208">
        <f>MIN(1,MAX(0,(nr_MEndPm1-$G2474+0.5)/$C$2452))-MIN(1,MAX(0,(nr_MStartPm1-1-$G2474+0.5)/$C$2452))</f>
        <v/>
      </c>
      <c r="Q2474" s="208">
        <f>MIN(1,MAX(0,(nr_MEndP-$G2474+0.5)/$C$2452))-MIN(1,MAX(0,(nr_MStartP-1-$G2474+0.5)/$C$2452))</f>
        <v/>
      </c>
      <c r="R2474" s="208">
        <f>MIN(1,MAX(0,(nr_MEndP1-$G2474+0.5)/$C$2452))-MIN(1,MAX(0,(nr_MStartP1-1-$G2474+0.5)/$C$2452))</f>
        <v/>
      </c>
      <c r="S2474" s="208">
        <f>IF($L$2452,$N2474*IF($O$2452=1,$O2474/$F$2452,1),"")</f>
        <v/>
      </c>
      <c r="T2474" s="208">
        <f>IF(NOT($L$2452),"",IF($G2474&lt;nr_MStartP,$S2474,$T2462*(1+IF($G2474&lt;nr_MStartP1,$M$2452,$N$2452))))</f>
        <v/>
      </c>
      <c r="U2474" s="208">
        <f>IF($L$2452,$T2474,$N2474)</f>
        <v/>
      </c>
    </row>
    <row r="2475">
      <c r="A2475" s="145" t="n">
        <v>21</v>
      </c>
      <c r="B2475" s="204">
        <f>EDATE($B2474,1)</f>
        <v/>
      </c>
      <c r="C2475" s="205">
        <f>EOMONTH($B2475,0)</f>
        <v/>
      </c>
      <c r="D2475" s="201">
        <f>$C2475-$B2475+1</f>
        <v/>
      </c>
      <c r="E2475" s="201">
        <f>MONTH($B2475)</f>
        <v/>
      </c>
      <c r="F2475" s="235">
        <f>($B2475+$C2475+1)/2</f>
        <v/>
      </c>
      <c r="G2475" s="201">
        <f>YEAR($B2475)*12+MONTH($B2475)-1</f>
        <v/>
      </c>
      <c r="H2475" s="207">
        <f>IF(OR(nr_SeasonOn="OFF",$D$2452=0,$E$2452=0),1,12*INDEX(se_block,$D$2452,$E2475)/$E$2452)</f>
        <v/>
      </c>
      <c r="I2475" s="208">
        <f>EXP(SUMPRODUCT((rl_eff&lt;$B2475)*(rl_key=$A$2452)*rl_ln1p))</f>
        <v/>
      </c>
      <c r="J2475" s="208">
        <f>EXP(SUMPRODUCT((rl_eff&lt;=$C2475)*(rl_key=$A$2452)*rl_ln1p))</f>
        <v/>
      </c>
      <c r="K2475" s="201">
        <f>COUNTIFS(rl_key,$A$2452,rl_eff,"&gt;="&amp;$B2475,rl_eff,"&lt;="&amp;$C2475)</f>
        <v/>
      </c>
      <c r="L2475" s="201">
        <f>SUMIFS(rl_daysafter,rl_key,$A$2452,rl_effmonth,$B2475,rl_first,1)</f>
        <v/>
      </c>
      <c r="M2475" s="209">
        <f>IF($K2475=0,0,MIN(1,$L2475/$D2475))</f>
        <v/>
      </c>
      <c r="N2475" s="208">
        <f>IF($K2475=0,$J2475,(1-$M2475)*$I2475+$M2475*$J2475)</f>
        <v/>
      </c>
      <c r="O2475" s="209">
        <f>IF($F2475&lt;$B$2453,$E$2453+$I$2453*($F2475-$A$2453),IF($F2475&lt;$C$2453,$F$2453+$J$2453*($F2475-$B$2453),$G$2453+$K$2453*($F2475-$C$2453)))</f>
        <v/>
      </c>
      <c r="P2475" s="208">
        <f>MIN(1,MAX(0,(nr_MEndPm1-$G2475+0.5)/$C$2452))-MIN(1,MAX(0,(nr_MStartPm1-1-$G2475+0.5)/$C$2452))</f>
        <v/>
      </c>
      <c r="Q2475" s="208">
        <f>MIN(1,MAX(0,(nr_MEndP-$G2475+0.5)/$C$2452))-MIN(1,MAX(0,(nr_MStartP-1-$G2475+0.5)/$C$2452))</f>
        <v/>
      </c>
      <c r="R2475" s="208">
        <f>MIN(1,MAX(0,(nr_MEndP1-$G2475+0.5)/$C$2452))-MIN(1,MAX(0,(nr_MStartP1-1-$G2475+0.5)/$C$2452))</f>
        <v/>
      </c>
      <c r="S2475" s="208">
        <f>IF($L$2452,$N2475*IF($O$2452=1,$O2475/$F$2452,1),"")</f>
        <v/>
      </c>
      <c r="T2475" s="208">
        <f>IF(NOT($L$2452),"",IF($G2475&lt;nr_MStartP,$S2475,$T2463*(1+IF($G2475&lt;nr_MStartP1,$M$2452,$N$2452))))</f>
        <v/>
      </c>
      <c r="U2475" s="208">
        <f>IF($L$2452,$T2475,$N2475)</f>
        <v/>
      </c>
    </row>
    <row r="2476">
      <c r="A2476" s="145" t="n">
        <v>22</v>
      </c>
      <c r="B2476" s="204">
        <f>EDATE($B2475,1)</f>
        <v/>
      </c>
      <c r="C2476" s="205">
        <f>EOMONTH($B2476,0)</f>
        <v/>
      </c>
      <c r="D2476" s="201">
        <f>$C2476-$B2476+1</f>
        <v/>
      </c>
      <c r="E2476" s="201">
        <f>MONTH($B2476)</f>
        <v/>
      </c>
      <c r="F2476" s="235">
        <f>($B2476+$C2476+1)/2</f>
        <v/>
      </c>
      <c r="G2476" s="201">
        <f>YEAR($B2476)*12+MONTH($B2476)-1</f>
        <v/>
      </c>
      <c r="H2476" s="207">
        <f>IF(OR(nr_SeasonOn="OFF",$D$2452=0,$E$2452=0),1,12*INDEX(se_block,$D$2452,$E2476)/$E$2452)</f>
        <v/>
      </c>
      <c r="I2476" s="208">
        <f>EXP(SUMPRODUCT((rl_eff&lt;$B2476)*(rl_key=$A$2452)*rl_ln1p))</f>
        <v/>
      </c>
      <c r="J2476" s="208">
        <f>EXP(SUMPRODUCT((rl_eff&lt;=$C2476)*(rl_key=$A$2452)*rl_ln1p))</f>
        <v/>
      </c>
      <c r="K2476" s="201">
        <f>COUNTIFS(rl_key,$A$2452,rl_eff,"&gt;="&amp;$B2476,rl_eff,"&lt;="&amp;$C2476)</f>
        <v/>
      </c>
      <c r="L2476" s="201">
        <f>SUMIFS(rl_daysafter,rl_key,$A$2452,rl_effmonth,$B2476,rl_first,1)</f>
        <v/>
      </c>
      <c r="M2476" s="209">
        <f>IF($K2476=0,0,MIN(1,$L2476/$D2476))</f>
        <v/>
      </c>
      <c r="N2476" s="208">
        <f>IF($K2476=0,$J2476,(1-$M2476)*$I2476+$M2476*$J2476)</f>
        <v/>
      </c>
      <c r="O2476" s="209">
        <f>IF($F2476&lt;$B$2453,$E$2453+$I$2453*($F2476-$A$2453),IF($F2476&lt;$C$2453,$F$2453+$J$2453*($F2476-$B$2453),$G$2453+$K$2453*($F2476-$C$2453)))</f>
        <v/>
      </c>
      <c r="P2476" s="208">
        <f>MIN(1,MAX(0,(nr_MEndPm1-$G2476+0.5)/$C$2452))-MIN(1,MAX(0,(nr_MStartPm1-1-$G2476+0.5)/$C$2452))</f>
        <v/>
      </c>
      <c r="Q2476" s="208">
        <f>MIN(1,MAX(0,(nr_MEndP-$G2476+0.5)/$C$2452))-MIN(1,MAX(0,(nr_MStartP-1-$G2476+0.5)/$C$2452))</f>
        <v/>
      </c>
      <c r="R2476" s="208">
        <f>MIN(1,MAX(0,(nr_MEndP1-$G2476+0.5)/$C$2452))-MIN(1,MAX(0,(nr_MStartP1-1-$G2476+0.5)/$C$2452))</f>
        <v/>
      </c>
      <c r="S2476" s="208">
        <f>IF($L$2452,$N2476*IF($O$2452=1,$O2476/$F$2452,1),"")</f>
        <v/>
      </c>
      <c r="T2476" s="208">
        <f>IF(NOT($L$2452),"",IF($G2476&lt;nr_MStartP,$S2476,$T2464*(1+IF($G2476&lt;nr_MStartP1,$M$2452,$N$2452))))</f>
        <v/>
      </c>
      <c r="U2476" s="208">
        <f>IF($L$2452,$T2476,$N2476)</f>
        <v/>
      </c>
    </row>
    <row r="2477">
      <c r="A2477" s="145" t="n">
        <v>23</v>
      </c>
      <c r="B2477" s="204">
        <f>EDATE($B2476,1)</f>
        <v/>
      </c>
      <c r="C2477" s="205">
        <f>EOMONTH($B2477,0)</f>
        <v/>
      </c>
      <c r="D2477" s="201">
        <f>$C2477-$B2477+1</f>
        <v/>
      </c>
      <c r="E2477" s="201">
        <f>MONTH($B2477)</f>
        <v/>
      </c>
      <c r="F2477" s="235">
        <f>($B2477+$C2477+1)/2</f>
        <v/>
      </c>
      <c r="G2477" s="201">
        <f>YEAR($B2477)*12+MONTH($B2477)-1</f>
        <v/>
      </c>
      <c r="H2477" s="207">
        <f>IF(OR(nr_SeasonOn="OFF",$D$2452=0,$E$2452=0),1,12*INDEX(se_block,$D$2452,$E2477)/$E$2452)</f>
        <v/>
      </c>
      <c r="I2477" s="208">
        <f>EXP(SUMPRODUCT((rl_eff&lt;$B2477)*(rl_key=$A$2452)*rl_ln1p))</f>
        <v/>
      </c>
      <c r="J2477" s="208">
        <f>EXP(SUMPRODUCT((rl_eff&lt;=$C2477)*(rl_key=$A$2452)*rl_ln1p))</f>
        <v/>
      </c>
      <c r="K2477" s="201">
        <f>COUNTIFS(rl_key,$A$2452,rl_eff,"&gt;="&amp;$B2477,rl_eff,"&lt;="&amp;$C2477)</f>
        <v/>
      </c>
      <c r="L2477" s="201">
        <f>SUMIFS(rl_daysafter,rl_key,$A$2452,rl_effmonth,$B2477,rl_first,1)</f>
        <v/>
      </c>
      <c r="M2477" s="209">
        <f>IF($K2477=0,0,MIN(1,$L2477/$D2477))</f>
        <v/>
      </c>
      <c r="N2477" s="208">
        <f>IF($K2477=0,$J2477,(1-$M2477)*$I2477+$M2477*$J2477)</f>
        <v/>
      </c>
      <c r="O2477" s="209">
        <f>IF($F2477&lt;$B$2453,$E$2453+$I$2453*($F2477-$A$2453),IF($F2477&lt;$C$2453,$F$2453+$J$2453*($F2477-$B$2453),$G$2453+$K$2453*($F2477-$C$2453)))</f>
        <v/>
      </c>
      <c r="P2477" s="208">
        <f>MIN(1,MAX(0,(nr_MEndPm1-$G2477+0.5)/$C$2452))-MIN(1,MAX(0,(nr_MStartPm1-1-$G2477+0.5)/$C$2452))</f>
        <v/>
      </c>
      <c r="Q2477" s="208">
        <f>MIN(1,MAX(0,(nr_MEndP-$G2477+0.5)/$C$2452))-MIN(1,MAX(0,(nr_MStartP-1-$G2477+0.5)/$C$2452))</f>
        <v/>
      </c>
      <c r="R2477" s="208">
        <f>MIN(1,MAX(0,(nr_MEndP1-$G2477+0.5)/$C$2452))-MIN(1,MAX(0,(nr_MStartP1-1-$G2477+0.5)/$C$2452))</f>
        <v/>
      </c>
      <c r="S2477" s="208">
        <f>IF($L$2452,$N2477*IF($O$2452=1,$O2477/$F$2452,1),"")</f>
        <v/>
      </c>
      <c r="T2477" s="208">
        <f>IF(NOT($L$2452),"",IF($G2477&lt;nr_MStartP,$S2477,$T2465*(1+IF($G2477&lt;nr_MStartP1,$M$2452,$N$2452))))</f>
        <v/>
      </c>
      <c r="U2477" s="208">
        <f>IF($L$2452,$T2477,$N2477)</f>
        <v/>
      </c>
    </row>
    <row r="2478">
      <c r="A2478" s="145" t="n">
        <v>24</v>
      </c>
      <c r="B2478" s="204">
        <f>EDATE($B2477,1)</f>
        <v/>
      </c>
      <c r="C2478" s="205">
        <f>EOMONTH($B2478,0)</f>
        <v/>
      </c>
      <c r="D2478" s="201">
        <f>$C2478-$B2478+1</f>
        <v/>
      </c>
      <c r="E2478" s="201">
        <f>MONTH($B2478)</f>
        <v/>
      </c>
      <c r="F2478" s="235">
        <f>($B2478+$C2478+1)/2</f>
        <v/>
      </c>
      <c r="G2478" s="201">
        <f>YEAR($B2478)*12+MONTH($B2478)-1</f>
        <v/>
      </c>
      <c r="H2478" s="207">
        <f>IF(OR(nr_SeasonOn="OFF",$D$2452=0,$E$2452=0),1,12*INDEX(se_block,$D$2452,$E2478)/$E$2452)</f>
        <v/>
      </c>
      <c r="I2478" s="208">
        <f>EXP(SUMPRODUCT((rl_eff&lt;$B2478)*(rl_key=$A$2452)*rl_ln1p))</f>
        <v/>
      </c>
      <c r="J2478" s="208">
        <f>EXP(SUMPRODUCT((rl_eff&lt;=$C2478)*(rl_key=$A$2452)*rl_ln1p))</f>
        <v/>
      </c>
      <c r="K2478" s="201">
        <f>COUNTIFS(rl_key,$A$2452,rl_eff,"&gt;="&amp;$B2478,rl_eff,"&lt;="&amp;$C2478)</f>
        <v/>
      </c>
      <c r="L2478" s="201">
        <f>SUMIFS(rl_daysafter,rl_key,$A$2452,rl_effmonth,$B2478,rl_first,1)</f>
        <v/>
      </c>
      <c r="M2478" s="209">
        <f>IF($K2478=0,0,MIN(1,$L2478/$D2478))</f>
        <v/>
      </c>
      <c r="N2478" s="208">
        <f>IF($K2478=0,$J2478,(1-$M2478)*$I2478+$M2478*$J2478)</f>
        <v/>
      </c>
      <c r="O2478" s="209">
        <f>IF($F2478&lt;$B$2453,$E$2453+$I$2453*($F2478-$A$2453),IF($F2478&lt;$C$2453,$F$2453+$J$2453*($F2478-$B$2453),$G$2453+$K$2453*($F2478-$C$2453)))</f>
        <v/>
      </c>
      <c r="P2478" s="208">
        <f>MIN(1,MAX(0,(nr_MEndPm1-$G2478+0.5)/$C$2452))-MIN(1,MAX(0,(nr_MStartPm1-1-$G2478+0.5)/$C$2452))</f>
        <v/>
      </c>
      <c r="Q2478" s="208">
        <f>MIN(1,MAX(0,(nr_MEndP-$G2478+0.5)/$C$2452))-MIN(1,MAX(0,(nr_MStartP-1-$G2478+0.5)/$C$2452))</f>
        <v/>
      </c>
      <c r="R2478" s="208">
        <f>MIN(1,MAX(0,(nr_MEndP1-$G2478+0.5)/$C$2452))-MIN(1,MAX(0,(nr_MStartP1-1-$G2478+0.5)/$C$2452))</f>
        <v/>
      </c>
      <c r="S2478" s="208">
        <f>IF($L$2452,$N2478*IF($O$2452=1,$O2478/$F$2452,1),"")</f>
        <v/>
      </c>
      <c r="T2478" s="208">
        <f>IF(NOT($L$2452),"",IF($G2478&lt;nr_MStartP,$S2478,$T2466*(1+IF($G2478&lt;nr_MStartP1,$M$2452,$N$2452))))</f>
        <v/>
      </c>
      <c r="U2478" s="208">
        <f>IF($L$2452,$T2478,$N2478)</f>
        <v/>
      </c>
    </row>
    <row r="2479">
      <c r="A2479" s="145" t="n">
        <v>25</v>
      </c>
      <c r="B2479" s="204">
        <f>EDATE($B2478,1)</f>
        <v/>
      </c>
      <c r="C2479" s="205">
        <f>EOMONTH($B2479,0)</f>
        <v/>
      </c>
      <c r="D2479" s="201">
        <f>$C2479-$B2479+1</f>
        <v/>
      </c>
      <c r="E2479" s="201">
        <f>MONTH($B2479)</f>
        <v/>
      </c>
      <c r="F2479" s="235">
        <f>($B2479+$C2479+1)/2</f>
        <v/>
      </c>
      <c r="G2479" s="201">
        <f>YEAR($B2479)*12+MONTH($B2479)-1</f>
        <v/>
      </c>
      <c r="H2479" s="207">
        <f>IF(OR(nr_SeasonOn="OFF",$D$2452=0,$E$2452=0),1,12*INDEX(se_block,$D$2452,$E2479)/$E$2452)</f>
        <v/>
      </c>
      <c r="I2479" s="208">
        <f>EXP(SUMPRODUCT((rl_eff&lt;$B2479)*(rl_key=$A$2452)*rl_ln1p))</f>
        <v/>
      </c>
      <c r="J2479" s="208">
        <f>EXP(SUMPRODUCT((rl_eff&lt;=$C2479)*(rl_key=$A$2452)*rl_ln1p))</f>
        <v/>
      </c>
      <c r="K2479" s="201">
        <f>COUNTIFS(rl_key,$A$2452,rl_eff,"&gt;="&amp;$B2479,rl_eff,"&lt;="&amp;$C2479)</f>
        <v/>
      </c>
      <c r="L2479" s="201">
        <f>SUMIFS(rl_daysafter,rl_key,$A$2452,rl_effmonth,$B2479,rl_first,1)</f>
        <v/>
      </c>
      <c r="M2479" s="209">
        <f>IF($K2479=0,0,MIN(1,$L2479/$D2479))</f>
        <v/>
      </c>
      <c r="N2479" s="208">
        <f>IF($K2479=0,$J2479,(1-$M2479)*$I2479+$M2479*$J2479)</f>
        <v/>
      </c>
      <c r="O2479" s="209">
        <f>IF($F2479&lt;$B$2453,$E$2453+$I$2453*($F2479-$A$2453),IF($F2479&lt;$C$2453,$F$2453+$J$2453*($F2479-$B$2453),$G$2453+$K$2453*($F2479-$C$2453)))</f>
        <v/>
      </c>
      <c r="P2479" s="208">
        <f>MIN(1,MAX(0,(nr_MEndPm1-$G2479+0.5)/$C$2452))-MIN(1,MAX(0,(nr_MStartPm1-1-$G2479+0.5)/$C$2452))</f>
        <v/>
      </c>
      <c r="Q2479" s="208">
        <f>MIN(1,MAX(0,(nr_MEndP-$G2479+0.5)/$C$2452))-MIN(1,MAX(0,(nr_MStartP-1-$G2479+0.5)/$C$2452))</f>
        <v/>
      </c>
      <c r="R2479" s="208">
        <f>MIN(1,MAX(0,(nr_MEndP1-$G2479+0.5)/$C$2452))-MIN(1,MAX(0,(nr_MStartP1-1-$G2479+0.5)/$C$2452))</f>
        <v/>
      </c>
      <c r="S2479" s="208">
        <f>IF($L$2452,$N2479*IF($O$2452=1,$O2479/$F$2452,1),"")</f>
        <v/>
      </c>
      <c r="T2479" s="208">
        <f>IF(NOT($L$2452),"",IF($G2479&lt;nr_MStartP,$S2479,$T2467*(1+IF($G2479&lt;nr_MStartP1,$M$2452,$N$2452))))</f>
        <v/>
      </c>
      <c r="U2479" s="208">
        <f>IF($L$2452,$T2479,$N2479)</f>
        <v/>
      </c>
    </row>
    <row r="2480">
      <c r="A2480" s="145" t="n">
        <v>26</v>
      </c>
      <c r="B2480" s="204">
        <f>EDATE($B2479,1)</f>
        <v/>
      </c>
      <c r="C2480" s="205">
        <f>EOMONTH($B2480,0)</f>
        <v/>
      </c>
      <c r="D2480" s="201">
        <f>$C2480-$B2480+1</f>
        <v/>
      </c>
      <c r="E2480" s="201">
        <f>MONTH($B2480)</f>
        <v/>
      </c>
      <c r="F2480" s="235">
        <f>($B2480+$C2480+1)/2</f>
        <v/>
      </c>
      <c r="G2480" s="201">
        <f>YEAR($B2480)*12+MONTH($B2480)-1</f>
        <v/>
      </c>
      <c r="H2480" s="207">
        <f>IF(OR(nr_SeasonOn="OFF",$D$2452=0,$E$2452=0),1,12*INDEX(se_block,$D$2452,$E2480)/$E$2452)</f>
        <v/>
      </c>
      <c r="I2480" s="208">
        <f>EXP(SUMPRODUCT((rl_eff&lt;$B2480)*(rl_key=$A$2452)*rl_ln1p))</f>
        <v/>
      </c>
      <c r="J2480" s="208">
        <f>EXP(SUMPRODUCT((rl_eff&lt;=$C2480)*(rl_key=$A$2452)*rl_ln1p))</f>
        <v/>
      </c>
      <c r="K2480" s="201">
        <f>COUNTIFS(rl_key,$A$2452,rl_eff,"&gt;="&amp;$B2480,rl_eff,"&lt;="&amp;$C2480)</f>
        <v/>
      </c>
      <c r="L2480" s="201">
        <f>SUMIFS(rl_daysafter,rl_key,$A$2452,rl_effmonth,$B2480,rl_first,1)</f>
        <v/>
      </c>
      <c r="M2480" s="209">
        <f>IF($K2480=0,0,MIN(1,$L2480/$D2480))</f>
        <v/>
      </c>
      <c r="N2480" s="208">
        <f>IF($K2480=0,$J2480,(1-$M2480)*$I2480+$M2480*$J2480)</f>
        <v/>
      </c>
      <c r="O2480" s="209">
        <f>IF($F2480&lt;$B$2453,$E$2453+$I$2453*($F2480-$A$2453),IF($F2480&lt;$C$2453,$F$2453+$J$2453*($F2480-$B$2453),$G$2453+$K$2453*($F2480-$C$2453)))</f>
        <v/>
      </c>
      <c r="P2480" s="208">
        <f>MIN(1,MAX(0,(nr_MEndPm1-$G2480+0.5)/$C$2452))-MIN(1,MAX(0,(nr_MStartPm1-1-$G2480+0.5)/$C$2452))</f>
        <v/>
      </c>
      <c r="Q2480" s="208">
        <f>MIN(1,MAX(0,(nr_MEndP-$G2480+0.5)/$C$2452))-MIN(1,MAX(0,(nr_MStartP-1-$G2480+0.5)/$C$2452))</f>
        <v/>
      </c>
      <c r="R2480" s="208">
        <f>MIN(1,MAX(0,(nr_MEndP1-$G2480+0.5)/$C$2452))-MIN(1,MAX(0,(nr_MStartP1-1-$G2480+0.5)/$C$2452))</f>
        <v/>
      </c>
      <c r="S2480" s="208">
        <f>IF($L$2452,$N2480*IF($O$2452=1,$O2480/$F$2452,1),"")</f>
        <v/>
      </c>
      <c r="T2480" s="208">
        <f>IF(NOT($L$2452),"",IF($G2480&lt;nr_MStartP,$S2480,$T2468*(1+IF($G2480&lt;nr_MStartP1,$M$2452,$N$2452))))</f>
        <v/>
      </c>
      <c r="U2480" s="208">
        <f>IF($L$2452,$T2480,$N2480)</f>
        <v/>
      </c>
    </row>
    <row r="2481">
      <c r="A2481" s="145" t="n">
        <v>27</v>
      </c>
      <c r="B2481" s="204">
        <f>EDATE($B2480,1)</f>
        <v/>
      </c>
      <c r="C2481" s="205">
        <f>EOMONTH($B2481,0)</f>
        <v/>
      </c>
      <c r="D2481" s="201">
        <f>$C2481-$B2481+1</f>
        <v/>
      </c>
      <c r="E2481" s="201">
        <f>MONTH($B2481)</f>
        <v/>
      </c>
      <c r="F2481" s="235">
        <f>($B2481+$C2481+1)/2</f>
        <v/>
      </c>
      <c r="G2481" s="201">
        <f>YEAR($B2481)*12+MONTH($B2481)-1</f>
        <v/>
      </c>
      <c r="H2481" s="207">
        <f>IF(OR(nr_SeasonOn="OFF",$D$2452=0,$E$2452=0),1,12*INDEX(se_block,$D$2452,$E2481)/$E$2452)</f>
        <v/>
      </c>
      <c r="I2481" s="208">
        <f>EXP(SUMPRODUCT((rl_eff&lt;$B2481)*(rl_key=$A$2452)*rl_ln1p))</f>
        <v/>
      </c>
      <c r="J2481" s="208">
        <f>EXP(SUMPRODUCT((rl_eff&lt;=$C2481)*(rl_key=$A$2452)*rl_ln1p))</f>
        <v/>
      </c>
      <c r="K2481" s="201">
        <f>COUNTIFS(rl_key,$A$2452,rl_eff,"&gt;="&amp;$B2481,rl_eff,"&lt;="&amp;$C2481)</f>
        <v/>
      </c>
      <c r="L2481" s="201">
        <f>SUMIFS(rl_daysafter,rl_key,$A$2452,rl_effmonth,$B2481,rl_first,1)</f>
        <v/>
      </c>
      <c r="M2481" s="209">
        <f>IF($K2481=0,0,MIN(1,$L2481/$D2481))</f>
        <v/>
      </c>
      <c r="N2481" s="208">
        <f>IF($K2481=0,$J2481,(1-$M2481)*$I2481+$M2481*$J2481)</f>
        <v/>
      </c>
      <c r="O2481" s="209">
        <f>IF($F2481&lt;$B$2453,$E$2453+$I$2453*($F2481-$A$2453),IF($F2481&lt;$C$2453,$F$2453+$J$2453*($F2481-$B$2453),$G$2453+$K$2453*($F2481-$C$2453)))</f>
        <v/>
      </c>
      <c r="P2481" s="208">
        <f>MIN(1,MAX(0,(nr_MEndPm1-$G2481+0.5)/$C$2452))-MIN(1,MAX(0,(nr_MStartPm1-1-$G2481+0.5)/$C$2452))</f>
        <v/>
      </c>
      <c r="Q2481" s="208">
        <f>MIN(1,MAX(0,(nr_MEndP-$G2481+0.5)/$C$2452))-MIN(1,MAX(0,(nr_MStartP-1-$G2481+0.5)/$C$2452))</f>
        <v/>
      </c>
      <c r="R2481" s="208">
        <f>MIN(1,MAX(0,(nr_MEndP1-$G2481+0.5)/$C$2452))-MIN(1,MAX(0,(nr_MStartP1-1-$G2481+0.5)/$C$2452))</f>
        <v/>
      </c>
      <c r="S2481" s="208">
        <f>IF($L$2452,$N2481*IF($O$2452=1,$O2481/$F$2452,1),"")</f>
        <v/>
      </c>
      <c r="T2481" s="208">
        <f>IF(NOT($L$2452),"",IF($G2481&lt;nr_MStartP,$S2481,$T2469*(1+IF($G2481&lt;nr_MStartP1,$M$2452,$N$2452))))</f>
        <v/>
      </c>
      <c r="U2481" s="208">
        <f>IF($L$2452,$T2481,$N2481)</f>
        <v/>
      </c>
    </row>
    <row r="2482">
      <c r="A2482" s="145" t="n">
        <v>28</v>
      </c>
      <c r="B2482" s="204">
        <f>EDATE($B2481,1)</f>
        <v/>
      </c>
      <c r="C2482" s="205">
        <f>EOMONTH($B2482,0)</f>
        <v/>
      </c>
      <c r="D2482" s="201">
        <f>$C2482-$B2482+1</f>
        <v/>
      </c>
      <c r="E2482" s="201">
        <f>MONTH($B2482)</f>
        <v/>
      </c>
      <c r="F2482" s="235">
        <f>($B2482+$C2482+1)/2</f>
        <v/>
      </c>
      <c r="G2482" s="201">
        <f>YEAR($B2482)*12+MONTH($B2482)-1</f>
        <v/>
      </c>
      <c r="H2482" s="207">
        <f>IF(OR(nr_SeasonOn="OFF",$D$2452=0,$E$2452=0),1,12*INDEX(se_block,$D$2452,$E2482)/$E$2452)</f>
        <v/>
      </c>
      <c r="I2482" s="208">
        <f>EXP(SUMPRODUCT((rl_eff&lt;$B2482)*(rl_key=$A$2452)*rl_ln1p))</f>
        <v/>
      </c>
      <c r="J2482" s="208">
        <f>EXP(SUMPRODUCT((rl_eff&lt;=$C2482)*(rl_key=$A$2452)*rl_ln1p))</f>
        <v/>
      </c>
      <c r="K2482" s="201">
        <f>COUNTIFS(rl_key,$A$2452,rl_eff,"&gt;="&amp;$B2482,rl_eff,"&lt;="&amp;$C2482)</f>
        <v/>
      </c>
      <c r="L2482" s="201">
        <f>SUMIFS(rl_daysafter,rl_key,$A$2452,rl_effmonth,$B2482,rl_first,1)</f>
        <v/>
      </c>
      <c r="M2482" s="209">
        <f>IF($K2482=0,0,MIN(1,$L2482/$D2482))</f>
        <v/>
      </c>
      <c r="N2482" s="208">
        <f>IF($K2482=0,$J2482,(1-$M2482)*$I2482+$M2482*$J2482)</f>
        <v/>
      </c>
      <c r="O2482" s="209">
        <f>IF($F2482&lt;$B$2453,$E$2453+$I$2453*($F2482-$A$2453),IF($F2482&lt;$C$2453,$F$2453+$J$2453*($F2482-$B$2453),$G$2453+$K$2453*($F2482-$C$2453)))</f>
        <v/>
      </c>
      <c r="P2482" s="208">
        <f>MIN(1,MAX(0,(nr_MEndPm1-$G2482+0.5)/$C$2452))-MIN(1,MAX(0,(nr_MStartPm1-1-$G2482+0.5)/$C$2452))</f>
        <v/>
      </c>
      <c r="Q2482" s="208">
        <f>MIN(1,MAX(0,(nr_MEndP-$G2482+0.5)/$C$2452))-MIN(1,MAX(0,(nr_MStartP-1-$G2482+0.5)/$C$2452))</f>
        <v/>
      </c>
      <c r="R2482" s="208">
        <f>MIN(1,MAX(0,(nr_MEndP1-$G2482+0.5)/$C$2452))-MIN(1,MAX(0,(nr_MStartP1-1-$G2482+0.5)/$C$2452))</f>
        <v/>
      </c>
      <c r="S2482" s="208">
        <f>IF($L$2452,$N2482*IF($O$2452=1,$O2482/$F$2452,1),"")</f>
        <v/>
      </c>
      <c r="T2482" s="208">
        <f>IF(NOT($L$2452),"",IF($G2482&lt;nr_MStartP,$S2482,$T2470*(1+IF($G2482&lt;nr_MStartP1,$M$2452,$N$2452))))</f>
        <v/>
      </c>
      <c r="U2482" s="208">
        <f>IF($L$2452,$T2482,$N2482)</f>
        <v/>
      </c>
    </row>
    <row r="2483">
      <c r="A2483" s="145" t="n">
        <v>29</v>
      </c>
      <c r="B2483" s="204">
        <f>EDATE($B2482,1)</f>
        <v/>
      </c>
      <c r="C2483" s="205">
        <f>EOMONTH($B2483,0)</f>
        <v/>
      </c>
      <c r="D2483" s="201">
        <f>$C2483-$B2483+1</f>
        <v/>
      </c>
      <c r="E2483" s="201">
        <f>MONTH($B2483)</f>
        <v/>
      </c>
      <c r="F2483" s="235">
        <f>($B2483+$C2483+1)/2</f>
        <v/>
      </c>
      <c r="G2483" s="201">
        <f>YEAR($B2483)*12+MONTH($B2483)-1</f>
        <v/>
      </c>
      <c r="H2483" s="207">
        <f>IF(OR(nr_SeasonOn="OFF",$D$2452=0,$E$2452=0),1,12*INDEX(se_block,$D$2452,$E2483)/$E$2452)</f>
        <v/>
      </c>
      <c r="I2483" s="208">
        <f>EXP(SUMPRODUCT((rl_eff&lt;$B2483)*(rl_key=$A$2452)*rl_ln1p))</f>
        <v/>
      </c>
      <c r="J2483" s="208">
        <f>EXP(SUMPRODUCT((rl_eff&lt;=$C2483)*(rl_key=$A$2452)*rl_ln1p))</f>
        <v/>
      </c>
      <c r="K2483" s="201">
        <f>COUNTIFS(rl_key,$A$2452,rl_eff,"&gt;="&amp;$B2483,rl_eff,"&lt;="&amp;$C2483)</f>
        <v/>
      </c>
      <c r="L2483" s="201">
        <f>SUMIFS(rl_daysafter,rl_key,$A$2452,rl_effmonth,$B2483,rl_first,1)</f>
        <v/>
      </c>
      <c r="M2483" s="209">
        <f>IF($K2483=0,0,MIN(1,$L2483/$D2483))</f>
        <v/>
      </c>
      <c r="N2483" s="208">
        <f>IF($K2483=0,$J2483,(1-$M2483)*$I2483+$M2483*$J2483)</f>
        <v/>
      </c>
      <c r="O2483" s="209">
        <f>IF($F2483&lt;$B$2453,$E$2453+$I$2453*($F2483-$A$2453),IF($F2483&lt;$C$2453,$F$2453+$J$2453*($F2483-$B$2453),$G$2453+$K$2453*($F2483-$C$2453)))</f>
        <v/>
      </c>
      <c r="P2483" s="208">
        <f>MIN(1,MAX(0,(nr_MEndPm1-$G2483+0.5)/$C$2452))-MIN(1,MAX(0,(nr_MStartPm1-1-$G2483+0.5)/$C$2452))</f>
        <v/>
      </c>
      <c r="Q2483" s="208">
        <f>MIN(1,MAX(0,(nr_MEndP-$G2483+0.5)/$C$2452))-MIN(1,MAX(0,(nr_MStartP-1-$G2483+0.5)/$C$2452))</f>
        <v/>
      </c>
      <c r="R2483" s="208">
        <f>MIN(1,MAX(0,(nr_MEndP1-$G2483+0.5)/$C$2452))-MIN(1,MAX(0,(nr_MStartP1-1-$G2483+0.5)/$C$2452))</f>
        <v/>
      </c>
      <c r="S2483" s="208">
        <f>IF($L$2452,$N2483*IF($O$2452=1,$O2483/$F$2452,1),"")</f>
        <v/>
      </c>
      <c r="T2483" s="208">
        <f>IF(NOT($L$2452),"",IF($G2483&lt;nr_MStartP,$S2483,$T2471*(1+IF($G2483&lt;nr_MStartP1,$M$2452,$N$2452))))</f>
        <v/>
      </c>
      <c r="U2483" s="208">
        <f>IF($L$2452,$T2483,$N2483)</f>
        <v/>
      </c>
    </row>
    <row r="2484">
      <c r="A2484" s="145" t="n">
        <v>30</v>
      </c>
      <c r="B2484" s="204">
        <f>EDATE($B2483,1)</f>
        <v/>
      </c>
      <c r="C2484" s="205">
        <f>EOMONTH($B2484,0)</f>
        <v/>
      </c>
      <c r="D2484" s="201">
        <f>$C2484-$B2484+1</f>
        <v/>
      </c>
      <c r="E2484" s="201">
        <f>MONTH($B2484)</f>
        <v/>
      </c>
      <c r="F2484" s="235">
        <f>($B2484+$C2484+1)/2</f>
        <v/>
      </c>
      <c r="G2484" s="201">
        <f>YEAR($B2484)*12+MONTH($B2484)-1</f>
        <v/>
      </c>
      <c r="H2484" s="207">
        <f>IF(OR(nr_SeasonOn="OFF",$D$2452=0,$E$2452=0),1,12*INDEX(se_block,$D$2452,$E2484)/$E$2452)</f>
        <v/>
      </c>
      <c r="I2484" s="208">
        <f>EXP(SUMPRODUCT((rl_eff&lt;$B2484)*(rl_key=$A$2452)*rl_ln1p))</f>
        <v/>
      </c>
      <c r="J2484" s="208">
        <f>EXP(SUMPRODUCT((rl_eff&lt;=$C2484)*(rl_key=$A$2452)*rl_ln1p))</f>
        <v/>
      </c>
      <c r="K2484" s="201">
        <f>COUNTIFS(rl_key,$A$2452,rl_eff,"&gt;="&amp;$B2484,rl_eff,"&lt;="&amp;$C2484)</f>
        <v/>
      </c>
      <c r="L2484" s="201">
        <f>SUMIFS(rl_daysafter,rl_key,$A$2452,rl_effmonth,$B2484,rl_first,1)</f>
        <v/>
      </c>
      <c r="M2484" s="209">
        <f>IF($K2484=0,0,MIN(1,$L2484/$D2484))</f>
        <v/>
      </c>
      <c r="N2484" s="208">
        <f>IF($K2484=0,$J2484,(1-$M2484)*$I2484+$M2484*$J2484)</f>
        <v/>
      </c>
      <c r="O2484" s="209">
        <f>IF($F2484&lt;$B$2453,$E$2453+$I$2453*($F2484-$A$2453),IF($F2484&lt;$C$2453,$F$2453+$J$2453*($F2484-$B$2453),$G$2453+$K$2453*($F2484-$C$2453)))</f>
        <v/>
      </c>
      <c r="P2484" s="208">
        <f>MIN(1,MAX(0,(nr_MEndPm1-$G2484+0.5)/$C$2452))-MIN(1,MAX(0,(nr_MStartPm1-1-$G2484+0.5)/$C$2452))</f>
        <v/>
      </c>
      <c r="Q2484" s="208">
        <f>MIN(1,MAX(0,(nr_MEndP-$G2484+0.5)/$C$2452))-MIN(1,MAX(0,(nr_MStartP-1-$G2484+0.5)/$C$2452))</f>
        <v/>
      </c>
      <c r="R2484" s="208">
        <f>MIN(1,MAX(0,(nr_MEndP1-$G2484+0.5)/$C$2452))-MIN(1,MAX(0,(nr_MStartP1-1-$G2484+0.5)/$C$2452))</f>
        <v/>
      </c>
      <c r="S2484" s="208">
        <f>IF($L$2452,$N2484*IF($O$2452=1,$O2484/$F$2452,1),"")</f>
        <v/>
      </c>
      <c r="T2484" s="208">
        <f>IF(NOT($L$2452),"",IF($G2484&lt;nr_MStartP,$S2484,$T2472*(1+IF($G2484&lt;nr_MStartP1,$M$2452,$N$2452))))</f>
        <v/>
      </c>
      <c r="U2484" s="208">
        <f>IF($L$2452,$T2484,$N2484)</f>
        <v/>
      </c>
    </row>
    <row r="2485">
      <c r="A2485" s="145" t="n">
        <v>31</v>
      </c>
      <c r="B2485" s="204">
        <f>EDATE($B2484,1)</f>
        <v/>
      </c>
      <c r="C2485" s="205">
        <f>EOMONTH($B2485,0)</f>
        <v/>
      </c>
      <c r="D2485" s="201">
        <f>$C2485-$B2485+1</f>
        <v/>
      </c>
      <c r="E2485" s="201">
        <f>MONTH($B2485)</f>
        <v/>
      </c>
      <c r="F2485" s="235">
        <f>($B2485+$C2485+1)/2</f>
        <v/>
      </c>
      <c r="G2485" s="201">
        <f>YEAR($B2485)*12+MONTH($B2485)-1</f>
        <v/>
      </c>
      <c r="H2485" s="207">
        <f>IF(OR(nr_SeasonOn="OFF",$D$2452=0,$E$2452=0),1,12*INDEX(se_block,$D$2452,$E2485)/$E$2452)</f>
        <v/>
      </c>
      <c r="I2485" s="208">
        <f>EXP(SUMPRODUCT((rl_eff&lt;$B2485)*(rl_key=$A$2452)*rl_ln1p))</f>
        <v/>
      </c>
      <c r="J2485" s="208">
        <f>EXP(SUMPRODUCT((rl_eff&lt;=$C2485)*(rl_key=$A$2452)*rl_ln1p))</f>
        <v/>
      </c>
      <c r="K2485" s="201">
        <f>COUNTIFS(rl_key,$A$2452,rl_eff,"&gt;="&amp;$B2485,rl_eff,"&lt;="&amp;$C2485)</f>
        <v/>
      </c>
      <c r="L2485" s="201">
        <f>SUMIFS(rl_daysafter,rl_key,$A$2452,rl_effmonth,$B2485,rl_first,1)</f>
        <v/>
      </c>
      <c r="M2485" s="209">
        <f>IF($K2485=0,0,MIN(1,$L2485/$D2485))</f>
        <v/>
      </c>
      <c r="N2485" s="208">
        <f>IF($K2485=0,$J2485,(1-$M2485)*$I2485+$M2485*$J2485)</f>
        <v/>
      </c>
      <c r="O2485" s="209">
        <f>IF($F2485&lt;$B$2453,$E$2453+$I$2453*($F2485-$A$2453),IF($F2485&lt;$C$2453,$F$2453+$J$2453*($F2485-$B$2453),$G$2453+$K$2453*($F2485-$C$2453)))</f>
        <v/>
      </c>
      <c r="P2485" s="208">
        <f>MIN(1,MAX(0,(nr_MEndPm1-$G2485+0.5)/$C$2452))-MIN(1,MAX(0,(nr_MStartPm1-1-$G2485+0.5)/$C$2452))</f>
        <v/>
      </c>
      <c r="Q2485" s="208">
        <f>MIN(1,MAX(0,(nr_MEndP-$G2485+0.5)/$C$2452))-MIN(1,MAX(0,(nr_MStartP-1-$G2485+0.5)/$C$2452))</f>
        <v/>
      </c>
      <c r="R2485" s="208">
        <f>MIN(1,MAX(0,(nr_MEndP1-$G2485+0.5)/$C$2452))-MIN(1,MAX(0,(nr_MStartP1-1-$G2485+0.5)/$C$2452))</f>
        <v/>
      </c>
      <c r="S2485" s="208">
        <f>IF($L$2452,$N2485*IF($O$2452=1,$O2485/$F$2452,1),"")</f>
        <v/>
      </c>
      <c r="T2485" s="208">
        <f>IF(NOT($L$2452),"",IF($G2485&lt;nr_MStartP,$S2485,$T2473*(1+IF($G2485&lt;nr_MStartP1,$M$2452,$N$2452))))</f>
        <v/>
      </c>
      <c r="U2485" s="208">
        <f>IF($L$2452,$T2485,$N2485)</f>
        <v/>
      </c>
    </row>
    <row r="2486">
      <c r="A2486" s="145" t="n">
        <v>32</v>
      </c>
      <c r="B2486" s="204">
        <f>EDATE($B2485,1)</f>
        <v/>
      </c>
      <c r="C2486" s="205">
        <f>EOMONTH($B2486,0)</f>
        <v/>
      </c>
      <c r="D2486" s="201">
        <f>$C2486-$B2486+1</f>
        <v/>
      </c>
      <c r="E2486" s="201">
        <f>MONTH($B2486)</f>
        <v/>
      </c>
      <c r="F2486" s="235">
        <f>($B2486+$C2486+1)/2</f>
        <v/>
      </c>
      <c r="G2486" s="201">
        <f>YEAR($B2486)*12+MONTH($B2486)-1</f>
        <v/>
      </c>
      <c r="H2486" s="207">
        <f>IF(OR(nr_SeasonOn="OFF",$D$2452=0,$E$2452=0),1,12*INDEX(se_block,$D$2452,$E2486)/$E$2452)</f>
        <v/>
      </c>
      <c r="I2486" s="208">
        <f>EXP(SUMPRODUCT((rl_eff&lt;$B2486)*(rl_key=$A$2452)*rl_ln1p))</f>
        <v/>
      </c>
      <c r="J2486" s="208">
        <f>EXP(SUMPRODUCT((rl_eff&lt;=$C2486)*(rl_key=$A$2452)*rl_ln1p))</f>
        <v/>
      </c>
      <c r="K2486" s="201">
        <f>COUNTIFS(rl_key,$A$2452,rl_eff,"&gt;="&amp;$B2486,rl_eff,"&lt;="&amp;$C2486)</f>
        <v/>
      </c>
      <c r="L2486" s="201">
        <f>SUMIFS(rl_daysafter,rl_key,$A$2452,rl_effmonth,$B2486,rl_first,1)</f>
        <v/>
      </c>
      <c r="M2486" s="209">
        <f>IF($K2486=0,0,MIN(1,$L2486/$D2486))</f>
        <v/>
      </c>
      <c r="N2486" s="208">
        <f>IF($K2486=0,$J2486,(1-$M2486)*$I2486+$M2486*$J2486)</f>
        <v/>
      </c>
      <c r="O2486" s="209">
        <f>IF($F2486&lt;$B$2453,$E$2453+$I$2453*($F2486-$A$2453),IF($F2486&lt;$C$2453,$F$2453+$J$2453*($F2486-$B$2453),$G$2453+$K$2453*($F2486-$C$2453)))</f>
        <v/>
      </c>
      <c r="P2486" s="208">
        <f>MIN(1,MAX(0,(nr_MEndPm1-$G2486+0.5)/$C$2452))-MIN(1,MAX(0,(nr_MStartPm1-1-$G2486+0.5)/$C$2452))</f>
        <v/>
      </c>
      <c r="Q2486" s="208">
        <f>MIN(1,MAX(0,(nr_MEndP-$G2486+0.5)/$C$2452))-MIN(1,MAX(0,(nr_MStartP-1-$G2486+0.5)/$C$2452))</f>
        <v/>
      </c>
      <c r="R2486" s="208">
        <f>MIN(1,MAX(0,(nr_MEndP1-$G2486+0.5)/$C$2452))-MIN(1,MAX(0,(nr_MStartP1-1-$G2486+0.5)/$C$2452))</f>
        <v/>
      </c>
      <c r="S2486" s="208">
        <f>IF($L$2452,$N2486*IF($O$2452=1,$O2486/$F$2452,1),"")</f>
        <v/>
      </c>
      <c r="T2486" s="208">
        <f>IF(NOT($L$2452),"",IF($G2486&lt;nr_MStartP,$S2486,$T2474*(1+IF($G2486&lt;nr_MStartP1,$M$2452,$N$2452))))</f>
        <v/>
      </c>
      <c r="U2486" s="208">
        <f>IF($L$2452,$T2486,$N2486)</f>
        <v/>
      </c>
    </row>
    <row r="2487">
      <c r="A2487" s="145" t="n">
        <v>33</v>
      </c>
      <c r="B2487" s="204">
        <f>EDATE($B2486,1)</f>
        <v/>
      </c>
      <c r="C2487" s="205">
        <f>EOMONTH($B2487,0)</f>
        <v/>
      </c>
      <c r="D2487" s="201">
        <f>$C2487-$B2487+1</f>
        <v/>
      </c>
      <c r="E2487" s="201">
        <f>MONTH($B2487)</f>
        <v/>
      </c>
      <c r="F2487" s="235">
        <f>($B2487+$C2487+1)/2</f>
        <v/>
      </c>
      <c r="G2487" s="201">
        <f>YEAR($B2487)*12+MONTH($B2487)-1</f>
        <v/>
      </c>
      <c r="H2487" s="207">
        <f>IF(OR(nr_SeasonOn="OFF",$D$2452=0,$E$2452=0),1,12*INDEX(se_block,$D$2452,$E2487)/$E$2452)</f>
        <v/>
      </c>
      <c r="I2487" s="208">
        <f>EXP(SUMPRODUCT((rl_eff&lt;$B2487)*(rl_key=$A$2452)*rl_ln1p))</f>
        <v/>
      </c>
      <c r="J2487" s="208">
        <f>EXP(SUMPRODUCT((rl_eff&lt;=$C2487)*(rl_key=$A$2452)*rl_ln1p))</f>
        <v/>
      </c>
      <c r="K2487" s="201">
        <f>COUNTIFS(rl_key,$A$2452,rl_eff,"&gt;="&amp;$B2487,rl_eff,"&lt;="&amp;$C2487)</f>
        <v/>
      </c>
      <c r="L2487" s="201">
        <f>SUMIFS(rl_daysafter,rl_key,$A$2452,rl_effmonth,$B2487,rl_first,1)</f>
        <v/>
      </c>
      <c r="M2487" s="209">
        <f>IF($K2487=0,0,MIN(1,$L2487/$D2487))</f>
        <v/>
      </c>
      <c r="N2487" s="208">
        <f>IF($K2487=0,$J2487,(1-$M2487)*$I2487+$M2487*$J2487)</f>
        <v/>
      </c>
      <c r="O2487" s="209">
        <f>IF($F2487&lt;$B$2453,$E$2453+$I$2453*($F2487-$A$2453),IF($F2487&lt;$C$2453,$F$2453+$J$2453*($F2487-$B$2453),$G$2453+$K$2453*($F2487-$C$2453)))</f>
        <v/>
      </c>
      <c r="P2487" s="208">
        <f>MIN(1,MAX(0,(nr_MEndPm1-$G2487+0.5)/$C$2452))-MIN(1,MAX(0,(nr_MStartPm1-1-$G2487+0.5)/$C$2452))</f>
        <v/>
      </c>
      <c r="Q2487" s="208">
        <f>MIN(1,MAX(0,(nr_MEndP-$G2487+0.5)/$C$2452))-MIN(1,MAX(0,(nr_MStartP-1-$G2487+0.5)/$C$2452))</f>
        <v/>
      </c>
      <c r="R2487" s="208">
        <f>MIN(1,MAX(0,(nr_MEndP1-$G2487+0.5)/$C$2452))-MIN(1,MAX(0,(nr_MStartP1-1-$G2487+0.5)/$C$2452))</f>
        <v/>
      </c>
      <c r="S2487" s="208">
        <f>IF($L$2452,$N2487*IF($O$2452=1,$O2487/$F$2452,1),"")</f>
        <v/>
      </c>
      <c r="T2487" s="208">
        <f>IF(NOT($L$2452),"",IF($G2487&lt;nr_MStartP,$S2487,$T2475*(1+IF($G2487&lt;nr_MStartP1,$M$2452,$N$2452))))</f>
        <v/>
      </c>
      <c r="U2487" s="208">
        <f>IF($L$2452,$T2487,$N2487)</f>
        <v/>
      </c>
    </row>
    <row r="2488">
      <c r="A2488" s="145" t="n">
        <v>34</v>
      </c>
      <c r="B2488" s="204">
        <f>EDATE($B2487,1)</f>
        <v/>
      </c>
      <c r="C2488" s="205">
        <f>EOMONTH($B2488,0)</f>
        <v/>
      </c>
      <c r="D2488" s="201">
        <f>$C2488-$B2488+1</f>
        <v/>
      </c>
      <c r="E2488" s="201">
        <f>MONTH($B2488)</f>
        <v/>
      </c>
      <c r="F2488" s="235">
        <f>($B2488+$C2488+1)/2</f>
        <v/>
      </c>
      <c r="G2488" s="201">
        <f>YEAR($B2488)*12+MONTH($B2488)-1</f>
        <v/>
      </c>
      <c r="H2488" s="207">
        <f>IF(OR(nr_SeasonOn="OFF",$D$2452=0,$E$2452=0),1,12*INDEX(se_block,$D$2452,$E2488)/$E$2452)</f>
        <v/>
      </c>
      <c r="I2488" s="208">
        <f>EXP(SUMPRODUCT((rl_eff&lt;$B2488)*(rl_key=$A$2452)*rl_ln1p))</f>
        <v/>
      </c>
      <c r="J2488" s="208">
        <f>EXP(SUMPRODUCT((rl_eff&lt;=$C2488)*(rl_key=$A$2452)*rl_ln1p))</f>
        <v/>
      </c>
      <c r="K2488" s="201">
        <f>COUNTIFS(rl_key,$A$2452,rl_eff,"&gt;="&amp;$B2488,rl_eff,"&lt;="&amp;$C2488)</f>
        <v/>
      </c>
      <c r="L2488" s="201">
        <f>SUMIFS(rl_daysafter,rl_key,$A$2452,rl_effmonth,$B2488,rl_first,1)</f>
        <v/>
      </c>
      <c r="M2488" s="209">
        <f>IF($K2488=0,0,MIN(1,$L2488/$D2488))</f>
        <v/>
      </c>
      <c r="N2488" s="208">
        <f>IF($K2488=0,$J2488,(1-$M2488)*$I2488+$M2488*$J2488)</f>
        <v/>
      </c>
      <c r="O2488" s="209">
        <f>IF($F2488&lt;$B$2453,$E$2453+$I$2453*($F2488-$A$2453),IF($F2488&lt;$C$2453,$F$2453+$J$2453*($F2488-$B$2453),$G$2453+$K$2453*($F2488-$C$2453)))</f>
        <v/>
      </c>
      <c r="P2488" s="208">
        <f>MIN(1,MAX(0,(nr_MEndPm1-$G2488+0.5)/$C$2452))-MIN(1,MAX(0,(nr_MStartPm1-1-$G2488+0.5)/$C$2452))</f>
        <v/>
      </c>
      <c r="Q2488" s="208">
        <f>MIN(1,MAX(0,(nr_MEndP-$G2488+0.5)/$C$2452))-MIN(1,MAX(0,(nr_MStartP-1-$G2488+0.5)/$C$2452))</f>
        <v/>
      </c>
      <c r="R2488" s="208">
        <f>MIN(1,MAX(0,(nr_MEndP1-$G2488+0.5)/$C$2452))-MIN(1,MAX(0,(nr_MStartP1-1-$G2488+0.5)/$C$2452))</f>
        <v/>
      </c>
      <c r="S2488" s="208">
        <f>IF($L$2452,$N2488*IF($O$2452=1,$O2488/$F$2452,1),"")</f>
        <v/>
      </c>
      <c r="T2488" s="208">
        <f>IF(NOT($L$2452),"",IF($G2488&lt;nr_MStartP,$S2488,$T2476*(1+IF($G2488&lt;nr_MStartP1,$M$2452,$N$2452))))</f>
        <v/>
      </c>
      <c r="U2488" s="208">
        <f>IF($L$2452,$T2488,$N2488)</f>
        <v/>
      </c>
    </row>
    <row r="2489">
      <c r="A2489" s="145" t="n">
        <v>35</v>
      </c>
      <c r="B2489" s="204">
        <f>EDATE($B2488,1)</f>
        <v/>
      </c>
      <c r="C2489" s="205">
        <f>EOMONTH($B2489,0)</f>
        <v/>
      </c>
      <c r="D2489" s="201">
        <f>$C2489-$B2489+1</f>
        <v/>
      </c>
      <c r="E2489" s="201">
        <f>MONTH($B2489)</f>
        <v/>
      </c>
      <c r="F2489" s="235">
        <f>($B2489+$C2489+1)/2</f>
        <v/>
      </c>
      <c r="G2489" s="201">
        <f>YEAR($B2489)*12+MONTH($B2489)-1</f>
        <v/>
      </c>
      <c r="H2489" s="207">
        <f>IF(OR(nr_SeasonOn="OFF",$D$2452=0,$E$2452=0),1,12*INDEX(se_block,$D$2452,$E2489)/$E$2452)</f>
        <v/>
      </c>
      <c r="I2489" s="208">
        <f>EXP(SUMPRODUCT((rl_eff&lt;$B2489)*(rl_key=$A$2452)*rl_ln1p))</f>
        <v/>
      </c>
      <c r="J2489" s="208">
        <f>EXP(SUMPRODUCT((rl_eff&lt;=$C2489)*(rl_key=$A$2452)*rl_ln1p))</f>
        <v/>
      </c>
      <c r="K2489" s="201">
        <f>COUNTIFS(rl_key,$A$2452,rl_eff,"&gt;="&amp;$B2489,rl_eff,"&lt;="&amp;$C2489)</f>
        <v/>
      </c>
      <c r="L2489" s="201">
        <f>SUMIFS(rl_daysafter,rl_key,$A$2452,rl_effmonth,$B2489,rl_first,1)</f>
        <v/>
      </c>
      <c r="M2489" s="209">
        <f>IF($K2489=0,0,MIN(1,$L2489/$D2489))</f>
        <v/>
      </c>
      <c r="N2489" s="208">
        <f>IF($K2489=0,$J2489,(1-$M2489)*$I2489+$M2489*$J2489)</f>
        <v/>
      </c>
      <c r="O2489" s="209">
        <f>IF($F2489&lt;$B$2453,$E$2453+$I$2453*($F2489-$A$2453),IF($F2489&lt;$C$2453,$F$2453+$J$2453*($F2489-$B$2453),$G$2453+$K$2453*($F2489-$C$2453)))</f>
        <v/>
      </c>
      <c r="P2489" s="208">
        <f>MIN(1,MAX(0,(nr_MEndPm1-$G2489+0.5)/$C$2452))-MIN(1,MAX(0,(nr_MStartPm1-1-$G2489+0.5)/$C$2452))</f>
        <v/>
      </c>
      <c r="Q2489" s="208">
        <f>MIN(1,MAX(0,(nr_MEndP-$G2489+0.5)/$C$2452))-MIN(1,MAX(0,(nr_MStartP-1-$G2489+0.5)/$C$2452))</f>
        <v/>
      </c>
      <c r="R2489" s="208">
        <f>MIN(1,MAX(0,(nr_MEndP1-$G2489+0.5)/$C$2452))-MIN(1,MAX(0,(nr_MStartP1-1-$G2489+0.5)/$C$2452))</f>
        <v/>
      </c>
      <c r="S2489" s="208">
        <f>IF($L$2452,$N2489*IF($O$2452=1,$O2489/$F$2452,1),"")</f>
        <v/>
      </c>
      <c r="T2489" s="208">
        <f>IF(NOT($L$2452),"",IF($G2489&lt;nr_MStartP,$S2489,$T2477*(1+IF($G2489&lt;nr_MStartP1,$M$2452,$N$2452))))</f>
        <v/>
      </c>
      <c r="U2489" s="208">
        <f>IF($L$2452,$T2489,$N2489)</f>
        <v/>
      </c>
    </row>
    <row r="2490">
      <c r="A2490" s="145" t="n">
        <v>36</v>
      </c>
      <c r="B2490" s="204">
        <f>EDATE($B2489,1)</f>
        <v/>
      </c>
      <c r="C2490" s="205">
        <f>EOMONTH($B2490,0)</f>
        <v/>
      </c>
      <c r="D2490" s="201">
        <f>$C2490-$B2490+1</f>
        <v/>
      </c>
      <c r="E2490" s="201">
        <f>MONTH($B2490)</f>
        <v/>
      </c>
      <c r="F2490" s="235">
        <f>($B2490+$C2490+1)/2</f>
        <v/>
      </c>
      <c r="G2490" s="201">
        <f>YEAR($B2490)*12+MONTH($B2490)-1</f>
        <v/>
      </c>
      <c r="H2490" s="207">
        <f>IF(OR(nr_SeasonOn="OFF",$D$2452=0,$E$2452=0),1,12*INDEX(se_block,$D$2452,$E2490)/$E$2452)</f>
        <v/>
      </c>
      <c r="I2490" s="208">
        <f>EXP(SUMPRODUCT((rl_eff&lt;$B2490)*(rl_key=$A$2452)*rl_ln1p))</f>
        <v/>
      </c>
      <c r="J2490" s="208">
        <f>EXP(SUMPRODUCT((rl_eff&lt;=$C2490)*(rl_key=$A$2452)*rl_ln1p))</f>
        <v/>
      </c>
      <c r="K2490" s="201">
        <f>COUNTIFS(rl_key,$A$2452,rl_eff,"&gt;="&amp;$B2490,rl_eff,"&lt;="&amp;$C2490)</f>
        <v/>
      </c>
      <c r="L2490" s="201">
        <f>SUMIFS(rl_daysafter,rl_key,$A$2452,rl_effmonth,$B2490,rl_first,1)</f>
        <v/>
      </c>
      <c r="M2490" s="209">
        <f>IF($K2490=0,0,MIN(1,$L2490/$D2490))</f>
        <v/>
      </c>
      <c r="N2490" s="208">
        <f>IF($K2490=0,$J2490,(1-$M2490)*$I2490+$M2490*$J2490)</f>
        <v/>
      </c>
      <c r="O2490" s="209">
        <f>IF($F2490&lt;$B$2453,$E$2453+$I$2453*($F2490-$A$2453),IF($F2490&lt;$C$2453,$F$2453+$J$2453*($F2490-$B$2453),$G$2453+$K$2453*($F2490-$C$2453)))</f>
        <v/>
      </c>
      <c r="P2490" s="208">
        <f>MIN(1,MAX(0,(nr_MEndPm1-$G2490+0.5)/$C$2452))-MIN(1,MAX(0,(nr_MStartPm1-1-$G2490+0.5)/$C$2452))</f>
        <v/>
      </c>
      <c r="Q2490" s="208">
        <f>MIN(1,MAX(0,(nr_MEndP-$G2490+0.5)/$C$2452))-MIN(1,MAX(0,(nr_MStartP-1-$G2490+0.5)/$C$2452))</f>
        <v/>
      </c>
      <c r="R2490" s="208">
        <f>MIN(1,MAX(0,(nr_MEndP1-$G2490+0.5)/$C$2452))-MIN(1,MAX(0,(nr_MStartP1-1-$G2490+0.5)/$C$2452))</f>
        <v/>
      </c>
      <c r="S2490" s="208">
        <f>IF($L$2452,$N2490*IF($O$2452=1,$O2490/$F$2452,1),"")</f>
        <v/>
      </c>
      <c r="T2490" s="208">
        <f>IF(NOT($L$2452),"",IF($G2490&lt;nr_MStartP,$S2490,$T2478*(1+IF($G2490&lt;nr_MStartP1,$M$2452,$N$2452))))</f>
        <v/>
      </c>
      <c r="U2490" s="208">
        <f>IF($L$2452,$T2490,$N2490)</f>
        <v/>
      </c>
    </row>
    <row r="2491">
      <c r="A2491" s="145" t="n">
        <v>37</v>
      </c>
      <c r="B2491" s="204">
        <f>EDATE($B2490,1)</f>
        <v/>
      </c>
      <c r="C2491" s="205">
        <f>EOMONTH($B2491,0)</f>
        <v/>
      </c>
      <c r="D2491" s="201">
        <f>$C2491-$B2491+1</f>
        <v/>
      </c>
      <c r="E2491" s="201">
        <f>MONTH($B2491)</f>
        <v/>
      </c>
      <c r="F2491" s="235">
        <f>($B2491+$C2491+1)/2</f>
        <v/>
      </c>
      <c r="G2491" s="201">
        <f>YEAR($B2491)*12+MONTH($B2491)-1</f>
        <v/>
      </c>
      <c r="H2491" s="207">
        <f>IF(OR(nr_SeasonOn="OFF",$D$2452=0,$E$2452=0),1,12*INDEX(se_block,$D$2452,$E2491)/$E$2452)</f>
        <v/>
      </c>
      <c r="I2491" s="208">
        <f>EXP(SUMPRODUCT((rl_eff&lt;$B2491)*(rl_key=$A$2452)*rl_ln1p))</f>
        <v/>
      </c>
      <c r="J2491" s="208">
        <f>EXP(SUMPRODUCT((rl_eff&lt;=$C2491)*(rl_key=$A$2452)*rl_ln1p))</f>
        <v/>
      </c>
      <c r="K2491" s="201">
        <f>COUNTIFS(rl_key,$A$2452,rl_eff,"&gt;="&amp;$B2491,rl_eff,"&lt;="&amp;$C2491)</f>
        <v/>
      </c>
      <c r="L2491" s="201">
        <f>SUMIFS(rl_daysafter,rl_key,$A$2452,rl_effmonth,$B2491,rl_first,1)</f>
        <v/>
      </c>
      <c r="M2491" s="209">
        <f>IF($K2491=0,0,MIN(1,$L2491/$D2491))</f>
        <v/>
      </c>
      <c r="N2491" s="208">
        <f>IF($K2491=0,$J2491,(1-$M2491)*$I2491+$M2491*$J2491)</f>
        <v/>
      </c>
      <c r="O2491" s="209">
        <f>IF($F2491&lt;$B$2453,$E$2453+$I$2453*($F2491-$A$2453),IF($F2491&lt;$C$2453,$F$2453+$J$2453*($F2491-$B$2453),$G$2453+$K$2453*($F2491-$C$2453)))</f>
        <v/>
      </c>
      <c r="P2491" s="208">
        <f>MIN(1,MAX(0,(nr_MEndPm1-$G2491+0.5)/$C$2452))-MIN(1,MAX(0,(nr_MStartPm1-1-$G2491+0.5)/$C$2452))</f>
        <v/>
      </c>
      <c r="Q2491" s="208">
        <f>MIN(1,MAX(0,(nr_MEndP-$G2491+0.5)/$C$2452))-MIN(1,MAX(0,(nr_MStartP-1-$G2491+0.5)/$C$2452))</f>
        <v/>
      </c>
      <c r="R2491" s="208">
        <f>MIN(1,MAX(0,(nr_MEndP1-$G2491+0.5)/$C$2452))-MIN(1,MAX(0,(nr_MStartP1-1-$G2491+0.5)/$C$2452))</f>
        <v/>
      </c>
      <c r="S2491" s="208">
        <f>IF($L$2452,$N2491*IF($O$2452=1,$O2491/$F$2452,1),"")</f>
        <v/>
      </c>
      <c r="T2491" s="208">
        <f>IF(NOT($L$2452),"",IF($G2491&lt;nr_MStartP,$S2491,$T2479*(1+IF($G2491&lt;nr_MStartP1,$M$2452,$N$2452))))</f>
        <v/>
      </c>
      <c r="U2491" s="208">
        <f>IF($L$2452,$T2491,$N2491)</f>
        <v/>
      </c>
    </row>
    <row r="2492">
      <c r="A2492" s="145" t="n">
        <v>38</v>
      </c>
      <c r="B2492" s="204">
        <f>EDATE($B2491,1)</f>
        <v/>
      </c>
      <c r="C2492" s="205">
        <f>EOMONTH($B2492,0)</f>
        <v/>
      </c>
      <c r="D2492" s="201">
        <f>$C2492-$B2492+1</f>
        <v/>
      </c>
      <c r="E2492" s="201">
        <f>MONTH($B2492)</f>
        <v/>
      </c>
      <c r="F2492" s="235">
        <f>($B2492+$C2492+1)/2</f>
        <v/>
      </c>
      <c r="G2492" s="201">
        <f>YEAR($B2492)*12+MONTH($B2492)-1</f>
        <v/>
      </c>
      <c r="H2492" s="207">
        <f>IF(OR(nr_SeasonOn="OFF",$D$2452=0,$E$2452=0),1,12*INDEX(se_block,$D$2452,$E2492)/$E$2452)</f>
        <v/>
      </c>
      <c r="I2492" s="208">
        <f>EXP(SUMPRODUCT((rl_eff&lt;$B2492)*(rl_key=$A$2452)*rl_ln1p))</f>
        <v/>
      </c>
      <c r="J2492" s="208">
        <f>EXP(SUMPRODUCT((rl_eff&lt;=$C2492)*(rl_key=$A$2452)*rl_ln1p))</f>
        <v/>
      </c>
      <c r="K2492" s="201">
        <f>COUNTIFS(rl_key,$A$2452,rl_eff,"&gt;="&amp;$B2492,rl_eff,"&lt;="&amp;$C2492)</f>
        <v/>
      </c>
      <c r="L2492" s="201">
        <f>SUMIFS(rl_daysafter,rl_key,$A$2452,rl_effmonth,$B2492,rl_first,1)</f>
        <v/>
      </c>
      <c r="M2492" s="209">
        <f>IF($K2492=0,0,MIN(1,$L2492/$D2492))</f>
        <v/>
      </c>
      <c r="N2492" s="208">
        <f>IF($K2492=0,$J2492,(1-$M2492)*$I2492+$M2492*$J2492)</f>
        <v/>
      </c>
      <c r="O2492" s="209">
        <f>IF($F2492&lt;$B$2453,$E$2453+$I$2453*($F2492-$A$2453),IF($F2492&lt;$C$2453,$F$2453+$J$2453*($F2492-$B$2453),$G$2453+$K$2453*($F2492-$C$2453)))</f>
        <v/>
      </c>
      <c r="P2492" s="208">
        <f>MIN(1,MAX(0,(nr_MEndPm1-$G2492+0.5)/$C$2452))-MIN(1,MAX(0,(nr_MStartPm1-1-$G2492+0.5)/$C$2452))</f>
        <v/>
      </c>
      <c r="Q2492" s="208">
        <f>MIN(1,MAX(0,(nr_MEndP-$G2492+0.5)/$C$2452))-MIN(1,MAX(0,(nr_MStartP-1-$G2492+0.5)/$C$2452))</f>
        <v/>
      </c>
      <c r="R2492" s="208">
        <f>MIN(1,MAX(0,(nr_MEndP1-$G2492+0.5)/$C$2452))-MIN(1,MAX(0,(nr_MStartP1-1-$G2492+0.5)/$C$2452))</f>
        <v/>
      </c>
      <c r="S2492" s="208">
        <f>IF($L$2452,$N2492*IF($O$2452=1,$O2492/$F$2452,1),"")</f>
        <v/>
      </c>
      <c r="T2492" s="208">
        <f>IF(NOT($L$2452),"",IF($G2492&lt;nr_MStartP,$S2492,$T2480*(1+IF($G2492&lt;nr_MStartP1,$M$2452,$N$2452))))</f>
        <v/>
      </c>
      <c r="U2492" s="208">
        <f>IF($L$2452,$T2492,$N2492)</f>
        <v/>
      </c>
    </row>
    <row r="2493">
      <c r="A2493" s="145" t="n">
        <v>39</v>
      </c>
      <c r="B2493" s="204">
        <f>EDATE($B2492,1)</f>
        <v/>
      </c>
      <c r="C2493" s="205">
        <f>EOMONTH($B2493,0)</f>
        <v/>
      </c>
      <c r="D2493" s="201">
        <f>$C2493-$B2493+1</f>
        <v/>
      </c>
      <c r="E2493" s="201">
        <f>MONTH($B2493)</f>
        <v/>
      </c>
      <c r="F2493" s="235">
        <f>($B2493+$C2493+1)/2</f>
        <v/>
      </c>
      <c r="G2493" s="201">
        <f>YEAR($B2493)*12+MONTH($B2493)-1</f>
        <v/>
      </c>
      <c r="H2493" s="207">
        <f>IF(OR(nr_SeasonOn="OFF",$D$2452=0,$E$2452=0),1,12*INDEX(se_block,$D$2452,$E2493)/$E$2452)</f>
        <v/>
      </c>
      <c r="I2493" s="208">
        <f>EXP(SUMPRODUCT((rl_eff&lt;$B2493)*(rl_key=$A$2452)*rl_ln1p))</f>
        <v/>
      </c>
      <c r="J2493" s="208">
        <f>EXP(SUMPRODUCT((rl_eff&lt;=$C2493)*(rl_key=$A$2452)*rl_ln1p))</f>
        <v/>
      </c>
      <c r="K2493" s="201">
        <f>COUNTIFS(rl_key,$A$2452,rl_eff,"&gt;="&amp;$B2493,rl_eff,"&lt;="&amp;$C2493)</f>
        <v/>
      </c>
      <c r="L2493" s="201">
        <f>SUMIFS(rl_daysafter,rl_key,$A$2452,rl_effmonth,$B2493,rl_first,1)</f>
        <v/>
      </c>
      <c r="M2493" s="209">
        <f>IF($K2493=0,0,MIN(1,$L2493/$D2493))</f>
        <v/>
      </c>
      <c r="N2493" s="208">
        <f>IF($K2493=0,$J2493,(1-$M2493)*$I2493+$M2493*$J2493)</f>
        <v/>
      </c>
      <c r="O2493" s="209">
        <f>IF($F2493&lt;$B$2453,$E$2453+$I$2453*($F2493-$A$2453),IF($F2493&lt;$C$2453,$F$2453+$J$2453*($F2493-$B$2453),$G$2453+$K$2453*($F2493-$C$2453)))</f>
        <v/>
      </c>
      <c r="P2493" s="208">
        <f>MIN(1,MAX(0,(nr_MEndPm1-$G2493+0.5)/$C$2452))-MIN(1,MAX(0,(nr_MStartPm1-1-$G2493+0.5)/$C$2452))</f>
        <v/>
      </c>
      <c r="Q2493" s="208">
        <f>MIN(1,MAX(0,(nr_MEndP-$G2493+0.5)/$C$2452))-MIN(1,MAX(0,(nr_MStartP-1-$G2493+0.5)/$C$2452))</f>
        <v/>
      </c>
      <c r="R2493" s="208">
        <f>MIN(1,MAX(0,(nr_MEndP1-$G2493+0.5)/$C$2452))-MIN(1,MAX(0,(nr_MStartP1-1-$G2493+0.5)/$C$2452))</f>
        <v/>
      </c>
      <c r="S2493" s="208">
        <f>IF($L$2452,$N2493*IF($O$2452=1,$O2493/$F$2452,1),"")</f>
        <v/>
      </c>
      <c r="T2493" s="208">
        <f>IF(NOT($L$2452),"",IF($G2493&lt;nr_MStartP,$S2493,$T2481*(1+IF($G2493&lt;nr_MStartP1,$M$2452,$N$2452))))</f>
        <v/>
      </c>
      <c r="U2493" s="208">
        <f>IF($L$2452,$T2493,$N2493)</f>
        <v/>
      </c>
    </row>
    <row r="2494">
      <c r="A2494" s="145" t="n">
        <v>40</v>
      </c>
      <c r="B2494" s="204">
        <f>EDATE($B2493,1)</f>
        <v/>
      </c>
      <c r="C2494" s="205">
        <f>EOMONTH($B2494,0)</f>
        <v/>
      </c>
      <c r="D2494" s="201">
        <f>$C2494-$B2494+1</f>
        <v/>
      </c>
      <c r="E2494" s="201">
        <f>MONTH($B2494)</f>
        <v/>
      </c>
      <c r="F2494" s="235">
        <f>($B2494+$C2494+1)/2</f>
        <v/>
      </c>
      <c r="G2494" s="201">
        <f>YEAR($B2494)*12+MONTH($B2494)-1</f>
        <v/>
      </c>
      <c r="H2494" s="207">
        <f>IF(OR(nr_SeasonOn="OFF",$D$2452=0,$E$2452=0),1,12*INDEX(se_block,$D$2452,$E2494)/$E$2452)</f>
        <v/>
      </c>
      <c r="I2494" s="208">
        <f>EXP(SUMPRODUCT((rl_eff&lt;$B2494)*(rl_key=$A$2452)*rl_ln1p))</f>
        <v/>
      </c>
      <c r="J2494" s="208">
        <f>EXP(SUMPRODUCT((rl_eff&lt;=$C2494)*(rl_key=$A$2452)*rl_ln1p))</f>
        <v/>
      </c>
      <c r="K2494" s="201">
        <f>COUNTIFS(rl_key,$A$2452,rl_eff,"&gt;="&amp;$B2494,rl_eff,"&lt;="&amp;$C2494)</f>
        <v/>
      </c>
      <c r="L2494" s="201">
        <f>SUMIFS(rl_daysafter,rl_key,$A$2452,rl_effmonth,$B2494,rl_first,1)</f>
        <v/>
      </c>
      <c r="M2494" s="209">
        <f>IF($K2494=0,0,MIN(1,$L2494/$D2494))</f>
        <v/>
      </c>
      <c r="N2494" s="208">
        <f>IF($K2494=0,$J2494,(1-$M2494)*$I2494+$M2494*$J2494)</f>
        <v/>
      </c>
      <c r="O2494" s="209">
        <f>IF($F2494&lt;$B$2453,$E$2453+$I$2453*($F2494-$A$2453),IF($F2494&lt;$C$2453,$F$2453+$J$2453*($F2494-$B$2453),$G$2453+$K$2453*($F2494-$C$2453)))</f>
        <v/>
      </c>
      <c r="P2494" s="208">
        <f>MIN(1,MAX(0,(nr_MEndPm1-$G2494+0.5)/$C$2452))-MIN(1,MAX(0,(nr_MStartPm1-1-$G2494+0.5)/$C$2452))</f>
        <v/>
      </c>
      <c r="Q2494" s="208">
        <f>MIN(1,MAX(0,(nr_MEndP-$G2494+0.5)/$C$2452))-MIN(1,MAX(0,(nr_MStartP-1-$G2494+0.5)/$C$2452))</f>
        <v/>
      </c>
      <c r="R2494" s="208">
        <f>MIN(1,MAX(0,(nr_MEndP1-$G2494+0.5)/$C$2452))-MIN(1,MAX(0,(nr_MStartP1-1-$G2494+0.5)/$C$2452))</f>
        <v/>
      </c>
      <c r="S2494" s="208">
        <f>IF($L$2452,$N2494*IF($O$2452=1,$O2494/$F$2452,1),"")</f>
        <v/>
      </c>
      <c r="T2494" s="208">
        <f>IF(NOT($L$2452),"",IF($G2494&lt;nr_MStartP,$S2494,$T2482*(1+IF($G2494&lt;nr_MStartP1,$M$2452,$N$2452))))</f>
        <v/>
      </c>
      <c r="U2494" s="208">
        <f>IF($L$2452,$T2494,$N2494)</f>
        <v/>
      </c>
    </row>
    <row r="2495">
      <c r="A2495" s="145" t="n">
        <v>41</v>
      </c>
      <c r="B2495" s="204">
        <f>EDATE($B2494,1)</f>
        <v/>
      </c>
      <c r="C2495" s="205">
        <f>EOMONTH($B2495,0)</f>
        <v/>
      </c>
      <c r="D2495" s="201">
        <f>$C2495-$B2495+1</f>
        <v/>
      </c>
      <c r="E2495" s="201">
        <f>MONTH($B2495)</f>
        <v/>
      </c>
      <c r="F2495" s="235">
        <f>($B2495+$C2495+1)/2</f>
        <v/>
      </c>
      <c r="G2495" s="201">
        <f>YEAR($B2495)*12+MONTH($B2495)-1</f>
        <v/>
      </c>
      <c r="H2495" s="207">
        <f>IF(OR(nr_SeasonOn="OFF",$D$2452=0,$E$2452=0),1,12*INDEX(se_block,$D$2452,$E2495)/$E$2452)</f>
        <v/>
      </c>
      <c r="I2495" s="208">
        <f>EXP(SUMPRODUCT((rl_eff&lt;$B2495)*(rl_key=$A$2452)*rl_ln1p))</f>
        <v/>
      </c>
      <c r="J2495" s="208">
        <f>EXP(SUMPRODUCT((rl_eff&lt;=$C2495)*(rl_key=$A$2452)*rl_ln1p))</f>
        <v/>
      </c>
      <c r="K2495" s="201">
        <f>COUNTIFS(rl_key,$A$2452,rl_eff,"&gt;="&amp;$B2495,rl_eff,"&lt;="&amp;$C2495)</f>
        <v/>
      </c>
      <c r="L2495" s="201">
        <f>SUMIFS(rl_daysafter,rl_key,$A$2452,rl_effmonth,$B2495,rl_first,1)</f>
        <v/>
      </c>
      <c r="M2495" s="209">
        <f>IF($K2495=0,0,MIN(1,$L2495/$D2495))</f>
        <v/>
      </c>
      <c r="N2495" s="208">
        <f>IF($K2495=0,$J2495,(1-$M2495)*$I2495+$M2495*$J2495)</f>
        <v/>
      </c>
      <c r="O2495" s="209">
        <f>IF($F2495&lt;$B$2453,$E$2453+$I$2453*($F2495-$A$2453),IF($F2495&lt;$C$2453,$F$2453+$J$2453*($F2495-$B$2453),$G$2453+$K$2453*($F2495-$C$2453)))</f>
        <v/>
      </c>
      <c r="P2495" s="208">
        <f>MIN(1,MAX(0,(nr_MEndPm1-$G2495+0.5)/$C$2452))-MIN(1,MAX(0,(nr_MStartPm1-1-$G2495+0.5)/$C$2452))</f>
        <v/>
      </c>
      <c r="Q2495" s="208">
        <f>MIN(1,MAX(0,(nr_MEndP-$G2495+0.5)/$C$2452))-MIN(1,MAX(0,(nr_MStartP-1-$G2495+0.5)/$C$2452))</f>
        <v/>
      </c>
      <c r="R2495" s="208">
        <f>MIN(1,MAX(0,(nr_MEndP1-$G2495+0.5)/$C$2452))-MIN(1,MAX(0,(nr_MStartP1-1-$G2495+0.5)/$C$2452))</f>
        <v/>
      </c>
      <c r="S2495" s="208">
        <f>IF($L$2452,$N2495*IF($O$2452=1,$O2495/$F$2452,1),"")</f>
        <v/>
      </c>
      <c r="T2495" s="208">
        <f>IF(NOT($L$2452),"",IF($G2495&lt;nr_MStartP,$S2495,$T2483*(1+IF($G2495&lt;nr_MStartP1,$M$2452,$N$2452))))</f>
        <v/>
      </c>
      <c r="U2495" s="208">
        <f>IF($L$2452,$T2495,$N2495)</f>
        <v/>
      </c>
    </row>
    <row r="2496">
      <c r="A2496" s="145" t="n">
        <v>42</v>
      </c>
      <c r="B2496" s="204">
        <f>EDATE($B2495,1)</f>
        <v/>
      </c>
      <c r="C2496" s="205">
        <f>EOMONTH($B2496,0)</f>
        <v/>
      </c>
      <c r="D2496" s="201">
        <f>$C2496-$B2496+1</f>
        <v/>
      </c>
      <c r="E2496" s="201">
        <f>MONTH($B2496)</f>
        <v/>
      </c>
      <c r="F2496" s="235">
        <f>($B2496+$C2496+1)/2</f>
        <v/>
      </c>
      <c r="G2496" s="201">
        <f>YEAR($B2496)*12+MONTH($B2496)-1</f>
        <v/>
      </c>
      <c r="H2496" s="207">
        <f>IF(OR(nr_SeasonOn="OFF",$D$2452=0,$E$2452=0),1,12*INDEX(se_block,$D$2452,$E2496)/$E$2452)</f>
        <v/>
      </c>
      <c r="I2496" s="208">
        <f>EXP(SUMPRODUCT((rl_eff&lt;$B2496)*(rl_key=$A$2452)*rl_ln1p))</f>
        <v/>
      </c>
      <c r="J2496" s="208">
        <f>EXP(SUMPRODUCT((rl_eff&lt;=$C2496)*(rl_key=$A$2452)*rl_ln1p))</f>
        <v/>
      </c>
      <c r="K2496" s="201">
        <f>COUNTIFS(rl_key,$A$2452,rl_eff,"&gt;="&amp;$B2496,rl_eff,"&lt;="&amp;$C2496)</f>
        <v/>
      </c>
      <c r="L2496" s="201">
        <f>SUMIFS(rl_daysafter,rl_key,$A$2452,rl_effmonth,$B2496,rl_first,1)</f>
        <v/>
      </c>
      <c r="M2496" s="209">
        <f>IF($K2496=0,0,MIN(1,$L2496/$D2496))</f>
        <v/>
      </c>
      <c r="N2496" s="208">
        <f>IF($K2496=0,$J2496,(1-$M2496)*$I2496+$M2496*$J2496)</f>
        <v/>
      </c>
      <c r="O2496" s="209">
        <f>IF($F2496&lt;$B$2453,$E$2453+$I$2453*($F2496-$A$2453),IF($F2496&lt;$C$2453,$F$2453+$J$2453*($F2496-$B$2453),$G$2453+$K$2453*($F2496-$C$2453)))</f>
        <v/>
      </c>
      <c r="P2496" s="208">
        <f>MIN(1,MAX(0,(nr_MEndPm1-$G2496+0.5)/$C$2452))-MIN(1,MAX(0,(nr_MStartPm1-1-$G2496+0.5)/$C$2452))</f>
        <v/>
      </c>
      <c r="Q2496" s="208">
        <f>MIN(1,MAX(0,(nr_MEndP-$G2496+0.5)/$C$2452))-MIN(1,MAX(0,(nr_MStartP-1-$G2496+0.5)/$C$2452))</f>
        <v/>
      </c>
      <c r="R2496" s="208">
        <f>MIN(1,MAX(0,(nr_MEndP1-$G2496+0.5)/$C$2452))-MIN(1,MAX(0,(nr_MStartP1-1-$G2496+0.5)/$C$2452))</f>
        <v/>
      </c>
      <c r="S2496" s="208">
        <f>IF($L$2452,$N2496*IF($O$2452=1,$O2496/$F$2452,1),"")</f>
        <v/>
      </c>
      <c r="T2496" s="208">
        <f>IF(NOT($L$2452),"",IF($G2496&lt;nr_MStartP,$S2496,$T2484*(1+IF($G2496&lt;nr_MStartP1,$M$2452,$N$2452))))</f>
        <v/>
      </c>
      <c r="U2496" s="208">
        <f>IF($L$2452,$T2496,$N2496)</f>
        <v/>
      </c>
    </row>
    <row r="2497">
      <c r="A2497" s="145" t="n">
        <v>43</v>
      </c>
      <c r="B2497" s="204">
        <f>EDATE($B2496,1)</f>
        <v/>
      </c>
      <c r="C2497" s="205">
        <f>EOMONTH($B2497,0)</f>
        <v/>
      </c>
      <c r="D2497" s="201">
        <f>$C2497-$B2497+1</f>
        <v/>
      </c>
      <c r="E2497" s="201">
        <f>MONTH($B2497)</f>
        <v/>
      </c>
      <c r="F2497" s="235">
        <f>($B2497+$C2497+1)/2</f>
        <v/>
      </c>
      <c r="G2497" s="201">
        <f>YEAR($B2497)*12+MONTH($B2497)-1</f>
        <v/>
      </c>
      <c r="H2497" s="207">
        <f>IF(OR(nr_SeasonOn="OFF",$D$2452=0,$E$2452=0),1,12*INDEX(se_block,$D$2452,$E2497)/$E$2452)</f>
        <v/>
      </c>
      <c r="I2497" s="208">
        <f>EXP(SUMPRODUCT((rl_eff&lt;$B2497)*(rl_key=$A$2452)*rl_ln1p))</f>
        <v/>
      </c>
      <c r="J2497" s="208">
        <f>EXP(SUMPRODUCT((rl_eff&lt;=$C2497)*(rl_key=$A$2452)*rl_ln1p))</f>
        <v/>
      </c>
      <c r="K2497" s="201">
        <f>COUNTIFS(rl_key,$A$2452,rl_eff,"&gt;="&amp;$B2497,rl_eff,"&lt;="&amp;$C2497)</f>
        <v/>
      </c>
      <c r="L2497" s="201">
        <f>SUMIFS(rl_daysafter,rl_key,$A$2452,rl_effmonth,$B2497,rl_first,1)</f>
        <v/>
      </c>
      <c r="M2497" s="209">
        <f>IF($K2497=0,0,MIN(1,$L2497/$D2497))</f>
        <v/>
      </c>
      <c r="N2497" s="208">
        <f>IF($K2497=0,$J2497,(1-$M2497)*$I2497+$M2497*$J2497)</f>
        <v/>
      </c>
      <c r="O2497" s="209">
        <f>IF($F2497&lt;$B$2453,$E$2453+$I$2453*($F2497-$A$2453),IF($F2497&lt;$C$2453,$F$2453+$J$2453*($F2497-$B$2453),$G$2453+$K$2453*($F2497-$C$2453)))</f>
        <v/>
      </c>
      <c r="P2497" s="208">
        <f>MIN(1,MAX(0,(nr_MEndPm1-$G2497+0.5)/$C$2452))-MIN(1,MAX(0,(nr_MStartPm1-1-$G2497+0.5)/$C$2452))</f>
        <v/>
      </c>
      <c r="Q2497" s="208">
        <f>MIN(1,MAX(0,(nr_MEndP-$G2497+0.5)/$C$2452))-MIN(1,MAX(0,(nr_MStartP-1-$G2497+0.5)/$C$2452))</f>
        <v/>
      </c>
      <c r="R2497" s="208">
        <f>MIN(1,MAX(0,(nr_MEndP1-$G2497+0.5)/$C$2452))-MIN(1,MAX(0,(nr_MStartP1-1-$G2497+0.5)/$C$2452))</f>
        <v/>
      </c>
      <c r="S2497" s="208">
        <f>IF($L$2452,$N2497*IF($O$2452=1,$O2497/$F$2452,1),"")</f>
        <v/>
      </c>
      <c r="T2497" s="208">
        <f>IF(NOT($L$2452),"",IF($G2497&lt;nr_MStartP,$S2497,$T2485*(1+IF($G2497&lt;nr_MStartP1,$M$2452,$N$2452))))</f>
        <v/>
      </c>
      <c r="U2497" s="208">
        <f>IF($L$2452,$T2497,$N2497)</f>
        <v/>
      </c>
    </row>
    <row r="2498">
      <c r="A2498" s="145" t="n">
        <v>44</v>
      </c>
      <c r="B2498" s="204">
        <f>EDATE($B2497,1)</f>
        <v/>
      </c>
      <c r="C2498" s="205">
        <f>EOMONTH($B2498,0)</f>
        <v/>
      </c>
      <c r="D2498" s="201">
        <f>$C2498-$B2498+1</f>
        <v/>
      </c>
      <c r="E2498" s="201">
        <f>MONTH($B2498)</f>
        <v/>
      </c>
      <c r="F2498" s="235">
        <f>($B2498+$C2498+1)/2</f>
        <v/>
      </c>
      <c r="G2498" s="201">
        <f>YEAR($B2498)*12+MONTH($B2498)-1</f>
        <v/>
      </c>
      <c r="H2498" s="207">
        <f>IF(OR(nr_SeasonOn="OFF",$D$2452=0,$E$2452=0),1,12*INDEX(se_block,$D$2452,$E2498)/$E$2452)</f>
        <v/>
      </c>
      <c r="I2498" s="208">
        <f>EXP(SUMPRODUCT((rl_eff&lt;$B2498)*(rl_key=$A$2452)*rl_ln1p))</f>
        <v/>
      </c>
      <c r="J2498" s="208">
        <f>EXP(SUMPRODUCT((rl_eff&lt;=$C2498)*(rl_key=$A$2452)*rl_ln1p))</f>
        <v/>
      </c>
      <c r="K2498" s="201">
        <f>COUNTIFS(rl_key,$A$2452,rl_eff,"&gt;="&amp;$B2498,rl_eff,"&lt;="&amp;$C2498)</f>
        <v/>
      </c>
      <c r="L2498" s="201">
        <f>SUMIFS(rl_daysafter,rl_key,$A$2452,rl_effmonth,$B2498,rl_first,1)</f>
        <v/>
      </c>
      <c r="M2498" s="209">
        <f>IF($K2498=0,0,MIN(1,$L2498/$D2498))</f>
        <v/>
      </c>
      <c r="N2498" s="208">
        <f>IF($K2498=0,$J2498,(1-$M2498)*$I2498+$M2498*$J2498)</f>
        <v/>
      </c>
      <c r="O2498" s="209">
        <f>IF($F2498&lt;$B$2453,$E$2453+$I$2453*($F2498-$A$2453),IF($F2498&lt;$C$2453,$F$2453+$J$2453*($F2498-$B$2453),$G$2453+$K$2453*($F2498-$C$2453)))</f>
        <v/>
      </c>
      <c r="P2498" s="208">
        <f>MIN(1,MAX(0,(nr_MEndPm1-$G2498+0.5)/$C$2452))-MIN(1,MAX(0,(nr_MStartPm1-1-$G2498+0.5)/$C$2452))</f>
        <v/>
      </c>
      <c r="Q2498" s="208">
        <f>MIN(1,MAX(0,(nr_MEndP-$G2498+0.5)/$C$2452))-MIN(1,MAX(0,(nr_MStartP-1-$G2498+0.5)/$C$2452))</f>
        <v/>
      </c>
      <c r="R2498" s="208">
        <f>MIN(1,MAX(0,(nr_MEndP1-$G2498+0.5)/$C$2452))-MIN(1,MAX(0,(nr_MStartP1-1-$G2498+0.5)/$C$2452))</f>
        <v/>
      </c>
      <c r="S2498" s="208">
        <f>IF($L$2452,$N2498*IF($O$2452=1,$O2498/$F$2452,1),"")</f>
        <v/>
      </c>
      <c r="T2498" s="208">
        <f>IF(NOT($L$2452),"",IF($G2498&lt;nr_MStartP,$S2498,$T2486*(1+IF($G2498&lt;nr_MStartP1,$M$2452,$N$2452))))</f>
        <v/>
      </c>
      <c r="U2498" s="208">
        <f>IF($L$2452,$T2498,$N2498)</f>
        <v/>
      </c>
    </row>
    <row r="2499">
      <c r="A2499" s="145" t="n">
        <v>45</v>
      </c>
      <c r="B2499" s="204">
        <f>EDATE($B2498,1)</f>
        <v/>
      </c>
      <c r="C2499" s="205">
        <f>EOMONTH($B2499,0)</f>
        <v/>
      </c>
      <c r="D2499" s="201">
        <f>$C2499-$B2499+1</f>
        <v/>
      </c>
      <c r="E2499" s="201">
        <f>MONTH($B2499)</f>
        <v/>
      </c>
      <c r="F2499" s="235">
        <f>($B2499+$C2499+1)/2</f>
        <v/>
      </c>
      <c r="G2499" s="201">
        <f>YEAR($B2499)*12+MONTH($B2499)-1</f>
        <v/>
      </c>
      <c r="H2499" s="207">
        <f>IF(OR(nr_SeasonOn="OFF",$D$2452=0,$E$2452=0),1,12*INDEX(se_block,$D$2452,$E2499)/$E$2452)</f>
        <v/>
      </c>
      <c r="I2499" s="208">
        <f>EXP(SUMPRODUCT((rl_eff&lt;$B2499)*(rl_key=$A$2452)*rl_ln1p))</f>
        <v/>
      </c>
      <c r="J2499" s="208">
        <f>EXP(SUMPRODUCT((rl_eff&lt;=$C2499)*(rl_key=$A$2452)*rl_ln1p))</f>
        <v/>
      </c>
      <c r="K2499" s="201">
        <f>COUNTIFS(rl_key,$A$2452,rl_eff,"&gt;="&amp;$B2499,rl_eff,"&lt;="&amp;$C2499)</f>
        <v/>
      </c>
      <c r="L2499" s="201">
        <f>SUMIFS(rl_daysafter,rl_key,$A$2452,rl_effmonth,$B2499,rl_first,1)</f>
        <v/>
      </c>
      <c r="M2499" s="209">
        <f>IF($K2499=0,0,MIN(1,$L2499/$D2499))</f>
        <v/>
      </c>
      <c r="N2499" s="208">
        <f>IF($K2499=0,$J2499,(1-$M2499)*$I2499+$M2499*$J2499)</f>
        <v/>
      </c>
      <c r="O2499" s="209">
        <f>IF($F2499&lt;$B$2453,$E$2453+$I$2453*($F2499-$A$2453),IF($F2499&lt;$C$2453,$F$2453+$J$2453*($F2499-$B$2453),$G$2453+$K$2453*($F2499-$C$2453)))</f>
        <v/>
      </c>
      <c r="P2499" s="208">
        <f>MIN(1,MAX(0,(nr_MEndPm1-$G2499+0.5)/$C$2452))-MIN(1,MAX(0,(nr_MStartPm1-1-$G2499+0.5)/$C$2452))</f>
        <v/>
      </c>
      <c r="Q2499" s="208">
        <f>MIN(1,MAX(0,(nr_MEndP-$G2499+0.5)/$C$2452))-MIN(1,MAX(0,(nr_MStartP-1-$G2499+0.5)/$C$2452))</f>
        <v/>
      </c>
      <c r="R2499" s="208">
        <f>MIN(1,MAX(0,(nr_MEndP1-$G2499+0.5)/$C$2452))-MIN(1,MAX(0,(nr_MStartP1-1-$G2499+0.5)/$C$2452))</f>
        <v/>
      </c>
      <c r="S2499" s="208">
        <f>IF($L$2452,$N2499*IF($O$2452=1,$O2499/$F$2452,1),"")</f>
        <v/>
      </c>
      <c r="T2499" s="208">
        <f>IF(NOT($L$2452),"",IF($G2499&lt;nr_MStartP,$S2499,$T2487*(1+IF($G2499&lt;nr_MStartP1,$M$2452,$N$2452))))</f>
        <v/>
      </c>
      <c r="U2499" s="208">
        <f>IF($L$2452,$T2499,$N2499)</f>
        <v/>
      </c>
    </row>
    <row r="2500">
      <c r="A2500" s="145" t="n">
        <v>46</v>
      </c>
      <c r="B2500" s="204">
        <f>EDATE($B2499,1)</f>
        <v/>
      </c>
      <c r="C2500" s="205">
        <f>EOMONTH($B2500,0)</f>
        <v/>
      </c>
      <c r="D2500" s="201">
        <f>$C2500-$B2500+1</f>
        <v/>
      </c>
      <c r="E2500" s="201">
        <f>MONTH($B2500)</f>
        <v/>
      </c>
      <c r="F2500" s="235">
        <f>($B2500+$C2500+1)/2</f>
        <v/>
      </c>
      <c r="G2500" s="201">
        <f>YEAR($B2500)*12+MONTH($B2500)-1</f>
        <v/>
      </c>
      <c r="H2500" s="207">
        <f>IF(OR(nr_SeasonOn="OFF",$D$2452=0,$E$2452=0),1,12*INDEX(se_block,$D$2452,$E2500)/$E$2452)</f>
        <v/>
      </c>
      <c r="I2500" s="208">
        <f>EXP(SUMPRODUCT((rl_eff&lt;$B2500)*(rl_key=$A$2452)*rl_ln1p))</f>
        <v/>
      </c>
      <c r="J2500" s="208">
        <f>EXP(SUMPRODUCT((rl_eff&lt;=$C2500)*(rl_key=$A$2452)*rl_ln1p))</f>
        <v/>
      </c>
      <c r="K2500" s="201">
        <f>COUNTIFS(rl_key,$A$2452,rl_eff,"&gt;="&amp;$B2500,rl_eff,"&lt;="&amp;$C2500)</f>
        <v/>
      </c>
      <c r="L2500" s="201">
        <f>SUMIFS(rl_daysafter,rl_key,$A$2452,rl_effmonth,$B2500,rl_first,1)</f>
        <v/>
      </c>
      <c r="M2500" s="209">
        <f>IF($K2500=0,0,MIN(1,$L2500/$D2500))</f>
        <v/>
      </c>
      <c r="N2500" s="208">
        <f>IF($K2500=0,$J2500,(1-$M2500)*$I2500+$M2500*$J2500)</f>
        <v/>
      </c>
      <c r="O2500" s="209">
        <f>IF($F2500&lt;$B$2453,$E$2453+$I$2453*($F2500-$A$2453),IF($F2500&lt;$C$2453,$F$2453+$J$2453*($F2500-$B$2453),$G$2453+$K$2453*($F2500-$C$2453)))</f>
        <v/>
      </c>
      <c r="P2500" s="208">
        <f>MIN(1,MAX(0,(nr_MEndPm1-$G2500+0.5)/$C$2452))-MIN(1,MAX(0,(nr_MStartPm1-1-$G2500+0.5)/$C$2452))</f>
        <v/>
      </c>
      <c r="Q2500" s="208">
        <f>MIN(1,MAX(0,(nr_MEndP-$G2500+0.5)/$C$2452))-MIN(1,MAX(0,(nr_MStartP-1-$G2500+0.5)/$C$2452))</f>
        <v/>
      </c>
      <c r="R2500" s="208">
        <f>MIN(1,MAX(0,(nr_MEndP1-$G2500+0.5)/$C$2452))-MIN(1,MAX(0,(nr_MStartP1-1-$G2500+0.5)/$C$2452))</f>
        <v/>
      </c>
      <c r="S2500" s="208">
        <f>IF($L$2452,$N2500*IF($O$2452=1,$O2500/$F$2452,1),"")</f>
        <v/>
      </c>
      <c r="T2500" s="208">
        <f>IF(NOT($L$2452),"",IF($G2500&lt;nr_MStartP,$S2500,$T2488*(1+IF($G2500&lt;nr_MStartP1,$M$2452,$N$2452))))</f>
        <v/>
      </c>
      <c r="U2500" s="208">
        <f>IF($L$2452,$T2500,$N2500)</f>
        <v/>
      </c>
    </row>
    <row r="2501">
      <c r="A2501" s="145" t="n">
        <v>47</v>
      </c>
      <c r="B2501" s="204">
        <f>EDATE($B2500,1)</f>
        <v/>
      </c>
      <c r="C2501" s="205">
        <f>EOMONTH($B2501,0)</f>
        <v/>
      </c>
      <c r="D2501" s="201">
        <f>$C2501-$B2501+1</f>
        <v/>
      </c>
      <c r="E2501" s="201">
        <f>MONTH($B2501)</f>
        <v/>
      </c>
      <c r="F2501" s="235">
        <f>($B2501+$C2501+1)/2</f>
        <v/>
      </c>
      <c r="G2501" s="201">
        <f>YEAR($B2501)*12+MONTH($B2501)-1</f>
        <v/>
      </c>
      <c r="H2501" s="207">
        <f>IF(OR(nr_SeasonOn="OFF",$D$2452=0,$E$2452=0),1,12*INDEX(se_block,$D$2452,$E2501)/$E$2452)</f>
        <v/>
      </c>
      <c r="I2501" s="208">
        <f>EXP(SUMPRODUCT((rl_eff&lt;$B2501)*(rl_key=$A$2452)*rl_ln1p))</f>
        <v/>
      </c>
      <c r="J2501" s="208">
        <f>EXP(SUMPRODUCT((rl_eff&lt;=$C2501)*(rl_key=$A$2452)*rl_ln1p))</f>
        <v/>
      </c>
      <c r="K2501" s="201">
        <f>COUNTIFS(rl_key,$A$2452,rl_eff,"&gt;="&amp;$B2501,rl_eff,"&lt;="&amp;$C2501)</f>
        <v/>
      </c>
      <c r="L2501" s="201">
        <f>SUMIFS(rl_daysafter,rl_key,$A$2452,rl_effmonth,$B2501,rl_first,1)</f>
        <v/>
      </c>
      <c r="M2501" s="209">
        <f>IF($K2501=0,0,MIN(1,$L2501/$D2501))</f>
        <v/>
      </c>
      <c r="N2501" s="208">
        <f>IF($K2501=0,$J2501,(1-$M2501)*$I2501+$M2501*$J2501)</f>
        <v/>
      </c>
      <c r="O2501" s="209">
        <f>IF($F2501&lt;$B$2453,$E$2453+$I$2453*($F2501-$A$2453),IF($F2501&lt;$C$2453,$F$2453+$J$2453*($F2501-$B$2453),$G$2453+$K$2453*($F2501-$C$2453)))</f>
        <v/>
      </c>
      <c r="P2501" s="208">
        <f>MIN(1,MAX(0,(nr_MEndPm1-$G2501+0.5)/$C$2452))-MIN(1,MAX(0,(nr_MStartPm1-1-$G2501+0.5)/$C$2452))</f>
        <v/>
      </c>
      <c r="Q2501" s="208">
        <f>MIN(1,MAX(0,(nr_MEndP-$G2501+0.5)/$C$2452))-MIN(1,MAX(0,(nr_MStartP-1-$G2501+0.5)/$C$2452))</f>
        <v/>
      </c>
      <c r="R2501" s="208">
        <f>MIN(1,MAX(0,(nr_MEndP1-$G2501+0.5)/$C$2452))-MIN(1,MAX(0,(nr_MStartP1-1-$G2501+0.5)/$C$2452))</f>
        <v/>
      </c>
      <c r="S2501" s="208">
        <f>IF($L$2452,$N2501*IF($O$2452=1,$O2501/$F$2452,1),"")</f>
        <v/>
      </c>
      <c r="T2501" s="208">
        <f>IF(NOT($L$2452),"",IF($G2501&lt;nr_MStartP,$S2501,$T2489*(1+IF($G2501&lt;nr_MStartP1,$M$2452,$N$2452))))</f>
        <v/>
      </c>
      <c r="U2501" s="208">
        <f>IF($L$2452,$T2501,$N2501)</f>
        <v/>
      </c>
    </row>
    <row r="2502">
      <c r="A2502" s="145" t="n">
        <v>48</v>
      </c>
      <c r="B2502" s="204">
        <f>EDATE($B2501,1)</f>
        <v/>
      </c>
      <c r="C2502" s="205">
        <f>EOMONTH($B2502,0)</f>
        <v/>
      </c>
      <c r="D2502" s="201">
        <f>$C2502-$B2502+1</f>
        <v/>
      </c>
      <c r="E2502" s="201">
        <f>MONTH($B2502)</f>
        <v/>
      </c>
      <c r="F2502" s="235">
        <f>($B2502+$C2502+1)/2</f>
        <v/>
      </c>
      <c r="G2502" s="201">
        <f>YEAR($B2502)*12+MONTH($B2502)-1</f>
        <v/>
      </c>
      <c r="H2502" s="207">
        <f>IF(OR(nr_SeasonOn="OFF",$D$2452=0,$E$2452=0),1,12*INDEX(se_block,$D$2452,$E2502)/$E$2452)</f>
        <v/>
      </c>
      <c r="I2502" s="208">
        <f>EXP(SUMPRODUCT((rl_eff&lt;$B2502)*(rl_key=$A$2452)*rl_ln1p))</f>
        <v/>
      </c>
      <c r="J2502" s="208">
        <f>EXP(SUMPRODUCT((rl_eff&lt;=$C2502)*(rl_key=$A$2452)*rl_ln1p))</f>
        <v/>
      </c>
      <c r="K2502" s="201">
        <f>COUNTIFS(rl_key,$A$2452,rl_eff,"&gt;="&amp;$B2502,rl_eff,"&lt;="&amp;$C2502)</f>
        <v/>
      </c>
      <c r="L2502" s="201">
        <f>SUMIFS(rl_daysafter,rl_key,$A$2452,rl_effmonth,$B2502,rl_first,1)</f>
        <v/>
      </c>
      <c r="M2502" s="209">
        <f>IF($K2502=0,0,MIN(1,$L2502/$D2502))</f>
        <v/>
      </c>
      <c r="N2502" s="208">
        <f>IF($K2502=0,$J2502,(1-$M2502)*$I2502+$M2502*$J2502)</f>
        <v/>
      </c>
      <c r="O2502" s="209">
        <f>IF($F2502&lt;$B$2453,$E$2453+$I$2453*($F2502-$A$2453),IF($F2502&lt;$C$2453,$F$2453+$J$2453*($F2502-$B$2453),$G$2453+$K$2453*($F2502-$C$2453)))</f>
        <v/>
      </c>
      <c r="P2502" s="208">
        <f>MIN(1,MAX(0,(nr_MEndPm1-$G2502+0.5)/$C$2452))-MIN(1,MAX(0,(nr_MStartPm1-1-$G2502+0.5)/$C$2452))</f>
        <v/>
      </c>
      <c r="Q2502" s="208">
        <f>MIN(1,MAX(0,(nr_MEndP-$G2502+0.5)/$C$2452))-MIN(1,MAX(0,(nr_MStartP-1-$G2502+0.5)/$C$2452))</f>
        <v/>
      </c>
      <c r="R2502" s="208">
        <f>MIN(1,MAX(0,(nr_MEndP1-$G2502+0.5)/$C$2452))-MIN(1,MAX(0,(nr_MStartP1-1-$G2502+0.5)/$C$2452))</f>
        <v/>
      </c>
      <c r="S2502" s="208">
        <f>IF($L$2452,$N2502*IF($O$2452=1,$O2502/$F$2452,1),"")</f>
        <v/>
      </c>
      <c r="T2502" s="208">
        <f>IF(NOT($L$2452),"",IF($G2502&lt;nr_MStartP,$S2502,$T2490*(1+IF($G2502&lt;nr_MStartP1,$M$2452,$N$2452))))</f>
        <v/>
      </c>
      <c r="U2502" s="208">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184">
        <f>SUMPRODUCT($H$2455:$H$2502,$Q$2455:$Q$2502,$O$2455:$O$2502)/SUMPRODUCT($H$2455:$H$2502,$Q$2455:$Q$2502)</f>
        <v/>
      </c>
      <c r="G2503" s="184">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184">
        <f>IF(N(INDEX(lr_mind,46))=0,1,INDEX(lr_mind,46))</f>
        <v/>
      </c>
      <c r="G2506" s="184">
        <f>IF(N(INDEX(lr_m0,46))=0,1,INDEX(lr_m0,46))</f>
        <v/>
      </c>
      <c r="H2506" s="73">
        <f>IF(N(INDEX(lr_m0asof,46))=0,DATE(nr_PlanYear-1,10,1),INDEX(lr_m0asof,46))</f>
        <v/>
      </c>
      <c r="I2506" s="184">
        <f>IF(N(INDEX(lr_m1,46))=0,1,INDEX(lr_m1,46))</f>
        <v/>
      </c>
      <c r="J2506" s="184">
        <f>INDEX(lr_mprior,46)</f>
        <v/>
      </c>
      <c r="K2506" s="184">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145" t="n">
        <v>1</v>
      </c>
      <c r="B2509" s="204">
        <f>DATE(nr_PlanYear-2,1,1)</f>
        <v/>
      </c>
      <c r="C2509" s="205">
        <f>EOMONTH($B2509,0)</f>
        <v/>
      </c>
      <c r="D2509" s="201">
        <f>$C2509-$B2509+1</f>
        <v/>
      </c>
      <c r="E2509" s="201">
        <f>MONTH($B2509)</f>
        <v/>
      </c>
      <c r="F2509" s="235">
        <f>($B2509+$C2509+1)/2</f>
        <v/>
      </c>
      <c r="G2509" s="201">
        <f>YEAR($B2509)*12+MONTH($B2509)-1</f>
        <v/>
      </c>
      <c r="H2509" s="207">
        <f>IF(OR(nr_SeasonOn="OFF",$D$2506=0,$E$2506=0),1,12*INDEX(se_block,$D$2506,$E2509)/$E$2506)</f>
        <v/>
      </c>
      <c r="I2509" s="208">
        <f>EXP(SUMPRODUCT((rl_eff&lt;$B2509)*(rl_key=$A$2506)*rl_ln1p))</f>
        <v/>
      </c>
      <c r="J2509" s="208">
        <f>EXP(SUMPRODUCT((rl_eff&lt;=$C2509)*(rl_key=$A$2506)*rl_ln1p))</f>
        <v/>
      </c>
      <c r="K2509" s="201">
        <f>COUNTIFS(rl_key,$A$2506,rl_eff,"&gt;="&amp;$B2509,rl_eff,"&lt;="&amp;$C2509)</f>
        <v/>
      </c>
      <c r="L2509" s="201">
        <f>SUMIFS(rl_daysafter,rl_key,$A$2506,rl_effmonth,$B2509,rl_first,1)</f>
        <v/>
      </c>
      <c r="M2509" s="209">
        <f>IF($K2509=0,0,MIN(1,$L2509/$D2509))</f>
        <v/>
      </c>
      <c r="N2509" s="208">
        <f>IF($K2509=0,$J2509,(1-$M2509)*$I2509+$M2509*$J2509)</f>
        <v/>
      </c>
      <c r="O2509" s="209">
        <f>IF($F2509&lt;$B$2507,$E$2507+$I$2507*($F2509-$A$2507),IF($F2509&lt;$C$2507,$F$2507+$J$2507*($F2509-$B$2507),$G$2507+$K$2507*($F2509-$C$2507)))</f>
        <v/>
      </c>
      <c r="P2509" s="208">
        <f>MIN(1,MAX(0,(nr_MEndPm1-$G2509+0.5)/$C$2506))-MIN(1,MAX(0,(nr_MStartPm1-1-$G2509+0.5)/$C$2506))</f>
        <v/>
      </c>
      <c r="Q2509" s="208">
        <f>MIN(1,MAX(0,(nr_MEndP-$G2509+0.5)/$C$2506))-MIN(1,MAX(0,(nr_MStartP-1-$G2509+0.5)/$C$2506))</f>
        <v/>
      </c>
      <c r="R2509" s="208">
        <f>MIN(1,MAX(0,(nr_MEndP1-$G2509+0.5)/$C$2506))-MIN(1,MAX(0,(nr_MStartP1-1-$G2509+0.5)/$C$2506))</f>
        <v/>
      </c>
      <c r="S2509" s="208">
        <f>IF($L$2506,$N2509*IF($O$2506=1,$O2509/$F$2506,1),"")</f>
        <v/>
      </c>
      <c r="T2509" s="208">
        <f>IF(NOT($L$2506),"",IF($G2509&lt;nr_MStartP,$S2509,$T2497*(1+IF($G2509&lt;nr_MStartP1,$M$2506,$N$2506))))</f>
        <v/>
      </c>
      <c r="U2509" s="208">
        <f>IF($L$2506,$T2509,$N2509)</f>
        <v/>
      </c>
    </row>
    <row r="2510">
      <c r="A2510" s="145" t="n">
        <v>2</v>
      </c>
      <c r="B2510" s="204">
        <f>EDATE($B2509,1)</f>
        <v/>
      </c>
      <c r="C2510" s="205">
        <f>EOMONTH($B2510,0)</f>
        <v/>
      </c>
      <c r="D2510" s="201">
        <f>$C2510-$B2510+1</f>
        <v/>
      </c>
      <c r="E2510" s="201">
        <f>MONTH($B2510)</f>
        <v/>
      </c>
      <c r="F2510" s="235">
        <f>($B2510+$C2510+1)/2</f>
        <v/>
      </c>
      <c r="G2510" s="201">
        <f>YEAR($B2510)*12+MONTH($B2510)-1</f>
        <v/>
      </c>
      <c r="H2510" s="207">
        <f>IF(OR(nr_SeasonOn="OFF",$D$2506=0,$E$2506=0),1,12*INDEX(se_block,$D$2506,$E2510)/$E$2506)</f>
        <v/>
      </c>
      <c r="I2510" s="208">
        <f>EXP(SUMPRODUCT((rl_eff&lt;$B2510)*(rl_key=$A$2506)*rl_ln1p))</f>
        <v/>
      </c>
      <c r="J2510" s="208">
        <f>EXP(SUMPRODUCT((rl_eff&lt;=$C2510)*(rl_key=$A$2506)*rl_ln1p))</f>
        <v/>
      </c>
      <c r="K2510" s="201">
        <f>COUNTIFS(rl_key,$A$2506,rl_eff,"&gt;="&amp;$B2510,rl_eff,"&lt;="&amp;$C2510)</f>
        <v/>
      </c>
      <c r="L2510" s="201">
        <f>SUMIFS(rl_daysafter,rl_key,$A$2506,rl_effmonth,$B2510,rl_first,1)</f>
        <v/>
      </c>
      <c r="M2510" s="209">
        <f>IF($K2510=0,0,MIN(1,$L2510/$D2510))</f>
        <v/>
      </c>
      <c r="N2510" s="208">
        <f>IF($K2510=0,$J2510,(1-$M2510)*$I2510+$M2510*$J2510)</f>
        <v/>
      </c>
      <c r="O2510" s="209">
        <f>IF($F2510&lt;$B$2507,$E$2507+$I$2507*($F2510-$A$2507),IF($F2510&lt;$C$2507,$F$2507+$J$2507*($F2510-$B$2507),$G$2507+$K$2507*($F2510-$C$2507)))</f>
        <v/>
      </c>
      <c r="P2510" s="208">
        <f>MIN(1,MAX(0,(nr_MEndPm1-$G2510+0.5)/$C$2506))-MIN(1,MAX(0,(nr_MStartPm1-1-$G2510+0.5)/$C$2506))</f>
        <v/>
      </c>
      <c r="Q2510" s="208">
        <f>MIN(1,MAX(0,(nr_MEndP-$G2510+0.5)/$C$2506))-MIN(1,MAX(0,(nr_MStartP-1-$G2510+0.5)/$C$2506))</f>
        <v/>
      </c>
      <c r="R2510" s="208">
        <f>MIN(1,MAX(0,(nr_MEndP1-$G2510+0.5)/$C$2506))-MIN(1,MAX(0,(nr_MStartP1-1-$G2510+0.5)/$C$2506))</f>
        <v/>
      </c>
      <c r="S2510" s="208">
        <f>IF($L$2506,$N2510*IF($O$2506=1,$O2510/$F$2506,1),"")</f>
        <v/>
      </c>
      <c r="T2510" s="208">
        <f>IF(NOT($L$2506),"",IF($G2510&lt;nr_MStartP,$S2510,$T2498*(1+IF($G2510&lt;nr_MStartP1,$M$2506,$N$2506))))</f>
        <v/>
      </c>
      <c r="U2510" s="208">
        <f>IF($L$2506,$T2510,$N2510)</f>
        <v/>
      </c>
    </row>
    <row r="2511">
      <c r="A2511" s="145" t="n">
        <v>3</v>
      </c>
      <c r="B2511" s="204">
        <f>EDATE($B2510,1)</f>
        <v/>
      </c>
      <c r="C2511" s="205">
        <f>EOMONTH($B2511,0)</f>
        <v/>
      </c>
      <c r="D2511" s="201">
        <f>$C2511-$B2511+1</f>
        <v/>
      </c>
      <c r="E2511" s="201">
        <f>MONTH($B2511)</f>
        <v/>
      </c>
      <c r="F2511" s="235">
        <f>($B2511+$C2511+1)/2</f>
        <v/>
      </c>
      <c r="G2511" s="201">
        <f>YEAR($B2511)*12+MONTH($B2511)-1</f>
        <v/>
      </c>
      <c r="H2511" s="207">
        <f>IF(OR(nr_SeasonOn="OFF",$D$2506=0,$E$2506=0),1,12*INDEX(se_block,$D$2506,$E2511)/$E$2506)</f>
        <v/>
      </c>
      <c r="I2511" s="208">
        <f>EXP(SUMPRODUCT((rl_eff&lt;$B2511)*(rl_key=$A$2506)*rl_ln1p))</f>
        <v/>
      </c>
      <c r="J2511" s="208">
        <f>EXP(SUMPRODUCT((rl_eff&lt;=$C2511)*(rl_key=$A$2506)*rl_ln1p))</f>
        <v/>
      </c>
      <c r="K2511" s="201">
        <f>COUNTIFS(rl_key,$A$2506,rl_eff,"&gt;="&amp;$B2511,rl_eff,"&lt;="&amp;$C2511)</f>
        <v/>
      </c>
      <c r="L2511" s="201">
        <f>SUMIFS(rl_daysafter,rl_key,$A$2506,rl_effmonth,$B2511,rl_first,1)</f>
        <v/>
      </c>
      <c r="M2511" s="209">
        <f>IF($K2511=0,0,MIN(1,$L2511/$D2511))</f>
        <v/>
      </c>
      <c r="N2511" s="208">
        <f>IF($K2511=0,$J2511,(1-$M2511)*$I2511+$M2511*$J2511)</f>
        <v/>
      </c>
      <c r="O2511" s="209">
        <f>IF($F2511&lt;$B$2507,$E$2507+$I$2507*($F2511-$A$2507),IF($F2511&lt;$C$2507,$F$2507+$J$2507*($F2511-$B$2507),$G$2507+$K$2507*($F2511-$C$2507)))</f>
        <v/>
      </c>
      <c r="P2511" s="208">
        <f>MIN(1,MAX(0,(nr_MEndPm1-$G2511+0.5)/$C$2506))-MIN(1,MAX(0,(nr_MStartPm1-1-$G2511+0.5)/$C$2506))</f>
        <v/>
      </c>
      <c r="Q2511" s="208">
        <f>MIN(1,MAX(0,(nr_MEndP-$G2511+0.5)/$C$2506))-MIN(1,MAX(0,(nr_MStartP-1-$G2511+0.5)/$C$2506))</f>
        <v/>
      </c>
      <c r="R2511" s="208">
        <f>MIN(1,MAX(0,(nr_MEndP1-$G2511+0.5)/$C$2506))-MIN(1,MAX(0,(nr_MStartP1-1-$G2511+0.5)/$C$2506))</f>
        <v/>
      </c>
      <c r="S2511" s="208">
        <f>IF($L$2506,$N2511*IF($O$2506=1,$O2511/$F$2506,1),"")</f>
        <v/>
      </c>
      <c r="T2511" s="208">
        <f>IF(NOT($L$2506),"",IF($G2511&lt;nr_MStartP,$S2511,$T2499*(1+IF($G2511&lt;nr_MStartP1,$M$2506,$N$2506))))</f>
        <v/>
      </c>
      <c r="U2511" s="208">
        <f>IF($L$2506,$T2511,$N2511)</f>
        <v/>
      </c>
    </row>
    <row r="2512">
      <c r="A2512" s="145" t="n">
        <v>4</v>
      </c>
      <c r="B2512" s="204">
        <f>EDATE($B2511,1)</f>
        <v/>
      </c>
      <c r="C2512" s="205">
        <f>EOMONTH($B2512,0)</f>
        <v/>
      </c>
      <c r="D2512" s="201">
        <f>$C2512-$B2512+1</f>
        <v/>
      </c>
      <c r="E2512" s="201">
        <f>MONTH($B2512)</f>
        <v/>
      </c>
      <c r="F2512" s="235">
        <f>($B2512+$C2512+1)/2</f>
        <v/>
      </c>
      <c r="G2512" s="201">
        <f>YEAR($B2512)*12+MONTH($B2512)-1</f>
        <v/>
      </c>
      <c r="H2512" s="207">
        <f>IF(OR(nr_SeasonOn="OFF",$D$2506=0,$E$2506=0),1,12*INDEX(se_block,$D$2506,$E2512)/$E$2506)</f>
        <v/>
      </c>
      <c r="I2512" s="208">
        <f>EXP(SUMPRODUCT((rl_eff&lt;$B2512)*(rl_key=$A$2506)*rl_ln1p))</f>
        <v/>
      </c>
      <c r="J2512" s="208">
        <f>EXP(SUMPRODUCT((rl_eff&lt;=$C2512)*(rl_key=$A$2506)*rl_ln1p))</f>
        <v/>
      </c>
      <c r="K2512" s="201">
        <f>COUNTIFS(rl_key,$A$2506,rl_eff,"&gt;="&amp;$B2512,rl_eff,"&lt;="&amp;$C2512)</f>
        <v/>
      </c>
      <c r="L2512" s="201">
        <f>SUMIFS(rl_daysafter,rl_key,$A$2506,rl_effmonth,$B2512,rl_first,1)</f>
        <v/>
      </c>
      <c r="M2512" s="209">
        <f>IF($K2512=0,0,MIN(1,$L2512/$D2512))</f>
        <v/>
      </c>
      <c r="N2512" s="208">
        <f>IF($K2512=0,$J2512,(1-$M2512)*$I2512+$M2512*$J2512)</f>
        <v/>
      </c>
      <c r="O2512" s="209">
        <f>IF($F2512&lt;$B$2507,$E$2507+$I$2507*($F2512-$A$2507),IF($F2512&lt;$C$2507,$F$2507+$J$2507*($F2512-$B$2507),$G$2507+$K$2507*($F2512-$C$2507)))</f>
        <v/>
      </c>
      <c r="P2512" s="208">
        <f>MIN(1,MAX(0,(nr_MEndPm1-$G2512+0.5)/$C$2506))-MIN(1,MAX(0,(nr_MStartPm1-1-$G2512+0.5)/$C$2506))</f>
        <v/>
      </c>
      <c r="Q2512" s="208">
        <f>MIN(1,MAX(0,(nr_MEndP-$G2512+0.5)/$C$2506))-MIN(1,MAX(0,(nr_MStartP-1-$G2512+0.5)/$C$2506))</f>
        <v/>
      </c>
      <c r="R2512" s="208">
        <f>MIN(1,MAX(0,(nr_MEndP1-$G2512+0.5)/$C$2506))-MIN(1,MAX(0,(nr_MStartP1-1-$G2512+0.5)/$C$2506))</f>
        <v/>
      </c>
      <c r="S2512" s="208">
        <f>IF($L$2506,$N2512*IF($O$2506=1,$O2512/$F$2506,1),"")</f>
        <v/>
      </c>
      <c r="T2512" s="208">
        <f>IF(NOT($L$2506),"",IF($G2512&lt;nr_MStartP,$S2512,$T2500*(1+IF($G2512&lt;nr_MStartP1,$M$2506,$N$2506))))</f>
        <v/>
      </c>
      <c r="U2512" s="208">
        <f>IF($L$2506,$T2512,$N2512)</f>
        <v/>
      </c>
    </row>
    <row r="2513">
      <c r="A2513" s="145" t="n">
        <v>5</v>
      </c>
      <c r="B2513" s="204">
        <f>EDATE($B2512,1)</f>
        <v/>
      </c>
      <c r="C2513" s="205">
        <f>EOMONTH($B2513,0)</f>
        <v/>
      </c>
      <c r="D2513" s="201">
        <f>$C2513-$B2513+1</f>
        <v/>
      </c>
      <c r="E2513" s="201">
        <f>MONTH($B2513)</f>
        <v/>
      </c>
      <c r="F2513" s="235">
        <f>($B2513+$C2513+1)/2</f>
        <v/>
      </c>
      <c r="G2513" s="201">
        <f>YEAR($B2513)*12+MONTH($B2513)-1</f>
        <v/>
      </c>
      <c r="H2513" s="207">
        <f>IF(OR(nr_SeasonOn="OFF",$D$2506=0,$E$2506=0),1,12*INDEX(se_block,$D$2506,$E2513)/$E$2506)</f>
        <v/>
      </c>
      <c r="I2513" s="208">
        <f>EXP(SUMPRODUCT((rl_eff&lt;$B2513)*(rl_key=$A$2506)*rl_ln1p))</f>
        <v/>
      </c>
      <c r="J2513" s="208">
        <f>EXP(SUMPRODUCT((rl_eff&lt;=$C2513)*(rl_key=$A$2506)*rl_ln1p))</f>
        <v/>
      </c>
      <c r="K2513" s="201">
        <f>COUNTIFS(rl_key,$A$2506,rl_eff,"&gt;="&amp;$B2513,rl_eff,"&lt;="&amp;$C2513)</f>
        <v/>
      </c>
      <c r="L2513" s="201">
        <f>SUMIFS(rl_daysafter,rl_key,$A$2506,rl_effmonth,$B2513,rl_first,1)</f>
        <v/>
      </c>
      <c r="M2513" s="209">
        <f>IF($K2513=0,0,MIN(1,$L2513/$D2513))</f>
        <v/>
      </c>
      <c r="N2513" s="208">
        <f>IF($K2513=0,$J2513,(1-$M2513)*$I2513+$M2513*$J2513)</f>
        <v/>
      </c>
      <c r="O2513" s="209">
        <f>IF($F2513&lt;$B$2507,$E$2507+$I$2507*($F2513-$A$2507),IF($F2513&lt;$C$2507,$F$2507+$J$2507*($F2513-$B$2507),$G$2507+$K$2507*($F2513-$C$2507)))</f>
        <v/>
      </c>
      <c r="P2513" s="208">
        <f>MIN(1,MAX(0,(nr_MEndPm1-$G2513+0.5)/$C$2506))-MIN(1,MAX(0,(nr_MStartPm1-1-$G2513+0.5)/$C$2506))</f>
        <v/>
      </c>
      <c r="Q2513" s="208">
        <f>MIN(1,MAX(0,(nr_MEndP-$G2513+0.5)/$C$2506))-MIN(1,MAX(0,(nr_MStartP-1-$G2513+0.5)/$C$2506))</f>
        <v/>
      </c>
      <c r="R2513" s="208">
        <f>MIN(1,MAX(0,(nr_MEndP1-$G2513+0.5)/$C$2506))-MIN(1,MAX(0,(nr_MStartP1-1-$G2513+0.5)/$C$2506))</f>
        <v/>
      </c>
      <c r="S2513" s="208">
        <f>IF($L$2506,$N2513*IF($O$2506=1,$O2513/$F$2506,1),"")</f>
        <v/>
      </c>
      <c r="T2513" s="208">
        <f>IF(NOT($L$2506),"",IF($G2513&lt;nr_MStartP,$S2513,$T2501*(1+IF($G2513&lt;nr_MStartP1,$M$2506,$N$2506))))</f>
        <v/>
      </c>
      <c r="U2513" s="208">
        <f>IF($L$2506,$T2513,$N2513)</f>
        <v/>
      </c>
    </row>
    <row r="2514">
      <c r="A2514" s="145" t="n">
        <v>6</v>
      </c>
      <c r="B2514" s="204">
        <f>EDATE($B2513,1)</f>
        <v/>
      </c>
      <c r="C2514" s="205">
        <f>EOMONTH($B2514,0)</f>
        <v/>
      </c>
      <c r="D2514" s="201">
        <f>$C2514-$B2514+1</f>
        <v/>
      </c>
      <c r="E2514" s="201">
        <f>MONTH($B2514)</f>
        <v/>
      </c>
      <c r="F2514" s="235">
        <f>($B2514+$C2514+1)/2</f>
        <v/>
      </c>
      <c r="G2514" s="201">
        <f>YEAR($B2514)*12+MONTH($B2514)-1</f>
        <v/>
      </c>
      <c r="H2514" s="207">
        <f>IF(OR(nr_SeasonOn="OFF",$D$2506=0,$E$2506=0),1,12*INDEX(se_block,$D$2506,$E2514)/$E$2506)</f>
        <v/>
      </c>
      <c r="I2514" s="208">
        <f>EXP(SUMPRODUCT((rl_eff&lt;$B2514)*(rl_key=$A$2506)*rl_ln1p))</f>
        <v/>
      </c>
      <c r="J2514" s="208">
        <f>EXP(SUMPRODUCT((rl_eff&lt;=$C2514)*(rl_key=$A$2506)*rl_ln1p))</f>
        <v/>
      </c>
      <c r="K2514" s="201">
        <f>COUNTIFS(rl_key,$A$2506,rl_eff,"&gt;="&amp;$B2514,rl_eff,"&lt;="&amp;$C2514)</f>
        <v/>
      </c>
      <c r="L2514" s="201">
        <f>SUMIFS(rl_daysafter,rl_key,$A$2506,rl_effmonth,$B2514,rl_first,1)</f>
        <v/>
      </c>
      <c r="M2514" s="209">
        <f>IF($K2514=0,0,MIN(1,$L2514/$D2514))</f>
        <v/>
      </c>
      <c r="N2514" s="208">
        <f>IF($K2514=0,$J2514,(1-$M2514)*$I2514+$M2514*$J2514)</f>
        <v/>
      </c>
      <c r="O2514" s="209">
        <f>IF($F2514&lt;$B$2507,$E$2507+$I$2507*($F2514-$A$2507),IF($F2514&lt;$C$2507,$F$2507+$J$2507*($F2514-$B$2507),$G$2507+$K$2507*($F2514-$C$2507)))</f>
        <v/>
      </c>
      <c r="P2514" s="208">
        <f>MIN(1,MAX(0,(nr_MEndPm1-$G2514+0.5)/$C$2506))-MIN(1,MAX(0,(nr_MStartPm1-1-$G2514+0.5)/$C$2506))</f>
        <v/>
      </c>
      <c r="Q2514" s="208">
        <f>MIN(1,MAX(0,(nr_MEndP-$G2514+0.5)/$C$2506))-MIN(1,MAX(0,(nr_MStartP-1-$G2514+0.5)/$C$2506))</f>
        <v/>
      </c>
      <c r="R2514" s="208">
        <f>MIN(1,MAX(0,(nr_MEndP1-$G2514+0.5)/$C$2506))-MIN(1,MAX(0,(nr_MStartP1-1-$G2514+0.5)/$C$2506))</f>
        <v/>
      </c>
      <c r="S2514" s="208">
        <f>IF($L$2506,$N2514*IF($O$2506=1,$O2514/$F$2506,1),"")</f>
        <v/>
      </c>
      <c r="T2514" s="208">
        <f>IF(NOT($L$2506),"",IF($G2514&lt;nr_MStartP,$S2514,$T2502*(1+IF($G2514&lt;nr_MStartP1,$M$2506,$N$2506))))</f>
        <v/>
      </c>
      <c r="U2514" s="208">
        <f>IF($L$2506,$T2514,$N2514)</f>
        <v/>
      </c>
    </row>
    <row r="2515">
      <c r="A2515" s="145" t="n">
        <v>7</v>
      </c>
      <c r="B2515" s="204">
        <f>EDATE($B2514,1)</f>
        <v/>
      </c>
      <c r="C2515" s="205">
        <f>EOMONTH($B2515,0)</f>
        <v/>
      </c>
      <c r="D2515" s="201">
        <f>$C2515-$B2515+1</f>
        <v/>
      </c>
      <c r="E2515" s="201">
        <f>MONTH($B2515)</f>
        <v/>
      </c>
      <c r="F2515" s="235">
        <f>($B2515+$C2515+1)/2</f>
        <v/>
      </c>
      <c r="G2515" s="201">
        <f>YEAR($B2515)*12+MONTH($B2515)-1</f>
        <v/>
      </c>
      <c r="H2515" s="207">
        <f>IF(OR(nr_SeasonOn="OFF",$D$2506=0,$E$2506=0),1,12*INDEX(se_block,$D$2506,$E2515)/$E$2506)</f>
        <v/>
      </c>
      <c r="I2515" s="208">
        <f>EXP(SUMPRODUCT((rl_eff&lt;$B2515)*(rl_key=$A$2506)*rl_ln1p))</f>
        <v/>
      </c>
      <c r="J2515" s="208">
        <f>EXP(SUMPRODUCT((rl_eff&lt;=$C2515)*(rl_key=$A$2506)*rl_ln1p))</f>
        <v/>
      </c>
      <c r="K2515" s="201">
        <f>COUNTIFS(rl_key,$A$2506,rl_eff,"&gt;="&amp;$B2515,rl_eff,"&lt;="&amp;$C2515)</f>
        <v/>
      </c>
      <c r="L2515" s="201">
        <f>SUMIFS(rl_daysafter,rl_key,$A$2506,rl_effmonth,$B2515,rl_first,1)</f>
        <v/>
      </c>
      <c r="M2515" s="209">
        <f>IF($K2515=0,0,MIN(1,$L2515/$D2515))</f>
        <v/>
      </c>
      <c r="N2515" s="208">
        <f>IF($K2515=0,$J2515,(1-$M2515)*$I2515+$M2515*$J2515)</f>
        <v/>
      </c>
      <c r="O2515" s="209">
        <f>IF($F2515&lt;$B$2507,$E$2507+$I$2507*($F2515-$A$2507),IF($F2515&lt;$C$2507,$F$2507+$J$2507*($F2515-$B$2507),$G$2507+$K$2507*($F2515-$C$2507)))</f>
        <v/>
      </c>
      <c r="P2515" s="208">
        <f>MIN(1,MAX(0,(nr_MEndPm1-$G2515+0.5)/$C$2506))-MIN(1,MAX(0,(nr_MStartPm1-1-$G2515+0.5)/$C$2506))</f>
        <v/>
      </c>
      <c r="Q2515" s="208">
        <f>MIN(1,MAX(0,(nr_MEndP-$G2515+0.5)/$C$2506))-MIN(1,MAX(0,(nr_MStartP-1-$G2515+0.5)/$C$2506))</f>
        <v/>
      </c>
      <c r="R2515" s="208">
        <f>MIN(1,MAX(0,(nr_MEndP1-$G2515+0.5)/$C$2506))-MIN(1,MAX(0,(nr_MStartP1-1-$G2515+0.5)/$C$2506))</f>
        <v/>
      </c>
      <c r="S2515" s="208">
        <f>IF($L$2506,$N2515*IF($O$2506=1,$O2515/$F$2506,1),"")</f>
        <v/>
      </c>
      <c r="T2515" s="208">
        <f>IF(NOT($L$2506),"",IF($G2515&lt;nr_MStartP,$S2515,$T2503*(1+IF($G2515&lt;nr_MStartP1,$M$2506,$N$2506))))</f>
        <v/>
      </c>
      <c r="U2515" s="208">
        <f>IF($L$2506,$T2515,$N2515)</f>
        <v/>
      </c>
    </row>
    <row r="2516">
      <c r="A2516" s="145" t="n">
        <v>8</v>
      </c>
      <c r="B2516" s="204">
        <f>EDATE($B2515,1)</f>
        <v/>
      </c>
      <c r="C2516" s="205">
        <f>EOMONTH($B2516,0)</f>
        <v/>
      </c>
      <c r="D2516" s="201">
        <f>$C2516-$B2516+1</f>
        <v/>
      </c>
      <c r="E2516" s="201">
        <f>MONTH($B2516)</f>
        <v/>
      </c>
      <c r="F2516" s="235">
        <f>($B2516+$C2516+1)/2</f>
        <v/>
      </c>
      <c r="G2516" s="201">
        <f>YEAR($B2516)*12+MONTH($B2516)-1</f>
        <v/>
      </c>
      <c r="H2516" s="207">
        <f>IF(OR(nr_SeasonOn="OFF",$D$2506=0,$E$2506=0),1,12*INDEX(se_block,$D$2506,$E2516)/$E$2506)</f>
        <v/>
      </c>
      <c r="I2516" s="208">
        <f>EXP(SUMPRODUCT((rl_eff&lt;$B2516)*(rl_key=$A$2506)*rl_ln1p))</f>
        <v/>
      </c>
      <c r="J2516" s="208">
        <f>EXP(SUMPRODUCT((rl_eff&lt;=$C2516)*(rl_key=$A$2506)*rl_ln1p))</f>
        <v/>
      </c>
      <c r="K2516" s="201">
        <f>COUNTIFS(rl_key,$A$2506,rl_eff,"&gt;="&amp;$B2516,rl_eff,"&lt;="&amp;$C2516)</f>
        <v/>
      </c>
      <c r="L2516" s="201">
        <f>SUMIFS(rl_daysafter,rl_key,$A$2506,rl_effmonth,$B2516,rl_first,1)</f>
        <v/>
      </c>
      <c r="M2516" s="209">
        <f>IF($K2516=0,0,MIN(1,$L2516/$D2516))</f>
        <v/>
      </c>
      <c r="N2516" s="208">
        <f>IF($K2516=0,$J2516,(1-$M2516)*$I2516+$M2516*$J2516)</f>
        <v/>
      </c>
      <c r="O2516" s="209">
        <f>IF($F2516&lt;$B$2507,$E$2507+$I$2507*($F2516-$A$2507),IF($F2516&lt;$C$2507,$F$2507+$J$2507*($F2516-$B$2507),$G$2507+$K$2507*($F2516-$C$2507)))</f>
        <v/>
      </c>
      <c r="P2516" s="208">
        <f>MIN(1,MAX(0,(nr_MEndPm1-$G2516+0.5)/$C$2506))-MIN(1,MAX(0,(nr_MStartPm1-1-$G2516+0.5)/$C$2506))</f>
        <v/>
      </c>
      <c r="Q2516" s="208">
        <f>MIN(1,MAX(0,(nr_MEndP-$G2516+0.5)/$C$2506))-MIN(1,MAX(0,(nr_MStartP-1-$G2516+0.5)/$C$2506))</f>
        <v/>
      </c>
      <c r="R2516" s="208">
        <f>MIN(1,MAX(0,(nr_MEndP1-$G2516+0.5)/$C$2506))-MIN(1,MAX(0,(nr_MStartP1-1-$G2516+0.5)/$C$2506))</f>
        <v/>
      </c>
      <c r="S2516" s="208">
        <f>IF($L$2506,$N2516*IF($O$2506=1,$O2516/$F$2506,1),"")</f>
        <v/>
      </c>
      <c r="T2516" s="208">
        <f>IF(NOT($L$2506),"",IF($G2516&lt;nr_MStartP,$S2516,$T2504*(1+IF($G2516&lt;nr_MStartP1,$M$2506,$N$2506))))</f>
        <v/>
      </c>
      <c r="U2516" s="208">
        <f>IF($L$2506,$T2516,$N2516)</f>
        <v/>
      </c>
    </row>
    <row r="2517">
      <c r="A2517" s="145" t="n">
        <v>9</v>
      </c>
      <c r="B2517" s="204">
        <f>EDATE($B2516,1)</f>
        <v/>
      </c>
      <c r="C2517" s="205">
        <f>EOMONTH($B2517,0)</f>
        <v/>
      </c>
      <c r="D2517" s="201">
        <f>$C2517-$B2517+1</f>
        <v/>
      </c>
      <c r="E2517" s="201">
        <f>MONTH($B2517)</f>
        <v/>
      </c>
      <c r="F2517" s="235">
        <f>($B2517+$C2517+1)/2</f>
        <v/>
      </c>
      <c r="G2517" s="201">
        <f>YEAR($B2517)*12+MONTH($B2517)-1</f>
        <v/>
      </c>
      <c r="H2517" s="207">
        <f>IF(OR(nr_SeasonOn="OFF",$D$2506=0,$E$2506=0),1,12*INDEX(se_block,$D$2506,$E2517)/$E$2506)</f>
        <v/>
      </c>
      <c r="I2517" s="208">
        <f>EXP(SUMPRODUCT((rl_eff&lt;$B2517)*(rl_key=$A$2506)*rl_ln1p))</f>
        <v/>
      </c>
      <c r="J2517" s="208">
        <f>EXP(SUMPRODUCT((rl_eff&lt;=$C2517)*(rl_key=$A$2506)*rl_ln1p))</f>
        <v/>
      </c>
      <c r="K2517" s="201">
        <f>COUNTIFS(rl_key,$A$2506,rl_eff,"&gt;="&amp;$B2517,rl_eff,"&lt;="&amp;$C2517)</f>
        <v/>
      </c>
      <c r="L2517" s="201">
        <f>SUMIFS(rl_daysafter,rl_key,$A$2506,rl_effmonth,$B2517,rl_first,1)</f>
        <v/>
      </c>
      <c r="M2517" s="209">
        <f>IF($K2517=0,0,MIN(1,$L2517/$D2517))</f>
        <v/>
      </c>
      <c r="N2517" s="208">
        <f>IF($K2517=0,$J2517,(1-$M2517)*$I2517+$M2517*$J2517)</f>
        <v/>
      </c>
      <c r="O2517" s="209">
        <f>IF($F2517&lt;$B$2507,$E$2507+$I$2507*($F2517-$A$2507),IF($F2517&lt;$C$2507,$F$2507+$J$2507*($F2517-$B$2507),$G$2507+$K$2507*($F2517-$C$2507)))</f>
        <v/>
      </c>
      <c r="P2517" s="208">
        <f>MIN(1,MAX(0,(nr_MEndPm1-$G2517+0.5)/$C$2506))-MIN(1,MAX(0,(nr_MStartPm1-1-$G2517+0.5)/$C$2506))</f>
        <v/>
      </c>
      <c r="Q2517" s="208">
        <f>MIN(1,MAX(0,(nr_MEndP-$G2517+0.5)/$C$2506))-MIN(1,MAX(0,(nr_MStartP-1-$G2517+0.5)/$C$2506))</f>
        <v/>
      </c>
      <c r="R2517" s="208">
        <f>MIN(1,MAX(0,(nr_MEndP1-$G2517+0.5)/$C$2506))-MIN(1,MAX(0,(nr_MStartP1-1-$G2517+0.5)/$C$2506))</f>
        <v/>
      </c>
      <c r="S2517" s="208">
        <f>IF($L$2506,$N2517*IF($O$2506=1,$O2517/$F$2506,1),"")</f>
        <v/>
      </c>
      <c r="T2517" s="208">
        <f>IF(NOT($L$2506),"",IF($G2517&lt;nr_MStartP,$S2517,$T2505*(1+IF($G2517&lt;nr_MStartP1,$M$2506,$N$2506))))</f>
        <v/>
      </c>
      <c r="U2517" s="208">
        <f>IF($L$2506,$T2517,$N2517)</f>
        <v/>
      </c>
    </row>
    <row r="2518">
      <c r="A2518" s="145" t="n">
        <v>10</v>
      </c>
      <c r="B2518" s="204">
        <f>EDATE($B2517,1)</f>
        <v/>
      </c>
      <c r="C2518" s="205">
        <f>EOMONTH($B2518,0)</f>
        <v/>
      </c>
      <c r="D2518" s="201">
        <f>$C2518-$B2518+1</f>
        <v/>
      </c>
      <c r="E2518" s="201">
        <f>MONTH($B2518)</f>
        <v/>
      </c>
      <c r="F2518" s="235">
        <f>($B2518+$C2518+1)/2</f>
        <v/>
      </c>
      <c r="G2518" s="201">
        <f>YEAR($B2518)*12+MONTH($B2518)-1</f>
        <v/>
      </c>
      <c r="H2518" s="207">
        <f>IF(OR(nr_SeasonOn="OFF",$D$2506=0,$E$2506=0),1,12*INDEX(se_block,$D$2506,$E2518)/$E$2506)</f>
        <v/>
      </c>
      <c r="I2518" s="208">
        <f>EXP(SUMPRODUCT((rl_eff&lt;$B2518)*(rl_key=$A$2506)*rl_ln1p))</f>
        <v/>
      </c>
      <c r="J2518" s="208">
        <f>EXP(SUMPRODUCT((rl_eff&lt;=$C2518)*(rl_key=$A$2506)*rl_ln1p))</f>
        <v/>
      </c>
      <c r="K2518" s="201">
        <f>COUNTIFS(rl_key,$A$2506,rl_eff,"&gt;="&amp;$B2518,rl_eff,"&lt;="&amp;$C2518)</f>
        <v/>
      </c>
      <c r="L2518" s="201">
        <f>SUMIFS(rl_daysafter,rl_key,$A$2506,rl_effmonth,$B2518,rl_first,1)</f>
        <v/>
      </c>
      <c r="M2518" s="209">
        <f>IF($K2518=0,0,MIN(1,$L2518/$D2518))</f>
        <v/>
      </c>
      <c r="N2518" s="208">
        <f>IF($K2518=0,$J2518,(1-$M2518)*$I2518+$M2518*$J2518)</f>
        <v/>
      </c>
      <c r="O2518" s="209">
        <f>IF($F2518&lt;$B$2507,$E$2507+$I$2507*($F2518-$A$2507),IF($F2518&lt;$C$2507,$F$2507+$J$2507*($F2518-$B$2507),$G$2507+$K$2507*($F2518-$C$2507)))</f>
        <v/>
      </c>
      <c r="P2518" s="208">
        <f>MIN(1,MAX(0,(nr_MEndPm1-$G2518+0.5)/$C$2506))-MIN(1,MAX(0,(nr_MStartPm1-1-$G2518+0.5)/$C$2506))</f>
        <v/>
      </c>
      <c r="Q2518" s="208">
        <f>MIN(1,MAX(0,(nr_MEndP-$G2518+0.5)/$C$2506))-MIN(1,MAX(0,(nr_MStartP-1-$G2518+0.5)/$C$2506))</f>
        <v/>
      </c>
      <c r="R2518" s="208">
        <f>MIN(1,MAX(0,(nr_MEndP1-$G2518+0.5)/$C$2506))-MIN(1,MAX(0,(nr_MStartP1-1-$G2518+0.5)/$C$2506))</f>
        <v/>
      </c>
      <c r="S2518" s="208">
        <f>IF($L$2506,$N2518*IF($O$2506=1,$O2518/$F$2506,1),"")</f>
        <v/>
      </c>
      <c r="T2518" s="208">
        <f>IF(NOT($L$2506),"",IF($G2518&lt;nr_MStartP,$S2518,$T2506*(1+IF($G2518&lt;nr_MStartP1,$M$2506,$N$2506))))</f>
        <v/>
      </c>
      <c r="U2518" s="208">
        <f>IF($L$2506,$T2518,$N2518)</f>
        <v/>
      </c>
    </row>
    <row r="2519">
      <c r="A2519" s="145" t="n">
        <v>11</v>
      </c>
      <c r="B2519" s="204">
        <f>EDATE($B2518,1)</f>
        <v/>
      </c>
      <c r="C2519" s="205">
        <f>EOMONTH($B2519,0)</f>
        <v/>
      </c>
      <c r="D2519" s="201">
        <f>$C2519-$B2519+1</f>
        <v/>
      </c>
      <c r="E2519" s="201">
        <f>MONTH($B2519)</f>
        <v/>
      </c>
      <c r="F2519" s="235">
        <f>($B2519+$C2519+1)/2</f>
        <v/>
      </c>
      <c r="G2519" s="201">
        <f>YEAR($B2519)*12+MONTH($B2519)-1</f>
        <v/>
      </c>
      <c r="H2519" s="207">
        <f>IF(OR(nr_SeasonOn="OFF",$D$2506=0,$E$2506=0),1,12*INDEX(se_block,$D$2506,$E2519)/$E$2506)</f>
        <v/>
      </c>
      <c r="I2519" s="208">
        <f>EXP(SUMPRODUCT((rl_eff&lt;$B2519)*(rl_key=$A$2506)*rl_ln1p))</f>
        <v/>
      </c>
      <c r="J2519" s="208">
        <f>EXP(SUMPRODUCT((rl_eff&lt;=$C2519)*(rl_key=$A$2506)*rl_ln1p))</f>
        <v/>
      </c>
      <c r="K2519" s="201">
        <f>COUNTIFS(rl_key,$A$2506,rl_eff,"&gt;="&amp;$B2519,rl_eff,"&lt;="&amp;$C2519)</f>
        <v/>
      </c>
      <c r="L2519" s="201">
        <f>SUMIFS(rl_daysafter,rl_key,$A$2506,rl_effmonth,$B2519,rl_first,1)</f>
        <v/>
      </c>
      <c r="M2519" s="209">
        <f>IF($K2519=0,0,MIN(1,$L2519/$D2519))</f>
        <v/>
      </c>
      <c r="N2519" s="208">
        <f>IF($K2519=0,$J2519,(1-$M2519)*$I2519+$M2519*$J2519)</f>
        <v/>
      </c>
      <c r="O2519" s="209">
        <f>IF($F2519&lt;$B$2507,$E$2507+$I$2507*($F2519-$A$2507),IF($F2519&lt;$C$2507,$F$2507+$J$2507*($F2519-$B$2507),$G$2507+$K$2507*($F2519-$C$2507)))</f>
        <v/>
      </c>
      <c r="P2519" s="208">
        <f>MIN(1,MAX(0,(nr_MEndPm1-$G2519+0.5)/$C$2506))-MIN(1,MAX(0,(nr_MStartPm1-1-$G2519+0.5)/$C$2506))</f>
        <v/>
      </c>
      <c r="Q2519" s="208">
        <f>MIN(1,MAX(0,(nr_MEndP-$G2519+0.5)/$C$2506))-MIN(1,MAX(0,(nr_MStartP-1-$G2519+0.5)/$C$2506))</f>
        <v/>
      </c>
      <c r="R2519" s="208">
        <f>MIN(1,MAX(0,(nr_MEndP1-$G2519+0.5)/$C$2506))-MIN(1,MAX(0,(nr_MStartP1-1-$G2519+0.5)/$C$2506))</f>
        <v/>
      </c>
      <c r="S2519" s="208">
        <f>IF($L$2506,$N2519*IF($O$2506=1,$O2519/$F$2506,1),"")</f>
        <v/>
      </c>
      <c r="T2519" s="208">
        <f>IF(NOT($L$2506),"",IF($G2519&lt;nr_MStartP,$S2519,$T2507*(1+IF($G2519&lt;nr_MStartP1,$M$2506,$N$2506))))</f>
        <v/>
      </c>
      <c r="U2519" s="208">
        <f>IF($L$2506,$T2519,$N2519)</f>
        <v/>
      </c>
    </row>
    <row r="2520">
      <c r="A2520" s="145" t="n">
        <v>12</v>
      </c>
      <c r="B2520" s="204">
        <f>EDATE($B2519,1)</f>
        <v/>
      </c>
      <c r="C2520" s="205">
        <f>EOMONTH($B2520,0)</f>
        <v/>
      </c>
      <c r="D2520" s="201">
        <f>$C2520-$B2520+1</f>
        <v/>
      </c>
      <c r="E2520" s="201">
        <f>MONTH($B2520)</f>
        <v/>
      </c>
      <c r="F2520" s="235">
        <f>($B2520+$C2520+1)/2</f>
        <v/>
      </c>
      <c r="G2520" s="201">
        <f>YEAR($B2520)*12+MONTH($B2520)-1</f>
        <v/>
      </c>
      <c r="H2520" s="207">
        <f>IF(OR(nr_SeasonOn="OFF",$D$2506=0,$E$2506=0),1,12*INDEX(se_block,$D$2506,$E2520)/$E$2506)</f>
        <v/>
      </c>
      <c r="I2520" s="208">
        <f>EXP(SUMPRODUCT((rl_eff&lt;$B2520)*(rl_key=$A$2506)*rl_ln1p))</f>
        <v/>
      </c>
      <c r="J2520" s="208">
        <f>EXP(SUMPRODUCT((rl_eff&lt;=$C2520)*(rl_key=$A$2506)*rl_ln1p))</f>
        <v/>
      </c>
      <c r="K2520" s="201">
        <f>COUNTIFS(rl_key,$A$2506,rl_eff,"&gt;="&amp;$B2520,rl_eff,"&lt;="&amp;$C2520)</f>
        <v/>
      </c>
      <c r="L2520" s="201">
        <f>SUMIFS(rl_daysafter,rl_key,$A$2506,rl_effmonth,$B2520,rl_first,1)</f>
        <v/>
      </c>
      <c r="M2520" s="209">
        <f>IF($K2520=0,0,MIN(1,$L2520/$D2520))</f>
        <v/>
      </c>
      <c r="N2520" s="208">
        <f>IF($K2520=0,$J2520,(1-$M2520)*$I2520+$M2520*$J2520)</f>
        <v/>
      </c>
      <c r="O2520" s="209">
        <f>IF($F2520&lt;$B$2507,$E$2507+$I$2507*($F2520-$A$2507),IF($F2520&lt;$C$2507,$F$2507+$J$2507*($F2520-$B$2507),$G$2507+$K$2507*($F2520-$C$2507)))</f>
        <v/>
      </c>
      <c r="P2520" s="208">
        <f>MIN(1,MAX(0,(nr_MEndPm1-$G2520+0.5)/$C$2506))-MIN(1,MAX(0,(nr_MStartPm1-1-$G2520+0.5)/$C$2506))</f>
        <v/>
      </c>
      <c r="Q2520" s="208">
        <f>MIN(1,MAX(0,(nr_MEndP-$G2520+0.5)/$C$2506))-MIN(1,MAX(0,(nr_MStartP-1-$G2520+0.5)/$C$2506))</f>
        <v/>
      </c>
      <c r="R2520" s="208">
        <f>MIN(1,MAX(0,(nr_MEndP1-$G2520+0.5)/$C$2506))-MIN(1,MAX(0,(nr_MStartP1-1-$G2520+0.5)/$C$2506))</f>
        <v/>
      </c>
      <c r="S2520" s="208">
        <f>IF($L$2506,$N2520*IF($O$2506=1,$O2520/$F$2506,1),"")</f>
        <v/>
      </c>
      <c r="T2520" s="208">
        <f>IF(NOT($L$2506),"",IF($G2520&lt;nr_MStartP,$S2520,$T2508*(1+IF($G2520&lt;nr_MStartP1,$M$2506,$N$2506))))</f>
        <v/>
      </c>
      <c r="U2520" s="208">
        <f>IF($L$2506,$T2520,$N2520)</f>
        <v/>
      </c>
    </row>
    <row r="2521">
      <c r="A2521" s="145" t="n">
        <v>13</v>
      </c>
      <c r="B2521" s="204">
        <f>EDATE($B2520,1)</f>
        <v/>
      </c>
      <c r="C2521" s="205">
        <f>EOMONTH($B2521,0)</f>
        <v/>
      </c>
      <c r="D2521" s="201">
        <f>$C2521-$B2521+1</f>
        <v/>
      </c>
      <c r="E2521" s="201">
        <f>MONTH($B2521)</f>
        <v/>
      </c>
      <c r="F2521" s="235">
        <f>($B2521+$C2521+1)/2</f>
        <v/>
      </c>
      <c r="G2521" s="201">
        <f>YEAR($B2521)*12+MONTH($B2521)-1</f>
        <v/>
      </c>
      <c r="H2521" s="207">
        <f>IF(OR(nr_SeasonOn="OFF",$D$2506=0,$E$2506=0),1,12*INDEX(se_block,$D$2506,$E2521)/$E$2506)</f>
        <v/>
      </c>
      <c r="I2521" s="208">
        <f>EXP(SUMPRODUCT((rl_eff&lt;$B2521)*(rl_key=$A$2506)*rl_ln1p))</f>
        <v/>
      </c>
      <c r="J2521" s="208">
        <f>EXP(SUMPRODUCT((rl_eff&lt;=$C2521)*(rl_key=$A$2506)*rl_ln1p))</f>
        <v/>
      </c>
      <c r="K2521" s="201">
        <f>COUNTIFS(rl_key,$A$2506,rl_eff,"&gt;="&amp;$B2521,rl_eff,"&lt;="&amp;$C2521)</f>
        <v/>
      </c>
      <c r="L2521" s="201">
        <f>SUMIFS(rl_daysafter,rl_key,$A$2506,rl_effmonth,$B2521,rl_first,1)</f>
        <v/>
      </c>
      <c r="M2521" s="209">
        <f>IF($K2521=0,0,MIN(1,$L2521/$D2521))</f>
        <v/>
      </c>
      <c r="N2521" s="208">
        <f>IF($K2521=0,$J2521,(1-$M2521)*$I2521+$M2521*$J2521)</f>
        <v/>
      </c>
      <c r="O2521" s="209">
        <f>IF($F2521&lt;$B$2507,$E$2507+$I$2507*($F2521-$A$2507),IF($F2521&lt;$C$2507,$F$2507+$J$2507*($F2521-$B$2507),$G$2507+$K$2507*($F2521-$C$2507)))</f>
        <v/>
      </c>
      <c r="P2521" s="208">
        <f>MIN(1,MAX(0,(nr_MEndPm1-$G2521+0.5)/$C$2506))-MIN(1,MAX(0,(nr_MStartPm1-1-$G2521+0.5)/$C$2506))</f>
        <v/>
      </c>
      <c r="Q2521" s="208">
        <f>MIN(1,MAX(0,(nr_MEndP-$G2521+0.5)/$C$2506))-MIN(1,MAX(0,(nr_MStartP-1-$G2521+0.5)/$C$2506))</f>
        <v/>
      </c>
      <c r="R2521" s="208">
        <f>MIN(1,MAX(0,(nr_MEndP1-$G2521+0.5)/$C$2506))-MIN(1,MAX(0,(nr_MStartP1-1-$G2521+0.5)/$C$2506))</f>
        <v/>
      </c>
      <c r="S2521" s="208">
        <f>IF($L$2506,$N2521*IF($O$2506=1,$O2521/$F$2506,1),"")</f>
        <v/>
      </c>
      <c r="T2521" s="208">
        <f>IF(NOT($L$2506),"",IF($G2521&lt;nr_MStartP,$S2521,$T2509*(1+IF($G2521&lt;nr_MStartP1,$M$2506,$N$2506))))</f>
        <v/>
      </c>
      <c r="U2521" s="208">
        <f>IF($L$2506,$T2521,$N2521)</f>
        <v/>
      </c>
    </row>
    <row r="2522">
      <c r="A2522" s="145" t="n">
        <v>14</v>
      </c>
      <c r="B2522" s="204">
        <f>EDATE($B2521,1)</f>
        <v/>
      </c>
      <c r="C2522" s="205">
        <f>EOMONTH($B2522,0)</f>
        <v/>
      </c>
      <c r="D2522" s="201">
        <f>$C2522-$B2522+1</f>
        <v/>
      </c>
      <c r="E2522" s="201">
        <f>MONTH($B2522)</f>
        <v/>
      </c>
      <c r="F2522" s="235">
        <f>($B2522+$C2522+1)/2</f>
        <v/>
      </c>
      <c r="G2522" s="201">
        <f>YEAR($B2522)*12+MONTH($B2522)-1</f>
        <v/>
      </c>
      <c r="H2522" s="207">
        <f>IF(OR(nr_SeasonOn="OFF",$D$2506=0,$E$2506=0),1,12*INDEX(se_block,$D$2506,$E2522)/$E$2506)</f>
        <v/>
      </c>
      <c r="I2522" s="208">
        <f>EXP(SUMPRODUCT((rl_eff&lt;$B2522)*(rl_key=$A$2506)*rl_ln1p))</f>
        <v/>
      </c>
      <c r="J2522" s="208">
        <f>EXP(SUMPRODUCT((rl_eff&lt;=$C2522)*(rl_key=$A$2506)*rl_ln1p))</f>
        <v/>
      </c>
      <c r="K2522" s="201">
        <f>COUNTIFS(rl_key,$A$2506,rl_eff,"&gt;="&amp;$B2522,rl_eff,"&lt;="&amp;$C2522)</f>
        <v/>
      </c>
      <c r="L2522" s="201">
        <f>SUMIFS(rl_daysafter,rl_key,$A$2506,rl_effmonth,$B2522,rl_first,1)</f>
        <v/>
      </c>
      <c r="M2522" s="209">
        <f>IF($K2522=0,0,MIN(1,$L2522/$D2522))</f>
        <v/>
      </c>
      <c r="N2522" s="208">
        <f>IF($K2522=0,$J2522,(1-$M2522)*$I2522+$M2522*$J2522)</f>
        <v/>
      </c>
      <c r="O2522" s="209">
        <f>IF($F2522&lt;$B$2507,$E$2507+$I$2507*($F2522-$A$2507),IF($F2522&lt;$C$2507,$F$2507+$J$2507*($F2522-$B$2507),$G$2507+$K$2507*($F2522-$C$2507)))</f>
        <v/>
      </c>
      <c r="P2522" s="208">
        <f>MIN(1,MAX(0,(nr_MEndPm1-$G2522+0.5)/$C$2506))-MIN(1,MAX(0,(nr_MStartPm1-1-$G2522+0.5)/$C$2506))</f>
        <v/>
      </c>
      <c r="Q2522" s="208">
        <f>MIN(1,MAX(0,(nr_MEndP-$G2522+0.5)/$C$2506))-MIN(1,MAX(0,(nr_MStartP-1-$G2522+0.5)/$C$2506))</f>
        <v/>
      </c>
      <c r="R2522" s="208">
        <f>MIN(1,MAX(0,(nr_MEndP1-$G2522+0.5)/$C$2506))-MIN(1,MAX(0,(nr_MStartP1-1-$G2522+0.5)/$C$2506))</f>
        <v/>
      </c>
      <c r="S2522" s="208">
        <f>IF($L$2506,$N2522*IF($O$2506=1,$O2522/$F$2506,1),"")</f>
        <v/>
      </c>
      <c r="T2522" s="208">
        <f>IF(NOT($L$2506),"",IF($G2522&lt;nr_MStartP,$S2522,$T2510*(1+IF($G2522&lt;nr_MStartP1,$M$2506,$N$2506))))</f>
        <v/>
      </c>
      <c r="U2522" s="208">
        <f>IF($L$2506,$T2522,$N2522)</f>
        <v/>
      </c>
    </row>
    <row r="2523">
      <c r="A2523" s="145" t="n">
        <v>15</v>
      </c>
      <c r="B2523" s="204">
        <f>EDATE($B2522,1)</f>
        <v/>
      </c>
      <c r="C2523" s="205">
        <f>EOMONTH($B2523,0)</f>
        <v/>
      </c>
      <c r="D2523" s="201">
        <f>$C2523-$B2523+1</f>
        <v/>
      </c>
      <c r="E2523" s="201">
        <f>MONTH($B2523)</f>
        <v/>
      </c>
      <c r="F2523" s="235">
        <f>($B2523+$C2523+1)/2</f>
        <v/>
      </c>
      <c r="G2523" s="201">
        <f>YEAR($B2523)*12+MONTH($B2523)-1</f>
        <v/>
      </c>
      <c r="H2523" s="207">
        <f>IF(OR(nr_SeasonOn="OFF",$D$2506=0,$E$2506=0),1,12*INDEX(se_block,$D$2506,$E2523)/$E$2506)</f>
        <v/>
      </c>
      <c r="I2523" s="208">
        <f>EXP(SUMPRODUCT((rl_eff&lt;$B2523)*(rl_key=$A$2506)*rl_ln1p))</f>
        <v/>
      </c>
      <c r="J2523" s="208">
        <f>EXP(SUMPRODUCT((rl_eff&lt;=$C2523)*(rl_key=$A$2506)*rl_ln1p))</f>
        <v/>
      </c>
      <c r="K2523" s="201">
        <f>COUNTIFS(rl_key,$A$2506,rl_eff,"&gt;="&amp;$B2523,rl_eff,"&lt;="&amp;$C2523)</f>
        <v/>
      </c>
      <c r="L2523" s="201">
        <f>SUMIFS(rl_daysafter,rl_key,$A$2506,rl_effmonth,$B2523,rl_first,1)</f>
        <v/>
      </c>
      <c r="M2523" s="209">
        <f>IF($K2523=0,0,MIN(1,$L2523/$D2523))</f>
        <v/>
      </c>
      <c r="N2523" s="208">
        <f>IF($K2523=0,$J2523,(1-$M2523)*$I2523+$M2523*$J2523)</f>
        <v/>
      </c>
      <c r="O2523" s="209">
        <f>IF($F2523&lt;$B$2507,$E$2507+$I$2507*($F2523-$A$2507),IF($F2523&lt;$C$2507,$F$2507+$J$2507*($F2523-$B$2507),$G$2507+$K$2507*($F2523-$C$2507)))</f>
        <v/>
      </c>
      <c r="P2523" s="208">
        <f>MIN(1,MAX(0,(nr_MEndPm1-$G2523+0.5)/$C$2506))-MIN(1,MAX(0,(nr_MStartPm1-1-$G2523+0.5)/$C$2506))</f>
        <v/>
      </c>
      <c r="Q2523" s="208">
        <f>MIN(1,MAX(0,(nr_MEndP-$G2523+0.5)/$C$2506))-MIN(1,MAX(0,(nr_MStartP-1-$G2523+0.5)/$C$2506))</f>
        <v/>
      </c>
      <c r="R2523" s="208">
        <f>MIN(1,MAX(0,(nr_MEndP1-$G2523+0.5)/$C$2506))-MIN(1,MAX(0,(nr_MStartP1-1-$G2523+0.5)/$C$2506))</f>
        <v/>
      </c>
      <c r="S2523" s="208">
        <f>IF($L$2506,$N2523*IF($O$2506=1,$O2523/$F$2506,1),"")</f>
        <v/>
      </c>
      <c r="T2523" s="208">
        <f>IF(NOT($L$2506),"",IF($G2523&lt;nr_MStartP,$S2523,$T2511*(1+IF($G2523&lt;nr_MStartP1,$M$2506,$N$2506))))</f>
        <v/>
      </c>
      <c r="U2523" s="208">
        <f>IF($L$2506,$T2523,$N2523)</f>
        <v/>
      </c>
    </row>
    <row r="2524">
      <c r="A2524" s="145" t="n">
        <v>16</v>
      </c>
      <c r="B2524" s="204">
        <f>EDATE($B2523,1)</f>
        <v/>
      </c>
      <c r="C2524" s="205">
        <f>EOMONTH($B2524,0)</f>
        <v/>
      </c>
      <c r="D2524" s="201">
        <f>$C2524-$B2524+1</f>
        <v/>
      </c>
      <c r="E2524" s="201">
        <f>MONTH($B2524)</f>
        <v/>
      </c>
      <c r="F2524" s="235">
        <f>($B2524+$C2524+1)/2</f>
        <v/>
      </c>
      <c r="G2524" s="201">
        <f>YEAR($B2524)*12+MONTH($B2524)-1</f>
        <v/>
      </c>
      <c r="H2524" s="207">
        <f>IF(OR(nr_SeasonOn="OFF",$D$2506=0,$E$2506=0),1,12*INDEX(se_block,$D$2506,$E2524)/$E$2506)</f>
        <v/>
      </c>
      <c r="I2524" s="208">
        <f>EXP(SUMPRODUCT((rl_eff&lt;$B2524)*(rl_key=$A$2506)*rl_ln1p))</f>
        <v/>
      </c>
      <c r="J2524" s="208">
        <f>EXP(SUMPRODUCT((rl_eff&lt;=$C2524)*(rl_key=$A$2506)*rl_ln1p))</f>
        <v/>
      </c>
      <c r="K2524" s="201">
        <f>COUNTIFS(rl_key,$A$2506,rl_eff,"&gt;="&amp;$B2524,rl_eff,"&lt;="&amp;$C2524)</f>
        <v/>
      </c>
      <c r="L2524" s="201">
        <f>SUMIFS(rl_daysafter,rl_key,$A$2506,rl_effmonth,$B2524,rl_first,1)</f>
        <v/>
      </c>
      <c r="M2524" s="209">
        <f>IF($K2524=0,0,MIN(1,$L2524/$D2524))</f>
        <v/>
      </c>
      <c r="N2524" s="208">
        <f>IF($K2524=0,$J2524,(1-$M2524)*$I2524+$M2524*$J2524)</f>
        <v/>
      </c>
      <c r="O2524" s="209">
        <f>IF($F2524&lt;$B$2507,$E$2507+$I$2507*($F2524-$A$2507),IF($F2524&lt;$C$2507,$F$2507+$J$2507*($F2524-$B$2507),$G$2507+$K$2507*($F2524-$C$2507)))</f>
        <v/>
      </c>
      <c r="P2524" s="208">
        <f>MIN(1,MAX(0,(nr_MEndPm1-$G2524+0.5)/$C$2506))-MIN(1,MAX(0,(nr_MStartPm1-1-$G2524+0.5)/$C$2506))</f>
        <v/>
      </c>
      <c r="Q2524" s="208">
        <f>MIN(1,MAX(0,(nr_MEndP-$G2524+0.5)/$C$2506))-MIN(1,MAX(0,(nr_MStartP-1-$G2524+0.5)/$C$2506))</f>
        <v/>
      </c>
      <c r="R2524" s="208">
        <f>MIN(1,MAX(0,(nr_MEndP1-$G2524+0.5)/$C$2506))-MIN(1,MAX(0,(nr_MStartP1-1-$G2524+0.5)/$C$2506))</f>
        <v/>
      </c>
      <c r="S2524" s="208">
        <f>IF($L$2506,$N2524*IF($O$2506=1,$O2524/$F$2506,1),"")</f>
        <v/>
      </c>
      <c r="T2524" s="208">
        <f>IF(NOT($L$2506),"",IF($G2524&lt;nr_MStartP,$S2524,$T2512*(1+IF($G2524&lt;nr_MStartP1,$M$2506,$N$2506))))</f>
        <v/>
      </c>
      <c r="U2524" s="208">
        <f>IF($L$2506,$T2524,$N2524)</f>
        <v/>
      </c>
    </row>
    <row r="2525">
      <c r="A2525" s="145" t="n">
        <v>17</v>
      </c>
      <c r="B2525" s="204">
        <f>EDATE($B2524,1)</f>
        <v/>
      </c>
      <c r="C2525" s="205">
        <f>EOMONTH($B2525,0)</f>
        <v/>
      </c>
      <c r="D2525" s="201">
        <f>$C2525-$B2525+1</f>
        <v/>
      </c>
      <c r="E2525" s="201">
        <f>MONTH($B2525)</f>
        <v/>
      </c>
      <c r="F2525" s="235">
        <f>($B2525+$C2525+1)/2</f>
        <v/>
      </c>
      <c r="G2525" s="201">
        <f>YEAR($B2525)*12+MONTH($B2525)-1</f>
        <v/>
      </c>
      <c r="H2525" s="207">
        <f>IF(OR(nr_SeasonOn="OFF",$D$2506=0,$E$2506=0),1,12*INDEX(se_block,$D$2506,$E2525)/$E$2506)</f>
        <v/>
      </c>
      <c r="I2525" s="208">
        <f>EXP(SUMPRODUCT((rl_eff&lt;$B2525)*(rl_key=$A$2506)*rl_ln1p))</f>
        <v/>
      </c>
      <c r="J2525" s="208">
        <f>EXP(SUMPRODUCT((rl_eff&lt;=$C2525)*(rl_key=$A$2506)*rl_ln1p))</f>
        <v/>
      </c>
      <c r="K2525" s="201">
        <f>COUNTIFS(rl_key,$A$2506,rl_eff,"&gt;="&amp;$B2525,rl_eff,"&lt;="&amp;$C2525)</f>
        <v/>
      </c>
      <c r="L2525" s="201">
        <f>SUMIFS(rl_daysafter,rl_key,$A$2506,rl_effmonth,$B2525,rl_first,1)</f>
        <v/>
      </c>
      <c r="M2525" s="209">
        <f>IF($K2525=0,0,MIN(1,$L2525/$D2525))</f>
        <v/>
      </c>
      <c r="N2525" s="208">
        <f>IF($K2525=0,$J2525,(1-$M2525)*$I2525+$M2525*$J2525)</f>
        <v/>
      </c>
      <c r="O2525" s="209">
        <f>IF($F2525&lt;$B$2507,$E$2507+$I$2507*($F2525-$A$2507),IF($F2525&lt;$C$2507,$F$2507+$J$2507*($F2525-$B$2507),$G$2507+$K$2507*($F2525-$C$2507)))</f>
        <v/>
      </c>
      <c r="P2525" s="208">
        <f>MIN(1,MAX(0,(nr_MEndPm1-$G2525+0.5)/$C$2506))-MIN(1,MAX(0,(nr_MStartPm1-1-$G2525+0.5)/$C$2506))</f>
        <v/>
      </c>
      <c r="Q2525" s="208">
        <f>MIN(1,MAX(0,(nr_MEndP-$G2525+0.5)/$C$2506))-MIN(1,MAX(0,(nr_MStartP-1-$G2525+0.5)/$C$2506))</f>
        <v/>
      </c>
      <c r="R2525" s="208">
        <f>MIN(1,MAX(0,(nr_MEndP1-$G2525+0.5)/$C$2506))-MIN(1,MAX(0,(nr_MStartP1-1-$G2525+0.5)/$C$2506))</f>
        <v/>
      </c>
      <c r="S2525" s="208">
        <f>IF($L$2506,$N2525*IF($O$2506=1,$O2525/$F$2506,1),"")</f>
        <v/>
      </c>
      <c r="T2525" s="208">
        <f>IF(NOT($L$2506),"",IF($G2525&lt;nr_MStartP,$S2525,$T2513*(1+IF($G2525&lt;nr_MStartP1,$M$2506,$N$2506))))</f>
        <v/>
      </c>
      <c r="U2525" s="208">
        <f>IF($L$2506,$T2525,$N2525)</f>
        <v/>
      </c>
    </row>
    <row r="2526">
      <c r="A2526" s="145" t="n">
        <v>18</v>
      </c>
      <c r="B2526" s="204">
        <f>EDATE($B2525,1)</f>
        <v/>
      </c>
      <c r="C2526" s="205">
        <f>EOMONTH($B2526,0)</f>
        <v/>
      </c>
      <c r="D2526" s="201">
        <f>$C2526-$B2526+1</f>
        <v/>
      </c>
      <c r="E2526" s="201">
        <f>MONTH($B2526)</f>
        <v/>
      </c>
      <c r="F2526" s="235">
        <f>($B2526+$C2526+1)/2</f>
        <v/>
      </c>
      <c r="G2526" s="201">
        <f>YEAR($B2526)*12+MONTH($B2526)-1</f>
        <v/>
      </c>
      <c r="H2526" s="207">
        <f>IF(OR(nr_SeasonOn="OFF",$D$2506=0,$E$2506=0),1,12*INDEX(se_block,$D$2506,$E2526)/$E$2506)</f>
        <v/>
      </c>
      <c r="I2526" s="208">
        <f>EXP(SUMPRODUCT((rl_eff&lt;$B2526)*(rl_key=$A$2506)*rl_ln1p))</f>
        <v/>
      </c>
      <c r="J2526" s="208">
        <f>EXP(SUMPRODUCT((rl_eff&lt;=$C2526)*(rl_key=$A$2506)*rl_ln1p))</f>
        <v/>
      </c>
      <c r="K2526" s="201">
        <f>COUNTIFS(rl_key,$A$2506,rl_eff,"&gt;="&amp;$B2526,rl_eff,"&lt;="&amp;$C2526)</f>
        <v/>
      </c>
      <c r="L2526" s="201">
        <f>SUMIFS(rl_daysafter,rl_key,$A$2506,rl_effmonth,$B2526,rl_first,1)</f>
        <v/>
      </c>
      <c r="M2526" s="209">
        <f>IF($K2526=0,0,MIN(1,$L2526/$D2526))</f>
        <v/>
      </c>
      <c r="N2526" s="208">
        <f>IF($K2526=0,$J2526,(1-$M2526)*$I2526+$M2526*$J2526)</f>
        <v/>
      </c>
      <c r="O2526" s="209">
        <f>IF($F2526&lt;$B$2507,$E$2507+$I$2507*($F2526-$A$2507),IF($F2526&lt;$C$2507,$F$2507+$J$2507*($F2526-$B$2507),$G$2507+$K$2507*($F2526-$C$2507)))</f>
        <v/>
      </c>
      <c r="P2526" s="208">
        <f>MIN(1,MAX(0,(nr_MEndPm1-$G2526+0.5)/$C$2506))-MIN(1,MAX(0,(nr_MStartPm1-1-$G2526+0.5)/$C$2506))</f>
        <v/>
      </c>
      <c r="Q2526" s="208">
        <f>MIN(1,MAX(0,(nr_MEndP-$G2526+0.5)/$C$2506))-MIN(1,MAX(0,(nr_MStartP-1-$G2526+0.5)/$C$2506))</f>
        <v/>
      </c>
      <c r="R2526" s="208">
        <f>MIN(1,MAX(0,(nr_MEndP1-$G2526+0.5)/$C$2506))-MIN(1,MAX(0,(nr_MStartP1-1-$G2526+0.5)/$C$2506))</f>
        <v/>
      </c>
      <c r="S2526" s="208">
        <f>IF($L$2506,$N2526*IF($O$2506=1,$O2526/$F$2506,1),"")</f>
        <v/>
      </c>
      <c r="T2526" s="208">
        <f>IF(NOT($L$2506),"",IF($G2526&lt;nr_MStartP,$S2526,$T2514*(1+IF($G2526&lt;nr_MStartP1,$M$2506,$N$2506))))</f>
        <v/>
      </c>
      <c r="U2526" s="208">
        <f>IF($L$2506,$T2526,$N2526)</f>
        <v/>
      </c>
    </row>
    <row r="2527">
      <c r="A2527" s="145" t="n">
        <v>19</v>
      </c>
      <c r="B2527" s="204">
        <f>EDATE($B2526,1)</f>
        <v/>
      </c>
      <c r="C2527" s="205">
        <f>EOMONTH($B2527,0)</f>
        <v/>
      </c>
      <c r="D2527" s="201">
        <f>$C2527-$B2527+1</f>
        <v/>
      </c>
      <c r="E2527" s="201">
        <f>MONTH($B2527)</f>
        <v/>
      </c>
      <c r="F2527" s="235">
        <f>($B2527+$C2527+1)/2</f>
        <v/>
      </c>
      <c r="G2527" s="201">
        <f>YEAR($B2527)*12+MONTH($B2527)-1</f>
        <v/>
      </c>
      <c r="H2527" s="207">
        <f>IF(OR(nr_SeasonOn="OFF",$D$2506=0,$E$2506=0),1,12*INDEX(se_block,$D$2506,$E2527)/$E$2506)</f>
        <v/>
      </c>
      <c r="I2527" s="208">
        <f>EXP(SUMPRODUCT((rl_eff&lt;$B2527)*(rl_key=$A$2506)*rl_ln1p))</f>
        <v/>
      </c>
      <c r="J2527" s="208">
        <f>EXP(SUMPRODUCT((rl_eff&lt;=$C2527)*(rl_key=$A$2506)*rl_ln1p))</f>
        <v/>
      </c>
      <c r="K2527" s="201">
        <f>COUNTIFS(rl_key,$A$2506,rl_eff,"&gt;="&amp;$B2527,rl_eff,"&lt;="&amp;$C2527)</f>
        <v/>
      </c>
      <c r="L2527" s="201">
        <f>SUMIFS(rl_daysafter,rl_key,$A$2506,rl_effmonth,$B2527,rl_first,1)</f>
        <v/>
      </c>
      <c r="M2527" s="209">
        <f>IF($K2527=0,0,MIN(1,$L2527/$D2527))</f>
        <v/>
      </c>
      <c r="N2527" s="208">
        <f>IF($K2527=0,$J2527,(1-$M2527)*$I2527+$M2527*$J2527)</f>
        <v/>
      </c>
      <c r="O2527" s="209">
        <f>IF($F2527&lt;$B$2507,$E$2507+$I$2507*($F2527-$A$2507),IF($F2527&lt;$C$2507,$F$2507+$J$2507*($F2527-$B$2507),$G$2507+$K$2507*($F2527-$C$2507)))</f>
        <v/>
      </c>
      <c r="P2527" s="208">
        <f>MIN(1,MAX(0,(nr_MEndPm1-$G2527+0.5)/$C$2506))-MIN(1,MAX(0,(nr_MStartPm1-1-$G2527+0.5)/$C$2506))</f>
        <v/>
      </c>
      <c r="Q2527" s="208">
        <f>MIN(1,MAX(0,(nr_MEndP-$G2527+0.5)/$C$2506))-MIN(1,MAX(0,(nr_MStartP-1-$G2527+0.5)/$C$2506))</f>
        <v/>
      </c>
      <c r="R2527" s="208">
        <f>MIN(1,MAX(0,(nr_MEndP1-$G2527+0.5)/$C$2506))-MIN(1,MAX(0,(nr_MStartP1-1-$G2527+0.5)/$C$2506))</f>
        <v/>
      </c>
      <c r="S2527" s="208">
        <f>IF($L$2506,$N2527*IF($O$2506=1,$O2527/$F$2506,1),"")</f>
        <v/>
      </c>
      <c r="T2527" s="208">
        <f>IF(NOT($L$2506),"",IF($G2527&lt;nr_MStartP,$S2527,$T2515*(1+IF($G2527&lt;nr_MStartP1,$M$2506,$N$2506))))</f>
        <v/>
      </c>
      <c r="U2527" s="208">
        <f>IF($L$2506,$T2527,$N2527)</f>
        <v/>
      </c>
    </row>
    <row r="2528">
      <c r="A2528" s="145" t="n">
        <v>20</v>
      </c>
      <c r="B2528" s="204">
        <f>EDATE($B2527,1)</f>
        <v/>
      </c>
      <c r="C2528" s="205">
        <f>EOMONTH($B2528,0)</f>
        <v/>
      </c>
      <c r="D2528" s="201">
        <f>$C2528-$B2528+1</f>
        <v/>
      </c>
      <c r="E2528" s="201">
        <f>MONTH($B2528)</f>
        <v/>
      </c>
      <c r="F2528" s="235">
        <f>($B2528+$C2528+1)/2</f>
        <v/>
      </c>
      <c r="G2528" s="201">
        <f>YEAR($B2528)*12+MONTH($B2528)-1</f>
        <v/>
      </c>
      <c r="H2528" s="207">
        <f>IF(OR(nr_SeasonOn="OFF",$D$2506=0,$E$2506=0),1,12*INDEX(se_block,$D$2506,$E2528)/$E$2506)</f>
        <v/>
      </c>
      <c r="I2528" s="208">
        <f>EXP(SUMPRODUCT((rl_eff&lt;$B2528)*(rl_key=$A$2506)*rl_ln1p))</f>
        <v/>
      </c>
      <c r="J2528" s="208">
        <f>EXP(SUMPRODUCT((rl_eff&lt;=$C2528)*(rl_key=$A$2506)*rl_ln1p))</f>
        <v/>
      </c>
      <c r="K2528" s="201">
        <f>COUNTIFS(rl_key,$A$2506,rl_eff,"&gt;="&amp;$B2528,rl_eff,"&lt;="&amp;$C2528)</f>
        <v/>
      </c>
      <c r="L2528" s="201">
        <f>SUMIFS(rl_daysafter,rl_key,$A$2506,rl_effmonth,$B2528,rl_first,1)</f>
        <v/>
      </c>
      <c r="M2528" s="209">
        <f>IF($K2528=0,0,MIN(1,$L2528/$D2528))</f>
        <v/>
      </c>
      <c r="N2528" s="208">
        <f>IF($K2528=0,$J2528,(1-$M2528)*$I2528+$M2528*$J2528)</f>
        <v/>
      </c>
      <c r="O2528" s="209">
        <f>IF($F2528&lt;$B$2507,$E$2507+$I$2507*($F2528-$A$2507),IF($F2528&lt;$C$2507,$F$2507+$J$2507*($F2528-$B$2507),$G$2507+$K$2507*($F2528-$C$2507)))</f>
        <v/>
      </c>
      <c r="P2528" s="208">
        <f>MIN(1,MAX(0,(nr_MEndPm1-$G2528+0.5)/$C$2506))-MIN(1,MAX(0,(nr_MStartPm1-1-$G2528+0.5)/$C$2506))</f>
        <v/>
      </c>
      <c r="Q2528" s="208">
        <f>MIN(1,MAX(0,(nr_MEndP-$G2528+0.5)/$C$2506))-MIN(1,MAX(0,(nr_MStartP-1-$G2528+0.5)/$C$2506))</f>
        <v/>
      </c>
      <c r="R2528" s="208">
        <f>MIN(1,MAX(0,(nr_MEndP1-$G2528+0.5)/$C$2506))-MIN(1,MAX(0,(nr_MStartP1-1-$G2528+0.5)/$C$2506))</f>
        <v/>
      </c>
      <c r="S2528" s="208">
        <f>IF($L$2506,$N2528*IF($O$2506=1,$O2528/$F$2506,1),"")</f>
        <v/>
      </c>
      <c r="T2528" s="208">
        <f>IF(NOT($L$2506),"",IF($G2528&lt;nr_MStartP,$S2528,$T2516*(1+IF($G2528&lt;nr_MStartP1,$M$2506,$N$2506))))</f>
        <v/>
      </c>
      <c r="U2528" s="208">
        <f>IF($L$2506,$T2528,$N2528)</f>
        <v/>
      </c>
    </row>
    <row r="2529">
      <c r="A2529" s="145" t="n">
        <v>21</v>
      </c>
      <c r="B2529" s="204">
        <f>EDATE($B2528,1)</f>
        <v/>
      </c>
      <c r="C2529" s="205">
        <f>EOMONTH($B2529,0)</f>
        <v/>
      </c>
      <c r="D2529" s="201">
        <f>$C2529-$B2529+1</f>
        <v/>
      </c>
      <c r="E2529" s="201">
        <f>MONTH($B2529)</f>
        <v/>
      </c>
      <c r="F2529" s="235">
        <f>($B2529+$C2529+1)/2</f>
        <v/>
      </c>
      <c r="G2529" s="201">
        <f>YEAR($B2529)*12+MONTH($B2529)-1</f>
        <v/>
      </c>
      <c r="H2529" s="207">
        <f>IF(OR(nr_SeasonOn="OFF",$D$2506=0,$E$2506=0),1,12*INDEX(se_block,$D$2506,$E2529)/$E$2506)</f>
        <v/>
      </c>
      <c r="I2529" s="208">
        <f>EXP(SUMPRODUCT((rl_eff&lt;$B2529)*(rl_key=$A$2506)*rl_ln1p))</f>
        <v/>
      </c>
      <c r="J2529" s="208">
        <f>EXP(SUMPRODUCT((rl_eff&lt;=$C2529)*(rl_key=$A$2506)*rl_ln1p))</f>
        <v/>
      </c>
      <c r="K2529" s="201">
        <f>COUNTIFS(rl_key,$A$2506,rl_eff,"&gt;="&amp;$B2529,rl_eff,"&lt;="&amp;$C2529)</f>
        <v/>
      </c>
      <c r="L2529" s="201">
        <f>SUMIFS(rl_daysafter,rl_key,$A$2506,rl_effmonth,$B2529,rl_first,1)</f>
        <v/>
      </c>
      <c r="M2529" s="209">
        <f>IF($K2529=0,0,MIN(1,$L2529/$D2529))</f>
        <v/>
      </c>
      <c r="N2529" s="208">
        <f>IF($K2529=0,$J2529,(1-$M2529)*$I2529+$M2529*$J2529)</f>
        <v/>
      </c>
      <c r="O2529" s="209">
        <f>IF($F2529&lt;$B$2507,$E$2507+$I$2507*($F2529-$A$2507),IF($F2529&lt;$C$2507,$F$2507+$J$2507*($F2529-$B$2507),$G$2507+$K$2507*($F2529-$C$2507)))</f>
        <v/>
      </c>
      <c r="P2529" s="208">
        <f>MIN(1,MAX(0,(nr_MEndPm1-$G2529+0.5)/$C$2506))-MIN(1,MAX(0,(nr_MStartPm1-1-$G2529+0.5)/$C$2506))</f>
        <v/>
      </c>
      <c r="Q2529" s="208">
        <f>MIN(1,MAX(0,(nr_MEndP-$G2529+0.5)/$C$2506))-MIN(1,MAX(0,(nr_MStartP-1-$G2529+0.5)/$C$2506))</f>
        <v/>
      </c>
      <c r="R2529" s="208">
        <f>MIN(1,MAX(0,(nr_MEndP1-$G2529+0.5)/$C$2506))-MIN(1,MAX(0,(nr_MStartP1-1-$G2529+0.5)/$C$2506))</f>
        <v/>
      </c>
      <c r="S2529" s="208">
        <f>IF($L$2506,$N2529*IF($O$2506=1,$O2529/$F$2506,1),"")</f>
        <v/>
      </c>
      <c r="T2529" s="208">
        <f>IF(NOT($L$2506),"",IF($G2529&lt;nr_MStartP,$S2529,$T2517*(1+IF($G2529&lt;nr_MStartP1,$M$2506,$N$2506))))</f>
        <v/>
      </c>
      <c r="U2529" s="208">
        <f>IF($L$2506,$T2529,$N2529)</f>
        <v/>
      </c>
    </row>
    <row r="2530">
      <c r="A2530" s="145" t="n">
        <v>22</v>
      </c>
      <c r="B2530" s="204">
        <f>EDATE($B2529,1)</f>
        <v/>
      </c>
      <c r="C2530" s="205">
        <f>EOMONTH($B2530,0)</f>
        <v/>
      </c>
      <c r="D2530" s="201">
        <f>$C2530-$B2530+1</f>
        <v/>
      </c>
      <c r="E2530" s="201">
        <f>MONTH($B2530)</f>
        <v/>
      </c>
      <c r="F2530" s="235">
        <f>($B2530+$C2530+1)/2</f>
        <v/>
      </c>
      <c r="G2530" s="201">
        <f>YEAR($B2530)*12+MONTH($B2530)-1</f>
        <v/>
      </c>
      <c r="H2530" s="207">
        <f>IF(OR(nr_SeasonOn="OFF",$D$2506=0,$E$2506=0),1,12*INDEX(se_block,$D$2506,$E2530)/$E$2506)</f>
        <v/>
      </c>
      <c r="I2530" s="208">
        <f>EXP(SUMPRODUCT((rl_eff&lt;$B2530)*(rl_key=$A$2506)*rl_ln1p))</f>
        <v/>
      </c>
      <c r="J2530" s="208">
        <f>EXP(SUMPRODUCT((rl_eff&lt;=$C2530)*(rl_key=$A$2506)*rl_ln1p))</f>
        <v/>
      </c>
      <c r="K2530" s="201">
        <f>COUNTIFS(rl_key,$A$2506,rl_eff,"&gt;="&amp;$B2530,rl_eff,"&lt;="&amp;$C2530)</f>
        <v/>
      </c>
      <c r="L2530" s="201">
        <f>SUMIFS(rl_daysafter,rl_key,$A$2506,rl_effmonth,$B2530,rl_first,1)</f>
        <v/>
      </c>
      <c r="M2530" s="209">
        <f>IF($K2530=0,0,MIN(1,$L2530/$D2530))</f>
        <v/>
      </c>
      <c r="N2530" s="208">
        <f>IF($K2530=0,$J2530,(1-$M2530)*$I2530+$M2530*$J2530)</f>
        <v/>
      </c>
      <c r="O2530" s="209">
        <f>IF($F2530&lt;$B$2507,$E$2507+$I$2507*($F2530-$A$2507),IF($F2530&lt;$C$2507,$F$2507+$J$2507*($F2530-$B$2507),$G$2507+$K$2507*($F2530-$C$2507)))</f>
        <v/>
      </c>
      <c r="P2530" s="208">
        <f>MIN(1,MAX(0,(nr_MEndPm1-$G2530+0.5)/$C$2506))-MIN(1,MAX(0,(nr_MStartPm1-1-$G2530+0.5)/$C$2506))</f>
        <v/>
      </c>
      <c r="Q2530" s="208">
        <f>MIN(1,MAX(0,(nr_MEndP-$G2530+0.5)/$C$2506))-MIN(1,MAX(0,(nr_MStartP-1-$G2530+0.5)/$C$2506))</f>
        <v/>
      </c>
      <c r="R2530" s="208">
        <f>MIN(1,MAX(0,(nr_MEndP1-$G2530+0.5)/$C$2506))-MIN(1,MAX(0,(nr_MStartP1-1-$G2530+0.5)/$C$2506))</f>
        <v/>
      </c>
      <c r="S2530" s="208">
        <f>IF($L$2506,$N2530*IF($O$2506=1,$O2530/$F$2506,1),"")</f>
        <v/>
      </c>
      <c r="T2530" s="208">
        <f>IF(NOT($L$2506),"",IF($G2530&lt;nr_MStartP,$S2530,$T2518*(1+IF($G2530&lt;nr_MStartP1,$M$2506,$N$2506))))</f>
        <v/>
      </c>
      <c r="U2530" s="208">
        <f>IF($L$2506,$T2530,$N2530)</f>
        <v/>
      </c>
    </row>
    <row r="2531">
      <c r="A2531" s="145" t="n">
        <v>23</v>
      </c>
      <c r="B2531" s="204">
        <f>EDATE($B2530,1)</f>
        <v/>
      </c>
      <c r="C2531" s="205">
        <f>EOMONTH($B2531,0)</f>
        <v/>
      </c>
      <c r="D2531" s="201">
        <f>$C2531-$B2531+1</f>
        <v/>
      </c>
      <c r="E2531" s="201">
        <f>MONTH($B2531)</f>
        <v/>
      </c>
      <c r="F2531" s="235">
        <f>($B2531+$C2531+1)/2</f>
        <v/>
      </c>
      <c r="G2531" s="201">
        <f>YEAR($B2531)*12+MONTH($B2531)-1</f>
        <v/>
      </c>
      <c r="H2531" s="207">
        <f>IF(OR(nr_SeasonOn="OFF",$D$2506=0,$E$2506=0),1,12*INDEX(se_block,$D$2506,$E2531)/$E$2506)</f>
        <v/>
      </c>
      <c r="I2531" s="208">
        <f>EXP(SUMPRODUCT((rl_eff&lt;$B2531)*(rl_key=$A$2506)*rl_ln1p))</f>
        <v/>
      </c>
      <c r="J2531" s="208">
        <f>EXP(SUMPRODUCT((rl_eff&lt;=$C2531)*(rl_key=$A$2506)*rl_ln1p))</f>
        <v/>
      </c>
      <c r="K2531" s="201">
        <f>COUNTIFS(rl_key,$A$2506,rl_eff,"&gt;="&amp;$B2531,rl_eff,"&lt;="&amp;$C2531)</f>
        <v/>
      </c>
      <c r="L2531" s="201">
        <f>SUMIFS(rl_daysafter,rl_key,$A$2506,rl_effmonth,$B2531,rl_first,1)</f>
        <v/>
      </c>
      <c r="M2531" s="209">
        <f>IF($K2531=0,0,MIN(1,$L2531/$D2531))</f>
        <v/>
      </c>
      <c r="N2531" s="208">
        <f>IF($K2531=0,$J2531,(1-$M2531)*$I2531+$M2531*$J2531)</f>
        <v/>
      </c>
      <c r="O2531" s="209">
        <f>IF($F2531&lt;$B$2507,$E$2507+$I$2507*($F2531-$A$2507),IF($F2531&lt;$C$2507,$F$2507+$J$2507*($F2531-$B$2507),$G$2507+$K$2507*($F2531-$C$2507)))</f>
        <v/>
      </c>
      <c r="P2531" s="208">
        <f>MIN(1,MAX(0,(nr_MEndPm1-$G2531+0.5)/$C$2506))-MIN(1,MAX(0,(nr_MStartPm1-1-$G2531+0.5)/$C$2506))</f>
        <v/>
      </c>
      <c r="Q2531" s="208">
        <f>MIN(1,MAX(0,(nr_MEndP-$G2531+0.5)/$C$2506))-MIN(1,MAX(0,(nr_MStartP-1-$G2531+0.5)/$C$2506))</f>
        <v/>
      </c>
      <c r="R2531" s="208">
        <f>MIN(1,MAX(0,(nr_MEndP1-$G2531+0.5)/$C$2506))-MIN(1,MAX(0,(nr_MStartP1-1-$G2531+0.5)/$C$2506))</f>
        <v/>
      </c>
      <c r="S2531" s="208">
        <f>IF($L$2506,$N2531*IF($O$2506=1,$O2531/$F$2506,1),"")</f>
        <v/>
      </c>
      <c r="T2531" s="208">
        <f>IF(NOT($L$2506),"",IF($G2531&lt;nr_MStartP,$S2531,$T2519*(1+IF($G2531&lt;nr_MStartP1,$M$2506,$N$2506))))</f>
        <v/>
      </c>
      <c r="U2531" s="208">
        <f>IF($L$2506,$T2531,$N2531)</f>
        <v/>
      </c>
    </row>
    <row r="2532">
      <c r="A2532" s="145" t="n">
        <v>24</v>
      </c>
      <c r="B2532" s="204">
        <f>EDATE($B2531,1)</f>
        <v/>
      </c>
      <c r="C2532" s="205">
        <f>EOMONTH($B2532,0)</f>
        <v/>
      </c>
      <c r="D2532" s="201">
        <f>$C2532-$B2532+1</f>
        <v/>
      </c>
      <c r="E2532" s="201">
        <f>MONTH($B2532)</f>
        <v/>
      </c>
      <c r="F2532" s="235">
        <f>($B2532+$C2532+1)/2</f>
        <v/>
      </c>
      <c r="G2532" s="201">
        <f>YEAR($B2532)*12+MONTH($B2532)-1</f>
        <v/>
      </c>
      <c r="H2532" s="207">
        <f>IF(OR(nr_SeasonOn="OFF",$D$2506=0,$E$2506=0),1,12*INDEX(se_block,$D$2506,$E2532)/$E$2506)</f>
        <v/>
      </c>
      <c r="I2532" s="208">
        <f>EXP(SUMPRODUCT((rl_eff&lt;$B2532)*(rl_key=$A$2506)*rl_ln1p))</f>
        <v/>
      </c>
      <c r="J2532" s="208">
        <f>EXP(SUMPRODUCT((rl_eff&lt;=$C2532)*(rl_key=$A$2506)*rl_ln1p))</f>
        <v/>
      </c>
      <c r="K2532" s="201">
        <f>COUNTIFS(rl_key,$A$2506,rl_eff,"&gt;="&amp;$B2532,rl_eff,"&lt;="&amp;$C2532)</f>
        <v/>
      </c>
      <c r="L2532" s="201">
        <f>SUMIFS(rl_daysafter,rl_key,$A$2506,rl_effmonth,$B2532,rl_first,1)</f>
        <v/>
      </c>
      <c r="M2532" s="209">
        <f>IF($K2532=0,0,MIN(1,$L2532/$D2532))</f>
        <v/>
      </c>
      <c r="N2532" s="208">
        <f>IF($K2532=0,$J2532,(1-$M2532)*$I2532+$M2532*$J2532)</f>
        <v/>
      </c>
      <c r="O2532" s="209">
        <f>IF($F2532&lt;$B$2507,$E$2507+$I$2507*($F2532-$A$2507),IF($F2532&lt;$C$2507,$F$2507+$J$2507*($F2532-$B$2507),$G$2507+$K$2507*($F2532-$C$2507)))</f>
        <v/>
      </c>
      <c r="P2532" s="208">
        <f>MIN(1,MAX(0,(nr_MEndPm1-$G2532+0.5)/$C$2506))-MIN(1,MAX(0,(nr_MStartPm1-1-$G2532+0.5)/$C$2506))</f>
        <v/>
      </c>
      <c r="Q2532" s="208">
        <f>MIN(1,MAX(0,(nr_MEndP-$G2532+0.5)/$C$2506))-MIN(1,MAX(0,(nr_MStartP-1-$G2532+0.5)/$C$2506))</f>
        <v/>
      </c>
      <c r="R2532" s="208">
        <f>MIN(1,MAX(0,(nr_MEndP1-$G2532+0.5)/$C$2506))-MIN(1,MAX(0,(nr_MStartP1-1-$G2532+0.5)/$C$2506))</f>
        <v/>
      </c>
      <c r="S2532" s="208">
        <f>IF($L$2506,$N2532*IF($O$2506=1,$O2532/$F$2506,1),"")</f>
        <v/>
      </c>
      <c r="T2532" s="208">
        <f>IF(NOT($L$2506),"",IF($G2532&lt;nr_MStartP,$S2532,$T2520*(1+IF($G2532&lt;nr_MStartP1,$M$2506,$N$2506))))</f>
        <v/>
      </c>
      <c r="U2532" s="208">
        <f>IF($L$2506,$T2532,$N2532)</f>
        <v/>
      </c>
    </row>
    <row r="2533">
      <c r="A2533" s="145" t="n">
        <v>25</v>
      </c>
      <c r="B2533" s="204">
        <f>EDATE($B2532,1)</f>
        <v/>
      </c>
      <c r="C2533" s="205">
        <f>EOMONTH($B2533,0)</f>
        <v/>
      </c>
      <c r="D2533" s="201">
        <f>$C2533-$B2533+1</f>
        <v/>
      </c>
      <c r="E2533" s="201">
        <f>MONTH($B2533)</f>
        <v/>
      </c>
      <c r="F2533" s="235">
        <f>($B2533+$C2533+1)/2</f>
        <v/>
      </c>
      <c r="G2533" s="201">
        <f>YEAR($B2533)*12+MONTH($B2533)-1</f>
        <v/>
      </c>
      <c r="H2533" s="207">
        <f>IF(OR(nr_SeasonOn="OFF",$D$2506=0,$E$2506=0),1,12*INDEX(se_block,$D$2506,$E2533)/$E$2506)</f>
        <v/>
      </c>
      <c r="I2533" s="208">
        <f>EXP(SUMPRODUCT((rl_eff&lt;$B2533)*(rl_key=$A$2506)*rl_ln1p))</f>
        <v/>
      </c>
      <c r="J2533" s="208">
        <f>EXP(SUMPRODUCT((rl_eff&lt;=$C2533)*(rl_key=$A$2506)*rl_ln1p))</f>
        <v/>
      </c>
      <c r="K2533" s="201">
        <f>COUNTIFS(rl_key,$A$2506,rl_eff,"&gt;="&amp;$B2533,rl_eff,"&lt;="&amp;$C2533)</f>
        <v/>
      </c>
      <c r="L2533" s="201">
        <f>SUMIFS(rl_daysafter,rl_key,$A$2506,rl_effmonth,$B2533,rl_first,1)</f>
        <v/>
      </c>
      <c r="M2533" s="209">
        <f>IF($K2533=0,0,MIN(1,$L2533/$D2533))</f>
        <v/>
      </c>
      <c r="N2533" s="208">
        <f>IF($K2533=0,$J2533,(1-$M2533)*$I2533+$M2533*$J2533)</f>
        <v/>
      </c>
      <c r="O2533" s="209">
        <f>IF($F2533&lt;$B$2507,$E$2507+$I$2507*($F2533-$A$2507),IF($F2533&lt;$C$2507,$F$2507+$J$2507*($F2533-$B$2507),$G$2507+$K$2507*($F2533-$C$2507)))</f>
        <v/>
      </c>
      <c r="P2533" s="208">
        <f>MIN(1,MAX(0,(nr_MEndPm1-$G2533+0.5)/$C$2506))-MIN(1,MAX(0,(nr_MStartPm1-1-$G2533+0.5)/$C$2506))</f>
        <v/>
      </c>
      <c r="Q2533" s="208">
        <f>MIN(1,MAX(0,(nr_MEndP-$G2533+0.5)/$C$2506))-MIN(1,MAX(0,(nr_MStartP-1-$G2533+0.5)/$C$2506))</f>
        <v/>
      </c>
      <c r="R2533" s="208">
        <f>MIN(1,MAX(0,(nr_MEndP1-$G2533+0.5)/$C$2506))-MIN(1,MAX(0,(nr_MStartP1-1-$G2533+0.5)/$C$2506))</f>
        <v/>
      </c>
      <c r="S2533" s="208">
        <f>IF($L$2506,$N2533*IF($O$2506=1,$O2533/$F$2506,1),"")</f>
        <v/>
      </c>
      <c r="T2533" s="208">
        <f>IF(NOT($L$2506),"",IF($G2533&lt;nr_MStartP,$S2533,$T2521*(1+IF($G2533&lt;nr_MStartP1,$M$2506,$N$2506))))</f>
        <v/>
      </c>
      <c r="U2533" s="208">
        <f>IF($L$2506,$T2533,$N2533)</f>
        <v/>
      </c>
    </row>
    <row r="2534">
      <c r="A2534" s="145" t="n">
        <v>26</v>
      </c>
      <c r="B2534" s="204">
        <f>EDATE($B2533,1)</f>
        <v/>
      </c>
      <c r="C2534" s="205">
        <f>EOMONTH($B2534,0)</f>
        <v/>
      </c>
      <c r="D2534" s="201">
        <f>$C2534-$B2534+1</f>
        <v/>
      </c>
      <c r="E2534" s="201">
        <f>MONTH($B2534)</f>
        <v/>
      </c>
      <c r="F2534" s="235">
        <f>($B2534+$C2534+1)/2</f>
        <v/>
      </c>
      <c r="G2534" s="201">
        <f>YEAR($B2534)*12+MONTH($B2534)-1</f>
        <v/>
      </c>
      <c r="H2534" s="207">
        <f>IF(OR(nr_SeasonOn="OFF",$D$2506=0,$E$2506=0),1,12*INDEX(se_block,$D$2506,$E2534)/$E$2506)</f>
        <v/>
      </c>
      <c r="I2534" s="208">
        <f>EXP(SUMPRODUCT((rl_eff&lt;$B2534)*(rl_key=$A$2506)*rl_ln1p))</f>
        <v/>
      </c>
      <c r="J2534" s="208">
        <f>EXP(SUMPRODUCT((rl_eff&lt;=$C2534)*(rl_key=$A$2506)*rl_ln1p))</f>
        <v/>
      </c>
      <c r="K2534" s="201">
        <f>COUNTIFS(rl_key,$A$2506,rl_eff,"&gt;="&amp;$B2534,rl_eff,"&lt;="&amp;$C2534)</f>
        <v/>
      </c>
      <c r="L2534" s="201">
        <f>SUMIFS(rl_daysafter,rl_key,$A$2506,rl_effmonth,$B2534,rl_first,1)</f>
        <v/>
      </c>
      <c r="M2534" s="209">
        <f>IF($K2534=0,0,MIN(1,$L2534/$D2534))</f>
        <v/>
      </c>
      <c r="N2534" s="208">
        <f>IF($K2534=0,$J2534,(1-$M2534)*$I2534+$M2534*$J2534)</f>
        <v/>
      </c>
      <c r="O2534" s="209">
        <f>IF($F2534&lt;$B$2507,$E$2507+$I$2507*($F2534-$A$2507),IF($F2534&lt;$C$2507,$F$2507+$J$2507*($F2534-$B$2507),$G$2507+$K$2507*($F2534-$C$2507)))</f>
        <v/>
      </c>
      <c r="P2534" s="208">
        <f>MIN(1,MAX(0,(nr_MEndPm1-$G2534+0.5)/$C$2506))-MIN(1,MAX(0,(nr_MStartPm1-1-$G2534+0.5)/$C$2506))</f>
        <v/>
      </c>
      <c r="Q2534" s="208">
        <f>MIN(1,MAX(0,(nr_MEndP-$G2534+0.5)/$C$2506))-MIN(1,MAX(0,(nr_MStartP-1-$G2534+0.5)/$C$2506))</f>
        <v/>
      </c>
      <c r="R2534" s="208">
        <f>MIN(1,MAX(0,(nr_MEndP1-$G2534+0.5)/$C$2506))-MIN(1,MAX(0,(nr_MStartP1-1-$G2534+0.5)/$C$2506))</f>
        <v/>
      </c>
      <c r="S2534" s="208">
        <f>IF($L$2506,$N2534*IF($O$2506=1,$O2534/$F$2506,1),"")</f>
        <v/>
      </c>
      <c r="T2534" s="208">
        <f>IF(NOT($L$2506),"",IF($G2534&lt;nr_MStartP,$S2534,$T2522*(1+IF($G2534&lt;nr_MStartP1,$M$2506,$N$2506))))</f>
        <v/>
      </c>
      <c r="U2534" s="208">
        <f>IF($L$2506,$T2534,$N2534)</f>
        <v/>
      </c>
    </row>
    <row r="2535">
      <c r="A2535" s="145" t="n">
        <v>27</v>
      </c>
      <c r="B2535" s="204">
        <f>EDATE($B2534,1)</f>
        <v/>
      </c>
      <c r="C2535" s="205">
        <f>EOMONTH($B2535,0)</f>
        <v/>
      </c>
      <c r="D2535" s="201">
        <f>$C2535-$B2535+1</f>
        <v/>
      </c>
      <c r="E2535" s="201">
        <f>MONTH($B2535)</f>
        <v/>
      </c>
      <c r="F2535" s="235">
        <f>($B2535+$C2535+1)/2</f>
        <v/>
      </c>
      <c r="G2535" s="201">
        <f>YEAR($B2535)*12+MONTH($B2535)-1</f>
        <v/>
      </c>
      <c r="H2535" s="207">
        <f>IF(OR(nr_SeasonOn="OFF",$D$2506=0,$E$2506=0),1,12*INDEX(se_block,$D$2506,$E2535)/$E$2506)</f>
        <v/>
      </c>
      <c r="I2535" s="208">
        <f>EXP(SUMPRODUCT((rl_eff&lt;$B2535)*(rl_key=$A$2506)*rl_ln1p))</f>
        <v/>
      </c>
      <c r="J2535" s="208">
        <f>EXP(SUMPRODUCT((rl_eff&lt;=$C2535)*(rl_key=$A$2506)*rl_ln1p))</f>
        <v/>
      </c>
      <c r="K2535" s="201">
        <f>COUNTIFS(rl_key,$A$2506,rl_eff,"&gt;="&amp;$B2535,rl_eff,"&lt;="&amp;$C2535)</f>
        <v/>
      </c>
      <c r="L2535" s="201">
        <f>SUMIFS(rl_daysafter,rl_key,$A$2506,rl_effmonth,$B2535,rl_first,1)</f>
        <v/>
      </c>
      <c r="M2535" s="209">
        <f>IF($K2535=0,0,MIN(1,$L2535/$D2535))</f>
        <v/>
      </c>
      <c r="N2535" s="208">
        <f>IF($K2535=0,$J2535,(1-$M2535)*$I2535+$M2535*$J2535)</f>
        <v/>
      </c>
      <c r="O2535" s="209">
        <f>IF($F2535&lt;$B$2507,$E$2507+$I$2507*($F2535-$A$2507),IF($F2535&lt;$C$2507,$F$2507+$J$2507*($F2535-$B$2507),$G$2507+$K$2507*($F2535-$C$2507)))</f>
        <v/>
      </c>
      <c r="P2535" s="208">
        <f>MIN(1,MAX(0,(nr_MEndPm1-$G2535+0.5)/$C$2506))-MIN(1,MAX(0,(nr_MStartPm1-1-$G2535+0.5)/$C$2506))</f>
        <v/>
      </c>
      <c r="Q2535" s="208">
        <f>MIN(1,MAX(0,(nr_MEndP-$G2535+0.5)/$C$2506))-MIN(1,MAX(0,(nr_MStartP-1-$G2535+0.5)/$C$2506))</f>
        <v/>
      </c>
      <c r="R2535" s="208">
        <f>MIN(1,MAX(0,(nr_MEndP1-$G2535+0.5)/$C$2506))-MIN(1,MAX(0,(nr_MStartP1-1-$G2535+0.5)/$C$2506))</f>
        <v/>
      </c>
      <c r="S2535" s="208">
        <f>IF($L$2506,$N2535*IF($O$2506=1,$O2535/$F$2506,1),"")</f>
        <v/>
      </c>
      <c r="T2535" s="208">
        <f>IF(NOT($L$2506),"",IF($G2535&lt;nr_MStartP,$S2535,$T2523*(1+IF($G2535&lt;nr_MStartP1,$M$2506,$N$2506))))</f>
        <v/>
      </c>
      <c r="U2535" s="208">
        <f>IF($L$2506,$T2535,$N2535)</f>
        <v/>
      </c>
    </row>
    <row r="2536">
      <c r="A2536" s="145" t="n">
        <v>28</v>
      </c>
      <c r="B2536" s="204">
        <f>EDATE($B2535,1)</f>
        <v/>
      </c>
      <c r="C2536" s="205">
        <f>EOMONTH($B2536,0)</f>
        <v/>
      </c>
      <c r="D2536" s="201">
        <f>$C2536-$B2536+1</f>
        <v/>
      </c>
      <c r="E2536" s="201">
        <f>MONTH($B2536)</f>
        <v/>
      </c>
      <c r="F2536" s="235">
        <f>($B2536+$C2536+1)/2</f>
        <v/>
      </c>
      <c r="G2536" s="201">
        <f>YEAR($B2536)*12+MONTH($B2536)-1</f>
        <v/>
      </c>
      <c r="H2536" s="207">
        <f>IF(OR(nr_SeasonOn="OFF",$D$2506=0,$E$2506=0),1,12*INDEX(se_block,$D$2506,$E2536)/$E$2506)</f>
        <v/>
      </c>
      <c r="I2536" s="208">
        <f>EXP(SUMPRODUCT((rl_eff&lt;$B2536)*(rl_key=$A$2506)*rl_ln1p))</f>
        <v/>
      </c>
      <c r="J2536" s="208">
        <f>EXP(SUMPRODUCT((rl_eff&lt;=$C2536)*(rl_key=$A$2506)*rl_ln1p))</f>
        <v/>
      </c>
      <c r="K2536" s="201">
        <f>COUNTIFS(rl_key,$A$2506,rl_eff,"&gt;="&amp;$B2536,rl_eff,"&lt;="&amp;$C2536)</f>
        <v/>
      </c>
      <c r="L2536" s="201">
        <f>SUMIFS(rl_daysafter,rl_key,$A$2506,rl_effmonth,$B2536,rl_first,1)</f>
        <v/>
      </c>
      <c r="M2536" s="209">
        <f>IF($K2536=0,0,MIN(1,$L2536/$D2536))</f>
        <v/>
      </c>
      <c r="N2536" s="208">
        <f>IF($K2536=0,$J2536,(1-$M2536)*$I2536+$M2536*$J2536)</f>
        <v/>
      </c>
      <c r="O2536" s="209">
        <f>IF($F2536&lt;$B$2507,$E$2507+$I$2507*($F2536-$A$2507),IF($F2536&lt;$C$2507,$F$2507+$J$2507*($F2536-$B$2507),$G$2507+$K$2507*($F2536-$C$2507)))</f>
        <v/>
      </c>
      <c r="P2536" s="208">
        <f>MIN(1,MAX(0,(nr_MEndPm1-$G2536+0.5)/$C$2506))-MIN(1,MAX(0,(nr_MStartPm1-1-$G2536+0.5)/$C$2506))</f>
        <v/>
      </c>
      <c r="Q2536" s="208">
        <f>MIN(1,MAX(0,(nr_MEndP-$G2536+0.5)/$C$2506))-MIN(1,MAX(0,(nr_MStartP-1-$G2536+0.5)/$C$2506))</f>
        <v/>
      </c>
      <c r="R2536" s="208">
        <f>MIN(1,MAX(0,(nr_MEndP1-$G2536+0.5)/$C$2506))-MIN(1,MAX(0,(nr_MStartP1-1-$G2536+0.5)/$C$2506))</f>
        <v/>
      </c>
      <c r="S2536" s="208">
        <f>IF($L$2506,$N2536*IF($O$2506=1,$O2536/$F$2506,1),"")</f>
        <v/>
      </c>
      <c r="T2536" s="208">
        <f>IF(NOT($L$2506),"",IF($G2536&lt;nr_MStartP,$S2536,$T2524*(1+IF($G2536&lt;nr_MStartP1,$M$2506,$N$2506))))</f>
        <v/>
      </c>
      <c r="U2536" s="208">
        <f>IF($L$2506,$T2536,$N2536)</f>
        <v/>
      </c>
    </row>
    <row r="2537">
      <c r="A2537" s="145" t="n">
        <v>29</v>
      </c>
      <c r="B2537" s="204">
        <f>EDATE($B2536,1)</f>
        <v/>
      </c>
      <c r="C2537" s="205">
        <f>EOMONTH($B2537,0)</f>
        <v/>
      </c>
      <c r="D2537" s="201">
        <f>$C2537-$B2537+1</f>
        <v/>
      </c>
      <c r="E2537" s="201">
        <f>MONTH($B2537)</f>
        <v/>
      </c>
      <c r="F2537" s="235">
        <f>($B2537+$C2537+1)/2</f>
        <v/>
      </c>
      <c r="G2537" s="201">
        <f>YEAR($B2537)*12+MONTH($B2537)-1</f>
        <v/>
      </c>
      <c r="H2537" s="207">
        <f>IF(OR(nr_SeasonOn="OFF",$D$2506=0,$E$2506=0),1,12*INDEX(se_block,$D$2506,$E2537)/$E$2506)</f>
        <v/>
      </c>
      <c r="I2537" s="208">
        <f>EXP(SUMPRODUCT((rl_eff&lt;$B2537)*(rl_key=$A$2506)*rl_ln1p))</f>
        <v/>
      </c>
      <c r="J2537" s="208">
        <f>EXP(SUMPRODUCT((rl_eff&lt;=$C2537)*(rl_key=$A$2506)*rl_ln1p))</f>
        <v/>
      </c>
      <c r="K2537" s="201">
        <f>COUNTIFS(rl_key,$A$2506,rl_eff,"&gt;="&amp;$B2537,rl_eff,"&lt;="&amp;$C2537)</f>
        <v/>
      </c>
      <c r="L2537" s="201">
        <f>SUMIFS(rl_daysafter,rl_key,$A$2506,rl_effmonth,$B2537,rl_first,1)</f>
        <v/>
      </c>
      <c r="M2537" s="209">
        <f>IF($K2537=0,0,MIN(1,$L2537/$D2537))</f>
        <v/>
      </c>
      <c r="N2537" s="208">
        <f>IF($K2537=0,$J2537,(1-$M2537)*$I2537+$M2537*$J2537)</f>
        <v/>
      </c>
      <c r="O2537" s="209">
        <f>IF($F2537&lt;$B$2507,$E$2507+$I$2507*($F2537-$A$2507),IF($F2537&lt;$C$2507,$F$2507+$J$2507*($F2537-$B$2507),$G$2507+$K$2507*($F2537-$C$2507)))</f>
        <v/>
      </c>
      <c r="P2537" s="208">
        <f>MIN(1,MAX(0,(nr_MEndPm1-$G2537+0.5)/$C$2506))-MIN(1,MAX(0,(nr_MStartPm1-1-$G2537+0.5)/$C$2506))</f>
        <v/>
      </c>
      <c r="Q2537" s="208">
        <f>MIN(1,MAX(0,(nr_MEndP-$G2537+0.5)/$C$2506))-MIN(1,MAX(0,(nr_MStartP-1-$G2537+0.5)/$C$2506))</f>
        <v/>
      </c>
      <c r="R2537" s="208">
        <f>MIN(1,MAX(0,(nr_MEndP1-$G2537+0.5)/$C$2506))-MIN(1,MAX(0,(nr_MStartP1-1-$G2537+0.5)/$C$2506))</f>
        <v/>
      </c>
      <c r="S2537" s="208">
        <f>IF($L$2506,$N2537*IF($O$2506=1,$O2537/$F$2506,1),"")</f>
        <v/>
      </c>
      <c r="T2537" s="208">
        <f>IF(NOT($L$2506),"",IF($G2537&lt;nr_MStartP,$S2537,$T2525*(1+IF($G2537&lt;nr_MStartP1,$M$2506,$N$2506))))</f>
        <v/>
      </c>
      <c r="U2537" s="208">
        <f>IF($L$2506,$T2537,$N2537)</f>
        <v/>
      </c>
    </row>
    <row r="2538">
      <c r="A2538" s="145" t="n">
        <v>30</v>
      </c>
      <c r="B2538" s="204">
        <f>EDATE($B2537,1)</f>
        <v/>
      </c>
      <c r="C2538" s="205">
        <f>EOMONTH($B2538,0)</f>
        <v/>
      </c>
      <c r="D2538" s="201">
        <f>$C2538-$B2538+1</f>
        <v/>
      </c>
      <c r="E2538" s="201">
        <f>MONTH($B2538)</f>
        <v/>
      </c>
      <c r="F2538" s="235">
        <f>($B2538+$C2538+1)/2</f>
        <v/>
      </c>
      <c r="G2538" s="201">
        <f>YEAR($B2538)*12+MONTH($B2538)-1</f>
        <v/>
      </c>
      <c r="H2538" s="207">
        <f>IF(OR(nr_SeasonOn="OFF",$D$2506=0,$E$2506=0),1,12*INDEX(se_block,$D$2506,$E2538)/$E$2506)</f>
        <v/>
      </c>
      <c r="I2538" s="208">
        <f>EXP(SUMPRODUCT((rl_eff&lt;$B2538)*(rl_key=$A$2506)*rl_ln1p))</f>
        <v/>
      </c>
      <c r="J2538" s="208">
        <f>EXP(SUMPRODUCT((rl_eff&lt;=$C2538)*(rl_key=$A$2506)*rl_ln1p))</f>
        <v/>
      </c>
      <c r="K2538" s="201">
        <f>COUNTIFS(rl_key,$A$2506,rl_eff,"&gt;="&amp;$B2538,rl_eff,"&lt;="&amp;$C2538)</f>
        <v/>
      </c>
      <c r="L2538" s="201">
        <f>SUMIFS(rl_daysafter,rl_key,$A$2506,rl_effmonth,$B2538,rl_first,1)</f>
        <v/>
      </c>
      <c r="M2538" s="209">
        <f>IF($K2538=0,0,MIN(1,$L2538/$D2538))</f>
        <v/>
      </c>
      <c r="N2538" s="208">
        <f>IF($K2538=0,$J2538,(1-$M2538)*$I2538+$M2538*$J2538)</f>
        <v/>
      </c>
      <c r="O2538" s="209">
        <f>IF($F2538&lt;$B$2507,$E$2507+$I$2507*($F2538-$A$2507),IF($F2538&lt;$C$2507,$F$2507+$J$2507*($F2538-$B$2507),$G$2507+$K$2507*($F2538-$C$2507)))</f>
        <v/>
      </c>
      <c r="P2538" s="208">
        <f>MIN(1,MAX(0,(nr_MEndPm1-$G2538+0.5)/$C$2506))-MIN(1,MAX(0,(nr_MStartPm1-1-$G2538+0.5)/$C$2506))</f>
        <v/>
      </c>
      <c r="Q2538" s="208">
        <f>MIN(1,MAX(0,(nr_MEndP-$G2538+0.5)/$C$2506))-MIN(1,MAX(0,(nr_MStartP-1-$G2538+0.5)/$C$2506))</f>
        <v/>
      </c>
      <c r="R2538" s="208">
        <f>MIN(1,MAX(0,(nr_MEndP1-$G2538+0.5)/$C$2506))-MIN(1,MAX(0,(nr_MStartP1-1-$G2538+0.5)/$C$2506))</f>
        <v/>
      </c>
      <c r="S2538" s="208">
        <f>IF($L$2506,$N2538*IF($O$2506=1,$O2538/$F$2506,1),"")</f>
        <v/>
      </c>
      <c r="T2538" s="208">
        <f>IF(NOT($L$2506),"",IF($G2538&lt;nr_MStartP,$S2538,$T2526*(1+IF($G2538&lt;nr_MStartP1,$M$2506,$N$2506))))</f>
        <v/>
      </c>
      <c r="U2538" s="208">
        <f>IF($L$2506,$T2538,$N2538)</f>
        <v/>
      </c>
    </row>
    <row r="2539">
      <c r="A2539" s="145" t="n">
        <v>31</v>
      </c>
      <c r="B2539" s="204">
        <f>EDATE($B2538,1)</f>
        <v/>
      </c>
      <c r="C2539" s="205">
        <f>EOMONTH($B2539,0)</f>
        <v/>
      </c>
      <c r="D2539" s="201">
        <f>$C2539-$B2539+1</f>
        <v/>
      </c>
      <c r="E2539" s="201">
        <f>MONTH($B2539)</f>
        <v/>
      </c>
      <c r="F2539" s="235">
        <f>($B2539+$C2539+1)/2</f>
        <v/>
      </c>
      <c r="G2539" s="201">
        <f>YEAR($B2539)*12+MONTH($B2539)-1</f>
        <v/>
      </c>
      <c r="H2539" s="207">
        <f>IF(OR(nr_SeasonOn="OFF",$D$2506=0,$E$2506=0),1,12*INDEX(se_block,$D$2506,$E2539)/$E$2506)</f>
        <v/>
      </c>
      <c r="I2539" s="208">
        <f>EXP(SUMPRODUCT((rl_eff&lt;$B2539)*(rl_key=$A$2506)*rl_ln1p))</f>
        <v/>
      </c>
      <c r="J2539" s="208">
        <f>EXP(SUMPRODUCT((rl_eff&lt;=$C2539)*(rl_key=$A$2506)*rl_ln1p))</f>
        <v/>
      </c>
      <c r="K2539" s="201">
        <f>COUNTIFS(rl_key,$A$2506,rl_eff,"&gt;="&amp;$B2539,rl_eff,"&lt;="&amp;$C2539)</f>
        <v/>
      </c>
      <c r="L2539" s="201">
        <f>SUMIFS(rl_daysafter,rl_key,$A$2506,rl_effmonth,$B2539,rl_first,1)</f>
        <v/>
      </c>
      <c r="M2539" s="209">
        <f>IF($K2539=0,0,MIN(1,$L2539/$D2539))</f>
        <v/>
      </c>
      <c r="N2539" s="208">
        <f>IF($K2539=0,$J2539,(1-$M2539)*$I2539+$M2539*$J2539)</f>
        <v/>
      </c>
      <c r="O2539" s="209">
        <f>IF($F2539&lt;$B$2507,$E$2507+$I$2507*($F2539-$A$2507),IF($F2539&lt;$C$2507,$F$2507+$J$2507*($F2539-$B$2507),$G$2507+$K$2507*($F2539-$C$2507)))</f>
        <v/>
      </c>
      <c r="P2539" s="208">
        <f>MIN(1,MAX(0,(nr_MEndPm1-$G2539+0.5)/$C$2506))-MIN(1,MAX(0,(nr_MStartPm1-1-$G2539+0.5)/$C$2506))</f>
        <v/>
      </c>
      <c r="Q2539" s="208">
        <f>MIN(1,MAX(0,(nr_MEndP-$G2539+0.5)/$C$2506))-MIN(1,MAX(0,(nr_MStartP-1-$G2539+0.5)/$C$2506))</f>
        <v/>
      </c>
      <c r="R2539" s="208">
        <f>MIN(1,MAX(0,(nr_MEndP1-$G2539+0.5)/$C$2506))-MIN(1,MAX(0,(nr_MStartP1-1-$G2539+0.5)/$C$2506))</f>
        <v/>
      </c>
      <c r="S2539" s="208">
        <f>IF($L$2506,$N2539*IF($O$2506=1,$O2539/$F$2506,1),"")</f>
        <v/>
      </c>
      <c r="T2539" s="208">
        <f>IF(NOT($L$2506),"",IF($G2539&lt;nr_MStartP,$S2539,$T2527*(1+IF($G2539&lt;nr_MStartP1,$M$2506,$N$2506))))</f>
        <v/>
      </c>
      <c r="U2539" s="208">
        <f>IF($L$2506,$T2539,$N2539)</f>
        <v/>
      </c>
    </row>
    <row r="2540">
      <c r="A2540" s="145" t="n">
        <v>32</v>
      </c>
      <c r="B2540" s="204">
        <f>EDATE($B2539,1)</f>
        <v/>
      </c>
      <c r="C2540" s="205">
        <f>EOMONTH($B2540,0)</f>
        <v/>
      </c>
      <c r="D2540" s="201">
        <f>$C2540-$B2540+1</f>
        <v/>
      </c>
      <c r="E2540" s="201">
        <f>MONTH($B2540)</f>
        <v/>
      </c>
      <c r="F2540" s="235">
        <f>($B2540+$C2540+1)/2</f>
        <v/>
      </c>
      <c r="G2540" s="201">
        <f>YEAR($B2540)*12+MONTH($B2540)-1</f>
        <v/>
      </c>
      <c r="H2540" s="207">
        <f>IF(OR(nr_SeasonOn="OFF",$D$2506=0,$E$2506=0),1,12*INDEX(se_block,$D$2506,$E2540)/$E$2506)</f>
        <v/>
      </c>
      <c r="I2540" s="208">
        <f>EXP(SUMPRODUCT((rl_eff&lt;$B2540)*(rl_key=$A$2506)*rl_ln1p))</f>
        <v/>
      </c>
      <c r="J2540" s="208">
        <f>EXP(SUMPRODUCT((rl_eff&lt;=$C2540)*(rl_key=$A$2506)*rl_ln1p))</f>
        <v/>
      </c>
      <c r="K2540" s="201">
        <f>COUNTIFS(rl_key,$A$2506,rl_eff,"&gt;="&amp;$B2540,rl_eff,"&lt;="&amp;$C2540)</f>
        <v/>
      </c>
      <c r="L2540" s="201">
        <f>SUMIFS(rl_daysafter,rl_key,$A$2506,rl_effmonth,$B2540,rl_first,1)</f>
        <v/>
      </c>
      <c r="M2540" s="209">
        <f>IF($K2540=0,0,MIN(1,$L2540/$D2540))</f>
        <v/>
      </c>
      <c r="N2540" s="208">
        <f>IF($K2540=0,$J2540,(1-$M2540)*$I2540+$M2540*$J2540)</f>
        <v/>
      </c>
      <c r="O2540" s="209">
        <f>IF($F2540&lt;$B$2507,$E$2507+$I$2507*($F2540-$A$2507),IF($F2540&lt;$C$2507,$F$2507+$J$2507*($F2540-$B$2507),$G$2507+$K$2507*($F2540-$C$2507)))</f>
        <v/>
      </c>
      <c r="P2540" s="208">
        <f>MIN(1,MAX(0,(nr_MEndPm1-$G2540+0.5)/$C$2506))-MIN(1,MAX(0,(nr_MStartPm1-1-$G2540+0.5)/$C$2506))</f>
        <v/>
      </c>
      <c r="Q2540" s="208">
        <f>MIN(1,MAX(0,(nr_MEndP-$G2540+0.5)/$C$2506))-MIN(1,MAX(0,(nr_MStartP-1-$G2540+0.5)/$C$2506))</f>
        <v/>
      </c>
      <c r="R2540" s="208">
        <f>MIN(1,MAX(0,(nr_MEndP1-$G2540+0.5)/$C$2506))-MIN(1,MAX(0,(nr_MStartP1-1-$G2540+0.5)/$C$2506))</f>
        <v/>
      </c>
      <c r="S2540" s="208">
        <f>IF($L$2506,$N2540*IF($O$2506=1,$O2540/$F$2506,1),"")</f>
        <v/>
      </c>
      <c r="T2540" s="208">
        <f>IF(NOT($L$2506),"",IF($G2540&lt;nr_MStartP,$S2540,$T2528*(1+IF($G2540&lt;nr_MStartP1,$M$2506,$N$2506))))</f>
        <v/>
      </c>
      <c r="U2540" s="208">
        <f>IF($L$2506,$T2540,$N2540)</f>
        <v/>
      </c>
    </row>
    <row r="2541">
      <c r="A2541" s="145" t="n">
        <v>33</v>
      </c>
      <c r="B2541" s="204">
        <f>EDATE($B2540,1)</f>
        <v/>
      </c>
      <c r="C2541" s="205">
        <f>EOMONTH($B2541,0)</f>
        <v/>
      </c>
      <c r="D2541" s="201">
        <f>$C2541-$B2541+1</f>
        <v/>
      </c>
      <c r="E2541" s="201">
        <f>MONTH($B2541)</f>
        <v/>
      </c>
      <c r="F2541" s="235">
        <f>($B2541+$C2541+1)/2</f>
        <v/>
      </c>
      <c r="G2541" s="201">
        <f>YEAR($B2541)*12+MONTH($B2541)-1</f>
        <v/>
      </c>
      <c r="H2541" s="207">
        <f>IF(OR(nr_SeasonOn="OFF",$D$2506=0,$E$2506=0),1,12*INDEX(se_block,$D$2506,$E2541)/$E$2506)</f>
        <v/>
      </c>
      <c r="I2541" s="208">
        <f>EXP(SUMPRODUCT((rl_eff&lt;$B2541)*(rl_key=$A$2506)*rl_ln1p))</f>
        <v/>
      </c>
      <c r="J2541" s="208">
        <f>EXP(SUMPRODUCT((rl_eff&lt;=$C2541)*(rl_key=$A$2506)*rl_ln1p))</f>
        <v/>
      </c>
      <c r="K2541" s="201">
        <f>COUNTIFS(rl_key,$A$2506,rl_eff,"&gt;="&amp;$B2541,rl_eff,"&lt;="&amp;$C2541)</f>
        <v/>
      </c>
      <c r="L2541" s="201">
        <f>SUMIFS(rl_daysafter,rl_key,$A$2506,rl_effmonth,$B2541,rl_first,1)</f>
        <v/>
      </c>
      <c r="M2541" s="209">
        <f>IF($K2541=0,0,MIN(1,$L2541/$D2541))</f>
        <v/>
      </c>
      <c r="N2541" s="208">
        <f>IF($K2541=0,$J2541,(1-$M2541)*$I2541+$M2541*$J2541)</f>
        <v/>
      </c>
      <c r="O2541" s="209">
        <f>IF($F2541&lt;$B$2507,$E$2507+$I$2507*($F2541-$A$2507),IF($F2541&lt;$C$2507,$F$2507+$J$2507*($F2541-$B$2507),$G$2507+$K$2507*($F2541-$C$2507)))</f>
        <v/>
      </c>
      <c r="P2541" s="208">
        <f>MIN(1,MAX(0,(nr_MEndPm1-$G2541+0.5)/$C$2506))-MIN(1,MAX(0,(nr_MStartPm1-1-$G2541+0.5)/$C$2506))</f>
        <v/>
      </c>
      <c r="Q2541" s="208">
        <f>MIN(1,MAX(0,(nr_MEndP-$G2541+0.5)/$C$2506))-MIN(1,MAX(0,(nr_MStartP-1-$G2541+0.5)/$C$2506))</f>
        <v/>
      </c>
      <c r="R2541" s="208">
        <f>MIN(1,MAX(0,(nr_MEndP1-$G2541+0.5)/$C$2506))-MIN(1,MAX(0,(nr_MStartP1-1-$G2541+0.5)/$C$2506))</f>
        <v/>
      </c>
      <c r="S2541" s="208">
        <f>IF($L$2506,$N2541*IF($O$2506=1,$O2541/$F$2506,1),"")</f>
        <v/>
      </c>
      <c r="T2541" s="208">
        <f>IF(NOT($L$2506),"",IF($G2541&lt;nr_MStartP,$S2541,$T2529*(1+IF($G2541&lt;nr_MStartP1,$M$2506,$N$2506))))</f>
        <v/>
      </c>
      <c r="U2541" s="208">
        <f>IF($L$2506,$T2541,$N2541)</f>
        <v/>
      </c>
    </row>
    <row r="2542">
      <c r="A2542" s="145" t="n">
        <v>34</v>
      </c>
      <c r="B2542" s="204">
        <f>EDATE($B2541,1)</f>
        <v/>
      </c>
      <c r="C2542" s="205">
        <f>EOMONTH($B2542,0)</f>
        <v/>
      </c>
      <c r="D2542" s="201">
        <f>$C2542-$B2542+1</f>
        <v/>
      </c>
      <c r="E2542" s="201">
        <f>MONTH($B2542)</f>
        <v/>
      </c>
      <c r="F2542" s="235">
        <f>($B2542+$C2542+1)/2</f>
        <v/>
      </c>
      <c r="G2542" s="201">
        <f>YEAR($B2542)*12+MONTH($B2542)-1</f>
        <v/>
      </c>
      <c r="H2542" s="207">
        <f>IF(OR(nr_SeasonOn="OFF",$D$2506=0,$E$2506=0),1,12*INDEX(se_block,$D$2506,$E2542)/$E$2506)</f>
        <v/>
      </c>
      <c r="I2542" s="208">
        <f>EXP(SUMPRODUCT((rl_eff&lt;$B2542)*(rl_key=$A$2506)*rl_ln1p))</f>
        <v/>
      </c>
      <c r="J2542" s="208">
        <f>EXP(SUMPRODUCT((rl_eff&lt;=$C2542)*(rl_key=$A$2506)*rl_ln1p))</f>
        <v/>
      </c>
      <c r="K2542" s="201">
        <f>COUNTIFS(rl_key,$A$2506,rl_eff,"&gt;="&amp;$B2542,rl_eff,"&lt;="&amp;$C2542)</f>
        <v/>
      </c>
      <c r="L2542" s="201">
        <f>SUMIFS(rl_daysafter,rl_key,$A$2506,rl_effmonth,$B2542,rl_first,1)</f>
        <v/>
      </c>
      <c r="M2542" s="209">
        <f>IF($K2542=0,0,MIN(1,$L2542/$D2542))</f>
        <v/>
      </c>
      <c r="N2542" s="208">
        <f>IF($K2542=0,$J2542,(1-$M2542)*$I2542+$M2542*$J2542)</f>
        <v/>
      </c>
      <c r="O2542" s="209">
        <f>IF($F2542&lt;$B$2507,$E$2507+$I$2507*($F2542-$A$2507),IF($F2542&lt;$C$2507,$F$2507+$J$2507*($F2542-$B$2507),$G$2507+$K$2507*($F2542-$C$2507)))</f>
        <v/>
      </c>
      <c r="P2542" s="208">
        <f>MIN(1,MAX(0,(nr_MEndPm1-$G2542+0.5)/$C$2506))-MIN(1,MAX(0,(nr_MStartPm1-1-$G2542+0.5)/$C$2506))</f>
        <v/>
      </c>
      <c r="Q2542" s="208">
        <f>MIN(1,MAX(0,(nr_MEndP-$G2542+0.5)/$C$2506))-MIN(1,MAX(0,(nr_MStartP-1-$G2542+0.5)/$C$2506))</f>
        <v/>
      </c>
      <c r="R2542" s="208">
        <f>MIN(1,MAX(0,(nr_MEndP1-$G2542+0.5)/$C$2506))-MIN(1,MAX(0,(nr_MStartP1-1-$G2542+0.5)/$C$2506))</f>
        <v/>
      </c>
      <c r="S2542" s="208">
        <f>IF($L$2506,$N2542*IF($O$2506=1,$O2542/$F$2506,1),"")</f>
        <v/>
      </c>
      <c r="T2542" s="208">
        <f>IF(NOT($L$2506),"",IF($G2542&lt;nr_MStartP,$S2542,$T2530*(1+IF($G2542&lt;nr_MStartP1,$M$2506,$N$2506))))</f>
        <v/>
      </c>
      <c r="U2542" s="208">
        <f>IF($L$2506,$T2542,$N2542)</f>
        <v/>
      </c>
    </row>
    <row r="2543">
      <c r="A2543" s="145" t="n">
        <v>35</v>
      </c>
      <c r="B2543" s="204">
        <f>EDATE($B2542,1)</f>
        <v/>
      </c>
      <c r="C2543" s="205">
        <f>EOMONTH($B2543,0)</f>
        <v/>
      </c>
      <c r="D2543" s="201">
        <f>$C2543-$B2543+1</f>
        <v/>
      </c>
      <c r="E2543" s="201">
        <f>MONTH($B2543)</f>
        <v/>
      </c>
      <c r="F2543" s="235">
        <f>($B2543+$C2543+1)/2</f>
        <v/>
      </c>
      <c r="G2543" s="201">
        <f>YEAR($B2543)*12+MONTH($B2543)-1</f>
        <v/>
      </c>
      <c r="H2543" s="207">
        <f>IF(OR(nr_SeasonOn="OFF",$D$2506=0,$E$2506=0),1,12*INDEX(se_block,$D$2506,$E2543)/$E$2506)</f>
        <v/>
      </c>
      <c r="I2543" s="208">
        <f>EXP(SUMPRODUCT((rl_eff&lt;$B2543)*(rl_key=$A$2506)*rl_ln1p))</f>
        <v/>
      </c>
      <c r="J2543" s="208">
        <f>EXP(SUMPRODUCT((rl_eff&lt;=$C2543)*(rl_key=$A$2506)*rl_ln1p))</f>
        <v/>
      </c>
      <c r="K2543" s="201">
        <f>COUNTIFS(rl_key,$A$2506,rl_eff,"&gt;="&amp;$B2543,rl_eff,"&lt;="&amp;$C2543)</f>
        <v/>
      </c>
      <c r="L2543" s="201">
        <f>SUMIFS(rl_daysafter,rl_key,$A$2506,rl_effmonth,$B2543,rl_first,1)</f>
        <v/>
      </c>
      <c r="M2543" s="209">
        <f>IF($K2543=0,0,MIN(1,$L2543/$D2543))</f>
        <v/>
      </c>
      <c r="N2543" s="208">
        <f>IF($K2543=0,$J2543,(1-$M2543)*$I2543+$M2543*$J2543)</f>
        <v/>
      </c>
      <c r="O2543" s="209">
        <f>IF($F2543&lt;$B$2507,$E$2507+$I$2507*($F2543-$A$2507),IF($F2543&lt;$C$2507,$F$2507+$J$2507*($F2543-$B$2507),$G$2507+$K$2507*($F2543-$C$2507)))</f>
        <v/>
      </c>
      <c r="P2543" s="208">
        <f>MIN(1,MAX(0,(nr_MEndPm1-$G2543+0.5)/$C$2506))-MIN(1,MAX(0,(nr_MStartPm1-1-$G2543+0.5)/$C$2506))</f>
        <v/>
      </c>
      <c r="Q2543" s="208">
        <f>MIN(1,MAX(0,(nr_MEndP-$G2543+0.5)/$C$2506))-MIN(1,MAX(0,(nr_MStartP-1-$G2543+0.5)/$C$2506))</f>
        <v/>
      </c>
      <c r="R2543" s="208">
        <f>MIN(1,MAX(0,(nr_MEndP1-$G2543+0.5)/$C$2506))-MIN(1,MAX(0,(nr_MStartP1-1-$G2543+0.5)/$C$2506))</f>
        <v/>
      </c>
      <c r="S2543" s="208">
        <f>IF($L$2506,$N2543*IF($O$2506=1,$O2543/$F$2506,1),"")</f>
        <v/>
      </c>
      <c r="T2543" s="208">
        <f>IF(NOT($L$2506),"",IF($G2543&lt;nr_MStartP,$S2543,$T2531*(1+IF($G2543&lt;nr_MStartP1,$M$2506,$N$2506))))</f>
        <v/>
      </c>
      <c r="U2543" s="208">
        <f>IF($L$2506,$T2543,$N2543)</f>
        <v/>
      </c>
    </row>
    <row r="2544">
      <c r="A2544" s="145" t="n">
        <v>36</v>
      </c>
      <c r="B2544" s="204">
        <f>EDATE($B2543,1)</f>
        <v/>
      </c>
      <c r="C2544" s="205">
        <f>EOMONTH($B2544,0)</f>
        <v/>
      </c>
      <c r="D2544" s="201">
        <f>$C2544-$B2544+1</f>
        <v/>
      </c>
      <c r="E2544" s="201">
        <f>MONTH($B2544)</f>
        <v/>
      </c>
      <c r="F2544" s="235">
        <f>($B2544+$C2544+1)/2</f>
        <v/>
      </c>
      <c r="G2544" s="201">
        <f>YEAR($B2544)*12+MONTH($B2544)-1</f>
        <v/>
      </c>
      <c r="H2544" s="207">
        <f>IF(OR(nr_SeasonOn="OFF",$D$2506=0,$E$2506=0),1,12*INDEX(se_block,$D$2506,$E2544)/$E$2506)</f>
        <v/>
      </c>
      <c r="I2544" s="208">
        <f>EXP(SUMPRODUCT((rl_eff&lt;$B2544)*(rl_key=$A$2506)*rl_ln1p))</f>
        <v/>
      </c>
      <c r="J2544" s="208">
        <f>EXP(SUMPRODUCT((rl_eff&lt;=$C2544)*(rl_key=$A$2506)*rl_ln1p))</f>
        <v/>
      </c>
      <c r="K2544" s="201">
        <f>COUNTIFS(rl_key,$A$2506,rl_eff,"&gt;="&amp;$B2544,rl_eff,"&lt;="&amp;$C2544)</f>
        <v/>
      </c>
      <c r="L2544" s="201">
        <f>SUMIFS(rl_daysafter,rl_key,$A$2506,rl_effmonth,$B2544,rl_first,1)</f>
        <v/>
      </c>
      <c r="M2544" s="209">
        <f>IF($K2544=0,0,MIN(1,$L2544/$D2544))</f>
        <v/>
      </c>
      <c r="N2544" s="208">
        <f>IF($K2544=0,$J2544,(1-$M2544)*$I2544+$M2544*$J2544)</f>
        <v/>
      </c>
      <c r="O2544" s="209">
        <f>IF($F2544&lt;$B$2507,$E$2507+$I$2507*($F2544-$A$2507),IF($F2544&lt;$C$2507,$F$2507+$J$2507*($F2544-$B$2507),$G$2507+$K$2507*($F2544-$C$2507)))</f>
        <v/>
      </c>
      <c r="P2544" s="208">
        <f>MIN(1,MAX(0,(nr_MEndPm1-$G2544+0.5)/$C$2506))-MIN(1,MAX(0,(nr_MStartPm1-1-$G2544+0.5)/$C$2506))</f>
        <v/>
      </c>
      <c r="Q2544" s="208">
        <f>MIN(1,MAX(0,(nr_MEndP-$G2544+0.5)/$C$2506))-MIN(1,MAX(0,(nr_MStartP-1-$G2544+0.5)/$C$2506))</f>
        <v/>
      </c>
      <c r="R2544" s="208">
        <f>MIN(1,MAX(0,(nr_MEndP1-$G2544+0.5)/$C$2506))-MIN(1,MAX(0,(nr_MStartP1-1-$G2544+0.5)/$C$2506))</f>
        <v/>
      </c>
      <c r="S2544" s="208">
        <f>IF($L$2506,$N2544*IF($O$2506=1,$O2544/$F$2506,1),"")</f>
        <v/>
      </c>
      <c r="T2544" s="208">
        <f>IF(NOT($L$2506),"",IF($G2544&lt;nr_MStartP,$S2544,$T2532*(1+IF($G2544&lt;nr_MStartP1,$M$2506,$N$2506))))</f>
        <v/>
      </c>
      <c r="U2544" s="208">
        <f>IF($L$2506,$T2544,$N2544)</f>
        <v/>
      </c>
    </row>
    <row r="2545">
      <c r="A2545" s="145" t="n">
        <v>37</v>
      </c>
      <c r="B2545" s="204">
        <f>EDATE($B2544,1)</f>
        <v/>
      </c>
      <c r="C2545" s="205">
        <f>EOMONTH($B2545,0)</f>
        <v/>
      </c>
      <c r="D2545" s="201">
        <f>$C2545-$B2545+1</f>
        <v/>
      </c>
      <c r="E2545" s="201">
        <f>MONTH($B2545)</f>
        <v/>
      </c>
      <c r="F2545" s="235">
        <f>($B2545+$C2545+1)/2</f>
        <v/>
      </c>
      <c r="G2545" s="201">
        <f>YEAR($B2545)*12+MONTH($B2545)-1</f>
        <v/>
      </c>
      <c r="H2545" s="207">
        <f>IF(OR(nr_SeasonOn="OFF",$D$2506=0,$E$2506=0),1,12*INDEX(se_block,$D$2506,$E2545)/$E$2506)</f>
        <v/>
      </c>
      <c r="I2545" s="208">
        <f>EXP(SUMPRODUCT((rl_eff&lt;$B2545)*(rl_key=$A$2506)*rl_ln1p))</f>
        <v/>
      </c>
      <c r="J2545" s="208">
        <f>EXP(SUMPRODUCT((rl_eff&lt;=$C2545)*(rl_key=$A$2506)*rl_ln1p))</f>
        <v/>
      </c>
      <c r="K2545" s="201">
        <f>COUNTIFS(rl_key,$A$2506,rl_eff,"&gt;="&amp;$B2545,rl_eff,"&lt;="&amp;$C2545)</f>
        <v/>
      </c>
      <c r="L2545" s="201">
        <f>SUMIFS(rl_daysafter,rl_key,$A$2506,rl_effmonth,$B2545,rl_first,1)</f>
        <v/>
      </c>
      <c r="M2545" s="209">
        <f>IF($K2545=0,0,MIN(1,$L2545/$D2545))</f>
        <v/>
      </c>
      <c r="N2545" s="208">
        <f>IF($K2545=0,$J2545,(1-$M2545)*$I2545+$M2545*$J2545)</f>
        <v/>
      </c>
      <c r="O2545" s="209">
        <f>IF($F2545&lt;$B$2507,$E$2507+$I$2507*($F2545-$A$2507),IF($F2545&lt;$C$2507,$F$2507+$J$2507*($F2545-$B$2507),$G$2507+$K$2507*($F2545-$C$2507)))</f>
        <v/>
      </c>
      <c r="P2545" s="208">
        <f>MIN(1,MAX(0,(nr_MEndPm1-$G2545+0.5)/$C$2506))-MIN(1,MAX(0,(nr_MStartPm1-1-$G2545+0.5)/$C$2506))</f>
        <v/>
      </c>
      <c r="Q2545" s="208">
        <f>MIN(1,MAX(0,(nr_MEndP-$G2545+0.5)/$C$2506))-MIN(1,MAX(0,(nr_MStartP-1-$G2545+0.5)/$C$2506))</f>
        <v/>
      </c>
      <c r="R2545" s="208">
        <f>MIN(1,MAX(0,(nr_MEndP1-$G2545+0.5)/$C$2506))-MIN(1,MAX(0,(nr_MStartP1-1-$G2545+0.5)/$C$2506))</f>
        <v/>
      </c>
      <c r="S2545" s="208">
        <f>IF($L$2506,$N2545*IF($O$2506=1,$O2545/$F$2506,1),"")</f>
        <v/>
      </c>
      <c r="T2545" s="208">
        <f>IF(NOT($L$2506),"",IF($G2545&lt;nr_MStartP,$S2545,$T2533*(1+IF($G2545&lt;nr_MStartP1,$M$2506,$N$2506))))</f>
        <v/>
      </c>
      <c r="U2545" s="208">
        <f>IF($L$2506,$T2545,$N2545)</f>
        <v/>
      </c>
    </row>
    <row r="2546">
      <c r="A2546" s="145" t="n">
        <v>38</v>
      </c>
      <c r="B2546" s="204">
        <f>EDATE($B2545,1)</f>
        <v/>
      </c>
      <c r="C2546" s="205">
        <f>EOMONTH($B2546,0)</f>
        <v/>
      </c>
      <c r="D2546" s="201">
        <f>$C2546-$B2546+1</f>
        <v/>
      </c>
      <c r="E2546" s="201">
        <f>MONTH($B2546)</f>
        <v/>
      </c>
      <c r="F2546" s="235">
        <f>($B2546+$C2546+1)/2</f>
        <v/>
      </c>
      <c r="G2546" s="201">
        <f>YEAR($B2546)*12+MONTH($B2546)-1</f>
        <v/>
      </c>
      <c r="H2546" s="207">
        <f>IF(OR(nr_SeasonOn="OFF",$D$2506=0,$E$2506=0),1,12*INDEX(se_block,$D$2506,$E2546)/$E$2506)</f>
        <v/>
      </c>
      <c r="I2546" s="208">
        <f>EXP(SUMPRODUCT((rl_eff&lt;$B2546)*(rl_key=$A$2506)*rl_ln1p))</f>
        <v/>
      </c>
      <c r="J2546" s="208">
        <f>EXP(SUMPRODUCT((rl_eff&lt;=$C2546)*(rl_key=$A$2506)*rl_ln1p))</f>
        <v/>
      </c>
      <c r="K2546" s="201">
        <f>COUNTIFS(rl_key,$A$2506,rl_eff,"&gt;="&amp;$B2546,rl_eff,"&lt;="&amp;$C2546)</f>
        <v/>
      </c>
      <c r="L2546" s="201">
        <f>SUMIFS(rl_daysafter,rl_key,$A$2506,rl_effmonth,$B2546,rl_first,1)</f>
        <v/>
      </c>
      <c r="M2546" s="209">
        <f>IF($K2546=0,0,MIN(1,$L2546/$D2546))</f>
        <v/>
      </c>
      <c r="N2546" s="208">
        <f>IF($K2546=0,$J2546,(1-$M2546)*$I2546+$M2546*$J2546)</f>
        <v/>
      </c>
      <c r="O2546" s="209">
        <f>IF($F2546&lt;$B$2507,$E$2507+$I$2507*($F2546-$A$2507),IF($F2546&lt;$C$2507,$F$2507+$J$2507*($F2546-$B$2507),$G$2507+$K$2507*($F2546-$C$2507)))</f>
        <v/>
      </c>
      <c r="P2546" s="208">
        <f>MIN(1,MAX(0,(nr_MEndPm1-$G2546+0.5)/$C$2506))-MIN(1,MAX(0,(nr_MStartPm1-1-$G2546+0.5)/$C$2506))</f>
        <v/>
      </c>
      <c r="Q2546" s="208">
        <f>MIN(1,MAX(0,(nr_MEndP-$G2546+0.5)/$C$2506))-MIN(1,MAX(0,(nr_MStartP-1-$G2546+0.5)/$C$2506))</f>
        <v/>
      </c>
      <c r="R2546" s="208">
        <f>MIN(1,MAX(0,(nr_MEndP1-$G2546+0.5)/$C$2506))-MIN(1,MAX(0,(nr_MStartP1-1-$G2546+0.5)/$C$2506))</f>
        <v/>
      </c>
      <c r="S2546" s="208">
        <f>IF($L$2506,$N2546*IF($O$2506=1,$O2546/$F$2506,1),"")</f>
        <v/>
      </c>
      <c r="T2546" s="208">
        <f>IF(NOT($L$2506),"",IF($G2546&lt;nr_MStartP,$S2546,$T2534*(1+IF($G2546&lt;nr_MStartP1,$M$2506,$N$2506))))</f>
        <v/>
      </c>
      <c r="U2546" s="208">
        <f>IF($L$2506,$T2546,$N2546)</f>
        <v/>
      </c>
    </row>
    <row r="2547">
      <c r="A2547" s="145" t="n">
        <v>39</v>
      </c>
      <c r="B2547" s="204">
        <f>EDATE($B2546,1)</f>
        <v/>
      </c>
      <c r="C2547" s="205">
        <f>EOMONTH($B2547,0)</f>
        <v/>
      </c>
      <c r="D2547" s="201">
        <f>$C2547-$B2547+1</f>
        <v/>
      </c>
      <c r="E2547" s="201">
        <f>MONTH($B2547)</f>
        <v/>
      </c>
      <c r="F2547" s="235">
        <f>($B2547+$C2547+1)/2</f>
        <v/>
      </c>
      <c r="G2547" s="201">
        <f>YEAR($B2547)*12+MONTH($B2547)-1</f>
        <v/>
      </c>
      <c r="H2547" s="207">
        <f>IF(OR(nr_SeasonOn="OFF",$D$2506=0,$E$2506=0),1,12*INDEX(se_block,$D$2506,$E2547)/$E$2506)</f>
        <v/>
      </c>
      <c r="I2547" s="208">
        <f>EXP(SUMPRODUCT((rl_eff&lt;$B2547)*(rl_key=$A$2506)*rl_ln1p))</f>
        <v/>
      </c>
      <c r="J2547" s="208">
        <f>EXP(SUMPRODUCT((rl_eff&lt;=$C2547)*(rl_key=$A$2506)*rl_ln1p))</f>
        <v/>
      </c>
      <c r="K2547" s="201">
        <f>COUNTIFS(rl_key,$A$2506,rl_eff,"&gt;="&amp;$B2547,rl_eff,"&lt;="&amp;$C2547)</f>
        <v/>
      </c>
      <c r="L2547" s="201">
        <f>SUMIFS(rl_daysafter,rl_key,$A$2506,rl_effmonth,$B2547,rl_first,1)</f>
        <v/>
      </c>
      <c r="M2547" s="209">
        <f>IF($K2547=0,0,MIN(1,$L2547/$D2547))</f>
        <v/>
      </c>
      <c r="N2547" s="208">
        <f>IF($K2547=0,$J2547,(1-$M2547)*$I2547+$M2547*$J2547)</f>
        <v/>
      </c>
      <c r="O2547" s="209">
        <f>IF($F2547&lt;$B$2507,$E$2507+$I$2507*($F2547-$A$2507),IF($F2547&lt;$C$2507,$F$2507+$J$2507*($F2547-$B$2507),$G$2507+$K$2507*($F2547-$C$2507)))</f>
        <v/>
      </c>
      <c r="P2547" s="208">
        <f>MIN(1,MAX(0,(nr_MEndPm1-$G2547+0.5)/$C$2506))-MIN(1,MAX(0,(nr_MStartPm1-1-$G2547+0.5)/$C$2506))</f>
        <v/>
      </c>
      <c r="Q2547" s="208">
        <f>MIN(1,MAX(0,(nr_MEndP-$G2547+0.5)/$C$2506))-MIN(1,MAX(0,(nr_MStartP-1-$G2547+0.5)/$C$2506))</f>
        <v/>
      </c>
      <c r="R2547" s="208">
        <f>MIN(1,MAX(0,(nr_MEndP1-$G2547+0.5)/$C$2506))-MIN(1,MAX(0,(nr_MStartP1-1-$G2547+0.5)/$C$2506))</f>
        <v/>
      </c>
      <c r="S2547" s="208">
        <f>IF($L$2506,$N2547*IF($O$2506=1,$O2547/$F$2506,1),"")</f>
        <v/>
      </c>
      <c r="T2547" s="208">
        <f>IF(NOT($L$2506),"",IF($G2547&lt;nr_MStartP,$S2547,$T2535*(1+IF($G2547&lt;nr_MStartP1,$M$2506,$N$2506))))</f>
        <v/>
      </c>
      <c r="U2547" s="208">
        <f>IF($L$2506,$T2547,$N2547)</f>
        <v/>
      </c>
    </row>
    <row r="2548">
      <c r="A2548" s="145" t="n">
        <v>40</v>
      </c>
      <c r="B2548" s="204">
        <f>EDATE($B2547,1)</f>
        <v/>
      </c>
      <c r="C2548" s="205">
        <f>EOMONTH($B2548,0)</f>
        <v/>
      </c>
      <c r="D2548" s="201">
        <f>$C2548-$B2548+1</f>
        <v/>
      </c>
      <c r="E2548" s="201">
        <f>MONTH($B2548)</f>
        <v/>
      </c>
      <c r="F2548" s="235">
        <f>($B2548+$C2548+1)/2</f>
        <v/>
      </c>
      <c r="G2548" s="201">
        <f>YEAR($B2548)*12+MONTH($B2548)-1</f>
        <v/>
      </c>
      <c r="H2548" s="207">
        <f>IF(OR(nr_SeasonOn="OFF",$D$2506=0,$E$2506=0),1,12*INDEX(se_block,$D$2506,$E2548)/$E$2506)</f>
        <v/>
      </c>
      <c r="I2548" s="208">
        <f>EXP(SUMPRODUCT((rl_eff&lt;$B2548)*(rl_key=$A$2506)*rl_ln1p))</f>
        <v/>
      </c>
      <c r="J2548" s="208">
        <f>EXP(SUMPRODUCT((rl_eff&lt;=$C2548)*(rl_key=$A$2506)*rl_ln1p))</f>
        <v/>
      </c>
      <c r="K2548" s="201">
        <f>COUNTIFS(rl_key,$A$2506,rl_eff,"&gt;="&amp;$B2548,rl_eff,"&lt;="&amp;$C2548)</f>
        <v/>
      </c>
      <c r="L2548" s="201">
        <f>SUMIFS(rl_daysafter,rl_key,$A$2506,rl_effmonth,$B2548,rl_first,1)</f>
        <v/>
      </c>
      <c r="M2548" s="209">
        <f>IF($K2548=0,0,MIN(1,$L2548/$D2548))</f>
        <v/>
      </c>
      <c r="N2548" s="208">
        <f>IF($K2548=0,$J2548,(1-$M2548)*$I2548+$M2548*$J2548)</f>
        <v/>
      </c>
      <c r="O2548" s="209">
        <f>IF($F2548&lt;$B$2507,$E$2507+$I$2507*($F2548-$A$2507),IF($F2548&lt;$C$2507,$F$2507+$J$2507*($F2548-$B$2507),$G$2507+$K$2507*($F2548-$C$2507)))</f>
        <v/>
      </c>
      <c r="P2548" s="208">
        <f>MIN(1,MAX(0,(nr_MEndPm1-$G2548+0.5)/$C$2506))-MIN(1,MAX(0,(nr_MStartPm1-1-$G2548+0.5)/$C$2506))</f>
        <v/>
      </c>
      <c r="Q2548" s="208">
        <f>MIN(1,MAX(0,(nr_MEndP-$G2548+0.5)/$C$2506))-MIN(1,MAX(0,(nr_MStartP-1-$G2548+0.5)/$C$2506))</f>
        <v/>
      </c>
      <c r="R2548" s="208">
        <f>MIN(1,MAX(0,(nr_MEndP1-$G2548+0.5)/$C$2506))-MIN(1,MAX(0,(nr_MStartP1-1-$G2548+0.5)/$C$2506))</f>
        <v/>
      </c>
      <c r="S2548" s="208">
        <f>IF($L$2506,$N2548*IF($O$2506=1,$O2548/$F$2506,1),"")</f>
        <v/>
      </c>
      <c r="T2548" s="208">
        <f>IF(NOT($L$2506),"",IF($G2548&lt;nr_MStartP,$S2548,$T2536*(1+IF($G2548&lt;nr_MStartP1,$M$2506,$N$2506))))</f>
        <v/>
      </c>
      <c r="U2548" s="208">
        <f>IF($L$2506,$T2548,$N2548)</f>
        <v/>
      </c>
    </row>
    <row r="2549">
      <c r="A2549" s="145" t="n">
        <v>41</v>
      </c>
      <c r="B2549" s="204">
        <f>EDATE($B2548,1)</f>
        <v/>
      </c>
      <c r="C2549" s="205">
        <f>EOMONTH($B2549,0)</f>
        <v/>
      </c>
      <c r="D2549" s="201">
        <f>$C2549-$B2549+1</f>
        <v/>
      </c>
      <c r="E2549" s="201">
        <f>MONTH($B2549)</f>
        <v/>
      </c>
      <c r="F2549" s="235">
        <f>($B2549+$C2549+1)/2</f>
        <v/>
      </c>
      <c r="G2549" s="201">
        <f>YEAR($B2549)*12+MONTH($B2549)-1</f>
        <v/>
      </c>
      <c r="H2549" s="207">
        <f>IF(OR(nr_SeasonOn="OFF",$D$2506=0,$E$2506=0),1,12*INDEX(se_block,$D$2506,$E2549)/$E$2506)</f>
        <v/>
      </c>
      <c r="I2549" s="208">
        <f>EXP(SUMPRODUCT((rl_eff&lt;$B2549)*(rl_key=$A$2506)*rl_ln1p))</f>
        <v/>
      </c>
      <c r="J2549" s="208">
        <f>EXP(SUMPRODUCT((rl_eff&lt;=$C2549)*(rl_key=$A$2506)*rl_ln1p))</f>
        <v/>
      </c>
      <c r="K2549" s="201">
        <f>COUNTIFS(rl_key,$A$2506,rl_eff,"&gt;="&amp;$B2549,rl_eff,"&lt;="&amp;$C2549)</f>
        <v/>
      </c>
      <c r="L2549" s="201">
        <f>SUMIFS(rl_daysafter,rl_key,$A$2506,rl_effmonth,$B2549,rl_first,1)</f>
        <v/>
      </c>
      <c r="M2549" s="209">
        <f>IF($K2549=0,0,MIN(1,$L2549/$D2549))</f>
        <v/>
      </c>
      <c r="N2549" s="208">
        <f>IF($K2549=0,$J2549,(1-$M2549)*$I2549+$M2549*$J2549)</f>
        <v/>
      </c>
      <c r="O2549" s="209">
        <f>IF($F2549&lt;$B$2507,$E$2507+$I$2507*($F2549-$A$2507),IF($F2549&lt;$C$2507,$F$2507+$J$2507*($F2549-$B$2507),$G$2507+$K$2507*($F2549-$C$2507)))</f>
        <v/>
      </c>
      <c r="P2549" s="208">
        <f>MIN(1,MAX(0,(nr_MEndPm1-$G2549+0.5)/$C$2506))-MIN(1,MAX(0,(nr_MStartPm1-1-$G2549+0.5)/$C$2506))</f>
        <v/>
      </c>
      <c r="Q2549" s="208">
        <f>MIN(1,MAX(0,(nr_MEndP-$G2549+0.5)/$C$2506))-MIN(1,MAX(0,(nr_MStartP-1-$G2549+0.5)/$C$2506))</f>
        <v/>
      </c>
      <c r="R2549" s="208">
        <f>MIN(1,MAX(0,(nr_MEndP1-$G2549+0.5)/$C$2506))-MIN(1,MAX(0,(nr_MStartP1-1-$G2549+0.5)/$C$2506))</f>
        <v/>
      </c>
      <c r="S2549" s="208">
        <f>IF($L$2506,$N2549*IF($O$2506=1,$O2549/$F$2506,1),"")</f>
        <v/>
      </c>
      <c r="T2549" s="208">
        <f>IF(NOT($L$2506),"",IF($G2549&lt;nr_MStartP,$S2549,$T2537*(1+IF($G2549&lt;nr_MStartP1,$M$2506,$N$2506))))</f>
        <v/>
      </c>
      <c r="U2549" s="208">
        <f>IF($L$2506,$T2549,$N2549)</f>
        <v/>
      </c>
    </row>
    <row r="2550">
      <c r="A2550" s="145" t="n">
        <v>42</v>
      </c>
      <c r="B2550" s="204">
        <f>EDATE($B2549,1)</f>
        <v/>
      </c>
      <c r="C2550" s="205">
        <f>EOMONTH($B2550,0)</f>
        <v/>
      </c>
      <c r="D2550" s="201">
        <f>$C2550-$B2550+1</f>
        <v/>
      </c>
      <c r="E2550" s="201">
        <f>MONTH($B2550)</f>
        <v/>
      </c>
      <c r="F2550" s="235">
        <f>($B2550+$C2550+1)/2</f>
        <v/>
      </c>
      <c r="G2550" s="201">
        <f>YEAR($B2550)*12+MONTH($B2550)-1</f>
        <v/>
      </c>
      <c r="H2550" s="207">
        <f>IF(OR(nr_SeasonOn="OFF",$D$2506=0,$E$2506=0),1,12*INDEX(se_block,$D$2506,$E2550)/$E$2506)</f>
        <v/>
      </c>
      <c r="I2550" s="208">
        <f>EXP(SUMPRODUCT((rl_eff&lt;$B2550)*(rl_key=$A$2506)*rl_ln1p))</f>
        <v/>
      </c>
      <c r="J2550" s="208">
        <f>EXP(SUMPRODUCT((rl_eff&lt;=$C2550)*(rl_key=$A$2506)*rl_ln1p))</f>
        <v/>
      </c>
      <c r="K2550" s="201">
        <f>COUNTIFS(rl_key,$A$2506,rl_eff,"&gt;="&amp;$B2550,rl_eff,"&lt;="&amp;$C2550)</f>
        <v/>
      </c>
      <c r="L2550" s="201">
        <f>SUMIFS(rl_daysafter,rl_key,$A$2506,rl_effmonth,$B2550,rl_first,1)</f>
        <v/>
      </c>
      <c r="M2550" s="209">
        <f>IF($K2550=0,0,MIN(1,$L2550/$D2550))</f>
        <v/>
      </c>
      <c r="N2550" s="208">
        <f>IF($K2550=0,$J2550,(1-$M2550)*$I2550+$M2550*$J2550)</f>
        <v/>
      </c>
      <c r="O2550" s="209">
        <f>IF($F2550&lt;$B$2507,$E$2507+$I$2507*($F2550-$A$2507),IF($F2550&lt;$C$2507,$F$2507+$J$2507*($F2550-$B$2507),$G$2507+$K$2507*($F2550-$C$2507)))</f>
        <v/>
      </c>
      <c r="P2550" s="208">
        <f>MIN(1,MAX(0,(nr_MEndPm1-$G2550+0.5)/$C$2506))-MIN(1,MAX(0,(nr_MStartPm1-1-$G2550+0.5)/$C$2506))</f>
        <v/>
      </c>
      <c r="Q2550" s="208">
        <f>MIN(1,MAX(0,(nr_MEndP-$G2550+0.5)/$C$2506))-MIN(1,MAX(0,(nr_MStartP-1-$G2550+0.5)/$C$2506))</f>
        <v/>
      </c>
      <c r="R2550" s="208">
        <f>MIN(1,MAX(0,(nr_MEndP1-$G2550+0.5)/$C$2506))-MIN(1,MAX(0,(nr_MStartP1-1-$G2550+0.5)/$C$2506))</f>
        <v/>
      </c>
      <c r="S2550" s="208">
        <f>IF($L$2506,$N2550*IF($O$2506=1,$O2550/$F$2506,1),"")</f>
        <v/>
      </c>
      <c r="T2550" s="208">
        <f>IF(NOT($L$2506),"",IF($G2550&lt;nr_MStartP,$S2550,$T2538*(1+IF($G2550&lt;nr_MStartP1,$M$2506,$N$2506))))</f>
        <v/>
      </c>
      <c r="U2550" s="208">
        <f>IF($L$2506,$T2550,$N2550)</f>
        <v/>
      </c>
    </row>
    <row r="2551">
      <c r="A2551" s="145" t="n">
        <v>43</v>
      </c>
      <c r="B2551" s="204">
        <f>EDATE($B2550,1)</f>
        <v/>
      </c>
      <c r="C2551" s="205">
        <f>EOMONTH($B2551,0)</f>
        <v/>
      </c>
      <c r="D2551" s="201">
        <f>$C2551-$B2551+1</f>
        <v/>
      </c>
      <c r="E2551" s="201">
        <f>MONTH($B2551)</f>
        <v/>
      </c>
      <c r="F2551" s="235">
        <f>($B2551+$C2551+1)/2</f>
        <v/>
      </c>
      <c r="G2551" s="201">
        <f>YEAR($B2551)*12+MONTH($B2551)-1</f>
        <v/>
      </c>
      <c r="H2551" s="207">
        <f>IF(OR(nr_SeasonOn="OFF",$D$2506=0,$E$2506=0),1,12*INDEX(se_block,$D$2506,$E2551)/$E$2506)</f>
        <v/>
      </c>
      <c r="I2551" s="208">
        <f>EXP(SUMPRODUCT((rl_eff&lt;$B2551)*(rl_key=$A$2506)*rl_ln1p))</f>
        <v/>
      </c>
      <c r="J2551" s="208">
        <f>EXP(SUMPRODUCT((rl_eff&lt;=$C2551)*(rl_key=$A$2506)*rl_ln1p))</f>
        <v/>
      </c>
      <c r="K2551" s="201">
        <f>COUNTIFS(rl_key,$A$2506,rl_eff,"&gt;="&amp;$B2551,rl_eff,"&lt;="&amp;$C2551)</f>
        <v/>
      </c>
      <c r="L2551" s="201">
        <f>SUMIFS(rl_daysafter,rl_key,$A$2506,rl_effmonth,$B2551,rl_first,1)</f>
        <v/>
      </c>
      <c r="M2551" s="209">
        <f>IF($K2551=0,0,MIN(1,$L2551/$D2551))</f>
        <v/>
      </c>
      <c r="N2551" s="208">
        <f>IF($K2551=0,$J2551,(1-$M2551)*$I2551+$M2551*$J2551)</f>
        <v/>
      </c>
      <c r="O2551" s="209">
        <f>IF($F2551&lt;$B$2507,$E$2507+$I$2507*($F2551-$A$2507),IF($F2551&lt;$C$2507,$F$2507+$J$2507*($F2551-$B$2507),$G$2507+$K$2507*($F2551-$C$2507)))</f>
        <v/>
      </c>
      <c r="P2551" s="208">
        <f>MIN(1,MAX(0,(nr_MEndPm1-$G2551+0.5)/$C$2506))-MIN(1,MAX(0,(nr_MStartPm1-1-$G2551+0.5)/$C$2506))</f>
        <v/>
      </c>
      <c r="Q2551" s="208">
        <f>MIN(1,MAX(0,(nr_MEndP-$G2551+0.5)/$C$2506))-MIN(1,MAX(0,(nr_MStartP-1-$G2551+0.5)/$C$2506))</f>
        <v/>
      </c>
      <c r="R2551" s="208">
        <f>MIN(1,MAX(0,(nr_MEndP1-$G2551+0.5)/$C$2506))-MIN(1,MAX(0,(nr_MStartP1-1-$G2551+0.5)/$C$2506))</f>
        <v/>
      </c>
      <c r="S2551" s="208">
        <f>IF($L$2506,$N2551*IF($O$2506=1,$O2551/$F$2506,1),"")</f>
        <v/>
      </c>
      <c r="T2551" s="208">
        <f>IF(NOT($L$2506),"",IF($G2551&lt;nr_MStartP,$S2551,$T2539*(1+IF($G2551&lt;nr_MStartP1,$M$2506,$N$2506))))</f>
        <v/>
      </c>
      <c r="U2551" s="208">
        <f>IF($L$2506,$T2551,$N2551)</f>
        <v/>
      </c>
    </row>
    <row r="2552">
      <c r="A2552" s="145" t="n">
        <v>44</v>
      </c>
      <c r="B2552" s="204">
        <f>EDATE($B2551,1)</f>
        <v/>
      </c>
      <c r="C2552" s="205">
        <f>EOMONTH($B2552,0)</f>
        <v/>
      </c>
      <c r="D2552" s="201">
        <f>$C2552-$B2552+1</f>
        <v/>
      </c>
      <c r="E2552" s="201">
        <f>MONTH($B2552)</f>
        <v/>
      </c>
      <c r="F2552" s="235">
        <f>($B2552+$C2552+1)/2</f>
        <v/>
      </c>
      <c r="G2552" s="201">
        <f>YEAR($B2552)*12+MONTH($B2552)-1</f>
        <v/>
      </c>
      <c r="H2552" s="207">
        <f>IF(OR(nr_SeasonOn="OFF",$D$2506=0,$E$2506=0),1,12*INDEX(se_block,$D$2506,$E2552)/$E$2506)</f>
        <v/>
      </c>
      <c r="I2552" s="208">
        <f>EXP(SUMPRODUCT((rl_eff&lt;$B2552)*(rl_key=$A$2506)*rl_ln1p))</f>
        <v/>
      </c>
      <c r="J2552" s="208">
        <f>EXP(SUMPRODUCT((rl_eff&lt;=$C2552)*(rl_key=$A$2506)*rl_ln1p))</f>
        <v/>
      </c>
      <c r="K2552" s="201">
        <f>COUNTIFS(rl_key,$A$2506,rl_eff,"&gt;="&amp;$B2552,rl_eff,"&lt;="&amp;$C2552)</f>
        <v/>
      </c>
      <c r="L2552" s="201">
        <f>SUMIFS(rl_daysafter,rl_key,$A$2506,rl_effmonth,$B2552,rl_first,1)</f>
        <v/>
      </c>
      <c r="M2552" s="209">
        <f>IF($K2552=0,0,MIN(1,$L2552/$D2552))</f>
        <v/>
      </c>
      <c r="N2552" s="208">
        <f>IF($K2552=0,$J2552,(1-$M2552)*$I2552+$M2552*$J2552)</f>
        <v/>
      </c>
      <c r="O2552" s="209">
        <f>IF($F2552&lt;$B$2507,$E$2507+$I$2507*($F2552-$A$2507),IF($F2552&lt;$C$2507,$F$2507+$J$2507*($F2552-$B$2507),$G$2507+$K$2507*($F2552-$C$2507)))</f>
        <v/>
      </c>
      <c r="P2552" s="208">
        <f>MIN(1,MAX(0,(nr_MEndPm1-$G2552+0.5)/$C$2506))-MIN(1,MAX(0,(nr_MStartPm1-1-$G2552+0.5)/$C$2506))</f>
        <v/>
      </c>
      <c r="Q2552" s="208">
        <f>MIN(1,MAX(0,(nr_MEndP-$G2552+0.5)/$C$2506))-MIN(1,MAX(0,(nr_MStartP-1-$G2552+0.5)/$C$2506))</f>
        <v/>
      </c>
      <c r="R2552" s="208">
        <f>MIN(1,MAX(0,(nr_MEndP1-$G2552+0.5)/$C$2506))-MIN(1,MAX(0,(nr_MStartP1-1-$G2552+0.5)/$C$2506))</f>
        <v/>
      </c>
      <c r="S2552" s="208">
        <f>IF($L$2506,$N2552*IF($O$2506=1,$O2552/$F$2506,1),"")</f>
        <v/>
      </c>
      <c r="T2552" s="208">
        <f>IF(NOT($L$2506),"",IF($G2552&lt;nr_MStartP,$S2552,$T2540*(1+IF($G2552&lt;nr_MStartP1,$M$2506,$N$2506))))</f>
        <v/>
      </c>
      <c r="U2552" s="208">
        <f>IF($L$2506,$T2552,$N2552)</f>
        <v/>
      </c>
    </row>
    <row r="2553">
      <c r="A2553" s="145" t="n">
        <v>45</v>
      </c>
      <c r="B2553" s="204">
        <f>EDATE($B2552,1)</f>
        <v/>
      </c>
      <c r="C2553" s="205">
        <f>EOMONTH($B2553,0)</f>
        <v/>
      </c>
      <c r="D2553" s="201">
        <f>$C2553-$B2553+1</f>
        <v/>
      </c>
      <c r="E2553" s="201">
        <f>MONTH($B2553)</f>
        <v/>
      </c>
      <c r="F2553" s="235">
        <f>($B2553+$C2553+1)/2</f>
        <v/>
      </c>
      <c r="G2553" s="201">
        <f>YEAR($B2553)*12+MONTH($B2553)-1</f>
        <v/>
      </c>
      <c r="H2553" s="207">
        <f>IF(OR(nr_SeasonOn="OFF",$D$2506=0,$E$2506=0),1,12*INDEX(se_block,$D$2506,$E2553)/$E$2506)</f>
        <v/>
      </c>
      <c r="I2553" s="208">
        <f>EXP(SUMPRODUCT((rl_eff&lt;$B2553)*(rl_key=$A$2506)*rl_ln1p))</f>
        <v/>
      </c>
      <c r="J2553" s="208">
        <f>EXP(SUMPRODUCT((rl_eff&lt;=$C2553)*(rl_key=$A$2506)*rl_ln1p))</f>
        <v/>
      </c>
      <c r="K2553" s="201">
        <f>COUNTIFS(rl_key,$A$2506,rl_eff,"&gt;="&amp;$B2553,rl_eff,"&lt;="&amp;$C2553)</f>
        <v/>
      </c>
      <c r="L2553" s="201">
        <f>SUMIFS(rl_daysafter,rl_key,$A$2506,rl_effmonth,$B2553,rl_first,1)</f>
        <v/>
      </c>
      <c r="M2553" s="209">
        <f>IF($K2553=0,0,MIN(1,$L2553/$D2553))</f>
        <v/>
      </c>
      <c r="N2553" s="208">
        <f>IF($K2553=0,$J2553,(1-$M2553)*$I2553+$M2553*$J2553)</f>
        <v/>
      </c>
      <c r="O2553" s="209">
        <f>IF($F2553&lt;$B$2507,$E$2507+$I$2507*($F2553-$A$2507),IF($F2553&lt;$C$2507,$F$2507+$J$2507*($F2553-$B$2507),$G$2507+$K$2507*($F2553-$C$2507)))</f>
        <v/>
      </c>
      <c r="P2553" s="208">
        <f>MIN(1,MAX(0,(nr_MEndPm1-$G2553+0.5)/$C$2506))-MIN(1,MAX(0,(nr_MStartPm1-1-$G2553+0.5)/$C$2506))</f>
        <v/>
      </c>
      <c r="Q2553" s="208">
        <f>MIN(1,MAX(0,(nr_MEndP-$G2553+0.5)/$C$2506))-MIN(1,MAX(0,(nr_MStartP-1-$G2553+0.5)/$C$2506))</f>
        <v/>
      </c>
      <c r="R2553" s="208">
        <f>MIN(1,MAX(0,(nr_MEndP1-$G2553+0.5)/$C$2506))-MIN(1,MAX(0,(nr_MStartP1-1-$G2553+0.5)/$C$2506))</f>
        <v/>
      </c>
      <c r="S2553" s="208">
        <f>IF($L$2506,$N2553*IF($O$2506=1,$O2553/$F$2506,1),"")</f>
        <v/>
      </c>
      <c r="T2553" s="208">
        <f>IF(NOT($L$2506),"",IF($G2553&lt;nr_MStartP,$S2553,$T2541*(1+IF($G2553&lt;nr_MStartP1,$M$2506,$N$2506))))</f>
        <v/>
      </c>
      <c r="U2553" s="208">
        <f>IF($L$2506,$T2553,$N2553)</f>
        <v/>
      </c>
    </row>
    <row r="2554">
      <c r="A2554" s="145" t="n">
        <v>46</v>
      </c>
      <c r="B2554" s="204">
        <f>EDATE($B2553,1)</f>
        <v/>
      </c>
      <c r="C2554" s="205">
        <f>EOMONTH($B2554,0)</f>
        <v/>
      </c>
      <c r="D2554" s="201">
        <f>$C2554-$B2554+1</f>
        <v/>
      </c>
      <c r="E2554" s="201">
        <f>MONTH($B2554)</f>
        <v/>
      </c>
      <c r="F2554" s="235">
        <f>($B2554+$C2554+1)/2</f>
        <v/>
      </c>
      <c r="G2554" s="201">
        <f>YEAR($B2554)*12+MONTH($B2554)-1</f>
        <v/>
      </c>
      <c r="H2554" s="207">
        <f>IF(OR(nr_SeasonOn="OFF",$D$2506=0,$E$2506=0),1,12*INDEX(se_block,$D$2506,$E2554)/$E$2506)</f>
        <v/>
      </c>
      <c r="I2554" s="208">
        <f>EXP(SUMPRODUCT((rl_eff&lt;$B2554)*(rl_key=$A$2506)*rl_ln1p))</f>
        <v/>
      </c>
      <c r="J2554" s="208">
        <f>EXP(SUMPRODUCT((rl_eff&lt;=$C2554)*(rl_key=$A$2506)*rl_ln1p))</f>
        <v/>
      </c>
      <c r="K2554" s="201">
        <f>COUNTIFS(rl_key,$A$2506,rl_eff,"&gt;="&amp;$B2554,rl_eff,"&lt;="&amp;$C2554)</f>
        <v/>
      </c>
      <c r="L2554" s="201">
        <f>SUMIFS(rl_daysafter,rl_key,$A$2506,rl_effmonth,$B2554,rl_first,1)</f>
        <v/>
      </c>
      <c r="M2554" s="209">
        <f>IF($K2554=0,0,MIN(1,$L2554/$D2554))</f>
        <v/>
      </c>
      <c r="N2554" s="208">
        <f>IF($K2554=0,$J2554,(1-$M2554)*$I2554+$M2554*$J2554)</f>
        <v/>
      </c>
      <c r="O2554" s="209">
        <f>IF($F2554&lt;$B$2507,$E$2507+$I$2507*($F2554-$A$2507),IF($F2554&lt;$C$2507,$F$2507+$J$2507*($F2554-$B$2507),$G$2507+$K$2507*($F2554-$C$2507)))</f>
        <v/>
      </c>
      <c r="P2554" s="208">
        <f>MIN(1,MAX(0,(nr_MEndPm1-$G2554+0.5)/$C$2506))-MIN(1,MAX(0,(nr_MStartPm1-1-$G2554+0.5)/$C$2506))</f>
        <v/>
      </c>
      <c r="Q2554" s="208">
        <f>MIN(1,MAX(0,(nr_MEndP-$G2554+0.5)/$C$2506))-MIN(1,MAX(0,(nr_MStartP-1-$G2554+0.5)/$C$2506))</f>
        <v/>
      </c>
      <c r="R2554" s="208">
        <f>MIN(1,MAX(0,(nr_MEndP1-$G2554+0.5)/$C$2506))-MIN(1,MAX(0,(nr_MStartP1-1-$G2554+0.5)/$C$2506))</f>
        <v/>
      </c>
      <c r="S2554" s="208">
        <f>IF($L$2506,$N2554*IF($O$2506=1,$O2554/$F$2506,1),"")</f>
        <v/>
      </c>
      <c r="T2554" s="208">
        <f>IF(NOT($L$2506),"",IF($G2554&lt;nr_MStartP,$S2554,$T2542*(1+IF($G2554&lt;nr_MStartP1,$M$2506,$N$2506))))</f>
        <v/>
      </c>
      <c r="U2554" s="208">
        <f>IF($L$2506,$T2554,$N2554)</f>
        <v/>
      </c>
    </row>
    <row r="2555">
      <c r="A2555" s="145" t="n">
        <v>47</v>
      </c>
      <c r="B2555" s="204">
        <f>EDATE($B2554,1)</f>
        <v/>
      </c>
      <c r="C2555" s="205">
        <f>EOMONTH($B2555,0)</f>
        <v/>
      </c>
      <c r="D2555" s="201">
        <f>$C2555-$B2555+1</f>
        <v/>
      </c>
      <c r="E2555" s="201">
        <f>MONTH($B2555)</f>
        <v/>
      </c>
      <c r="F2555" s="235">
        <f>($B2555+$C2555+1)/2</f>
        <v/>
      </c>
      <c r="G2555" s="201">
        <f>YEAR($B2555)*12+MONTH($B2555)-1</f>
        <v/>
      </c>
      <c r="H2555" s="207">
        <f>IF(OR(nr_SeasonOn="OFF",$D$2506=0,$E$2506=0),1,12*INDEX(se_block,$D$2506,$E2555)/$E$2506)</f>
        <v/>
      </c>
      <c r="I2555" s="208">
        <f>EXP(SUMPRODUCT((rl_eff&lt;$B2555)*(rl_key=$A$2506)*rl_ln1p))</f>
        <v/>
      </c>
      <c r="J2555" s="208">
        <f>EXP(SUMPRODUCT((rl_eff&lt;=$C2555)*(rl_key=$A$2506)*rl_ln1p))</f>
        <v/>
      </c>
      <c r="K2555" s="201">
        <f>COUNTIFS(rl_key,$A$2506,rl_eff,"&gt;="&amp;$B2555,rl_eff,"&lt;="&amp;$C2555)</f>
        <v/>
      </c>
      <c r="L2555" s="201">
        <f>SUMIFS(rl_daysafter,rl_key,$A$2506,rl_effmonth,$B2555,rl_first,1)</f>
        <v/>
      </c>
      <c r="M2555" s="209">
        <f>IF($K2555=0,0,MIN(1,$L2555/$D2555))</f>
        <v/>
      </c>
      <c r="N2555" s="208">
        <f>IF($K2555=0,$J2555,(1-$M2555)*$I2555+$M2555*$J2555)</f>
        <v/>
      </c>
      <c r="O2555" s="209">
        <f>IF($F2555&lt;$B$2507,$E$2507+$I$2507*($F2555-$A$2507),IF($F2555&lt;$C$2507,$F$2507+$J$2507*($F2555-$B$2507),$G$2507+$K$2507*($F2555-$C$2507)))</f>
        <v/>
      </c>
      <c r="P2555" s="208">
        <f>MIN(1,MAX(0,(nr_MEndPm1-$G2555+0.5)/$C$2506))-MIN(1,MAX(0,(nr_MStartPm1-1-$G2555+0.5)/$C$2506))</f>
        <v/>
      </c>
      <c r="Q2555" s="208">
        <f>MIN(1,MAX(0,(nr_MEndP-$G2555+0.5)/$C$2506))-MIN(1,MAX(0,(nr_MStartP-1-$G2555+0.5)/$C$2506))</f>
        <v/>
      </c>
      <c r="R2555" s="208">
        <f>MIN(1,MAX(0,(nr_MEndP1-$G2555+0.5)/$C$2506))-MIN(1,MAX(0,(nr_MStartP1-1-$G2555+0.5)/$C$2506))</f>
        <v/>
      </c>
      <c r="S2555" s="208">
        <f>IF($L$2506,$N2555*IF($O$2506=1,$O2555/$F$2506,1),"")</f>
        <v/>
      </c>
      <c r="T2555" s="208">
        <f>IF(NOT($L$2506),"",IF($G2555&lt;nr_MStartP,$S2555,$T2543*(1+IF($G2555&lt;nr_MStartP1,$M$2506,$N$2506))))</f>
        <v/>
      </c>
      <c r="U2555" s="208">
        <f>IF($L$2506,$T2555,$N2555)</f>
        <v/>
      </c>
    </row>
    <row r="2556">
      <c r="A2556" s="145" t="n">
        <v>48</v>
      </c>
      <c r="B2556" s="204">
        <f>EDATE($B2555,1)</f>
        <v/>
      </c>
      <c r="C2556" s="205">
        <f>EOMONTH($B2556,0)</f>
        <v/>
      </c>
      <c r="D2556" s="201">
        <f>$C2556-$B2556+1</f>
        <v/>
      </c>
      <c r="E2556" s="201">
        <f>MONTH($B2556)</f>
        <v/>
      </c>
      <c r="F2556" s="235">
        <f>($B2556+$C2556+1)/2</f>
        <v/>
      </c>
      <c r="G2556" s="201">
        <f>YEAR($B2556)*12+MONTH($B2556)-1</f>
        <v/>
      </c>
      <c r="H2556" s="207">
        <f>IF(OR(nr_SeasonOn="OFF",$D$2506=0,$E$2506=0),1,12*INDEX(se_block,$D$2506,$E2556)/$E$2506)</f>
        <v/>
      </c>
      <c r="I2556" s="208">
        <f>EXP(SUMPRODUCT((rl_eff&lt;$B2556)*(rl_key=$A$2506)*rl_ln1p))</f>
        <v/>
      </c>
      <c r="J2556" s="208">
        <f>EXP(SUMPRODUCT((rl_eff&lt;=$C2556)*(rl_key=$A$2506)*rl_ln1p))</f>
        <v/>
      </c>
      <c r="K2556" s="201">
        <f>COUNTIFS(rl_key,$A$2506,rl_eff,"&gt;="&amp;$B2556,rl_eff,"&lt;="&amp;$C2556)</f>
        <v/>
      </c>
      <c r="L2556" s="201">
        <f>SUMIFS(rl_daysafter,rl_key,$A$2506,rl_effmonth,$B2556,rl_first,1)</f>
        <v/>
      </c>
      <c r="M2556" s="209">
        <f>IF($K2556=0,0,MIN(1,$L2556/$D2556))</f>
        <v/>
      </c>
      <c r="N2556" s="208">
        <f>IF($K2556=0,$J2556,(1-$M2556)*$I2556+$M2556*$J2556)</f>
        <v/>
      </c>
      <c r="O2556" s="209">
        <f>IF($F2556&lt;$B$2507,$E$2507+$I$2507*($F2556-$A$2507),IF($F2556&lt;$C$2507,$F$2507+$J$2507*($F2556-$B$2507),$G$2507+$K$2507*($F2556-$C$2507)))</f>
        <v/>
      </c>
      <c r="P2556" s="208">
        <f>MIN(1,MAX(0,(nr_MEndPm1-$G2556+0.5)/$C$2506))-MIN(1,MAX(0,(nr_MStartPm1-1-$G2556+0.5)/$C$2506))</f>
        <v/>
      </c>
      <c r="Q2556" s="208">
        <f>MIN(1,MAX(0,(nr_MEndP-$G2556+0.5)/$C$2506))-MIN(1,MAX(0,(nr_MStartP-1-$G2556+0.5)/$C$2506))</f>
        <v/>
      </c>
      <c r="R2556" s="208">
        <f>MIN(1,MAX(0,(nr_MEndP1-$G2556+0.5)/$C$2506))-MIN(1,MAX(0,(nr_MStartP1-1-$G2556+0.5)/$C$2506))</f>
        <v/>
      </c>
      <c r="S2556" s="208">
        <f>IF($L$2506,$N2556*IF($O$2506=1,$O2556/$F$2506,1),"")</f>
        <v/>
      </c>
      <c r="T2556" s="208">
        <f>IF(NOT($L$2506),"",IF($G2556&lt;nr_MStartP,$S2556,$T2544*(1+IF($G2556&lt;nr_MStartP1,$M$2506,$N$2506))))</f>
        <v/>
      </c>
      <c r="U2556" s="208">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184">
        <f>SUMPRODUCT($H$2509:$H$2556,$Q$2509:$Q$2556,$O$2509:$O$2556)/SUMPRODUCT($H$2509:$H$2556,$Q$2509:$Q$2556)</f>
        <v/>
      </c>
      <c r="G2557" s="184">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184">
        <f>IF(N(INDEX(lr_mind,47))=0,1,INDEX(lr_mind,47))</f>
        <v/>
      </c>
      <c r="G2560" s="184">
        <f>IF(N(INDEX(lr_m0,47))=0,1,INDEX(lr_m0,47))</f>
        <v/>
      </c>
      <c r="H2560" s="73">
        <f>IF(N(INDEX(lr_m0asof,47))=0,DATE(nr_PlanYear-1,10,1),INDEX(lr_m0asof,47))</f>
        <v/>
      </c>
      <c r="I2560" s="184">
        <f>IF(N(INDEX(lr_m1,47))=0,1,INDEX(lr_m1,47))</f>
        <v/>
      </c>
      <c r="J2560" s="184">
        <f>INDEX(lr_mprior,47)</f>
        <v/>
      </c>
      <c r="K2560" s="184">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145" t="n">
        <v>1</v>
      </c>
      <c r="B2563" s="204">
        <f>DATE(nr_PlanYear-2,1,1)</f>
        <v/>
      </c>
      <c r="C2563" s="205">
        <f>EOMONTH($B2563,0)</f>
        <v/>
      </c>
      <c r="D2563" s="201">
        <f>$C2563-$B2563+1</f>
        <v/>
      </c>
      <c r="E2563" s="201">
        <f>MONTH($B2563)</f>
        <v/>
      </c>
      <c r="F2563" s="235">
        <f>($B2563+$C2563+1)/2</f>
        <v/>
      </c>
      <c r="G2563" s="201">
        <f>YEAR($B2563)*12+MONTH($B2563)-1</f>
        <v/>
      </c>
      <c r="H2563" s="207">
        <f>IF(OR(nr_SeasonOn="OFF",$D$2560=0,$E$2560=0),1,12*INDEX(se_block,$D$2560,$E2563)/$E$2560)</f>
        <v/>
      </c>
      <c r="I2563" s="208">
        <f>EXP(SUMPRODUCT((rl_eff&lt;$B2563)*(rl_key=$A$2560)*rl_ln1p))</f>
        <v/>
      </c>
      <c r="J2563" s="208">
        <f>EXP(SUMPRODUCT((rl_eff&lt;=$C2563)*(rl_key=$A$2560)*rl_ln1p))</f>
        <v/>
      </c>
      <c r="K2563" s="201">
        <f>COUNTIFS(rl_key,$A$2560,rl_eff,"&gt;="&amp;$B2563,rl_eff,"&lt;="&amp;$C2563)</f>
        <v/>
      </c>
      <c r="L2563" s="201">
        <f>SUMIFS(rl_daysafter,rl_key,$A$2560,rl_effmonth,$B2563,rl_first,1)</f>
        <v/>
      </c>
      <c r="M2563" s="209">
        <f>IF($K2563=0,0,MIN(1,$L2563/$D2563))</f>
        <v/>
      </c>
      <c r="N2563" s="208">
        <f>IF($K2563=0,$J2563,(1-$M2563)*$I2563+$M2563*$J2563)</f>
        <v/>
      </c>
      <c r="O2563" s="209">
        <f>IF($F2563&lt;$B$2561,$E$2561+$I$2561*($F2563-$A$2561),IF($F2563&lt;$C$2561,$F$2561+$J$2561*($F2563-$B$2561),$G$2561+$K$2561*($F2563-$C$2561)))</f>
        <v/>
      </c>
      <c r="P2563" s="208">
        <f>MIN(1,MAX(0,(nr_MEndPm1-$G2563+0.5)/$C$2560))-MIN(1,MAX(0,(nr_MStartPm1-1-$G2563+0.5)/$C$2560))</f>
        <v/>
      </c>
      <c r="Q2563" s="208">
        <f>MIN(1,MAX(0,(nr_MEndP-$G2563+0.5)/$C$2560))-MIN(1,MAX(0,(nr_MStartP-1-$G2563+0.5)/$C$2560))</f>
        <v/>
      </c>
      <c r="R2563" s="208">
        <f>MIN(1,MAX(0,(nr_MEndP1-$G2563+0.5)/$C$2560))-MIN(1,MAX(0,(nr_MStartP1-1-$G2563+0.5)/$C$2560))</f>
        <v/>
      </c>
      <c r="S2563" s="208">
        <f>IF($L$2560,$N2563*IF($O$2560=1,$O2563/$F$2560,1),"")</f>
        <v/>
      </c>
      <c r="T2563" s="208">
        <f>IF(NOT($L$2560),"",IF($G2563&lt;nr_MStartP,$S2563,$T2551*(1+IF($G2563&lt;nr_MStartP1,$M$2560,$N$2560))))</f>
        <v/>
      </c>
      <c r="U2563" s="208">
        <f>IF($L$2560,$T2563,$N2563)</f>
        <v/>
      </c>
    </row>
    <row r="2564">
      <c r="A2564" s="145" t="n">
        <v>2</v>
      </c>
      <c r="B2564" s="204">
        <f>EDATE($B2563,1)</f>
        <v/>
      </c>
      <c r="C2564" s="205">
        <f>EOMONTH($B2564,0)</f>
        <v/>
      </c>
      <c r="D2564" s="201">
        <f>$C2564-$B2564+1</f>
        <v/>
      </c>
      <c r="E2564" s="201">
        <f>MONTH($B2564)</f>
        <v/>
      </c>
      <c r="F2564" s="235">
        <f>($B2564+$C2564+1)/2</f>
        <v/>
      </c>
      <c r="G2564" s="201">
        <f>YEAR($B2564)*12+MONTH($B2564)-1</f>
        <v/>
      </c>
      <c r="H2564" s="207">
        <f>IF(OR(nr_SeasonOn="OFF",$D$2560=0,$E$2560=0),1,12*INDEX(se_block,$D$2560,$E2564)/$E$2560)</f>
        <v/>
      </c>
      <c r="I2564" s="208">
        <f>EXP(SUMPRODUCT((rl_eff&lt;$B2564)*(rl_key=$A$2560)*rl_ln1p))</f>
        <v/>
      </c>
      <c r="J2564" s="208">
        <f>EXP(SUMPRODUCT((rl_eff&lt;=$C2564)*(rl_key=$A$2560)*rl_ln1p))</f>
        <v/>
      </c>
      <c r="K2564" s="201">
        <f>COUNTIFS(rl_key,$A$2560,rl_eff,"&gt;="&amp;$B2564,rl_eff,"&lt;="&amp;$C2564)</f>
        <v/>
      </c>
      <c r="L2564" s="201">
        <f>SUMIFS(rl_daysafter,rl_key,$A$2560,rl_effmonth,$B2564,rl_first,1)</f>
        <v/>
      </c>
      <c r="M2564" s="209">
        <f>IF($K2564=0,0,MIN(1,$L2564/$D2564))</f>
        <v/>
      </c>
      <c r="N2564" s="208">
        <f>IF($K2564=0,$J2564,(1-$M2564)*$I2564+$M2564*$J2564)</f>
        <v/>
      </c>
      <c r="O2564" s="209">
        <f>IF($F2564&lt;$B$2561,$E$2561+$I$2561*($F2564-$A$2561),IF($F2564&lt;$C$2561,$F$2561+$J$2561*($F2564-$B$2561),$G$2561+$K$2561*($F2564-$C$2561)))</f>
        <v/>
      </c>
      <c r="P2564" s="208">
        <f>MIN(1,MAX(0,(nr_MEndPm1-$G2564+0.5)/$C$2560))-MIN(1,MAX(0,(nr_MStartPm1-1-$G2564+0.5)/$C$2560))</f>
        <v/>
      </c>
      <c r="Q2564" s="208">
        <f>MIN(1,MAX(0,(nr_MEndP-$G2564+0.5)/$C$2560))-MIN(1,MAX(0,(nr_MStartP-1-$G2564+0.5)/$C$2560))</f>
        <v/>
      </c>
      <c r="R2564" s="208">
        <f>MIN(1,MAX(0,(nr_MEndP1-$G2564+0.5)/$C$2560))-MIN(1,MAX(0,(nr_MStartP1-1-$G2564+0.5)/$C$2560))</f>
        <v/>
      </c>
      <c r="S2564" s="208">
        <f>IF($L$2560,$N2564*IF($O$2560=1,$O2564/$F$2560,1),"")</f>
        <v/>
      </c>
      <c r="T2564" s="208">
        <f>IF(NOT($L$2560),"",IF($G2564&lt;nr_MStartP,$S2564,$T2552*(1+IF($G2564&lt;nr_MStartP1,$M$2560,$N$2560))))</f>
        <v/>
      </c>
      <c r="U2564" s="208">
        <f>IF($L$2560,$T2564,$N2564)</f>
        <v/>
      </c>
    </row>
    <row r="2565">
      <c r="A2565" s="145" t="n">
        <v>3</v>
      </c>
      <c r="B2565" s="204">
        <f>EDATE($B2564,1)</f>
        <v/>
      </c>
      <c r="C2565" s="205">
        <f>EOMONTH($B2565,0)</f>
        <v/>
      </c>
      <c r="D2565" s="201">
        <f>$C2565-$B2565+1</f>
        <v/>
      </c>
      <c r="E2565" s="201">
        <f>MONTH($B2565)</f>
        <v/>
      </c>
      <c r="F2565" s="235">
        <f>($B2565+$C2565+1)/2</f>
        <v/>
      </c>
      <c r="G2565" s="201">
        <f>YEAR($B2565)*12+MONTH($B2565)-1</f>
        <v/>
      </c>
      <c r="H2565" s="207">
        <f>IF(OR(nr_SeasonOn="OFF",$D$2560=0,$E$2560=0),1,12*INDEX(se_block,$D$2560,$E2565)/$E$2560)</f>
        <v/>
      </c>
      <c r="I2565" s="208">
        <f>EXP(SUMPRODUCT((rl_eff&lt;$B2565)*(rl_key=$A$2560)*rl_ln1p))</f>
        <v/>
      </c>
      <c r="J2565" s="208">
        <f>EXP(SUMPRODUCT((rl_eff&lt;=$C2565)*(rl_key=$A$2560)*rl_ln1p))</f>
        <v/>
      </c>
      <c r="K2565" s="201">
        <f>COUNTIFS(rl_key,$A$2560,rl_eff,"&gt;="&amp;$B2565,rl_eff,"&lt;="&amp;$C2565)</f>
        <v/>
      </c>
      <c r="L2565" s="201">
        <f>SUMIFS(rl_daysafter,rl_key,$A$2560,rl_effmonth,$B2565,rl_first,1)</f>
        <v/>
      </c>
      <c r="M2565" s="209">
        <f>IF($K2565=0,0,MIN(1,$L2565/$D2565))</f>
        <v/>
      </c>
      <c r="N2565" s="208">
        <f>IF($K2565=0,$J2565,(1-$M2565)*$I2565+$M2565*$J2565)</f>
        <v/>
      </c>
      <c r="O2565" s="209">
        <f>IF($F2565&lt;$B$2561,$E$2561+$I$2561*($F2565-$A$2561),IF($F2565&lt;$C$2561,$F$2561+$J$2561*($F2565-$B$2561),$G$2561+$K$2561*($F2565-$C$2561)))</f>
        <v/>
      </c>
      <c r="P2565" s="208">
        <f>MIN(1,MAX(0,(nr_MEndPm1-$G2565+0.5)/$C$2560))-MIN(1,MAX(0,(nr_MStartPm1-1-$G2565+0.5)/$C$2560))</f>
        <v/>
      </c>
      <c r="Q2565" s="208">
        <f>MIN(1,MAX(0,(nr_MEndP-$G2565+0.5)/$C$2560))-MIN(1,MAX(0,(nr_MStartP-1-$G2565+0.5)/$C$2560))</f>
        <v/>
      </c>
      <c r="R2565" s="208">
        <f>MIN(1,MAX(0,(nr_MEndP1-$G2565+0.5)/$C$2560))-MIN(1,MAX(0,(nr_MStartP1-1-$G2565+0.5)/$C$2560))</f>
        <v/>
      </c>
      <c r="S2565" s="208">
        <f>IF($L$2560,$N2565*IF($O$2560=1,$O2565/$F$2560,1),"")</f>
        <v/>
      </c>
      <c r="T2565" s="208">
        <f>IF(NOT($L$2560),"",IF($G2565&lt;nr_MStartP,$S2565,$T2553*(1+IF($G2565&lt;nr_MStartP1,$M$2560,$N$2560))))</f>
        <v/>
      </c>
      <c r="U2565" s="208">
        <f>IF($L$2560,$T2565,$N2565)</f>
        <v/>
      </c>
    </row>
    <row r="2566">
      <c r="A2566" s="145" t="n">
        <v>4</v>
      </c>
      <c r="B2566" s="204">
        <f>EDATE($B2565,1)</f>
        <v/>
      </c>
      <c r="C2566" s="205">
        <f>EOMONTH($B2566,0)</f>
        <v/>
      </c>
      <c r="D2566" s="201">
        <f>$C2566-$B2566+1</f>
        <v/>
      </c>
      <c r="E2566" s="201">
        <f>MONTH($B2566)</f>
        <v/>
      </c>
      <c r="F2566" s="235">
        <f>($B2566+$C2566+1)/2</f>
        <v/>
      </c>
      <c r="G2566" s="201">
        <f>YEAR($B2566)*12+MONTH($B2566)-1</f>
        <v/>
      </c>
      <c r="H2566" s="207">
        <f>IF(OR(nr_SeasonOn="OFF",$D$2560=0,$E$2560=0),1,12*INDEX(se_block,$D$2560,$E2566)/$E$2560)</f>
        <v/>
      </c>
      <c r="I2566" s="208">
        <f>EXP(SUMPRODUCT((rl_eff&lt;$B2566)*(rl_key=$A$2560)*rl_ln1p))</f>
        <v/>
      </c>
      <c r="J2566" s="208">
        <f>EXP(SUMPRODUCT((rl_eff&lt;=$C2566)*(rl_key=$A$2560)*rl_ln1p))</f>
        <v/>
      </c>
      <c r="K2566" s="201">
        <f>COUNTIFS(rl_key,$A$2560,rl_eff,"&gt;="&amp;$B2566,rl_eff,"&lt;="&amp;$C2566)</f>
        <v/>
      </c>
      <c r="L2566" s="201">
        <f>SUMIFS(rl_daysafter,rl_key,$A$2560,rl_effmonth,$B2566,rl_first,1)</f>
        <v/>
      </c>
      <c r="M2566" s="209">
        <f>IF($K2566=0,0,MIN(1,$L2566/$D2566))</f>
        <v/>
      </c>
      <c r="N2566" s="208">
        <f>IF($K2566=0,$J2566,(1-$M2566)*$I2566+$M2566*$J2566)</f>
        <v/>
      </c>
      <c r="O2566" s="209">
        <f>IF($F2566&lt;$B$2561,$E$2561+$I$2561*($F2566-$A$2561),IF($F2566&lt;$C$2561,$F$2561+$J$2561*($F2566-$B$2561),$G$2561+$K$2561*($F2566-$C$2561)))</f>
        <v/>
      </c>
      <c r="P2566" s="208">
        <f>MIN(1,MAX(0,(nr_MEndPm1-$G2566+0.5)/$C$2560))-MIN(1,MAX(0,(nr_MStartPm1-1-$G2566+0.5)/$C$2560))</f>
        <v/>
      </c>
      <c r="Q2566" s="208">
        <f>MIN(1,MAX(0,(nr_MEndP-$G2566+0.5)/$C$2560))-MIN(1,MAX(0,(nr_MStartP-1-$G2566+0.5)/$C$2560))</f>
        <v/>
      </c>
      <c r="R2566" s="208">
        <f>MIN(1,MAX(0,(nr_MEndP1-$G2566+0.5)/$C$2560))-MIN(1,MAX(0,(nr_MStartP1-1-$G2566+0.5)/$C$2560))</f>
        <v/>
      </c>
      <c r="S2566" s="208">
        <f>IF($L$2560,$N2566*IF($O$2560=1,$O2566/$F$2560,1),"")</f>
        <v/>
      </c>
      <c r="T2566" s="208">
        <f>IF(NOT($L$2560),"",IF($G2566&lt;nr_MStartP,$S2566,$T2554*(1+IF($G2566&lt;nr_MStartP1,$M$2560,$N$2560))))</f>
        <v/>
      </c>
      <c r="U2566" s="208">
        <f>IF($L$2560,$T2566,$N2566)</f>
        <v/>
      </c>
    </row>
    <row r="2567">
      <c r="A2567" s="145" t="n">
        <v>5</v>
      </c>
      <c r="B2567" s="204">
        <f>EDATE($B2566,1)</f>
        <v/>
      </c>
      <c r="C2567" s="205">
        <f>EOMONTH($B2567,0)</f>
        <v/>
      </c>
      <c r="D2567" s="201">
        <f>$C2567-$B2567+1</f>
        <v/>
      </c>
      <c r="E2567" s="201">
        <f>MONTH($B2567)</f>
        <v/>
      </c>
      <c r="F2567" s="235">
        <f>($B2567+$C2567+1)/2</f>
        <v/>
      </c>
      <c r="G2567" s="201">
        <f>YEAR($B2567)*12+MONTH($B2567)-1</f>
        <v/>
      </c>
      <c r="H2567" s="207">
        <f>IF(OR(nr_SeasonOn="OFF",$D$2560=0,$E$2560=0),1,12*INDEX(se_block,$D$2560,$E2567)/$E$2560)</f>
        <v/>
      </c>
      <c r="I2567" s="208">
        <f>EXP(SUMPRODUCT((rl_eff&lt;$B2567)*(rl_key=$A$2560)*rl_ln1p))</f>
        <v/>
      </c>
      <c r="J2567" s="208">
        <f>EXP(SUMPRODUCT((rl_eff&lt;=$C2567)*(rl_key=$A$2560)*rl_ln1p))</f>
        <v/>
      </c>
      <c r="K2567" s="201">
        <f>COUNTIFS(rl_key,$A$2560,rl_eff,"&gt;="&amp;$B2567,rl_eff,"&lt;="&amp;$C2567)</f>
        <v/>
      </c>
      <c r="L2567" s="201">
        <f>SUMIFS(rl_daysafter,rl_key,$A$2560,rl_effmonth,$B2567,rl_first,1)</f>
        <v/>
      </c>
      <c r="M2567" s="209">
        <f>IF($K2567=0,0,MIN(1,$L2567/$D2567))</f>
        <v/>
      </c>
      <c r="N2567" s="208">
        <f>IF($K2567=0,$J2567,(1-$M2567)*$I2567+$M2567*$J2567)</f>
        <v/>
      </c>
      <c r="O2567" s="209">
        <f>IF($F2567&lt;$B$2561,$E$2561+$I$2561*($F2567-$A$2561),IF($F2567&lt;$C$2561,$F$2561+$J$2561*($F2567-$B$2561),$G$2561+$K$2561*($F2567-$C$2561)))</f>
        <v/>
      </c>
      <c r="P2567" s="208">
        <f>MIN(1,MAX(0,(nr_MEndPm1-$G2567+0.5)/$C$2560))-MIN(1,MAX(0,(nr_MStartPm1-1-$G2567+0.5)/$C$2560))</f>
        <v/>
      </c>
      <c r="Q2567" s="208">
        <f>MIN(1,MAX(0,(nr_MEndP-$G2567+0.5)/$C$2560))-MIN(1,MAX(0,(nr_MStartP-1-$G2567+0.5)/$C$2560))</f>
        <v/>
      </c>
      <c r="R2567" s="208">
        <f>MIN(1,MAX(0,(nr_MEndP1-$G2567+0.5)/$C$2560))-MIN(1,MAX(0,(nr_MStartP1-1-$G2567+0.5)/$C$2560))</f>
        <v/>
      </c>
      <c r="S2567" s="208">
        <f>IF($L$2560,$N2567*IF($O$2560=1,$O2567/$F$2560,1),"")</f>
        <v/>
      </c>
      <c r="T2567" s="208">
        <f>IF(NOT($L$2560),"",IF($G2567&lt;nr_MStartP,$S2567,$T2555*(1+IF($G2567&lt;nr_MStartP1,$M$2560,$N$2560))))</f>
        <v/>
      </c>
      <c r="U2567" s="208">
        <f>IF($L$2560,$T2567,$N2567)</f>
        <v/>
      </c>
    </row>
    <row r="2568">
      <c r="A2568" s="145" t="n">
        <v>6</v>
      </c>
      <c r="B2568" s="204">
        <f>EDATE($B2567,1)</f>
        <v/>
      </c>
      <c r="C2568" s="205">
        <f>EOMONTH($B2568,0)</f>
        <v/>
      </c>
      <c r="D2568" s="201">
        <f>$C2568-$B2568+1</f>
        <v/>
      </c>
      <c r="E2568" s="201">
        <f>MONTH($B2568)</f>
        <v/>
      </c>
      <c r="F2568" s="235">
        <f>($B2568+$C2568+1)/2</f>
        <v/>
      </c>
      <c r="G2568" s="201">
        <f>YEAR($B2568)*12+MONTH($B2568)-1</f>
        <v/>
      </c>
      <c r="H2568" s="207">
        <f>IF(OR(nr_SeasonOn="OFF",$D$2560=0,$E$2560=0),1,12*INDEX(se_block,$D$2560,$E2568)/$E$2560)</f>
        <v/>
      </c>
      <c r="I2568" s="208">
        <f>EXP(SUMPRODUCT((rl_eff&lt;$B2568)*(rl_key=$A$2560)*rl_ln1p))</f>
        <v/>
      </c>
      <c r="J2568" s="208">
        <f>EXP(SUMPRODUCT((rl_eff&lt;=$C2568)*(rl_key=$A$2560)*rl_ln1p))</f>
        <v/>
      </c>
      <c r="K2568" s="201">
        <f>COUNTIFS(rl_key,$A$2560,rl_eff,"&gt;="&amp;$B2568,rl_eff,"&lt;="&amp;$C2568)</f>
        <v/>
      </c>
      <c r="L2568" s="201">
        <f>SUMIFS(rl_daysafter,rl_key,$A$2560,rl_effmonth,$B2568,rl_first,1)</f>
        <v/>
      </c>
      <c r="M2568" s="209">
        <f>IF($K2568=0,0,MIN(1,$L2568/$D2568))</f>
        <v/>
      </c>
      <c r="N2568" s="208">
        <f>IF($K2568=0,$J2568,(1-$M2568)*$I2568+$M2568*$J2568)</f>
        <v/>
      </c>
      <c r="O2568" s="209">
        <f>IF($F2568&lt;$B$2561,$E$2561+$I$2561*($F2568-$A$2561),IF($F2568&lt;$C$2561,$F$2561+$J$2561*($F2568-$B$2561),$G$2561+$K$2561*($F2568-$C$2561)))</f>
        <v/>
      </c>
      <c r="P2568" s="208">
        <f>MIN(1,MAX(0,(nr_MEndPm1-$G2568+0.5)/$C$2560))-MIN(1,MAX(0,(nr_MStartPm1-1-$G2568+0.5)/$C$2560))</f>
        <v/>
      </c>
      <c r="Q2568" s="208">
        <f>MIN(1,MAX(0,(nr_MEndP-$G2568+0.5)/$C$2560))-MIN(1,MAX(0,(nr_MStartP-1-$G2568+0.5)/$C$2560))</f>
        <v/>
      </c>
      <c r="R2568" s="208">
        <f>MIN(1,MAX(0,(nr_MEndP1-$G2568+0.5)/$C$2560))-MIN(1,MAX(0,(nr_MStartP1-1-$G2568+0.5)/$C$2560))</f>
        <v/>
      </c>
      <c r="S2568" s="208">
        <f>IF($L$2560,$N2568*IF($O$2560=1,$O2568/$F$2560,1),"")</f>
        <v/>
      </c>
      <c r="T2568" s="208">
        <f>IF(NOT($L$2560),"",IF($G2568&lt;nr_MStartP,$S2568,$T2556*(1+IF($G2568&lt;nr_MStartP1,$M$2560,$N$2560))))</f>
        <v/>
      </c>
      <c r="U2568" s="208">
        <f>IF($L$2560,$T2568,$N2568)</f>
        <v/>
      </c>
    </row>
    <row r="2569">
      <c r="A2569" s="145" t="n">
        <v>7</v>
      </c>
      <c r="B2569" s="204">
        <f>EDATE($B2568,1)</f>
        <v/>
      </c>
      <c r="C2569" s="205">
        <f>EOMONTH($B2569,0)</f>
        <v/>
      </c>
      <c r="D2569" s="201">
        <f>$C2569-$B2569+1</f>
        <v/>
      </c>
      <c r="E2569" s="201">
        <f>MONTH($B2569)</f>
        <v/>
      </c>
      <c r="F2569" s="235">
        <f>($B2569+$C2569+1)/2</f>
        <v/>
      </c>
      <c r="G2569" s="201">
        <f>YEAR($B2569)*12+MONTH($B2569)-1</f>
        <v/>
      </c>
      <c r="H2569" s="207">
        <f>IF(OR(nr_SeasonOn="OFF",$D$2560=0,$E$2560=0),1,12*INDEX(se_block,$D$2560,$E2569)/$E$2560)</f>
        <v/>
      </c>
      <c r="I2569" s="208">
        <f>EXP(SUMPRODUCT((rl_eff&lt;$B2569)*(rl_key=$A$2560)*rl_ln1p))</f>
        <v/>
      </c>
      <c r="J2569" s="208">
        <f>EXP(SUMPRODUCT((rl_eff&lt;=$C2569)*(rl_key=$A$2560)*rl_ln1p))</f>
        <v/>
      </c>
      <c r="K2569" s="201">
        <f>COUNTIFS(rl_key,$A$2560,rl_eff,"&gt;="&amp;$B2569,rl_eff,"&lt;="&amp;$C2569)</f>
        <v/>
      </c>
      <c r="L2569" s="201">
        <f>SUMIFS(rl_daysafter,rl_key,$A$2560,rl_effmonth,$B2569,rl_first,1)</f>
        <v/>
      </c>
      <c r="M2569" s="209">
        <f>IF($K2569=0,0,MIN(1,$L2569/$D2569))</f>
        <v/>
      </c>
      <c r="N2569" s="208">
        <f>IF($K2569=0,$J2569,(1-$M2569)*$I2569+$M2569*$J2569)</f>
        <v/>
      </c>
      <c r="O2569" s="209">
        <f>IF($F2569&lt;$B$2561,$E$2561+$I$2561*($F2569-$A$2561),IF($F2569&lt;$C$2561,$F$2561+$J$2561*($F2569-$B$2561),$G$2561+$K$2561*($F2569-$C$2561)))</f>
        <v/>
      </c>
      <c r="P2569" s="208">
        <f>MIN(1,MAX(0,(nr_MEndPm1-$G2569+0.5)/$C$2560))-MIN(1,MAX(0,(nr_MStartPm1-1-$G2569+0.5)/$C$2560))</f>
        <v/>
      </c>
      <c r="Q2569" s="208">
        <f>MIN(1,MAX(0,(nr_MEndP-$G2569+0.5)/$C$2560))-MIN(1,MAX(0,(nr_MStartP-1-$G2569+0.5)/$C$2560))</f>
        <v/>
      </c>
      <c r="R2569" s="208">
        <f>MIN(1,MAX(0,(nr_MEndP1-$G2569+0.5)/$C$2560))-MIN(1,MAX(0,(nr_MStartP1-1-$G2569+0.5)/$C$2560))</f>
        <v/>
      </c>
      <c r="S2569" s="208">
        <f>IF($L$2560,$N2569*IF($O$2560=1,$O2569/$F$2560,1),"")</f>
        <v/>
      </c>
      <c r="T2569" s="208">
        <f>IF(NOT($L$2560),"",IF($G2569&lt;nr_MStartP,$S2569,$T2557*(1+IF($G2569&lt;nr_MStartP1,$M$2560,$N$2560))))</f>
        <v/>
      </c>
      <c r="U2569" s="208">
        <f>IF($L$2560,$T2569,$N2569)</f>
        <v/>
      </c>
    </row>
    <row r="2570">
      <c r="A2570" s="145" t="n">
        <v>8</v>
      </c>
      <c r="B2570" s="204">
        <f>EDATE($B2569,1)</f>
        <v/>
      </c>
      <c r="C2570" s="205">
        <f>EOMONTH($B2570,0)</f>
        <v/>
      </c>
      <c r="D2570" s="201">
        <f>$C2570-$B2570+1</f>
        <v/>
      </c>
      <c r="E2570" s="201">
        <f>MONTH($B2570)</f>
        <v/>
      </c>
      <c r="F2570" s="235">
        <f>($B2570+$C2570+1)/2</f>
        <v/>
      </c>
      <c r="G2570" s="201">
        <f>YEAR($B2570)*12+MONTH($B2570)-1</f>
        <v/>
      </c>
      <c r="H2570" s="207">
        <f>IF(OR(nr_SeasonOn="OFF",$D$2560=0,$E$2560=0),1,12*INDEX(se_block,$D$2560,$E2570)/$E$2560)</f>
        <v/>
      </c>
      <c r="I2570" s="208">
        <f>EXP(SUMPRODUCT((rl_eff&lt;$B2570)*(rl_key=$A$2560)*rl_ln1p))</f>
        <v/>
      </c>
      <c r="J2570" s="208">
        <f>EXP(SUMPRODUCT((rl_eff&lt;=$C2570)*(rl_key=$A$2560)*rl_ln1p))</f>
        <v/>
      </c>
      <c r="K2570" s="201">
        <f>COUNTIFS(rl_key,$A$2560,rl_eff,"&gt;="&amp;$B2570,rl_eff,"&lt;="&amp;$C2570)</f>
        <v/>
      </c>
      <c r="L2570" s="201">
        <f>SUMIFS(rl_daysafter,rl_key,$A$2560,rl_effmonth,$B2570,rl_first,1)</f>
        <v/>
      </c>
      <c r="M2570" s="209">
        <f>IF($K2570=0,0,MIN(1,$L2570/$D2570))</f>
        <v/>
      </c>
      <c r="N2570" s="208">
        <f>IF($K2570=0,$J2570,(1-$M2570)*$I2570+$M2570*$J2570)</f>
        <v/>
      </c>
      <c r="O2570" s="209">
        <f>IF($F2570&lt;$B$2561,$E$2561+$I$2561*($F2570-$A$2561),IF($F2570&lt;$C$2561,$F$2561+$J$2561*($F2570-$B$2561),$G$2561+$K$2561*($F2570-$C$2561)))</f>
        <v/>
      </c>
      <c r="P2570" s="208">
        <f>MIN(1,MAX(0,(nr_MEndPm1-$G2570+0.5)/$C$2560))-MIN(1,MAX(0,(nr_MStartPm1-1-$G2570+0.5)/$C$2560))</f>
        <v/>
      </c>
      <c r="Q2570" s="208">
        <f>MIN(1,MAX(0,(nr_MEndP-$G2570+0.5)/$C$2560))-MIN(1,MAX(0,(nr_MStartP-1-$G2570+0.5)/$C$2560))</f>
        <v/>
      </c>
      <c r="R2570" s="208">
        <f>MIN(1,MAX(0,(nr_MEndP1-$G2570+0.5)/$C$2560))-MIN(1,MAX(0,(nr_MStartP1-1-$G2570+0.5)/$C$2560))</f>
        <v/>
      </c>
      <c r="S2570" s="208">
        <f>IF($L$2560,$N2570*IF($O$2560=1,$O2570/$F$2560,1),"")</f>
        <v/>
      </c>
      <c r="T2570" s="208">
        <f>IF(NOT($L$2560),"",IF($G2570&lt;nr_MStartP,$S2570,$T2558*(1+IF($G2570&lt;nr_MStartP1,$M$2560,$N$2560))))</f>
        <v/>
      </c>
      <c r="U2570" s="208">
        <f>IF($L$2560,$T2570,$N2570)</f>
        <v/>
      </c>
    </row>
    <row r="2571">
      <c r="A2571" s="145" t="n">
        <v>9</v>
      </c>
      <c r="B2571" s="204">
        <f>EDATE($B2570,1)</f>
        <v/>
      </c>
      <c r="C2571" s="205">
        <f>EOMONTH($B2571,0)</f>
        <v/>
      </c>
      <c r="D2571" s="201">
        <f>$C2571-$B2571+1</f>
        <v/>
      </c>
      <c r="E2571" s="201">
        <f>MONTH($B2571)</f>
        <v/>
      </c>
      <c r="F2571" s="235">
        <f>($B2571+$C2571+1)/2</f>
        <v/>
      </c>
      <c r="G2571" s="201">
        <f>YEAR($B2571)*12+MONTH($B2571)-1</f>
        <v/>
      </c>
      <c r="H2571" s="207">
        <f>IF(OR(nr_SeasonOn="OFF",$D$2560=0,$E$2560=0),1,12*INDEX(se_block,$D$2560,$E2571)/$E$2560)</f>
        <v/>
      </c>
      <c r="I2571" s="208">
        <f>EXP(SUMPRODUCT((rl_eff&lt;$B2571)*(rl_key=$A$2560)*rl_ln1p))</f>
        <v/>
      </c>
      <c r="J2571" s="208">
        <f>EXP(SUMPRODUCT((rl_eff&lt;=$C2571)*(rl_key=$A$2560)*rl_ln1p))</f>
        <v/>
      </c>
      <c r="K2571" s="201">
        <f>COUNTIFS(rl_key,$A$2560,rl_eff,"&gt;="&amp;$B2571,rl_eff,"&lt;="&amp;$C2571)</f>
        <v/>
      </c>
      <c r="L2571" s="201">
        <f>SUMIFS(rl_daysafter,rl_key,$A$2560,rl_effmonth,$B2571,rl_first,1)</f>
        <v/>
      </c>
      <c r="M2571" s="209">
        <f>IF($K2571=0,0,MIN(1,$L2571/$D2571))</f>
        <v/>
      </c>
      <c r="N2571" s="208">
        <f>IF($K2571=0,$J2571,(1-$M2571)*$I2571+$M2571*$J2571)</f>
        <v/>
      </c>
      <c r="O2571" s="209">
        <f>IF($F2571&lt;$B$2561,$E$2561+$I$2561*($F2571-$A$2561),IF($F2571&lt;$C$2561,$F$2561+$J$2561*($F2571-$B$2561),$G$2561+$K$2561*($F2571-$C$2561)))</f>
        <v/>
      </c>
      <c r="P2571" s="208">
        <f>MIN(1,MAX(0,(nr_MEndPm1-$G2571+0.5)/$C$2560))-MIN(1,MAX(0,(nr_MStartPm1-1-$G2571+0.5)/$C$2560))</f>
        <v/>
      </c>
      <c r="Q2571" s="208">
        <f>MIN(1,MAX(0,(nr_MEndP-$G2571+0.5)/$C$2560))-MIN(1,MAX(0,(nr_MStartP-1-$G2571+0.5)/$C$2560))</f>
        <v/>
      </c>
      <c r="R2571" s="208">
        <f>MIN(1,MAX(0,(nr_MEndP1-$G2571+0.5)/$C$2560))-MIN(1,MAX(0,(nr_MStartP1-1-$G2571+0.5)/$C$2560))</f>
        <v/>
      </c>
      <c r="S2571" s="208">
        <f>IF($L$2560,$N2571*IF($O$2560=1,$O2571/$F$2560,1),"")</f>
        <v/>
      </c>
      <c r="T2571" s="208">
        <f>IF(NOT($L$2560),"",IF($G2571&lt;nr_MStartP,$S2571,$T2559*(1+IF($G2571&lt;nr_MStartP1,$M$2560,$N$2560))))</f>
        <v/>
      </c>
      <c r="U2571" s="208">
        <f>IF($L$2560,$T2571,$N2571)</f>
        <v/>
      </c>
    </row>
    <row r="2572">
      <c r="A2572" s="145" t="n">
        <v>10</v>
      </c>
      <c r="B2572" s="204">
        <f>EDATE($B2571,1)</f>
        <v/>
      </c>
      <c r="C2572" s="205">
        <f>EOMONTH($B2572,0)</f>
        <v/>
      </c>
      <c r="D2572" s="201">
        <f>$C2572-$B2572+1</f>
        <v/>
      </c>
      <c r="E2572" s="201">
        <f>MONTH($B2572)</f>
        <v/>
      </c>
      <c r="F2572" s="235">
        <f>($B2572+$C2572+1)/2</f>
        <v/>
      </c>
      <c r="G2572" s="201">
        <f>YEAR($B2572)*12+MONTH($B2572)-1</f>
        <v/>
      </c>
      <c r="H2572" s="207">
        <f>IF(OR(nr_SeasonOn="OFF",$D$2560=0,$E$2560=0),1,12*INDEX(se_block,$D$2560,$E2572)/$E$2560)</f>
        <v/>
      </c>
      <c r="I2572" s="208">
        <f>EXP(SUMPRODUCT((rl_eff&lt;$B2572)*(rl_key=$A$2560)*rl_ln1p))</f>
        <v/>
      </c>
      <c r="J2572" s="208">
        <f>EXP(SUMPRODUCT((rl_eff&lt;=$C2572)*(rl_key=$A$2560)*rl_ln1p))</f>
        <v/>
      </c>
      <c r="K2572" s="201">
        <f>COUNTIFS(rl_key,$A$2560,rl_eff,"&gt;="&amp;$B2572,rl_eff,"&lt;="&amp;$C2572)</f>
        <v/>
      </c>
      <c r="L2572" s="201">
        <f>SUMIFS(rl_daysafter,rl_key,$A$2560,rl_effmonth,$B2572,rl_first,1)</f>
        <v/>
      </c>
      <c r="M2572" s="209">
        <f>IF($K2572=0,0,MIN(1,$L2572/$D2572))</f>
        <v/>
      </c>
      <c r="N2572" s="208">
        <f>IF($K2572=0,$J2572,(1-$M2572)*$I2572+$M2572*$J2572)</f>
        <v/>
      </c>
      <c r="O2572" s="209">
        <f>IF($F2572&lt;$B$2561,$E$2561+$I$2561*($F2572-$A$2561),IF($F2572&lt;$C$2561,$F$2561+$J$2561*($F2572-$B$2561),$G$2561+$K$2561*($F2572-$C$2561)))</f>
        <v/>
      </c>
      <c r="P2572" s="208">
        <f>MIN(1,MAX(0,(nr_MEndPm1-$G2572+0.5)/$C$2560))-MIN(1,MAX(0,(nr_MStartPm1-1-$G2572+0.5)/$C$2560))</f>
        <v/>
      </c>
      <c r="Q2572" s="208">
        <f>MIN(1,MAX(0,(nr_MEndP-$G2572+0.5)/$C$2560))-MIN(1,MAX(0,(nr_MStartP-1-$G2572+0.5)/$C$2560))</f>
        <v/>
      </c>
      <c r="R2572" s="208">
        <f>MIN(1,MAX(0,(nr_MEndP1-$G2572+0.5)/$C$2560))-MIN(1,MAX(0,(nr_MStartP1-1-$G2572+0.5)/$C$2560))</f>
        <v/>
      </c>
      <c r="S2572" s="208">
        <f>IF($L$2560,$N2572*IF($O$2560=1,$O2572/$F$2560,1),"")</f>
        <v/>
      </c>
      <c r="T2572" s="208">
        <f>IF(NOT($L$2560),"",IF($G2572&lt;nr_MStartP,$S2572,$T2560*(1+IF($G2572&lt;nr_MStartP1,$M$2560,$N$2560))))</f>
        <v/>
      </c>
      <c r="U2572" s="208">
        <f>IF($L$2560,$T2572,$N2572)</f>
        <v/>
      </c>
    </row>
    <row r="2573">
      <c r="A2573" s="145" t="n">
        <v>11</v>
      </c>
      <c r="B2573" s="204">
        <f>EDATE($B2572,1)</f>
        <v/>
      </c>
      <c r="C2573" s="205">
        <f>EOMONTH($B2573,0)</f>
        <v/>
      </c>
      <c r="D2573" s="201">
        <f>$C2573-$B2573+1</f>
        <v/>
      </c>
      <c r="E2573" s="201">
        <f>MONTH($B2573)</f>
        <v/>
      </c>
      <c r="F2573" s="235">
        <f>($B2573+$C2573+1)/2</f>
        <v/>
      </c>
      <c r="G2573" s="201">
        <f>YEAR($B2573)*12+MONTH($B2573)-1</f>
        <v/>
      </c>
      <c r="H2573" s="207">
        <f>IF(OR(nr_SeasonOn="OFF",$D$2560=0,$E$2560=0),1,12*INDEX(se_block,$D$2560,$E2573)/$E$2560)</f>
        <v/>
      </c>
      <c r="I2573" s="208">
        <f>EXP(SUMPRODUCT((rl_eff&lt;$B2573)*(rl_key=$A$2560)*rl_ln1p))</f>
        <v/>
      </c>
      <c r="J2573" s="208">
        <f>EXP(SUMPRODUCT((rl_eff&lt;=$C2573)*(rl_key=$A$2560)*rl_ln1p))</f>
        <v/>
      </c>
      <c r="K2573" s="201">
        <f>COUNTIFS(rl_key,$A$2560,rl_eff,"&gt;="&amp;$B2573,rl_eff,"&lt;="&amp;$C2573)</f>
        <v/>
      </c>
      <c r="L2573" s="201">
        <f>SUMIFS(rl_daysafter,rl_key,$A$2560,rl_effmonth,$B2573,rl_first,1)</f>
        <v/>
      </c>
      <c r="M2573" s="209">
        <f>IF($K2573=0,0,MIN(1,$L2573/$D2573))</f>
        <v/>
      </c>
      <c r="N2573" s="208">
        <f>IF($K2573=0,$J2573,(1-$M2573)*$I2573+$M2573*$J2573)</f>
        <v/>
      </c>
      <c r="O2573" s="209">
        <f>IF($F2573&lt;$B$2561,$E$2561+$I$2561*($F2573-$A$2561),IF($F2573&lt;$C$2561,$F$2561+$J$2561*($F2573-$B$2561),$G$2561+$K$2561*($F2573-$C$2561)))</f>
        <v/>
      </c>
      <c r="P2573" s="208">
        <f>MIN(1,MAX(0,(nr_MEndPm1-$G2573+0.5)/$C$2560))-MIN(1,MAX(0,(nr_MStartPm1-1-$G2573+0.5)/$C$2560))</f>
        <v/>
      </c>
      <c r="Q2573" s="208">
        <f>MIN(1,MAX(0,(nr_MEndP-$G2573+0.5)/$C$2560))-MIN(1,MAX(0,(nr_MStartP-1-$G2573+0.5)/$C$2560))</f>
        <v/>
      </c>
      <c r="R2573" s="208">
        <f>MIN(1,MAX(0,(nr_MEndP1-$G2573+0.5)/$C$2560))-MIN(1,MAX(0,(nr_MStartP1-1-$G2573+0.5)/$C$2560))</f>
        <v/>
      </c>
      <c r="S2573" s="208">
        <f>IF($L$2560,$N2573*IF($O$2560=1,$O2573/$F$2560,1),"")</f>
        <v/>
      </c>
      <c r="T2573" s="208">
        <f>IF(NOT($L$2560),"",IF($G2573&lt;nr_MStartP,$S2573,$T2561*(1+IF($G2573&lt;nr_MStartP1,$M$2560,$N$2560))))</f>
        <v/>
      </c>
      <c r="U2573" s="208">
        <f>IF($L$2560,$T2573,$N2573)</f>
        <v/>
      </c>
    </row>
    <row r="2574">
      <c r="A2574" s="145" t="n">
        <v>12</v>
      </c>
      <c r="B2574" s="204">
        <f>EDATE($B2573,1)</f>
        <v/>
      </c>
      <c r="C2574" s="205">
        <f>EOMONTH($B2574,0)</f>
        <v/>
      </c>
      <c r="D2574" s="201">
        <f>$C2574-$B2574+1</f>
        <v/>
      </c>
      <c r="E2574" s="201">
        <f>MONTH($B2574)</f>
        <v/>
      </c>
      <c r="F2574" s="235">
        <f>($B2574+$C2574+1)/2</f>
        <v/>
      </c>
      <c r="G2574" s="201">
        <f>YEAR($B2574)*12+MONTH($B2574)-1</f>
        <v/>
      </c>
      <c r="H2574" s="207">
        <f>IF(OR(nr_SeasonOn="OFF",$D$2560=0,$E$2560=0),1,12*INDEX(se_block,$D$2560,$E2574)/$E$2560)</f>
        <v/>
      </c>
      <c r="I2574" s="208">
        <f>EXP(SUMPRODUCT((rl_eff&lt;$B2574)*(rl_key=$A$2560)*rl_ln1p))</f>
        <v/>
      </c>
      <c r="J2574" s="208">
        <f>EXP(SUMPRODUCT((rl_eff&lt;=$C2574)*(rl_key=$A$2560)*rl_ln1p))</f>
        <v/>
      </c>
      <c r="K2574" s="201">
        <f>COUNTIFS(rl_key,$A$2560,rl_eff,"&gt;="&amp;$B2574,rl_eff,"&lt;="&amp;$C2574)</f>
        <v/>
      </c>
      <c r="L2574" s="201">
        <f>SUMIFS(rl_daysafter,rl_key,$A$2560,rl_effmonth,$B2574,rl_first,1)</f>
        <v/>
      </c>
      <c r="M2574" s="209">
        <f>IF($K2574=0,0,MIN(1,$L2574/$D2574))</f>
        <v/>
      </c>
      <c r="N2574" s="208">
        <f>IF($K2574=0,$J2574,(1-$M2574)*$I2574+$M2574*$J2574)</f>
        <v/>
      </c>
      <c r="O2574" s="209">
        <f>IF($F2574&lt;$B$2561,$E$2561+$I$2561*($F2574-$A$2561),IF($F2574&lt;$C$2561,$F$2561+$J$2561*($F2574-$B$2561),$G$2561+$K$2561*($F2574-$C$2561)))</f>
        <v/>
      </c>
      <c r="P2574" s="208">
        <f>MIN(1,MAX(0,(nr_MEndPm1-$G2574+0.5)/$C$2560))-MIN(1,MAX(0,(nr_MStartPm1-1-$G2574+0.5)/$C$2560))</f>
        <v/>
      </c>
      <c r="Q2574" s="208">
        <f>MIN(1,MAX(0,(nr_MEndP-$G2574+0.5)/$C$2560))-MIN(1,MAX(0,(nr_MStartP-1-$G2574+0.5)/$C$2560))</f>
        <v/>
      </c>
      <c r="R2574" s="208">
        <f>MIN(1,MAX(0,(nr_MEndP1-$G2574+0.5)/$C$2560))-MIN(1,MAX(0,(nr_MStartP1-1-$G2574+0.5)/$C$2560))</f>
        <v/>
      </c>
      <c r="S2574" s="208">
        <f>IF($L$2560,$N2574*IF($O$2560=1,$O2574/$F$2560,1),"")</f>
        <v/>
      </c>
      <c r="T2574" s="208">
        <f>IF(NOT($L$2560),"",IF($G2574&lt;nr_MStartP,$S2574,$T2562*(1+IF($G2574&lt;nr_MStartP1,$M$2560,$N$2560))))</f>
        <v/>
      </c>
      <c r="U2574" s="208">
        <f>IF($L$2560,$T2574,$N2574)</f>
        <v/>
      </c>
    </row>
    <row r="2575">
      <c r="A2575" s="145" t="n">
        <v>13</v>
      </c>
      <c r="B2575" s="204">
        <f>EDATE($B2574,1)</f>
        <v/>
      </c>
      <c r="C2575" s="205">
        <f>EOMONTH($B2575,0)</f>
        <v/>
      </c>
      <c r="D2575" s="201">
        <f>$C2575-$B2575+1</f>
        <v/>
      </c>
      <c r="E2575" s="201">
        <f>MONTH($B2575)</f>
        <v/>
      </c>
      <c r="F2575" s="235">
        <f>($B2575+$C2575+1)/2</f>
        <v/>
      </c>
      <c r="G2575" s="201">
        <f>YEAR($B2575)*12+MONTH($B2575)-1</f>
        <v/>
      </c>
      <c r="H2575" s="207">
        <f>IF(OR(nr_SeasonOn="OFF",$D$2560=0,$E$2560=0),1,12*INDEX(se_block,$D$2560,$E2575)/$E$2560)</f>
        <v/>
      </c>
      <c r="I2575" s="208">
        <f>EXP(SUMPRODUCT((rl_eff&lt;$B2575)*(rl_key=$A$2560)*rl_ln1p))</f>
        <v/>
      </c>
      <c r="J2575" s="208">
        <f>EXP(SUMPRODUCT((rl_eff&lt;=$C2575)*(rl_key=$A$2560)*rl_ln1p))</f>
        <v/>
      </c>
      <c r="K2575" s="201">
        <f>COUNTIFS(rl_key,$A$2560,rl_eff,"&gt;="&amp;$B2575,rl_eff,"&lt;="&amp;$C2575)</f>
        <v/>
      </c>
      <c r="L2575" s="201">
        <f>SUMIFS(rl_daysafter,rl_key,$A$2560,rl_effmonth,$B2575,rl_first,1)</f>
        <v/>
      </c>
      <c r="M2575" s="209">
        <f>IF($K2575=0,0,MIN(1,$L2575/$D2575))</f>
        <v/>
      </c>
      <c r="N2575" s="208">
        <f>IF($K2575=0,$J2575,(1-$M2575)*$I2575+$M2575*$J2575)</f>
        <v/>
      </c>
      <c r="O2575" s="209">
        <f>IF($F2575&lt;$B$2561,$E$2561+$I$2561*($F2575-$A$2561),IF($F2575&lt;$C$2561,$F$2561+$J$2561*($F2575-$B$2561),$G$2561+$K$2561*($F2575-$C$2561)))</f>
        <v/>
      </c>
      <c r="P2575" s="208">
        <f>MIN(1,MAX(0,(nr_MEndPm1-$G2575+0.5)/$C$2560))-MIN(1,MAX(0,(nr_MStartPm1-1-$G2575+0.5)/$C$2560))</f>
        <v/>
      </c>
      <c r="Q2575" s="208">
        <f>MIN(1,MAX(0,(nr_MEndP-$G2575+0.5)/$C$2560))-MIN(1,MAX(0,(nr_MStartP-1-$G2575+0.5)/$C$2560))</f>
        <v/>
      </c>
      <c r="R2575" s="208">
        <f>MIN(1,MAX(0,(nr_MEndP1-$G2575+0.5)/$C$2560))-MIN(1,MAX(0,(nr_MStartP1-1-$G2575+0.5)/$C$2560))</f>
        <v/>
      </c>
      <c r="S2575" s="208">
        <f>IF($L$2560,$N2575*IF($O$2560=1,$O2575/$F$2560,1),"")</f>
        <v/>
      </c>
      <c r="T2575" s="208">
        <f>IF(NOT($L$2560),"",IF($G2575&lt;nr_MStartP,$S2575,$T2563*(1+IF($G2575&lt;nr_MStartP1,$M$2560,$N$2560))))</f>
        <v/>
      </c>
      <c r="U2575" s="208">
        <f>IF($L$2560,$T2575,$N2575)</f>
        <v/>
      </c>
    </row>
    <row r="2576">
      <c r="A2576" s="145" t="n">
        <v>14</v>
      </c>
      <c r="B2576" s="204">
        <f>EDATE($B2575,1)</f>
        <v/>
      </c>
      <c r="C2576" s="205">
        <f>EOMONTH($B2576,0)</f>
        <v/>
      </c>
      <c r="D2576" s="201">
        <f>$C2576-$B2576+1</f>
        <v/>
      </c>
      <c r="E2576" s="201">
        <f>MONTH($B2576)</f>
        <v/>
      </c>
      <c r="F2576" s="235">
        <f>($B2576+$C2576+1)/2</f>
        <v/>
      </c>
      <c r="G2576" s="201">
        <f>YEAR($B2576)*12+MONTH($B2576)-1</f>
        <v/>
      </c>
      <c r="H2576" s="207">
        <f>IF(OR(nr_SeasonOn="OFF",$D$2560=0,$E$2560=0),1,12*INDEX(se_block,$D$2560,$E2576)/$E$2560)</f>
        <v/>
      </c>
      <c r="I2576" s="208">
        <f>EXP(SUMPRODUCT((rl_eff&lt;$B2576)*(rl_key=$A$2560)*rl_ln1p))</f>
        <v/>
      </c>
      <c r="J2576" s="208">
        <f>EXP(SUMPRODUCT((rl_eff&lt;=$C2576)*(rl_key=$A$2560)*rl_ln1p))</f>
        <v/>
      </c>
      <c r="K2576" s="201">
        <f>COUNTIFS(rl_key,$A$2560,rl_eff,"&gt;="&amp;$B2576,rl_eff,"&lt;="&amp;$C2576)</f>
        <v/>
      </c>
      <c r="L2576" s="201">
        <f>SUMIFS(rl_daysafter,rl_key,$A$2560,rl_effmonth,$B2576,rl_first,1)</f>
        <v/>
      </c>
      <c r="M2576" s="209">
        <f>IF($K2576=0,0,MIN(1,$L2576/$D2576))</f>
        <v/>
      </c>
      <c r="N2576" s="208">
        <f>IF($K2576=0,$J2576,(1-$M2576)*$I2576+$M2576*$J2576)</f>
        <v/>
      </c>
      <c r="O2576" s="209">
        <f>IF($F2576&lt;$B$2561,$E$2561+$I$2561*($F2576-$A$2561),IF($F2576&lt;$C$2561,$F$2561+$J$2561*($F2576-$B$2561),$G$2561+$K$2561*($F2576-$C$2561)))</f>
        <v/>
      </c>
      <c r="P2576" s="208">
        <f>MIN(1,MAX(0,(nr_MEndPm1-$G2576+0.5)/$C$2560))-MIN(1,MAX(0,(nr_MStartPm1-1-$G2576+0.5)/$C$2560))</f>
        <v/>
      </c>
      <c r="Q2576" s="208">
        <f>MIN(1,MAX(0,(nr_MEndP-$G2576+0.5)/$C$2560))-MIN(1,MAX(0,(nr_MStartP-1-$G2576+0.5)/$C$2560))</f>
        <v/>
      </c>
      <c r="R2576" s="208">
        <f>MIN(1,MAX(0,(nr_MEndP1-$G2576+0.5)/$C$2560))-MIN(1,MAX(0,(nr_MStartP1-1-$G2576+0.5)/$C$2560))</f>
        <v/>
      </c>
      <c r="S2576" s="208">
        <f>IF($L$2560,$N2576*IF($O$2560=1,$O2576/$F$2560,1),"")</f>
        <v/>
      </c>
      <c r="T2576" s="208">
        <f>IF(NOT($L$2560),"",IF($G2576&lt;nr_MStartP,$S2576,$T2564*(1+IF($G2576&lt;nr_MStartP1,$M$2560,$N$2560))))</f>
        <v/>
      </c>
      <c r="U2576" s="208">
        <f>IF($L$2560,$T2576,$N2576)</f>
        <v/>
      </c>
    </row>
    <row r="2577">
      <c r="A2577" s="145" t="n">
        <v>15</v>
      </c>
      <c r="B2577" s="204">
        <f>EDATE($B2576,1)</f>
        <v/>
      </c>
      <c r="C2577" s="205">
        <f>EOMONTH($B2577,0)</f>
        <v/>
      </c>
      <c r="D2577" s="201">
        <f>$C2577-$B2577+1</f>
        <v/>
      </c>
      <c r="E2577" s="201">
        <f>MONTH($B2577)</f>
        <v/>
      </c>
      <c r="F2577" s="235">
        <f>($B2577+$C2577+1)/2</f>
        <v/>
      </c>
      <c r="G2577" s="201">
        <f>YEAR($B2577)*12+MONTH($B2577)-1</f>
        <v/>
      </c>
      <c r="H2577" s="207">
        <f>IF(OR(nr_SeasonOn="OFF",$D$2560=0,$E$2560=0),1,12*INDEX(se_block,$D$2560,$E2577)/$E$2560)</f>
        <v/>
      </c>
      <c r="I2577" s="208">
        <f>EXP(SUMPRODUCT((rl_eff&lt;$B2577)*(rl_key=$A$2560)*rl_ln1p))</f>
        <v/>
      </c>
      <c r="J2577" s="208">
        <f>EXP(SUMPRODUCT((rl_eff&lt;=$C2577)*(rl_key=$A$2560)*rl_ln1p))</f>
        <v/>
      </c>
      <c r="K2577" s="201">
        <f>COUNTIFS(rl_key,$A$2560,rl_eff,"&gt;="&amp;$B2577,rl_eff,"&lt;="&amp;$C2577)</f>
        <v/>
      </c>
      <c r="L2577" s="201">
        <f>SUMIFS(rl_daysafter,rl_key,$A$2560,rl_effmonth,$B2577,rl_first,1)</f>
        <v/>
      </c>
      <c r="M2577" s="209">
        <f>IF($K2577=0,0,MIN(1,$L2577/$D2577))</f>
        <v/>
      </c>
      <c r="N2577" s="208">
        <f>IF($K2577=0,$J2577,(1-$M2577)*$I2577+$M2577*$J2577)</f>
        <v/>
      </c>
      <c r="O2577" s="209">
        <f>IF($F2577&lt;$B$2561,$E$2561+$I$2561*($F2577-$A$2561),IF($F2577&lt;$C$2561,$F$2561+$J$2561*($F2577-$B$2561),$G$2561+$K$2561*($F2577-$C$2561)))</f>
        <v/>
      </c>
      <c r="P2577" s="208">
        <f>MIN(1,MAX(0,(nr_MEndPm1-$G2577+0.5)/$C$2560))-MIN(1,MAX(0,(nr_MStartPm1-1-$G2577+0.5)/$C$2560))</f>
        <v/>
      </c>
      <c r="Q2577" s="208">
        <f>MIN(1,MAX(0,(nr_MEndP-$G2577+0.5)/$C$2560))-MIN(1,MAX(0,(nr_MStartP-1-$G2577+0.5)/$C$2560))</f>
        <v/>
      </c>
      <c r="R2577" s="208">
        <f>MIN(1,MAX(0,(nr_MEndP1-$G2577+0.5)/$C$2560))-MIN(1,MAX(0,(nr_MStartP1-1-$G2577+0.5)/$C$2560))</f>
        <v/>
      </c>
      <c r="S2577" s="208">
        <f>IF($L$2560,$N2577*IF($O$2560=1,$O2577/$F$2560,1),"")</f>
        <v/>
      </c>
      <c r="T2577" s="208">
        <f>IF(NOT($L$2560),"",IF($G2577&lt;nr_MStartP,$S2577,$T2565*(1+IF($G2577&lt;nr_MStartP1,$M$2560,$N$2560))))</f>
        <v/>
      </c>
      <c r="U2577" s="208">
        <f>IF($L$2560,$T2577,$N2577)</f>
        <v/>
      </c>
    </row>
    <row r="2578">
      <c r="A2578" s="145" t="n">
        <v>16</v>
      </c>
      <c r="B2578" s="204">
        <f>EDATE($B2577,1)</f>
        <v/>
      </c>
      <c r="C2578" s="205">
        <f>EOMONTH($B2578,0)</f>
        <v/>
      </c>
      <c r="D2578" s="201">
        <f>$C2578-$B2578+1</f>
        <v/>
      </c>
      <c r="E2578" s="201">
        <f>MONTH($B2578)</f>
        <v/>
      </c>
      <c r="F2578" s="235">
        <f>($B2578+$C2578+1)/2</f>
        <v/>
      </c>
      <c r="G2578" s="201">
        <f>YEAR($B2578)*12+MONTH($B2578)-1</f>
        <v/>
      </c>
      <c r="H2578" s="207">
        <f>IF(OR(nr_SeasonOn="OFF",$D$2560=0,$E$2560=0),1,12*INDEX(se_block,$D$2560,$E2578)/$E$2560)</f>
        <v/>
      </c>
      <c r="I2578" s="208">
        <f>EXP(SUMPRODUCT((rl_eff&lt;$B2578)*(rl_key=$A$2560)*rl_ln1p))</f>
        <v/>
      </c>
      <c r="J2578" s="208">
        <f>EXP(SUMPRODUCT((rl_eff&lt;=$C2578)*(rl_key=$A$2560)*rl_ln1p))</f>
        <v/>
      </c>
      <c r="K2578" s="201">
        <f>COUNTIFS(rl_key,$A$2560,rl_eff,"&gt;="&amp;$B2578,rl_eff,"&lt;="&amp;$C2578)</f>
        <v/>
      </c>
      <c r="L2578" s="201">
        <f>SUMIFS(rl_daysafter,rl_key,$A$2560,rl_effmonth,$B2578,rl_first,1)</f>
        <v/>
      </c>
      <c r="M2578" s="209">
        <f>IF($K2578=0,0,MIN(1,$L2578/$D2578))</f>
        <v/>
      </c>
      <c r="N2578" s="208">
        <f>IF($K2578=0,$J2578,(1-$M2578)*$I2578+$M2578*$J2578)</f>
        <v/>
      </c>
      <c r="O2578" s="209">
        <f>IF($F2578&lt;$B$2561,$E$2561+$I$2561*($F2578-$A$2561),IF($F2578&lt;$C$2561,$F$2561+$J$2561*($F2578-$B$2561),$G$2561+$K$2561*($F2578-$C$2561)))</f>
        <v/>
      </c>
      <c r="P2578" s="208">
        <f>MIN(1,MAX(0,(nr_MEndPm1-$G2578+0.5)/$C$2560))-MIN(1,MAX(0,(nr_MStartPm1-1-$G2578+0.5)/$C$2560))</f>
        <v/>
      </c>
      <c r="Q2578" s="208">
        <f>MIN(1,MAX(0,(nr_MEndP-$G2578+0.5)/$C$2560))-MIN(1,MAX(0,(nr_MStartP-1-$G2578+0.5)/$C$2560))</f>
        <v/>
      </c>
      <c r="R2578" s="208">
        <f>MIN(1,MAX(0,(nr_MEndP1-$G2578+0.5)/$C$2560))-MIN(1,MAX(0,(nr_MStartP1-1-$G2578+0.5)/$C$2560))</f>
        <v/>
      </c>
      <c r="S2578" s="208">
        <f>IF($L$2560,$N2578*IF($O$2560=1,$O2578/$F$2560,1),"")</f>
        <v/>
      </c>
      <c r="T2578" s="208">
        <f>IF(NOT($L$2560),"",IF($G2578&lt;nr_MStartP,$S2578,$T2566*(1+IF($G2578&lt;nr_MStartP1,$M$2560,$N$2560))))</f>
        <v/>
      </c>
      <c r="U2578" s="208">
        <f>IF($L$2560,$T2578,$N2578)</f>
        <v/>
      </c>
    </row>
    <row r="2579">
      <c r="A2579" s="145" t="n">
        <v>17</v>
      </c>
      <c r="B2579" s="204">
        <f>EDATE($B2578,1)</f>
        <v/>
      </c>
      <c r="C2579" s="205">
        <f>EOMONTH($B2579,0)</f>
        <v/>
      </c>
      <c r="D2579" s="201">
        <f>$C2579-$B2579+1</f>
        <v/>
      </c>
      <c r="E2579" s="201">
        <f>MONTH($B2579)</f>
        <v/>
      </c>
      <c r="F2579" s="235">
        <f>($B2579+$C2579+1)/2</f>
        <v/>
      </c>
      <c r="G2579" s="201">
        <f>YEAR($B2579)*12+MONTH($B2579)-1</f>
        <v/>
      </c>
      <c r="H2579" s="207">
        <f>IF(OR(nr_SeasonOn="OFF",$D$2560=0,$E$2560=0),1,12*INDEX(se_block,$D$2560,$E2579)/$E$2560)</f>
        <v/>
      </c>
      <c r="I2579" s="208">
        <f>EXP(SUMPRODUCT((rl_eff&lt;$B2579)*(rl_key=$A$2560)*rl_ln1p))</f>
        <v/>
      </c>
      <c r="J2579" s="208">
        <f>EXP(SUMPRODUCT((rl_eff&lt;=$C2579)*(rl_key=$A$2560)*rl_ln1p))</f>
        <v/>
      </c>
      <c r="K2579" s="201">
        <f>COUNTIFS(rl_key,$A$2560,rl_eff,"&gt;="&amp;$B2579,rl_eff,"&lt;="&amp;$C2579)</f>
        <v/>
      </c>
      <c r="L2579" s="201">
        <f>SUMIFS(rl_daysafter,rl_key,$A$2560,rl_effmonth,$B2579,rl_first,1)</f>
        <v/>
      </c>
      <c r="M2579" s="209">
        <f>IF($K2579=0,0,MIN(1,$L2579/$D2579))</f>
        <v/>
      </c>
      <c r="N2579" s="208">
        <f>IF($K2579=0,$J2579,(1-$M2579)*$I2579+$M2579*$J2579)</f>
        <v/>
      </c>
      <c r="O2579" s="209">
        <f>IF($F2579&lt;$B$2561,$E$2561+$I$2561*($F2579-$A$2561),IF($F2579&lt;$C$2561,$F$2561+$J$2561*($F2579-$B$2561),$G$2561+$K$2561*($F2579-$C$2561)))</f>
        <v/>
      </c>
      <c r="P2579" s="208">
        <f>MIN(1,MAX(0,(nr_MEndPm1-$G2579+0.5)/$C$2560))-MIN(1,MAX(0,(nr_MStartPm1-1-$G2579+0.5)/$C$2560))</f>
        <v/>
      </c>
      <c r="Q2579" s="208">
        <f>MIN(1,MAX(0,(nr_MEndP-$G2579+0.5)/$C$2560))-MIN(1,MAX(0,(nr_MStartP-1-$G2579+0.5)/$C$2560))</f>
        <v/>
      </c>
      <c r="R2579" s="208">
        <f>MIN(1,MAX(0,(nr_MEndP1-$G2579+0.5)/$C$2560))-MIN(1,MAX(0,(nr_MStartP1-1-$G2579+0.5)/$C$2560))</f>
        <v/>
      </c>
      <c r="S2579" s="208">
        <f>IF($L$2560,$N2579*IF($O$2560=1,$O2579/$F$2560,1),"")</f>
        <v/>
      </c>
      <c r="T2579" s="208">
        <f>IF(NOT($L$2560),"",IF($G2579&lt;nr_MStartP,$S2579,$T2567*(1+IF($G2579&lt;nr_MStartP1,$M$2560,$N$2560))))</f>
        <v/>
      </c>
      <c r="U2579" s="208">
        <f>IF($L$2560,$T2579,$N2579)</f>
        <v/>
      </c>
    </row>
    <row r="2580">
      <c r="A2580" s="145" t="n">
        <v>18</v>
      </c>
      <c r="B2580" s="204">
        <f>EDATE($B2579,1)</f>
        <v/>
      </c>
      <c r="C2580" s="205">
        <f>EOMONTH($B2580,0)</f>
        <v/>
      </c>
      <c r="D2580" s="201">
        <f>$C2580-$B2580+1</f>
        <v/>
      </c>
      <c r="E2580" s="201">
        <f>MONTH($B2580)</f>
        <v/>
      </c>
      <c r="F2580" s="235">
        <f>($B2580+$C2580+1)/2</f>
        <v/>
      </c>
      <c r="G2580" s="201">
        <f>YEAR($B2580)*12+MONTH($B2580)-1</f>
        <v/>
      </c>
      <c r="H2580" s="207">
        <f>IF(OR(nr_SeasonOn="OFF",$D$2560=0,$E$2560=0),1,12*INDEX(se_block,$D$2560,$E2580)/$E$2560)</f>
        <v/>
      </c>
      <c r="I2580" s="208">
        <f>EXP(SUMPRODUCT((rl_eff&lt;$B2580)*(rl_key=$A$2560)*rl_ln1p))</f>
        <v/>
      </c>
      <c r="J2580" s="208">
        <f>EXP(SUMPRODUCT((rl_eff&lt;=$C2580)*(rl_key=$A$2560)*rl_ln1p))</f>
        <v/>
      </c>
      <c r="K2580" s="201">
        <f>COUNTIFS(rl_key,$A$2560,rl_eff,"&gt;="&amp;$B2580,rl_eff,"&lt;="&amp;$C2580)</f>
        <v/>
      </c>
      <c r="L2580" s="201">
        <f>SUMIFS(rl_daysafter,rl_key,$A$2560,rl_effmonth,$B2580,rl_first,1)</f>
        <v/>
      </c>
      <c r="M2580" s="209">
        <f>IF($K2580=0,0,MIN(1,$L2580/$D2580))</f>
        <v/>
      </c>
      <c r="N2580" s="208">
        <f>IF($K2580=0,$J2580,(1-$M2580)*$I2580+$M2580*$J2580)</f>
        <v/>
      </c>
      <c r="O2580" s="209">
        <f>IF($F2580&lt;$B$2561,$E$2561+$I$2561*($F2580-$A$2561),IF($F2580&lt;$C$2561,$F$2561+$J$2561*($F2580-$B$2561),$G$2561+$K$2561*($F2580-$C$2561)))</f>
        <v/>
      </c>
      <c r="P2580" s="208">
        <f>MIN(1,MAX(0,(nr_MEndPm1-$G2580+0.5)/$C$2560))-MIN(1,MAX(0,(nr_MStartPm1-1-$G2580+0.5)/$C$2560))</f>
        <v/>
      </c>
      <c r="Q2580" s="208">
        <f>MIN(1,MAX(0,(nr_MEndP-$G2580+0.5)/$C$2560))-MIN(1,MAX(0,(nr_MStartP-1-$G2580+0.5)/$C$2560))</f>
        <v/>
      </c>
      <c r="R2580" s="208">
        <f>MIN(1,MAX(0,(nr_MEndP1-$G2580+0.5)/$C$2560))-MIN(1,MAX(0,(nr_MStartP1-1-$G2580+0.5)/$C$2560))</f>
        <v/>
      </c>
      <c r="S2580" s="208">
        <f>IF($L$2560,$N2580*IF($O$2560=1,$O2580/$F$2560,1),"")</f>
        <v/>
      </c>
      <c r="T2580" s="208">
        <f>IF(NOT($L$2560),"",IF($G2580&lt;nr_MStartP,$S2580,$T2568*(1+IF($G2580&lt;nr_MStartP1,$M$2560,$N$2560))))</f>
        <v/>
      </c>
      <c r="U2580" s="208">
        <f>IF($L$2560,$T2580,$N2580)</f>
        <v/>
      </c>
    </row>
    <row r="2581">
      <c r="A2581" s="145" t="n">
        <v>19</v>
      </c>
      <c r="B2581" s="204">
        <f>EDATE($B2580,1)</f>
        <v/>
      </c>
      <c r="C2581" s="205">
        <f>EOMONTH($B2581,0)</f>
        <v/>
      </c>
      <c r="D2581" s="201">
        <f>$C2581-$B2581+1</f>
        <v/>
      </c>
      <c r="E2581" s="201">
        <f>MONTH($B2581)</f>
        <v/>
      </c>
      <c r="F2581" s="235">
        <f>($B2581+$C2581+1)/2</f>
        <v/>
      </c>
      <c r="G2581" s="201">
        <f>YEAR($B2581)*12+MONTH($B2581)-1</f>
        <v/>
      </c>
      <c r="H2581" s="207">
        <f>IF(OR(nr_SeasonOn="OFF",$D$2560=0,$E$2560=0),1,12*INDEX(se_block,$D$2560,$E2581)/$E$2560)</f>
        <v/>
      </c>
      <c r="I2581" s="208">
        <f>EXP(SUMPRODUCT((rl_eff&lt;$B2581)*(rl_key=$A$2560)*rl_ln1p))</f>
        <v/>
      </c>
      <c r="J2581" s="208">
        <f>EXP(SUMPRODUCT((rl_eff&lt;=$C2581)*(rl_key=$A$2560)*rl_ln1p))</f>
        <v/>
      </c>
      <c r="K2581" s="201">
        <f>COUNTIFS(rl_key,$A$2560,rl_eff,"&gt;="&amp;$B2581,rl_eff,"&lt;="&amp;$C2581)</f>
        <v/>
      </c>
      <c r="L2581" s="201">
        <f>SUMIFS(rl_daysafter,rl_key,$A$2560,rl_effmonth,$B2581,rl_first,1)</f>
        <v/>
      </c>
      <c r="M2581" s="209">
        <f>IF($K2581=0,0,MIN(1,$L2581/$D2581))</f>
        <v/>
      </c>
      <c r="N2581" s="208">
        <f>IF($K2581=0,$J2581,(1-$M2581)*$I2581+$M2581*$J2581)</f>
        <v/>
      </c>
      <c r="O2581" s="209">
        <f>IF($F2581&lt;$B$2561,$E$2561+$I$2561*($F2581-$A$2561),IF($F2581&lt;$C$2561,$F$2561+$J$2561*($F2581-$B$2561),$G$2561+$K$2561*($F2581-$C$2561)))</f>
        <v/>
      </c>
      <c r="P2581" s="208">
        <f>MIN(1,MAX(0,(nr_MEndPm1-$G2581+0.5)/$C$2560))-MIN(1,MAX(0,(nr_MStartPm1-1-$G2581+0.5)/$C$2560))</f>
        <v/>
      </c>
      <c r="Q2581" s="208">
        <f>MIN(1,MAX(0,(nr_MEndP-$G2581+0.5)/$C$2560))-MIN(1,MAX(0,(nr_MStartP-1-$G2581+0.5)/$C$2560))</f>
        <v/>
      </c>
      <c r="R2581" s="208">
        <f>MIN(1,MAX(0,(nr_MEndP1-$G2581+0.5)/$C$2560))-MIN(1,MAX(0,(nr_MStartP1-1-$G2581+0.5)/$C$2560))</f>
        <v/>
      </c>
      <c r="S2581" s="208">
        <f>IF($L$2560,$N2581*IF($O$2560=1,$O2581/$F$2560,1),"")</f>
        <v/>
      </c>
      <c r="T2581" s="208">
        <f>IF(NOT($L$2560),"",IF($G2581&lt;nr_MStartP,$S2581,$T2569*(1+IF($G2581&lt;nr_MStartP1,$M$2560,$N$2560))))</f>
        <v/>
      </c>
      <c r="U2581" s="208">
        <f>IF($L$2560,$T2581,$N2581)</f>
        <v/>
      </c>
    </row>
    <row r="2582">
      <c r="A2582" s="145" t="n">
        <v>20</v>
      </c>
      <c r="B2582" s="204">
        <f>EDATE($B2581,1)</f>
        <v/>
      </c>
      <c r="C2582" s="205">
        <f>EOMONTH($B2582,0)</f>
        <v/>
      </c>
      <c r="D2582" s="201">
        <f>$C2582-$B2582+1</f>
        <v/>
      </c>
      <c r="E2582" s="201">
        <f>MONTH($B2582)</f>
        <v/>
      </c>
      <c r="F2582" s="235">
        <f>($B2582+$C2582+1)/2</f>
        <v/>
      </c>
      <c r="G2582" s="201">
        <f>YEAR($B2582)*12+MONTH($B2582)-1</f>
        <v/>
      </c>
      <c r="H2582" s="207">
        <f>IF(OR(nr_SeasonOn="OFF",$D$2560=0,$E$2560=0),1,12*INDEX(se_block,$D$2560,$E2582)/$E$2560)</f>
        <v/>
      </c>
      <c r="I2582" s="208">
        <f>EXP(SUMPRODUCT((rl_eff&lt;$B2582)*(rl_key=$A$2560)*rl_ln1p))</f>
        <v/>
      </c>
      <c r="J2582" s="208">
        <f>EXP(SUMPRODUCT((rl_eff&lt;=$C2582)*(rl_key=$A$2560)*rl_ln1p))</f>
        <v/>
      </c>
      <c r="K2582" s="201">
        <f>COUNTIFS(rl_key,$A$2560,rl_eff,"&gt;="&amp;$B2582,rl_eff,"&lt;="&amp;$C2582)</f>
        <v/>
      </c>
      <c r="L2582" s="201">
        <f>SUMIFS(rl_daysafter,rl_key,$A$2560,rl_effmonth,$B2582,rl_first,1)</f>
        <v/>
      </c>
      <c r="M2582" s="209">
        <f>IF($K2582=0,0,MIN(1,$L2582/$D2582))</f>
        <v/>
      </c>
      <c r="N2582" s="208">
        <f>IF($K2582=0,$J2582,(1-$M2582)*$I2582+$M2582*$J2582)</f>
        <v/>
      </c>
      <c r="O2582" s="209">
        <f>IF($F2582&lt;$B$2561,$E$2561+$I$2561*($F2582-$A$2561),IF($F2582&lt;$C$2561,$F$2561+$J$2561*($F2582-$B$2561),$G$2561+$K$2561*($F2582-$C$2561)))</f>
        <v/>
      </c>
      <c r="P2582" s="208">
        <f>MIN(1,MAX(0,(nr_MEndPm1-$G2582+0.5)/$C$2560))-MIN(1,MAX(0,(nr_MStartPm1-1-$G2582+0.5)/$C$2560))</f>
        <v/>
      </c>
      <c r="Q2582" s="208">
        <f>MIN(1,MAX(0,(nr_MEndP-$G2582+0.5)/$C$2560))-MIN(1,MAX(0,(nr_MStartP-1-$G2582+0.5)/$C$2560))</f>
        <v/>
      </c>
      <c r="R2582" s="208">
        <f>MIN(1,MAX(0,(nr_MEndP1-$G2582+0.5)/$C$2560))-MIN(1,MAX(0,(nr_MStartP1-1-$G2582+0.5)/$C$2560))</f>
        <v/>
      </c>
      <c r="S2582" s="208">
        <f>IF($L$2560,$N2582*IF($O$2560=1,$O2582/$F$2560,1),"")</f>
        <v/>
      </c>
      <c r="T2582" s="208">
        <f>IF(NOT($L$2560),"",IF($G2582&lt;nr_MStartP,$S2582,$T2570*(1+IF($G2582&lt;nr_MStartP1,$M$2560,$N$2560))))</f>
        <v/>
      </c>
      <c r="U2582" s="208">
        <f>IF($L$2560,$T2582,$N2582)</f>
        <v/>
      </c>
    </row>
    <row r="2583">
      <c r="A2583" s="145" t="n">
        <v>21</v>
      </c>
      <c r="B2583" s="204">
        <f>EDATE($B2582,1)</f>
        <v/>
      </c>
      <c r="C2583" s="205">
        <f>EOMONTH($B2583,0)</f>
        <v/>
      </c>
      <c r="D2583" s="201">
        <f>$C2583-$B2583+1</f>
        <v/>
      </c>
      <c r="E2583" s="201">
        <f>MONTH($B2583)</f>
        <v/>
      </c>
      <c r="F2583" s="235">
        <f>($B2583+$C2583+1)/2</f>
        <v/>
      </c>
      <c r="G2583" s="201">
        <f>YEAR($B2583)*12+MONTH($B2583)-1</f>
        <v/>
      </c>
      <c r="H2583" s="207">
        <f>IF(OR(nr_SeasonOn="OFF",$D$2560=0,$E$2560=0),1,12*INDEX(se_block,$D$2560,$E2583)/$E$2560)</f>
        <v/>
      </c>
      <c r="I2583" s="208">
        <f>EXP(SUMPRODUCT((rl_eff&lt;$B2583)*(rl_key=$A$2560)*rl_ln1p))</f>
        <v/>
      </c>
      <c r="J2583" s="208">
        <f>EXP(SUMPRODUCT((rl_eff&lt;=$C2583)*(rl_key=$A$2560)*rl_ln1p))</f>
        <v/>
      </c>
      <c r="K2583" s="201">
        <f>COUNTIFS(rl_key,$A$2560,rl_eff,"&gt;="&amp;$B2583,rl_eff,"&lt;="&amp;$C2583)</f>
        <v/>
      </c>
      <c r="L2583" s="201">
        <f>SUMIFS(rl_daysafter,rl_key,$A$2560,rl_effmonth,$B2583,rl_first,1)</f>
        <v/>
      </c>
      <c r="M2583" s="209">
        <f>IF($K2583=0,0,MIN(1,$L2583/$D2583))</f>
        <v/>
      </c>
      <c r="N2583" s="208">
        <f>IF($K2583=0,$J2583,(1-$M2583)*$I2583+$M2583*$J2583)</f>
        <v/>
      </c>
      <c r="O2583" s="209">
        <f>IF($F2583&lt;$B$2561,$E$2561+$I$2561*($F2583-$A$2561),IF($F2583&lt;$C$2561,$F$2561+$J$2561*($F2583-$B$2561),$G$2561+$K$2561*($F2583-$C$2561)))</f>
        <v/>
      </c>
      <c r="P2583" s="208">
        <f>MIN(1,MAX(0,(nr_MEndPm1-$G2583+0.5)/$C$2560))-MIN(1,MAX(0,(nr_MStartPm1-1-$G2583+0.5)/$C$2560))</f>
        <v/>
      </c>
      <c r="Q2583" s="208">
        <f>MIN(1,MAX(0,(nr_MEndP-$G2583+0.5)/$C$2560))-MIN(1,MAX(0,(nr_MStartP-1-$G2583+0.5)/$C$2560))</f>
        <v/>
      </c>
      <c r="R2583" s="208">
        <f>MIN(1,MAX(0,(nr_MEndP1-$G2583+0.5)/$C$2560))-MIN(1,MAX(0,(nr_MStartP1-1-$G2583+0.5)/$C$2560))</f>
        <v/>
      </c>
      <c r="S2583" s="208">
        <f>IF($L$2560,$N2583*IF($O$2560=1,$O2583/$F$2560,1),"")</f>
        <v/>
      </c>
      <c r="T2583" s="208">
        <f>IF(NOT($L$2560),"",IF($G2583&lt;nr_MStartP,$S2583,$T2571*(1+IF($G2583&lt;nr_MStartP1,$M$2560,$N$2560))))</f>
        <v/>
      </c>
      <c r="U2583" s="208">
        <f>IF($L$2560,$T2583,$N2583)</f>
        <v/>
      </c>
    </row>
    <row r="2584">
      <c r="A2584" s="145" t="n">
        <v>22</v>
      </c>
      <c r="B2584" s="204">
        <f>EDATE($B2583,1)</f>
        <v/>
      </c>
      <c r="C2584" s="205">
        <f>EOMONTH($B2584,0)</f>
        <v/>
      </c>
      <c r="D2584" s="201">
        <f>$C2584-$B2584+1</f>
        <v/>
      </c>
      <c r="E2584" s="201">
        <f>MONTH($B2584)</f>
        <v/>
      </c>
      <c r="F2584" s="235">
        <f>($B2584+$C2584+1)/2</f>
        <v/>
      </c>
      <c r="G2584" s="201">
        <f>YEAR($B2584)*12+MONTH($B2584)-1</f>
        <v/>
      </c>
      <c r="H2584" s="207">
        <f>IF(OR(nr_SeasonOn="OFF",$D$2560=0,$E$2560=0),1,12*INDEX(se_block,$D$2560,$E2584)/$E$2560)</f>
        <v/>
      </c>
      <c r="I2584" s="208">
        <f>EXP(SUMPRODUCT((rl_eff&lt;$B2584)*(rl_key=$A$2560)*rl_ln1p))</f>
        <v/>
      </c>
      <c r="J2584" s="208">
        <f>EXP(SUMPRODUCT((rl_eff&lt;=$C2584)*(rl_key=$A$2560)*rl_ln1p))</f>
        <v/>
      </c>
      <c r="K2584" s="201">
        <f>COUNTIFS(rl_key,$A$2560,rl_eff,"&gt;="&amp;$B2584,rl_eff,"&lt;="&amp;$C2584)</f>
        <v/>
      </c>
      <c r="L2584" s="201">
        <f>SUMIFS(rl_daysafter,rl_key,$A$2560,rl_effmonth,$B2584,rl_first,1)</f>
        <v/>
      </c>
      <c r="M2584" s="209">
        <f>IF($K2584=0,0,MIN(1,$L2584/$D2584))</f>
        <v/>
      </c>
      <c r="N2584" s="208">
        <f>IF($K2584=0,$J2584,(1-$M2584)*$I2584+$M2584*$J2584)</f>
        <v/>
      </c>
      <c r="O2584" s="209">
        <f>IF($F2584&lt;$B$2561,$E$2561+$I$2561*($F2584-$A$2561),IF($F2584&lt;$C$2561,$F$2561+$J$2561*($F2584-$B$2561),$G$2561+$K$2561*($F2584-$C$2561)))</f>
        <v/>
      </c>
      <c r="P2584" s="208">
        <f>MIN(1,MAX(0,(nr_MEndPm1-$G2584+0.5)/$C$2560))-MIN(1,MAX(0,(nr_MStartPm1-1-$G2584+0.5)/$C$2560))</f>
        <v/>
      </c>
      <c r="Q2584" s="208">
        <f>MIN(1,MAX(0,(nr_MEndP-$G2584+0.5)/$C$2560))-MIN(1,MAX(0,(nr_MStartP-1-$G2584+0.5)/$C$2560))</f>
        <v/>
      </c>
      <c r="R2584" s="208">
        <f>MIN(1,MAX(0,(nr_MEndP1-$G2584+0.5)/$C$2560))-MIN(1,MAX(0,(nr_MStartP1-1-$G2584+0.5)/$C$2560))</f>
        <v/>
      </c>
      <c r="S2584" s="208">
        <f>IF($L$2560,$N2584*IF($O$2560=1,$O2584/$F$2560,1),"")</f>
        <v/>
      </c>
      <c r="T2584" s="208">
        <f>IF(NOT($L$2560),"",IF($G2584&lt;nr_MStartP,$S2584,$T2572*(1+IF($G2584&lt;nr_MStartP1,$M$2560,$N$2560))))</f>
        <v/>
      </c>
      <c r="U2584" s="208">
        <f>IF($L$2560,$T2584,$N2584)</f>
        <v/>
      </c>
    </row>
    <row r="2585">
      <c r="A2585" s="145" t="n">
        <v>23</v>
      </c>
      <c r="B2585" s="204">
        <f>EDATE($B2584,1)</f>
        <v/>
      </c>
      <c r="C2585" s="205">
        <f>EOMONTH($B2585,0)</f>
        <v/>
      </c>
      <c r="D2585" s="201">
        <f>$C2585-$B2585+1</f>
        <v/>
      </c>
      <c r="E2585" s="201">
        <f>MONTH($B2585)</f>
        <v/>
      </c>
      <c r="F2585" s="235">
        <f>($B2585+$C2585+1)/2</f>
        <v/>
      </c>
      <c r="G2585" s="201">
        <f>YEAR($B2585)*12+MONTH($B2585)-1</f>
        <v/>
      </c>
      <c r="H2585" s="207">
        <f>IF(OR(nr_SeasonOn="OFF",$D$2560=0,$E$2560=0),1,12*INDEX(se_block,$D$2560,$E2585)/$E$2560)</f>
        <v/>
      </c>
      <c r="I2585" s="208">
        <f>EXP(SUMPRODUCT((rl_eff&lt;$B2585)*(rl_key=$A$2560)*rl_ln1p))</f>
        <v/>
      </c>
      <c r="J2585" s="208">
        <f>EXP(SUMPRODUCT((rl_eff&lt;=$C2585)*(rl_key=$A$2560)*rl_ln1p))</f>
        <v/>
      </c>
      <c r="K2585" s="201">
        <f>COUNTIFS(rl_key,$A$2560,rl_eff,"&gt;="&amp;$B2585,rl_eff,"&lt;="&amp;$C2585)</f>
        <v/>
      </c>
      <c r="L2585" s="201">
        <f>SUMIFS(rl_daysafter,rl_key,$A$2560,rl_effmonth,$B2585,rl_first,1)</f>
        <v/>
      </c>
      <c r="M2585" s="209">
        <f>IF($K2585=0,0,MIN(1,$L2585/$D2585))</f>
        <v/>
      </c>
      <c r="N2585" s="208">
        <f>IF($K2585=0,$J2585,(1-$M2585)*$I2585+$M2585*$J2585)</f>
        <v/>
      </c>
      <c r="O2585" s="209">
        <f>IF($F2585&lt;$B$2561,$E$2561+$I$2561*($F2585-$A$2561),IF($F2585&lt;$C$2561,$F$2561+$J$2561*($F2585-$B$2561),$G$2561+$K$2561*($F2585-$C$2561)))</f>
        <v/>
      </c>
      <c r="P2585" s="208">
        <f>MIN(1,MAX(0,(nr_MEndPm1-$G2585+0.5)/$C$2560))-MIN(1,MAX(0,(nr_MStartPm1-1-$G2585+0.5)/$C$2560))</f>
        <v/>
      </c>
      <c r="Q2585" s="208">
        <f>MIN(1,MAX(0,(nr_MEndP-$G2585+0.5)/$C$2560))-MIN(1,MAX(0,(nr_MStartP-1-$G2585+0.5)/$C$2560))</f>
        <v/>
      </c>
      <c r="R2585" s="208">
        <f>MIN(1,MAX(0,(nr_MEndP1-$G2585+0.5)/$C$2560))-MIN(1,MAX(0,(nr_MStartP1-1-$G2585+0.5)/$C$2560))</f>
        <v/>
      </c>
      <c r="S2585" s="208">
        <f>IF($L$2560,$N2585*IF($O$2560=1,$O2585/$F$2560,1),"")</f>
        <v/>
      </c>
      <c r="T2585" s="208">
        <f>IF(NOT($L$2560),"",IF($G2585&lt;nr_MStartP,$S2585,$T2573*(1+IF($G2585&lt;nr_MStartP1,$M$2560,$N$2560))))</f>
        <v/>
      </c>
      <c r="U2585" s="208">
        <f>IF($L$2560,$T2585,$N2585)</f>
        <v/>
      </c>
    </row>
    <row r="2586">
      <c r="A2586" s="145" t="n">
        <v>24</v>
      </c>
      <c r="B2586" s="204">
        <f>EDATE($B2585,1)</f>
        <v/>
      </c>
      <c r="C2586" s="205">
        <f>EOMONTH($B2586,0)</f>
        <v/>
      </c>
      <c r="D2586" s="201">
        <f>$C2586-$B2586+1</f>
        <v/>
      </c>
      <c r="E2586" s="201">
        <f>MONTH($B2586)</f>
        <v/>
      </c>
      <c r="F2586" s="235">
        <f>($B2586+$C2586+1)/2</f>
        <v/>
      </c>
      <c r="G2586" s="201">
        <f>YEAR($B2586)*12+MONTH($B2586)-1</f>
        <v/>
      </c>
      <c r="H2586" s="207">
        <f>IF(OR(nr_SeasonOn="OFF",$D$2560=0,$E$2560=0),1,12*INDEX(se_block,$D$2560,$E2586)/$E$2560)</f>
        <v/>
      </c>
      <c r="I2586" s="208">
        <f>EXP(SUMPRODUCT((rl_eff&lt;$B2586)*(rl_key=$A$2560)*rl_ln1p))</f>
        <v/>
      </c>
      <c r="J2586" s="208">
        <f>EXP(SUMPRODUCT((rl_eff&lt;=$C2586)*(rl_key=$A$2560)*rl_ln1p))</f>
        <v/>
      </c>
      <c r="K2586" s="201">
        <f>COUNTIFS(rl_key,$A$2560,rl_eff,"&gt;="&amp;$B2586,rl_eff,"&lt;="&amp;$C2586)</f>
        <v/>
      </c>
      <c r="L2586" s="201">
        <f>SUMIFS(rl_daysafter,rl_key,$A$2560,rl_effmonth,$B2586,rl_first,1)</f>
        <v/>
      </c>
      <c r="M2586" s="209">
        <f>IF($K2586=0,0,MIN(1,$L2586/$D2586))</f>
        <v/>
      </c>
      <c r="N2586" s="208">
        <f>IF($K2586=0,$J2586,(1-$M2586)*$I2586+$M2586*$J2586)</f>
        <v/>
      </c>
      <c r="O2586" s="209">
        <f>IF($F2586&lt;$B$2561,$E$2561+$I$2561*($F2586-$A$2561),IF($F2586&lt;$C$2561,$F$2561+$J$2561*($F2586-$B$2561),$G$2561+$K$2561*($F2586-$C$2561)))</f>
        <v/>
      </c>
      <c r="P2586" s="208">
        <f>MIN(1,MAX(0,(nr_MEndPm1-$G2586+0.5)/$C$2560))-MIN(1,MAX(0,(nr_MStartPm1-1-$G2586+0.5)/$C$2560))</f>
        <v/>
      </c>
      <c r="Q2586" s="208">
        <f>MIN(1,MAX(0,(nr_MEndP-$G2586+0.5)/$C$2560))-MIN(1,MAX(0,(nr_MStartP-1-$G2586+0.5)/$C$2560))</f>
        <v/>
      </c>
      <c r="R2586" s="208">
        <f>MIN(1,MAX(0,(nr_MEndP1-$G2586+0.5)/$C$2560))-MIN(1,MAX(0,(nr_MStartP1-1-$G2586+0.5)/$C$2560))</f>
        <v/>
      </c>
      <c r="S2586" s="208">
        <f>IF($L$2560,$N2586*IF($O$2560=1,$O2586/$F$2560,1),"")</f>
        <v/>
      </c>
      <c r="T2586" s="208">
        <f>IF(NOT($L$2560),"",IF($G2586&lt;nr_MStartP,$S2586,$T2574*(1+IF($G2586&lt;nr_MStartP1,$M$2560,$N$2560))))</f>
        <v/>
      </c>
      <c r="U2586" s="208">
        <f>IF($L$2560,$T2586,$N2586)</f>
        <v/>
      </c>
    </row>
    <row r="2587">
      <c r="A2587" s="145" t="n">
        <v>25</v>
      </c>
      <c r="B2587" s="204">
        <f>EDATE($B2586,1)</f>
        <v/>
      </c>
      <c r="C2587" s="205">
        <f>EOMONTH($B2587,0)</f>
        <v/>
      </c>
      <c r="D2587" s="201">
        <f>$C2587-$B2587+1</f>
        <v/>
      </c>
      <c r="E2587" s="201">
        <f>MONTH($B2587)</f>
        <v/>
      </c>
      <c r="F2587" s="235">
        <f>($B2587+$C2587+1)/2</f>
        <v/>
      </c>
      <c r="G2587" s="201">
        <f>YEAR($B2587)*12+MONTH($B2587)-1</f>
        <v/>
      </c>
      <c r="H2587" s="207">
        <f>IF(OR(nr_SeasonOn="OFF",$D$2560=0,$E$2560=0),1,12*INDEX(se_block,$D$2560,$E2587)/$E$2560)</f>
        <v/>
      </c>
      <c r="I2587" s="208">
        <f>EXP(SUMPRODUCT((rl_eff&lt;$B2587)*(rl_key=$A$2560)*rl_ln1p))</f>
        <v/>
      </c>
      <c r="J2587" s="208">
        <f>EXP(SUMPRODUCT((rl_eff&lt;=$C2587)*(rl_key=$A$2560)*rl_ln1p))</f>
        <v/>
      </c>
      <c r="K2587" s="201">
        <f>COUNTIFS(rl_key,$A$2560,rl_eff,"&gt;="&amp;$B2587,rl_eff,"&lt;="&amp;$C2587)</f>
        <v/>
      </c>
      <c r="L2587" s="201">
        <f>SUMIFS(rl_daysafter,rl_key,$A$2560,rl_effmonth,$B2587,rl_first,1)</f>
        <v/>
      </c>
      <c r="M2587" s="209">
        <f>IF($K2587=0,0,MIN(1,$L2587/$D2587))</f>
        <v/>
      </c>
      <c r="N2587" s="208">
        <f>IF($K2587=0,$J2587,(1-$M2587)*$I2587+$M2587*$J2587)</f>
        <v/>
      </c>
      <c r="O2587" s="209">
        <f>IF($F2587&lt;$B$2561,$E$2561+$I$2561*($F2587-$A$2561),IF($F2587&lt;$C$2561,$F$2561+$J$2561*($F2587-$B$2561),$G$2561+$K$2561*($F2587-$C$2561)))</f>
        <v/>
      </c>
      <c r="P2587" s="208">
        <f>MIN(1,MAX(0,(nr_MEndPm1-$G2587+0.5)/$C$2560))-MIN(1,MAX(0,(nr_MStartPm1-1-$G2587+0.5)/$C$2560))</f>
        <v/>
      </c>
      <c r="Q2587" s="208">
        <f>MIN(1,MAX(0,(nr_MEndP-$G2587+0.5)/$C$2560))-MIN(1,MAX(0,(nr_MStartP-1-$G2587+0.5)/$C$2560))</f>
        <v/>
      </c>
      <c r="R2587" s="208">
        <f>MIN(1,MAX(0,(nr_MEndP1-$G2587+0.5)/$C$2560))-MIN(1,MAX(0,(nr_MStartP1-1-$G2587+0.5)/$C$2560))</f>
        <v/>
      </c>
      <c r="S2587" s="208">
        <f>IF($L$2560,$N2587*IF($O$2560=1,$O2587/$F$2560,1),"")</f>
        <v/>
      </c>
      <c r="T2587" s="208">
        <f>IF(NOT($L$2560),"",IF($G2587&lt;nr_MStartP,$S2587,$T2575*(1+IF($G2587&lt;nr_MStartP1,$M$2560,$N$2560))))</f>
        <v/>
      </c>
      <c r="U2587" s="208">
        <f>IF($L$2560,$T2587,$N2587)</f>
        <v/>
      </c>
    </row>
    <row r="2588">
      <c r="A2588" s="145" t="n">
        <v>26</v>
      </c>
      <c r="B2588" s="204">
        <f>EDATE($B2587,1)</f>
        <v/>
      </c>
      <c r="C2588" s="205">
        <f>EOMONTH($B2588,0)</f>
        <v/>
      </c>
      <c r="D2588" s="201">
        <f>$C2588-$B2588+1</f>
        <v/>
      </c>
      <c r="E2588" s="201">
        <f>MONTH($B2588)</f>
        <v/>
      </c>
      <c r="F2588" s="235">
        <f>($B2588+$C2588+1)/2</f>
        <v/>
      </c>
      <c r="G2588" s="201">
        <f>YEAR($B2588)*12+MONTH($B2588)-1</f>
        <v/>
      </c>
      <c r="H2588" s="207">
        <f>IF(OR(nr_SeasonOn="OFF",$D$2560=0,$E$2560=0),1,12*INDEX(se_block,$D$2560,$E2588)/$E$2560)</f>
        <v/>
      </c>
      <c r="I2588" s="208">
        <f>EXP(SUMPRODUCT((rl_eff&lt;$B2588)*(rl_key=$A$2560)*rl_ln1p))</f>
        <v/>
      </c>
      <c r="J2588" s="208">
        <f>EXP(SUMPRODUCT((rl_eff&lt;=$C2588)*(rl_key=$A$2560)*rl_ln1p))</f>
        <v/>
      </c>
      <c r="K2588" s="201">
        <f>COUNTIFS(rl_key,$A$2560,rl_eff,"&gt;="&amp;$B2588,rl_eff,"&lt;="&amp;$C2588)</f>
        <v/>
      </c>
      <c r="L2588" s="201">
        <f>SUMIFS(rl_daysafter,rl_key,$A$2560,rl_effmonth,$B2588,rl_first,1)</f>
        <v/>
      </c>
      <c r="M2588" s="209">
        <f>IF($K2588=0,0,MIN(1,$L2588/$D2588))</f>
        <v/>
      </c>
      <c r="N2588" s="208">
        <f>IF($K2588=0,$J2588,(1-$M2588)*$I2588+$M2588*$J2588)</f>
        <v/>
      </c>
      <c r="O2588" s="209">
        <f>IF($F2588&lt;$B$2561,$E$2561+$I$2561*($F2588-$A$2561),IF($F2588&lt;$C$2561,$F$2561+$J$2561*($F2588-$B$2561),$G$2561+$K$2561*($F2588-$C$2561)))</f>
        <v/>
      </c>
      <c r="P2588" s="208">
        <f>MIN(1,MAX(0,(nr_MEndPm1-$G2588+0.5)/$C$2560))-MIN(1,MAX(0,(nr_MStartPm1-1-$G2588+0.5)/$C$2560))</f>
        <v/>
      </c>
      <c r="Q2588" s="208">
        <f>MIN(1,MAX(0,(nr_MEndP-$G2588+0.5)/$C$2560))-MIN(1,MAX(0,(nr_MStartP-1-$G2588+0.5)/$C$2560))</f>
        <v/>
      </c>
      <c r="R2588" s="208">
        <f>MIN(1,MAX(0,(nr_MEndP1-$G2588+0.5)/$C$2560))-MIN(1,MAX(0,(nr_MStartP1-1-$G2588+0.5)/$C$2560))</f>
        <v/>
      </c>
      <c r="S2588" s="208">
        <f>IF($L$2560,$N2588*IF($O$2560=1,$O2588/$F$2560,1),"")</f>
        <v/>
      </c>
      <c r="T2588" s="208">
        <f>IF(NOT($L$2560),"",IF($G2588&lt;nr_MStartP,$S2588,$T2576*(1+IF($G2588&lt;nr_MStartP1,$M$2560,$N$2560))))</f>
        <v/>
      </c>
      <c r="U2588" s="208">
        <f>IF($L$2560,$T2588,$N2588)</f>
        <v/>
      </c>
    </row>
    <row r="2589">
      <c r="A2589" s="145" t="n">
        <v>27</v>
      </c>
      <c r="B2589" s="204">
        <f>EDATE($B2588,1)</f>
        <v/>
      </c>
      <c r="C2589" s="205">
        <f>EOMONTH($B2589,0)</f>
        <v/>
      </c>
      <c r="D2589" s="201">
        <f>$C2589-$B2589+1</f>
        <v/>
      </c>
      <c r="E2589" s="201">
        <f>MONTH($B2589)</f>
        <v/>
      </c>
      <c r="F2589" s="235">
        <f>($B2589+$C2589+1)/2</f>
        <v/>
      </c>
      <c r="G2589" s="201">
        <f>YEAR($B2589)*12+MONTH($B2589)-1</f>
        <v/>
      </c>
      <c r="H2589" s="207">
        <f>IF(OR(nr_SeasonOn="OFF",$D$2560=0,$E$2560=0),1,12*INDEX(se_block,$D$2560,$E2589)/$E$2560)</f>
        <v/>
      </c>
      <c r="I2589" s="208">
        <f>EXP(SUMPRODUCT((rl_eff&lt;$B2589)*(rl_key=$A$2560)*rl_ln1p))</f>
        <v/>
      </c>
      <c r="J2589" s="208">
        <f>EXP(SUMPRODUCT((rl_eff&lt;=$C2589)*(rl_key=$A$2560)*rl_ln1p))</f>
        <v/>
      </c>
      <c r="K2589" s="201">
        <f>COUNTIFS(rl_key,$A$2560,rl_eff,"&gt;="&amp;$B2589,rl_eff,"&lt;="&amp;$C2589)</f>
        <v/>
      </c>
      <c r="L2589" s="201">
        <f>SUMIFS(rl_daysafter,rl_key,$A$2560,rl_effmonth,$B2589,rl_first,1)</f>
        <v/>
      </c>
      <c r="M2589" s="209">
        <f>IF($K2589=0,0,MIN(1,$L2589/$D2589))</f>
        <v/>
      </c>
      <c r="N2589" s="208">
        <f>IF($K2589=0,$J2589,(1-$M2589)*$I2589+$M2589*$J2589)</f>
        <v/>
      </c>
      <c r="O2589" s="209">
        <f>IF($F2589&lt;$B$2561,$E$2561+$I$2561*($F2589-$A$2561),IF($F2589&lt;$C$2561,$F$2561+$J$2561*($F2589-$B$2561),$G$2561+$K$2561*($F2589-$C$2561)))</f>
        <v/>
      </c>
      <c r="P2589" s="208">
        <f>MIN(1,MAX(0,(nr_MEndPm1-$G2589+0.5)/$C$2560))-MIN(1,MAX(0,(nr_MStartPm1-1-$G2589+0.5)/$C$2560))</f>
        <v/>
      </c>
      <c r="Q2589" s="208">
        <f>MIN(1,MAX(0,(nr_MEndP-$G2589+0.5)/$C$2560))-MIN(1,MAX(0,(nr_MStartP-1-$G2589+0.5)/$C$2560))</f>
        <v/>
      </c>
      <c r="R2589" s="208">
        <f>MIN(1,MAX(0,(nr_MEndP1-$G2589+0.5)/$C$2560))-MIN(1,MAX(0,(nr_MStartP1-1-$G2589+0.5)/$C$2560))</f>
        <v/>
      </c>
      <c r="S2589" s="208">
        <f>IF($L$2560,$N2589*IF($O$2560=1,$O2589/$F$2560,1),"")</f>
        <v/>
      </c>
      <c r="T2589" s="208">
        <f>IF(NOT($L$2560),"",IF($G2589&lt;nr_MStartP,$S2589,$T2577*(1+IF($G2589&lt;nr_MStartP1,$M$2560,$N$2560))))</f>
        <v/>
      </c>
      <c r="U2589" s="208">
        <f>IF($L$2560,$T2589,$N2589)</f>
        <v/>
      </c>
    </row>
    <row r="2590">
      <c r="A2590" s="145" t="n">
        <v>28</v>
      </c>
      <c r="B2590" s="204">
        <f>EDATE($B2589,1)</f>
        <v/>
      </c>
      <c r="C2590" s="205">
        <f>EOMONTH($B2590,0)</f>
        <v/>
      </c>
      <c r="D2590" s="201">
        <f>$C2590-$B2590+1</f>
        <v/>
      </c>
      <c r="E2590" s="201">
        <f>MONTH($B2590)</f>
        <v/>
      </c>
      <c r="F2590" s="235">
        <f>($B2590+$C2590+1)/2</f>
        <v/>
      </c>
      <c r="G2590" s="201">
        <f>YEAR($B2590)*12+MONTH($B2590)-1</f>
        <v/>
      </c>
      <c r="H2590" s="207">
        <f>IF(OR(nr_SeasonOn="OFF",$D$2560=0,$E$2560=0),1,12*INDEX(se_block,$D$2560,$E2590)/$E$2560)</f>
        <v/>
      </c>
      <c r="I2590" s="208">
        <f>EXP(SUMPRODUCT((rl_eff&lt;$B2590)*(rl_key=$A$2560)*rl_ln1p))</f>
        <v/>
      </c>
      <c r="J2590" s="208">
        <f>EXP(SUMPRODUCT((rl_eff&lt;=$C2590)*(rl_key=$A$2560)*rl_ln1p))</f>
        <v/>
      </c>
      <c r="K2590" s="201">
        <f>COUNTIFS(rl_key,$A$2560,rl_eff,"&gt;="&amp;$B2590,rl_eff,"&lt;="&amp;$C2590)</f>
        <v/>
      </c>
      <c r="L2590" s="201">
        <f>SUMIFS(rl_daysafter,rl_key,$A$2560,rl_effmonth,$B2590,rl_first,1)</f>
        <v/>
      </c>
      <c r="M2590" s="209">
        <f>IF($K2590=0,0,MIN(1,$L2590/$D2590))</f>
        <v/>
      </c>
      <c r="N2590" s="208">
        <f>IF($K2590=0,$J2590,(1-$M2590)*$I2590+$M2590*$J2590)</f>
        <v/>
      </c>
      <c r="O2590" s="209">
        <f>IF($F2590&lt;$B$2561,$E$2561+$I$2561*($F2590-$A$2561),IF($F2590&lt;$C$2561,$F$2561+$J$2561*($F2590-$B$2561),$G$2561+$K$2561*($F2590-$C$2561)))</f>
        <v/>
      </c>
      <c r="P2590" s="208">
        <f>MIN(1,MAX(0,(nr_MEndPm1-$G2590+0.5)/$C$2560))-MIN(1,MAX(0,(nr_MStartPm1-1-$G2590+0.5)/$C$2560))</f>
        <v/>
      </c>
      <c r="Q2590" s="208">
        <f>MIN(1,MAX(0,(nr_MEndP-$G2590+0.5)/$C$2560))-MIN(1,MAX(0,(nr_MStartP-1-$G2590+0.5)/$C$2560))</f>
        <v/>
      </c>
      <c r="R2590" s="208">
        <f>MIN(1,MAX(0,(nr_MEndP1-$G2590+0.5)/$C$2560))-MIN(1,MAX(0,(nr_MStartP1-1-$G2590+0.5)/$C$2560))</f>
        <v/>
      </c>
      <c r="S2590" s="208">
        <f>IF($L$2560,$N2590*IF($O$2560=1,$O2590/$F$2560,1),"")</f>
        <v/>
      </c>
      <c r="T2590" s="208">
        <f>IF(NOT($L$2560),"",IF($G2590&lt;nr_MStartP,$S2590,$T2578*(1+IF($G2590&lt;nr_MStartP1,$M$2560,$N$2560))))</f>
        <v/>
      </c>
      <c r="U2590" s="208">
        <f>IF($L$2560,$T2590,$N2590)</f>
        <v/>
      </c>
    </row>
    <row r="2591">
      <c r="A2591" s="145" t="n">
        <v>29</v>
      </c>
      <c r="B2591" s="204">
        <f>EDATE($B2590,1)</f>
        <v/>
      </c>
      <c r="C2591" s="205">
        <f>EOMONTH($B2591,0)</f>
        <v/>
      </c>
      <c r="D2591" s="201">
        <f>$C2591-$B2591+1</f>
        <v/>
      </c>
      <c r="E2591" s="201">
        <f>MONTH($B2591)</f>
        <v/>
      </c>
      <c r="F2591" s="235">
        <f>($B2591+$C2591+1)/2</f>
        <v/>
      </c>
      <c r="G2591" s="201">
        <f>YEAR($B2591)*12+MONTH($B2591)-1</f>
        <v/>
      </c>
      <c r="H2591" s="207">
        <f>IF(OR(nr_SeasonOn="OFF",$D$2560=0,$E$2560=0),1,12*INDEX(se_block,$D$2560,$E2591)/$E$2560)</f>
        <v/>
      </c>
      <c r="I2591" s="208">
        <f>EXP(SUMPRODUCT((rl_eff&lt;$B2591)*(rl_key=$A$2560)*rl_ln1p))</f>
        <v/>
      </c>
      <c r="J2591" s="208">
        <f>EXP(SUMPRODUCT((rl_eff&lt;=$C2591)*(rl_key=$A$2560)*rl_ln1p))</f>
        <v/>
      </c>
      <c r="K2591" s="201">
        <f>COUNTIFS(rl_key,$A$2560,rl_eff,"&gt;="&amp;$B2591,rl_eff,"&lt;="&amp;$C2591)</f>
        <v/>
      </c>
      <c r="L2591" s="201">
        <f>SUMIFS(rl_daysafter,rl_key,$A$2560,rl_effmonth,$B2591,rl_first,1)</f>
        <v/>
      </c>
      <c r="M2591" s="209">
        <f>IF($K2591=0,0,MIN(1,$L2591/$D2591))</f>
        <v/>
      </c>
      <c r="N2591" s="208">
        <f>IF($K2591=0,$J2591,(1-$M2591)*$I2591+$M2591*$J2591)</f>
        <v/>
      </c>
      <c r="O2591" s="209">
        <f>IF($F2591&lt;$B$2561,$E$2561+$I$2561*($F2591-$A$2561),IF($F2591&lt;$C$2561,$F$2561+$J$2561*($F2591-$B$2561),$G$2561+$K$2561*($F2591-$C$2561)))</f>
        <v/>
      </c>
      <c r="P2591" s="208">
        <f>MIN(1,MAX(0,(nr_MEndPm1-$G2591+0.5)/$C$2560))-MIN(1,MAX(0,(nr_MStartPm1-1-$G2591+0.5)/$C$2560))</f>
        <v/>
      </c>
      <c r="Q2591" s="208">
        <f>MIN(1,MAX(0,(nr_MEndP-$G2591+0.5)/$C$2560))-MIN(1,MAX(0,(nr_MStartP-1-$G2591+0.5)/$C$2560))</f>
        <v/>
      </c>
      <c r="R2591" s="208">
        <f>MIN(1,MAX(0,(nr_MEndP1-$G2591+0.5)/$C$2560))-MIN(1,MAX(0,(nr_MStartP1-1-$G2591+0.5)/$C$2560))</f>
        <v/>
      </c>
      <c r="S2591" s="208">
        <f>IF($L$2560,$N2591*IF($O$2560=1,$O2591/$F$2560,1),"")</f>
        <v/>
      </c>
      <c r="T2591" s="208">
        <f>IF(NOT($L$2560),"",IF($G2591&lt;nr_MStartP,$S2591,$T2579*(1+IF($G2591&lt;nr_MStartP1,$M$2560,$N$2560))))</f>
        <v/>
      </c>
      <c r="U2591" s="208">
        <f>IF($L$2560,$T2591,$N2591)</f>
        <v/>
      </c>
    </row>
    <row r="2592">
      <c r="A2592" s="145" t="n">
        <v>30</v>
      </c>
      <c r="B2592" s="204">
        <f>EDATE($B2591,1)</f>
        <v/>
      </c>
      <c r="C2592" s="205">
        <f>EOMONTH($B2592,0)</f>
        <v/>
      </c>
      <c r="D2592" s="201">
        <f>$C2592-$B2592+1</f>
        <v/>
      </c>
      <c r="E2592" s="201">
        <f>MONTH($B2592)</f>
        <v/>
      </c>
      <c r="F2592" s="235">
        <f>($B2592+$C2592+1)/2</f>
        <v/>
      </c>
      <c r="G2592" s="201">
        <f>YEAR($B2592)*12+MONTH($B2592)-1</f>
        <v/>
      </c>
      <c r="H2592" s="207">
        <f>IF(OR(nr_SeasonOn="OFF",$D$2560=0,$E$2560=0),1,12*INDEX(se_block,$D$2560,$E2592)/$E$2560)</f>
        <v/>
      </c>
      <c r="I2592" s="208">
        <f>EXP(SUMPRODUCT((rl_eff&lt;$B2592)*(rl_key=$A$2560)*rl_ln1p))</f>
        <v/>
      </c>
      <c r="J2592" s="208">
        <f>EXP(SUMPRODUCT((rl_eff&lt;=$C2592)*(rl_key=$A$2560)*rl_ln1p))</f>
        <v/>
      </c>
      <c r="K2592" s="201">
        <f>COUNTIFS(rl_key,$A$2560,rl_eff,"&gt;="&amp;$B2592,rl_eff,"&lt;="&amp;$C2592)</f>
        <v/>
      </c>
      <c r="L2592" s="201">
        <f>SUMIFS(rl_daysafter,rl_key,$A$2560,rl_effmonth,$B2592,rl_first,1)</f>
        <v/>
      </c>
      <c r="M2592" s="209">
        <f>IF($K2592=0,0,MIN(1,$L2592/$D2592))</f>
        <v/>
      </c>
      <c r="N2592" s="208">
        <f>IF($K2592=0,$J2592,(1-$M2592)*$I2592+$M2592*$J2592)</f>
        <v/>
      </c>
      <c r="O2592" s="209">
        <f>IF($F2592&lt;$B$2561,$E$2561+$I$2561*($F2592-$A$2561),IF($F2592&lt;$C$2561,$F$2561+$J$2561*($F2592-$B$2561),$G$2561+$K$2561*($F2592-$C$2561)))</f>
        <v/>
      </c>
      <c r="P2592" s="208">
        <f>MIN(1,MAX(0,(nr_MEndPm1-$G2592+0.5)/$C$2560))-MIN(1,MAX(0,(nr_MStartPm1-1-$G2592+0.5)/$C$2560))</f>
        <v/>
      </c>
      <c r="Q2592" s="208">
        <f>MIN(1,MAX(0,(nr_MEndP-$G2592+0.5)/$C$2560))-MIN(1,MAX(0,(nr_MStartP-1-$G2592+0.5)/$C$2560))</f>
        <v/>
      </c>
      <c r="R2592" s="208">
        <f>MIN(1,MAX(0,(nr_MEndP1-$G2592+0.5)/$C$2560))-MIN(1,MAX(0,(nr_MStartP1-1-$G2592+0.5)/$C$2560))</f>
        <v/>
      </c>
      <c r="S2592" s="208">
        <f>IF($L$2560,$N2592*IF($O$2560=1,$O2592/$F$2560,1),"")</f>
        <v/>
      </c>
      <c r="T2592" s="208">
        <f>IF(NOT($L$2560),"",IF($G2592&lt;nr_MStartP,$S2592,$T2580*(1+IF($G2592&lt;nr_MStartP1,$M$2560,$N$2560))))</f>
        <v/>
      </c>
      <c r="U2592" s="208">
        <f>IF($L$2560,$T2592,$N2592)</f>
        <v/>
      </c>
    </row>
    <row r="2593">
      <c r="A2593" s="145" t="n">
        <v>31</v>
      </c>
      <c r="B2593" s="204">
        <f>EDATE($B2592,1)</f>
        <v/>
      </c>
      <c r="C2593" s="205">
        <f>EOMONTH($B2593,0)</f>
        <v/>
      </c>
      <c r="D2593" s="201">
        <f>$C2593-$B2593+1</f>
        <v/>
      </c>
      <c r="E2593" s="201">
        <f>MONTH($B2593)</f>
        <v/>
      </c>
      <c r="F2593" s="235">
        <f>($B2593+$C2593+1)/2</f>
        <v/>
      </c>
      <c r="G2593" s="201">
        <f>YEAR($B2593)*12+MONTH($B2593)-1</f>
        <v/>
      </c>
      <c r="H2593" s="207">
        <f>IF(OR(nr_SeasonOn="OFF",$D$2560=0,$E$2560=0),1,12*INDEX(se_block,$D$2560,$E2593)/$E$2560)</f>
        <v/>
      </c>
      <c r="I2593" s="208">
        <f>EXP(SUMPRODUCT((rl_eff&lt;$B2593)*(rl_key=$A$2560)*rl_ln1p))</f>
        <v/>
      </c>
      <c r="J2593" s="208">
        <f>EXP(SUMPRODUCT((rl_eff&lt;=$C2593)*(rl_key=$A$2560)*rl_ln1p))</f>
        <v/>
      </c>
      <c r="K2593" s="201">
        <f>COUNTIFS(rl_key,$A$2560,rl_eff,"&gt;="&amp;$B2593,rl_eff,"&lt;="&amp;$C2593)</f>
        <v/>
      </c>
      <c r="L2593" s="201">
        <f>SUMIFS(rl_daysafter,rl_key,$A$2560,rl_effmonth,$B2593,rl_first,1)</f>
        <v/>
      </c>
      <c r="M2593" s="209">
        <f>IF($K2593=0,0,MIN(1,$L2593/$D2593))</f>
        <v/>
      </c>
      <c r="N2593" s="208">
        <f>IF($K2593=0,$J2593,(1-$M2593)*$I2593+$M2593*$J2593)</f>
        <v/>
      </c>
      <c r="O2593" s="209">
        <f>IF($F2593&lt;$B$2561,$E$2561+$I$2561*($F2593-$A$2561),IF($F2593&lt;$C$2561,$F$2561+$J$2561*($F2593-$B$2561),$G$2561+$K$2561*($F2593-$C$2561)))</f>
        <v/>
      </c>
      <c r="P2593" s="208">
        <f>MIN(1,MAX(0,(nr_MEndPm1-$G2593+0.5)/$C$2560))-MIN(1,MAX(0,(nr_MStartPm1-1-$G2593+0.5)/$C$2560))</f>
        <v/>
      </c>
      <c r="Q2593" s="208">
        <f>MIN(1,MAX(0,(nr_MEndP-$G2593+0.5)/$C$2560))-MIN(1,MAX(0,(nr_MStartP-1-$G2593+0.5)/$C$2560))</f>
        <v/>
      </c>
      <c r="R2593" s="208">
        <f>MIN(1,MAX(0,(nr_MEndP1-$G2593+0.5)/$C$2560))-MIN(1,MAX(0,(nr_MStartP1-1-$G2593+0.5)/$C$2560))</f>
        <v/>
      </c>
      <c r="S2593" s="208">
        <f>IF($L$2560,$N2593*IF($O$2560=1,$O2593/$F$2560,1),"")</f>
        <v/>
      </c>
      <c r="T2593" s="208">
        <f>IF(NOT($L$2560),"",IF($G2593&lt;nr_MStartP,$S2593,$T2581*(1+IF($G2593&lt;nr_MStartP1,$M$2560,$N$2560))))</f>
        <v/>
      </c>
      <c r="U2593" s="208">
        <f>IF($L$2560,$T2593,$N2593)</f>
        <v/>
      </c>
    </row>
    <row r="2594">
      <c r="A2594" s="145" t="n">
        <v>32</v>
      </c>
      <c r="B2594" s="204">
        <f>EDATE($B2593,1)</f>
        <v/>
      </c>
      <c r="C2594" s="205">
        <f>EOMONTH($B2594,0)</f>
        <v/>
      </c>
      <c r="D2594" s="201">
        <f>$C2594-$B2594+1</f>
        <v/>
      </c>
      <c r="E2594" s="201">
        <f>MONTH($B2594)</f>
        <v/>
      </c>
      <c r="F2594" s="235">
        <f>($B2594+$C2594+1)/2</f>
        <v/>
      </c>
      <c r="G2594" s="201">
        <f>YEAR($B2594)*12+MONTH($B2594)-1</f>
        <v/>
      </c>
      <c r="H2594" s="207">
        <f>IF(OR(nr_SeasonOn="OFF",$D$2560=0,$E$2560=0),1,12*INDEX(se_block,$D$2560,$E2594)/$E$2560)</f>
        <v/>
      </c>
      <c r="I2594" s="208">
        <f>EXP(SUMPRODUCT((rl_eff&lt;$B2594)*(rl_key=$A$2560)*rl_ln1p))</f>
        <v/>
      </c>
      <c r="J2594" s="208">
        <f>EXP(SUMPRODUCT((rl_eff&lt;=$C2594)*(rl_key=$A$2560)*rl_ln1p))</f>
        <v/>
      </c>
      <c r="K2594" s="201">
        <f>COUNTIFS(rl_key,$A$2560,rl_eff,"&gt;="&amp;$B2594,rl_eff,"&lt;="&amp;$C2594)</f>
        <v/>
      </c>
      <c r="L2594" s="201">
        <f>SUMIFS(rl_daysafter,rl_key,$A$2560,rl_effmonth,$B2594,rl_first,1)</f>
        <v/>
      </c>
      <c r="M2594" s="209">
        <f>IF($K2594=0,0,MIN(1,$L2594/$D2594))</f>
        <v/>
      </c>
      <c r="N2594" s="208">
        <f>IF($K2594=0,$J2594,(1-$M2594)*$I2594+$M2594*$J2594)</f>
        <v/>
      </c>
      <c r="O2594" s="209">
        <f>IF($F2594&lt;$B$2561,$E$2561+$I$2561*($F2594-$A$2561),IF($F2594&lt;$C$2561,$F$2561+$J$2561*($F2594-$B$2561),$G$2561+$K$2561*($F2594-$C$2561)))</f>
        <v/>
      </c>
      <c r="P2594" s="208">
        <f>MIN(1,MAX(0,(nr_MEndPm1-$G2594+0.5)/$C$2560))-MIN(1,MAX(0,(nr_MStartPm1-1-$G2594+0.5)/$C$2560))</f>
        <v/>
      </c>
      <c r="Q2594" s="208">
        <f>MIN(1,MAX(0,(nr_MEndP-$G2594+0.5)/$C$2560))-MIN(1,MAX(0,(nr_MStartP-1-$G2594+0.5)/$C$2560))</f>
        <v/>
      </c>
      <c r="R2594" s="208">
        <f>MIN(1,MAX(0,(nr_MEndP1-$G2594+0.5)/$C$2560))-MIN(1,MAX(0,(nr_MStartP1-1-$G2594+0.5)/$C$2560))</f>
        <v/>
      </c>
      <c r="S2594" s="208">
        <f>IF($L$2560,$N2594*IF($O$2560=1,$O2594/$F$2560,1),"")</f>
        <v/>
      </c>
      <c r="T2594" s="208">
        <f>IF(NOT($L$2560),"",IF($G2594&lt;nr_MStartP,$S2594,$T2582*(1+IF($G2594&lt;nr_MStartP1,$M$2560,$N$2560))))</f>
        <v/>
      </c>
      <c r="U2594" s="208">
        <f>IF($L$2560,$T2594,$N2594)</f>
        <v/>
      </c>
    </row>
    <row r="2595">
      <c r="A2595" s="145" t="n">
        <v>33</v>
      </c>
      <c r="B2595" s="204">
        <f>EDATE($B2594,1)</f>
        <v/>
      </c>
      <c r="C2595" s="205">
        <f>EOMONTH($B2595,0)</f>
        <v/>
      </c>
      <c r="D2595" s="201">
        <f>$C2595-$B2595+1</f>
        <v/>
      </c>
      <c r="E2595" s="201">
        <f>MONTH($B2595)</f>
        <v/>
      </c>
      <c r="F2595" s="235">
        <f>($B2595+$C2595+1)/2</f>
        <v/>
      </c>
      <c r="G2595" s="201">
        <f>YEAR($B2595)*12+MONTH($B2595)-1</f>
        <v/>
      </c>
      <c r="H2595" s="207">
        <f>IF(OR(nr_SeasonOn="OFF",$D$2560=0,$E$2560=0),1,12*INDEX(se_block,$D$2560,$E2595)/$E$2560)</f>
        <v/>
      </c>
      <c r="I2595" s="208">
        <f>EXP(SUMPRODUCT((rl_eff&lt;$B2595)*(rl_key=$A$2560)*rl_ln1p))</f>
        <v/>
      </c>
      <c r="J2595" s="208">
        <f>EXP(SUMPRODUCT((rl_eff&lt;=$C2595)*(rl_key=$A$2560)*rl_ln1p))</f>
        <v/>
      </c>
      <c r="K2595" s="201">
        <f>COUNTIFS(rl_key,$A$2560,rl_eff,"&gt;="&amp;$B2595,rl_eff,"&lt;="&amp;$C2595)</f>
        <v/>
      </c>
      <c r="L2595" s="201">
        <f>SUMIFS(rl_daysafter,rl_key,$A$2560,rl_effmonth,$B2595,rl_first,1)</f>
        <v/>
      </c>
      <c r="M2595" s="209">
        <f>IF($K2595=0,0,MIN(1,$L2595/$D2595))</f>
        <v/>
      </c>
      <c r="N2595" s="208">
        <f>IF($K2595=0,$J2595,(1-$M2595)*$I2595+$M2595*$J2595)</f>
        <v/>
      </c>
      <c r="O2595" s="209">
        <f>IF($F2595&lt;$B$2561,$E$2561+$I$2561*($F2595-$A$2561),IF($F2595&lt;$C$2561,$F$2561+$J$2561*($F2595-$B$2561),$G$2561+$K$2561*($F2595-$C$2561)))</f>
        <v/>
      </c>
      <c r="P2595" s="208">
        <f>MIN(1,MAX(0,(nr_MEndPm1-$G2595+0.5)/$C$2560))-MIN(1,MAX(0,(nr_MStartPm1-1-$G2595+0.5)/$C$2560))</f>
        <v/>
      </c>
      <c r="Q2595" s="208">
        <f>MIN(1,MAX(0,(nr_MEndP-$G2595+0.5)/$C$2560))-MIN(1,MAX(0,(nr_MStartP-1-$G2595+0.5)/$C$2560))</f>
        <v/>
      </c>
      <c r="R2595" s="208">
        <f>MIN(1,MAX(0,(nr_MEndP1-$G2595+0.5)/$C$2560))-MIN(1,MAX(0,(nr_MStartP1-1-$G2595+0.5)/$C$2560))</f>
        <v/>
      </c>
      <c r="S2595" s="208">
        <f>IF($L$2560,$N2595*IF($O$2560=1,$O2595/$F$2560,1),"")</f>
        <v/>
      </c>
      <c r="T2595" s="208">
        <f>IF(NOT($L$2560),"",IF($G2595&lt;nr_MStartP,$S2595,$T2583*(1+IF($G2595&lt;nr_MStartP1,$M$2560,$N$2560))))</f>
        <v/>
      </c>
      <c r="U2595" s="208">
        <f>IF($L$2560,$T2595,$N2595)</f>
        <v/>
      </c>
    </row>
    <row r="2596">
      <c r="A2596" s="145" t="n">
        <v>34</v>
      </c>
      <c r="B2596" s="204">
        <f>EDATE($B2595,1)</f>
        <v/>
      </c>
      <c r="C2596" s="205">
        <f>EOMONTH($B2596,0)</f>
        <v/>
      </c>
      <c r="D2596" s="201">
        <f>$C2596-$B2596+1</f>
        <v/>
      </c>
      <c r="E2596" s="201">
        <f>MONTH($B2596)</f>
        <v/>
      </c>
      <c r="F2596" s="235">
        <f>($B2596+$C2596+1)/2</f>
        <v/>
      </c>
      <c r="G2596" s="201">
        <f>YEAR($B2596)*12+MONTH($B2596)-1</f>
        <v/>
      </c>
      <c r="H2596" s="207">
        <f>IF(OR(nr_SeasonOn="OFF",$D$2560=0,$E$2560=0),1,12*INDEX(se_block,$D$2560,$E2596)/$E$2560)</f>
        <v/>
      </c>
      <c r="I2596" s="208">
        <f>EXP(SUMPRODUCT((rl_eff&lt;$B2596)*(rl_key=$A$2560)*rl_ln1p))</f>
        <v/>
      </c>
      <c r="J2596" s="208">
        <f>EXP(SUMPRODUCT((rl_eff&lt;=$C2596)*(rl_key=$A$2560)*rl_ln1p))</f>
        <v/>
      </c>
      <c r="K2596" s="201">
        <f>COUNTIFS(rl_key,$A$2560,rl_eff,"&gt;="&amp;$B2596,rl_eff,"&lt;="&amp;$C2596)</f>
        <v/>
      </c>
      <c r="L2596" s="201">
        <f>SUMIFS(rl_daysafter,rl_key,$A$2560,rl_effmonth,$B2596,rl_first,1)</f>
        <v/>
      </c>
      <c r="M2596" s="209">
        <f>IF($K2596=0,0,MIN(1,$L2596/$D2596))</f>
        <v/>
      </c>
      <c r="N2596" s="208">
        <f>IF($K2596=0,$J2596,(1-$M2596)*$I2596+$M2596*$J2596)</f>
        <v/>
      </c>
      <c r="O2596" s="209">
        <f>IF($F2596&lt;$B$2561,$E$2561+$I$2561*($F2596-$A$2561),IF($F2596&lt;$C$2561,$F$2561+$J$2561*($F2596-$B$2561),$G$2561+$K$2561*($F2596-$C$2561)))</f>
        <v/>
      </c>
      <c r="P2596" s="208">
        <f>MIN(1,MAX(0,(nr_MEndPm1-$G2596+0.5)/$C$2560))-MIN(1,MAX(0,(nr_MStartPm1-1-$G2596+0.5)/$C$2560))</f>
        <v/>
      </c>
      <c r="Q2596" s="208">
        <f>MIN(1,MAX(0,(nr_MEndP-$G2596+0.5)/$C$2560))-MIN(1,MAX(0,(nr_MStartP-1-$G2596+0.5)/$C$2560))</f>
        <v/>
      </c>
      <c r="R2596" s="208">
        <f>MIN(1,MAX(0,(nr_MEndP1-$G2596+0.5)/$C$2560))-MIN(1,MAX(0,(nr_MStartP1-1-$G2596+0.5)/$C$2560))</f>
        <v/>
      </c>
      <c r="S2596" s="208">
        <f>IF($L$2560,$N2596*IF($O$2560=1,$O2596/$F$2560,1),"")</f>
        <v/>
      </c>
      <c r="T2596" s="208">
        <f>IF(NOT($L$2560),"",IF($G2596&lt;nr_MStartP,$S2596,$T2584*(1+IF($G2596&lt;nr_MStartP1,$M$2560,$N$2560))))</f>
        <v/>
      </c>
      <c r="U2596" s="208">
        <f>IF($L$2560,$T2596,$N2596)</f>
        <v/>
      </c>
    </row>
    <row r="2597">
      <c r="A2597" s="145" t="n">
        <v>35</v>
      </c>
      <c r="B2597" s="204">
        <f>EDATE($B2596,1)</f>
        <v/>
      </c>
      <c r="C2597" s="205">
        <f>EOMONTH($B2597,0)</f>
        <v/>
      </c>
      <c r="D2597" s="201">
        <f>$C2597-$B2597+1</f>
        <v/>
      </c>
      <c r="E2597" s="201">
        <f>MONTH($B2597)</f>
        <v/>
      </c>
      <c r="F2597" s="235">
        <f>($B2597+$C2597+1)/2</f>
        <v/>
      </c>
      <c r="G2597" s="201">
        <f>YEAR($B2597)*12+MONTH($B2597)-1</f>
        <v/>
      </c>
      <c r="H2597" s="207">
        <f>IF(OR(nr_SeasonOn="OFF",$D$2560=0,$E$2560=0),1,12*INDEX(se_block,$D$2560,$E2597)/$E$2560)</f>
        <v/>
      </c>
      <c r="I2597" s="208">
        <f>EXP(SUMPRODUCT((rl_eff&lt;$B2597)*(rl_key=$A$2560)*rl_ln1p))</f>
        <v/>
      </c>
      <c r="J2597" s="208">
        <f>EXP(SUMPRODUCT((rl_eff&lt;=$C2597)*(rl_key=$A$2560)*rl_ln1p))</f>
        <v/>
      </c>
      <c r="K2597" s="201">
        <f>COUNTIFS(rl_key,$A$2560,rl_eff,"&gt;="&amp;$B2597,rl_eff,"&lt;="&amp;$C2597)</f>
        <v/>
      </c>
      <c r="L2597" s="201">
        <f>SUMIFS(rl_daysafter,rl_key,$A$2560,rl_effmonth,$B2597,rl_first,1)</f>
        <v/>
      </c>
      <c r="M2597" s="209">
        <f>IF($K2597=0,0,MIN(1,$L2597/$D2597))</f>
        <v/>
      </c>
      <c r="N2597" s="208">
        <f>IF($K2597=0,$J2597,(1-$M2597)*$I2597+$M2597*$J2597)</f>
        <v/>
      </c>
      <c r="O2597" s="209">
        <f>IF($F2597&lt;$B$2561,$E$2561+$I$2561*($F2597-$A$2561),IF($F2597&lt;$C$2561,$F$2561+$J$2561*($F2597-$B$2561),$G$2561+$K$2561*($F2597-$C$2561)))</f>
        <v/>
      </c>
      <c r="P2597" s="208">
        <f>MIN(1,MAX(0,(nr_MEndPm1-$G2597+0.5)/$C$2560))-MIN(1,MAX(0,(nr_MStartPm1-1-$G2597+0.5)/$C$2560))</f>
        <v/>
      </c>
      <c r="Q2597" s="208">
        <f>MIN(1,MAX(0,(nr_MEndP-$G2597+0.5)/$C$2560))-MIN(1,MAX(0,(nr_MStartP-1-$G2597+0.5)/$C$2560))</f>
        <v/>
      </c>
      <c r="R2597" s="208">
        <f>MIN(1,MAX(0,(nr_MEndP1-$G2597+0.5)/$C$2560))-MIN(1,MAX(0,(nr_MStartP1-1-$G2597+0.5)/$C$2560))</f>
        <v/>
      </c>
      <c r="S2597" s="208">
        <f>IF($L$2560,$N2597*IF($O$2560=1,$O2597/$F$2560,1),"")</f>
        <v/>
      </c>
      <c r="T2597" s="208">
        <f>IF(NOT($L$2560),"",IF($G2597&lt;nr_MStartP,$S2597,$T2585*(1+IF($G2597&lt;nr_MStartP1,$M$2560,$N$2560))))</f>
        <v/>
      </c>
      <c r="U2597" s="208">
        <f>IF($L$2560,$T2597,$N2597)</f>
        <v/>
      </c>
    </row>
    <row r="2598">
      <c r="A2598" s="145" t="n">
        <v>36</v>
      </c>
      <c r="B2598" s="204">
        <f>EDATE($B2597,1)</f>
        <v/>
      </c>
      <c r="C2598" s="205">
        <f>EOMONTH($B2598,0)</f>
        <v/>
      </c>
      <c r="D2598" s="201">
        <f>$C2598-$B2598+1</f>
        <v/>
      </c>
      <c r="E2598" s="201">
        <f>MONTH($B2598)</f>
        <v/>
      </c>
      <c r="F2598" s="235">
        <f>($B2598+$C2598+1)/2</f>
        <v/>
      </c>
      <c r="G2598" s="201">
        <f>YEAR($B2598)*12+MONTH($B2598)-1</f>
        <v/>
      </c>
      <c r="H2598" s="207">
        <f>IF(OR(nr_SeasonOn="OFF",$D$2560=0,$E$2560=0),1,12*INDEX(se_block,$D$2560,$E2598)/$E$2560)</f>
        <v/>
      </c>
      <c r="I2598" s="208">
        <f>EXP(SUMPRODUCT((rl_eff&lt;$B2598)*(rl_key=$A$2560)*rl_ln1p))</f>
        <v/>
      </c>
      <c r="J2598" s="208">
        <f>EXP(SUMPRODUCT((rl_eff&lt;=$C2598)*(rl_key=$A$2560)*rl_ln1p))</f>
        <v/>
      </c>
      <c r="K2598" s="201">
        <f>COUNTIFS(rl_key,$A$2560,rl_eff,"&gt;="&amp;$B2598,rl_eff,"&lt;="&amp;$C2598)</f>
        <v/>
      </c>
      <c r="L2598" s="201">
        <f>SUMIFS(rl_daysafter,rl_key,$A$2560,rl_effmonth,$B2598,rl_first,1)</f>
        <v/>
      </c>
      <c r="M2598" s="209">
        <f>IF($K2598=0,0,MIN(1,$L2598/$D2598))</f>
        <v/>
      </c>
      <c r="N2598" s="208">
        <f>IF($K2598=0,$J2598,(1-$M2598)*$I2598+$M2598*$J2598)</f>
        <v/>
      </c>
      <c r="O2598" s="209">
        <f>IF($F2598&lt;$B$2561,$E$2561+$I$2561*($F2598-$A$2561),IF($F2598&lt;$C$2561,$F$2561+$J$2561*($F2598-$B$2561),$G$2561+$K$2561*($F2598-$C$2561)))</f>
        <v/>
      </c>
      <c r="P2598" s="208">
        <f>MIN(1,MAX(0,(nr_MEndPm1-$G2598+0.5)/$C$2560))-MIN(1,MAX(0,(nr_MStartPm1-1-$G2598+0.5)/$C$2560))</f>
        <v/>
      </c>
      <c r="Q2598" s="208">
        <f>MIN(1,MAX(0,(nr_MEndP-$G2598+0.5)/$C$2560))-MIN(1,MAX(0,(nr_MStartP-1-$G2598+0.5)/$C$2560))</f>
        <v/>
      </c>
      <c r="R2598" s="208">
        <f>MIN(1,MAX(0,(nr_MEndP1-$G2598+0.5)/$C$2560))-MIN(1,MAX(0,(nr_MStartP1-1-$G2598+0.5)/$C$2560))</f>
        <v/>
      </c>
      <c r="S2598" s="208">
        <f>IF($L$2560,$N2598*IF($O$2560=1,$O2598/$F$2560,1),"")</f>
        <v/>
      </c>
      <c r="T2598" s="208">
        <f>IF(NOT($L$2560),"",IF($G2598&lt;nr_MStartP,$S2598,$T2586*(1+IF($G2598&lt;nr_MStartP1,$M$2560,$N$2560))))</f>
        <v/>
      </c>
      <c r="U2598" s="208">
        <f>IF($L$2560,$T2598,$N2598)</f>
        <v/>
      </c>
    </row>
    <row r="2599">
      <c r="A2599" s="145" t="n">
        <v>37</v>
      </c>
      <c r="B2599" s="204">
        <f>EDATE($B2598,1)</f>
        <v/>
      </c>
      <c r="C2599" s="205">
        <f>EOMONTH($B2599,0)</f>
        <v/>
      </c>
      <c r="D2599" s="201">
        <f>$C2599-$B2599+1</f>
        <v/>
      </c>
      <c r="E2599" s="201">
        <f>MONTH($B2599)</f>
        <v/>
      </c>
      <c r="F2599" s="235">
        <f>($B2599+$C2599+1)/2</f>
        <v/>
      </c>
      <c r="G2599" s="201">
        <f>YEAR($B2599)*12+MONTH($B2599)-1</f>
        <v/>
      </c>
      <c r="H2599" s="207">
        <f>IF(OR(nr_SeasonOn="OFF",$D$2560=0,$E$2560=0),1,12*INDEX(se_block,$D$2560,$E2599)/$E$2560)</f>
        <v/>
      </c>
      <c r="I2599" s="208">
        <f>EXP(SUMPRODUCT((rl_eff&lt;$B2599)*(rl_key=$A$2560)*rl_ln1p))</f>
        <v/>
      </c>
      <c r="J2599" s="208">
        <f>EXP(SUMPRODUCT((rl_eff&lt;=$C2599)*(rl_key=$A$2560)*rl_ln1p))</f>
        <v/>
      </c>
      <c r="K2599" s="201">
        <f>COUNTIFS(rl_key,$A$2560,rl_eff,"&gt;="&amp;$B2599,rl_eff,"&lt;="&amp;$C2599)</f>
        <v/>
      </c>
      <c r="L2599" s="201">
        <f>SUMIFS(rl_daysafter,rl_key,$A$2560,rl_effmonth,$B2599,rl_first,1)</f>
        <v/>
      </c>
      <c r="M2599" s="209">
        <f>IF($K2599=0,0,MIN(1,$L2599/$D2599))</f>
        <v/>
      </c>
      <c r="N2599" s="208">
        <f>IF($K2599=0,$J2599,(1-$M2599)*$I2599+$M2599*$J2599)</f>
        <v/>
      </c>
      <c r="O2599" s="209">
        <f>IF($F2599&lt;$B$2561,$E$2561+$I$2561*($F2599-$A$2561),IF($F2599&lt;$C$2561,$F$2561+$J$2561*($F2599-$B$2561),$G$2561+$K$2561*($F2599-$C$2561)))</f>
        <v/>
      </c>
      <c r="P2599" s="208">
        <f>MIN(1,MAX(0,(nr_MEndPm1-$G2599+0.5)/$C$2560))-MIN(1,MAX(0,(nr_MStartPm1-1-$G2599+0.5)/$C$2560))</f>
        <v/>
      </c>
      <c r="Q2599" s="208">
        <f>MIN(1,MAX(0,(nr_MEndP-$G2599+0.5)/$C$2560))-MIN(1,MAX(0,(nr_MStartP-1-$G2599+0.5)/$C$2560))</f>
        <v/>
      </c>
      <c r="R2599" s="208">
        <f>MIN(1,MAX(0,(nr_MEndP1-$G2599+0.5)/$C$2560))-MIN(1,MAX(0,(nr_MStartP1-1-$G2599+0.5)/$C$2560))</f>
        <v/>
      </c>
      <c r="S2599" s="208">
        <f>IF($L$2560,$N2599*IF($O$2560=1,$O2599/$F$2560,1),"")</f>
        <v/>
      </c>
      <c r="T2599" s="208">
        <f>IF(NOT($L$2560),"",IF($G2599&lt;nr_MStartP,$S2599,$T2587*(1+IF($G2599&lt;nr_MStartP1,$M$2560,$N$2560))))</f>
        <v/>
      </c>
      <c r="U2599" s="208">
        <f>IF($L$2560,$T2599,$N2599)</f>
        <v/>
      </c>
    </row>
    <row r="2600">
      <c r="A2600" s="145" t="n">
        <v>38</v>
      </c>
      <c r="B2600" s="204">
        <f>EDATE($B2599,1)</f>
        <v/>
      </c>
      <c r="C2600" s="205">
        <f>EOMONTH($B2600,0)</f>
        <v/>
      </c>
      <c r="D2600" s="201">
        <f>$C2600-$B2600+1</f>
        <v/>
      </c>
      <c r="E2600" s="201">
        <f>MONTH($B2600)</f>
        <v/>
      </c>
      <c r="F2600" s="235">
        <f>($B2600+$C2600+1)/2</f>
        <v/>
      </c>
      <c r="G2600" s="201">
        <f>YEAR($B2600)*12+MONTH($B2600)-1</f>
        <v/>
      </c>
      <c r="H2600" s="207">
        <f>IF(OR(nr_SeasonOn="OFF",$D$2560=0,$E$2560=0),1,12*INDEX(se_block,$D$2560,$E2600)/$E$2560)</f>
        <v/>
      </c>
      <c r="I2600" s="208">
        <f>EXP(SUMPRODUCT((rl_eff&lt;$B2600)*(rl_key=$A$2560)*rl_ln1p))</f>
        <v/>
      </c>
      <c r="J2600" s="208">
        <f>EXP(SUMPRODUCT((rl_eff&lt;=$C2600)*(rl_key=$A$2560)*rl_ln1p))</f>
        <v/>
      </c>
      <c r="K2600" s="201">
        <f>COUNTIFS(rl_key,$A$2560,rl_eff,"&gt;="&amp;$B2600,rl_eff,"&lt;="&amp;$C2600)</f>
        <v/>
      </c>
      <c r="L2600" s="201">
        <f>SUMIFS(rl_daysafter,rl_key,$A$2560,rl_effmonth,$B2600,rl_first,1)</f>
        <v/>
      </c>
      <c r="M2600" s="209">
        <f>IF($K2600=0,0,MIN(1,$L2600/$D2600))</f>
        <v/>
      </c>
      <c r="N2600" s="208">
        <f>IF($K2600=0,$J2600,(1-$M2600)*$I2600+$M2600*$J2600)</f>
        <v/>
      </c>
      <c r="O2600" s="209">
        <f>IF($F2600&lt;$B$2561,$E$2561+$I$2561*($F2600-$A$2561),IF($F2600&lt;$C$2561,$F$2561+$J$2561*($F2600-$B$2561),$G$2561+$K$2561*($F2600-$C$2561)))</f>
        <v/>
      </c>
      <c r="P2600" s="208">
        <f>MIN(1,MAX(0,(nr_MEndPm1-$G2600+0.5)/$C$2560))-MIN(1,MAX(0,(nr_MStartPm1-1-$G2600+0.5)/$C$2560))</f>
        <v/>
      </c>
      <c r="Q2600" s="208">
        <f>MIN(1,MAX(0,(nr_MEndP-$G2600+0.5)/$C$2560))-MIN(1,MAX(0,(nr_MStartP-1-$G2600+0.5)/$C$2560))</f>
        <v/>
      </c>
      <c r="R2600" s="208">
        <f>MIN(1,MAX(0,(nr_MEndP1-$G2600+0.5)/$C$2560))-MIN(1,MAX(0,(nr_MStartP1-1-$G2600+0.5)/$C$2560))</f>
        <v/>
      </c>
      <c r="S2600" s="208">
        <f>IF($L$2560,$N2600*IF($O$2560=1,$O2600/$F$2560,1),"")</f>
        <v/>
      </c>
      <c r="T2600" s="208">
        <f>IF(NOT($L$2560),"",IF($G2600&lt;nr_MStartP,$S2600,$T2588*(1+IF($G2600&lt;nr_MStartP1,$M$2560,$N$2560))))</f>
        <v/>
      </c>
      <c r="U2600" s="208">
        <f>IF($L$2560,$T2600,$N2600)</f>
        <v/>
      </c>
    </row>
    <row r="2601">
      <c r="A2601" s="145" t="n">
        <v>39</v>
      </c>
      <c r="B2601" s="204">
        <f>EDATE($B2600,1)</f>
        <v/>
      </c>
      <c r="C2601" s="205">
        <f>EOMONTH($B2601,0)</f>
        <v/>
      </c>
      <c r="D2601" s="201">
        <f>$C2601-$B2601+1</f>
        <v/>
      </c>
      <c r="E2601" s="201">
        <f>MONTH($B2601)</f>
        <v/>
      </c>
      <c r="F2601" s="235">
        <f>($B2601+$C2601+1)/2</f>
        <v/>
      </c>
      <c r="G2601" s="201">
        <f>YEAR($B2601)*12+MONTH($B2601)-1</f>
        <v/>
      </c>
      <c r="H2601" s="207">
        <f>IF(OR(nr_SeasonOn="OFF",$D$2560=0,$E$2560=0),1,12*INDEX(se_block,$D$2560,$E2601)/$E$2560)</f>
        <v/>
      </c>
      <c r="I2601" s="208">
        <f>EXP(SUMPRODUCT((rl_eff&lt;$B2601)*(rl_key=$A$2560)*rl_ln1p))</f>
        <v/>
      </c>
      <c r="J2601" s="208">
        <f>EXP(SUMPRODUCT((rl_eff&lt;=$C2601)*(rl_key=$A$2560)*rl_ln1p))</f>
        <v/>
      </c>
      <c r="K2601" s="201">
        <f>COUNTIFS(rl_key,$A$2560,rl_eff,"&gt;="&amp;$B2601,rl_eff,"&lt;="&amp;$C2601)</f>
        <v/>
      </c>
      <c r="L2601" s="201">
        <f>SUMIFS(rl_daysafter,rl_key,$A$2560,rl_effmonth,$B2601,rl_first,1)</f>
        <v/>
      </c>
      <c r="M2601" s="209">
        <f>IF($K2601=0,0,MIN(1,$L2601/$D2601))</f>
        <v/>
      </c>
      <c r="N2601" s="208">
        <f>IF($K2601=0,$J2601,(1-$M2601)*$I2601+$M2601*$J2601)</f>
        <v/>
      </c>
      <c r="O2601" s="209">
        <f>IF($F2601&lt;$B$2561,$E$2561+$I$2561*($F2601-$A$2561),IF($F2601&lt;$C$2561,$F$2561+$J$2561*($F2601-$B$2561),$G$2561+$K$2561*($F2601-$C$2561)))</f>
        <v/>
      </c>
      <c r="P2601" s="208">
        <f>MIN(1,MAX(0,(nr_MEndPm1-$G2601+0.5)/$C$2560))-MIN(1,MAX(0,(nr_MStartPm1-1-$G2601+0.5)/$C$2560))</f>
        <v/>
      </c>
      <c r="Q2601" s="208">
        <f>MIN(1,MAX(0,(nr_MEndP-$G2601+0.5)/$C$2560))-MIN(1,MAX(0,(nr_MStartP-1-$G2601+0.5)/$C$2560))</f>
        <v/>
      </c>
      <c r="R2601" s="208">
        <f>MIN(1,MAX(0,(nr_MEndP1-$G2601+0.5)/$C$2560))-MIN(1,MAX(0,(nr_MStartP1-1-$G2601+0.5)/$C$2560))</f>
        <v/>
      </c>
      <c r="S2601" s="208">
        <f>IF($L$2560,$N2601*IF($O$2560=1,$O2601/$F$2560,1),"")</f>
        <v/>
      </c>
      <c r="T2601" s="208">
        <f>IF(NOT($L$2560),"",IF($G2601&lt;nr_MStartP,$S2601,$T2589*(1+IF($G2601&lt;nr_MStartP1,$M$2560,$N$2560))))</f>
        <v/>
      </c>
      <c r="U2601" s="208">
        <f>IF($L$2560,$T2601,$N2601)</f>
        <v/>
      </c>
    </row>
    <row r="2602">
      <c r="A2602" s="145" t="n">
        <v>40</v>
      </c>
      <c r="B2602" s="204">
        <f>EDATE($B2601,1)</f>
        <v/>
      </c>
      <c r="C2602" s="205">
        <f>EOMONTH($B2602,0)</f>
        <v/>
      </c>
      <c r="D2602" s="201">
        <f>$C2602-$B2602+1</f>
        <v/>
      </c>
      <c r="E2602" s="201">
        <f>MONTH($B2602)</f>
        <v/>
      </c>
      <c r="F2602" s="235">
        <f>($B2602+$C2602+1)/2</f>
        <v/>
      </c>
      <c r="G2602" s="201">
        <f>YEAR($B2602)*12+MONTH($B2602)-1</f>
        <v/>
      </c>
      <c r="H2602" s="207">
        <f>IF(OR(nr_SeasonOn="OFF",$D$2560=0,$E$2560=0),1,12*INDEX(se_block,$D$2560,$E2602)/$E$2560)</f>
        <v/>
      </c>
      <c r="I2602" s="208">
        <f>EXP(SUMPRODUCT((rl_eff&lt;$B2602)*(rl_key=$A$2560)*rl_ln1p))</f>
        <v/>
      </c>
      <c r="J2602" s="208">
        <f>EXP(SUMPRODUCT((rl_eff&lt;=$C2602)*(rl_key=$A$2560)*rl_ln1p))</f>
        <v/>
      </c>
      <c r="K2602" s="201">
        <f>COUNTIFS(rl_key,$A$2560,rl_eff,"&gt;="&amp;$B2602,rl_eff,"&lt;="&amp;$C2602)</f>
        <v/>
      </c>
      <c r="L2602" s="201">
        <f>SUMIFS(rl_daysafter,rl_key,$A$2560,rl_effmonth,$B2602,rl_first,1)</f>
        <v/>
      </c>
      <c r="M2602" s="209">
        <f>IF($K2602=0,0,MIN(1,$L2602/$D2602))</f>
        <v/>
      </c>
      <c r="N2602" s="208">
        <f>IF($K2602=0,$J2602,(1-$M2602)*$I2602+$M2602*$J2602)</f>
        <v/>
      </c>
      <c r="O2602" s="209">
        <f>IF($F2602&lt;$B$2561,$E$2561+$I$2561*($F2602-$A$2561),IF($F2602&lt;$C$2561,$F$2561+$J$2561*($F2602-$B$2561),$G$2561+$K$2561*($F2602-$C$2561)))</f>
        <v/>
      </c>
      <c r="P2602" s="208">
        <f>MIN(1,MAX(0,(nr_MEndPm1-$G2602+0.5)/$C$2560))-MIN(1,MAX(0,(nr_MStartPm1-1-$G2602+0.5)/$C$2560))</f>
        <v/>
      </c>
      <c r="Q2602" s="208">
        <f>MIN(1,MAX(0,(nr_MEndP-$G2602+0.5)/$C$2560))-MIN(1,MAX(0,(nr_MStartP-1-$G2602+0.5)/$C$2560))</f>
        <v/>
      </c>
      <c r="R2602" s="208">
        <f>MIN(1,MAX(0,(nr_MEndP1-$G2602+0.5)/$C$2560))-MIN(1,MAX(0,(nr_MStartP1-1-$G2602+0.5)/$C$2560))</f>
        <v/>
      </c>
      <c r="S2602" s="208">
        <f>IF($L$2560,$N2602*IF($O$2560=1,$O2602/$F$2560,1),"")</f>
        <v/>
      </c>
      <c r="T2602" s="208">
        <f>IF(NOT($L$2560),"",IF($G2602&lt;nr_MStartP,$S2602,$T2590*(1+IF($G2602&lt;nr_MStartP1,$M$2560,$N$2560))))</f>
        <v/>
      </c>
      <c r="U2602" s="208">
        <f>IF($L$2560,$T2602,$N2602)</f>
        <v/>
      </c>
    </row>
    <row r="2603">
      <c r="A2603" s="145" t="n">
        <v>41</v>
      </c>
      <c r="B2603" s="204">
        <f>EDATE($B2602,1)</f>
        <v/>
      </c>
      <c r="C2603" s="205">
        <f>EOMONTH($B2603,0)</f>
        <v/>
      </c>
      <c r="D2603" s="201">
        <f>$C2603-$B2603+1</f>
        <v/>
      </c>
      <c r="E2603" s="201">
        <f>MONTH($B2603)</f>
        <v/>
      </c>
      <c r="F2603" s="235">
        <f>($B2603+$C2603+1)/2</f>
        <v/>
      </c>
      <c r="G2603" s="201">
        <f>YEAR($B2603)*12+MONTH($B2603)-1</f>
        <v/>
      </c>
      <c r="H2603" s="207">
        <f>IF(OR(nr_SeasonOn="OFF",$D$2560=0,$E$2560=0),1,12*INDEX(se_block,$D$2560,$E2603)/$E$2560)</f>
        <v/>
      </c>
      <c r="I2603" s="208">
        <f>EXP(SUMPRODUCT((rl_eff&lt;$B2603)*(rl_key=$A$2560)*rl_ln1p))</f>
        <v/>
      </c>
      <c r="J2603" s="208">
        <f>EXP(SUMPRODUCT((rl_eff&lt;=$C2603)*(rl_key=$A$2560)*rl_ln1p))</f>
        <v/>
      </c>
      <c r="K2603" s="201">
        <f>COUNTIFS(rl_key,$A$2560,rl_eff,"&gt;="&amp;$B2603,rl_eff,"&lt;="&amp;$C2603)</f>
        <v/>
      </c>
      <c r="L2603" s="201">
        <f>SUMIFS(rl_daysafter,rl_key,$A$2560,rl_effmonth,$B2603,rl_first,1)</f>
        <v/>
      </c>
      <c r="M2603" s="209">
        <f>IF($K2603=0,0,MIN(1,$L2603/$D2603))</f>
        <v/>
      </c>
      <c r="N2603" s="208">
        <f>IF($K2603=0,$J2603,(1-$M2603)*$I2603+$M2603*$J2603)</f>
        <v/>
      </c>
      <c r="O2603" s="209">
        <f>IF($F2603&lt;$B$2561,$E$2561+$I$2561*($F2603-$A$2561),IF($F2603&lt;$C$2561,$F$2561+$J$2561*($F2603-$B$2561),$G$2561+$K$2561*($F2603-$C$2561)))</f>
        <v/>
      </c>
      <c r="P2603" s="208">
        <f>MIN(1,MAX(0,(nr_MEndPm1-$G2603+0.5)/$C$2560))-MIN(1,MAX(0,(nr_MStartPm1-1-$G2603+0.5)/$C$2560))</f>
        <v/>
      </c>
      <c r="Q2603" s="208">
        <f>MIN(1,MAX(0,(nr_MEndP-$G2603+0.5)/$C$2560))-MIN(1,MAX(0,(nr_MStartP-1-$G2603+0.5)/$C$2560))</f>
        <v/>
      </c>
      <c r="R2603" s="208">
        <f>MIN(1,MAX(0,(nr_MEndP1-$G2603+0.5)/$C$2560))-MIN(1,MAX(0,(nr_MStartP1-1-$G2603+0.5)/$C$2560))</f>
        <v/>
      </c>
      <c r="S2603" s="208">
        <f>IF($L$2560,$N2603*IF($O$2560=1,$O2603/$F$2560,1),"")</f>
        <v/>
      </c>
      <c r="T2603" s="208">
        <f>IF(NOT($L$2560),"",IF($G2603&lt;nr_MStartP,$S2603,$T2591*(1+IF($G2603&lt;nr_MStartP1,$M$2560,$N$2560))))</f>
        <v/>
      </c>
      <c r="U2603" s="208">
        <f>IF($L$2560,$T2603,$N2603)</f>
        <v/>
      </c>
    </row>
    <row r="2604">
      <c r="A2604" s="145" t="n">
        <v>42</v>
      </c>
      <c r="B2604" s="204">
        <f>EDATE($B2603,1)</f>
        <v/>
      </c>
      <c r="C2604" s="205">
        <f>EOMONTH($B2604,0)</f>
        <v/>
      </c>
      <c r="D2604" s="201">
        <f>$C2604-$B2604+1</f>
        <v/>
      </c>
      <c r="E2604" s="201">
        <f>MONTH($B2604)</f>
        <v/>
      </c>
      <c r="F2604" s="235">
        <f>($B2604+$C2604+1)/2</f>
        <v/>
      </c>
      <c r="G2604" s="201">
        <f>YEAR($B2604)*12+MONTH($B2604)-1</f>
        <v/>
      </c>
      <c r="H2604" s="207">
        <f>IF(OR(nr_SeasonOn="OFF",$D$2560=0,$E$2560=0),1,12*INDEX(se_block,$D$2560,$E2604)/$E$2560)</f>
        <v/>
      </c>
      <c r="I2604" s="208">
        <f>EXP(SUMPRODUCT((rl_eff&lt;$B2604)*(rl_key=$A$2560)*rl_ln1p))</f>
        <v/>
      </c>
      <c r="J2604" s="208">
        <f>EXP(SUMPRODUCT((rl_eff&lt;=$C2604)*(rl_key=$A$2560)*rl_ln1p))</f>
        <v/>
      </c>
      <c r="K2604" s="201">
        <f>COUNTIFS(rl_key,$A$2560,rl_eff,"&gt;="&amp;$B2604,rl_eff,"&lt;="&amp;$C2604)</f>
        <v/>
      </c>
      <c r="L2604" s="201">
        <f>SUMIFS(rl_daysafter,rl_key,$A$2560,rl_effmonth,$B2604,rl_first,1)</f>
        <v/>
      </c>
      <c r="M2604" s="209">
        <f>IF($K2604=0,0,MIN(1,$L2604/$D2604))</f>
        <v/>
      </c>
      <c r="N2604" s="208">
        <f>IF($K2604=0,$J2604,(1-$M2604)*$I2604+$M2604*$J2604)</f>
        <v/>
      </c>
      <c r="O2604" s="209">
        <f>IF($F2604&lt;$B$2561,$E$2561+$I$2561*($F2604-$A$2561),IF($F2604&lt;$C$2561,$F$2561+$J$2561*($F2604-$B$2561),$G$2561+$K$2561*($F2604-$C$2561)))</f>
        <v/>
      </c>
      <c r="P2604" s="208">
        <f>MIN(1,MAX(0,(nr_MEndPm1-$G2604+0.5)/$C$2560))-MIN(1,MAX(0,(nr_MStartPm1-1-$G2604+0.5)/$C$2560))</f>
        <v/>
      </c>
      <c r="Q2604" s="208">
        <f>MIN(1,MAX(0,(nr_MEndP-$G2604+0.5)/$C$2560))-MIN(1,MAX(0,(nr_MStartP-1-$G2604+0.5)/$C$2560))</f>
        <v/>
      </c>
      <c r="R2604" s="208">
        <f>MIN(1,MAX(0,(nr_MEndP1-$G2604+0.5)/$C$2560))-MIN(1,MAX(0,(nr_MStartP1-1-$G2604+0.5)/$C$2560))</f>
        <v/>
      </c>
      <c r="S2604" s="208">
        <f>IF($L$2560,$N2604*IF($O$2560=1,$O2604/$F$2560,1),"")</f>
        <v/>
      </c>
      <c r="T2604" s="208">
        <f>IF(NOT($L$2560),"",IF($G2604&lt;nr_MStartP,$S2604,$T2592*(1+IF($G2604&lt;nr_MStartP1,$M$2560,$N$2560))))</f>
        <v/>
      </c>
      <c r="U2604" s="208">
        <f>IF($L$2560,$T2604,$N2604)</f>
        <v/>
      </c>
    </row>
    <row r="2605">
      <c r="A2605" s="145" t="n">
        <v>43</v>
      </c>
      <c r="B2605" s="204">
        <f>EDATE($B2604,1)</f>
        <v/>
      </c>
      <c r="C2605" s="205">
        <f>EOMONTH($B2605,0)</f>
        <v/>
      </c>
      <c r="D2605" s="201">
        <f>$C2605-$B2605+1</f>
        <v/>
      </c>
      <c r="E2605" s="201">
        <f>MONTH($B2605)</f>
        <v/>
      </c>
      <c r="F2605" s="235">
        <f>($B2605+$C2605+1)/2</f>
        <v/>
      </c>
      <c r="G2605" s="201">
        <f>YEAR($B2605)*12+MONTH($B2605)-1</f>
        <v/>
      </c>
      <c r="H2605" s="207">
        <f>IF(OR(nr_SeasonOn="OFF",$D$2560=0,$E$2560=0),1,12*INDEX(se_block,$D$2560,$E2605)/$E$2560)</f>
        <v/>
      </c>
      <c r="I2605" s="208">
        <f>EXP(SUMPRODUCT((rl_eff&lt;$B2605)*(rl_key=$A$2560)*rl_ln1p))</f>
        <v/>
      </c>
      <c r="J2605" s="208">
        <f>EXP(SUMPRODUCT((rl_eff&lt;=$C2605)*(rl_key=$A$2560)*rl_ln1p))</f>
        <v/>
      </c>
      <c r="K2605" s="201">
        <f>COUNTIFS(rl_key,$A$2560,rl_eff,"&gt;="&amp;$B2605,rl_eff,"&lt;="&amp;$C2605)</f>
        <v/>
      </c>
      <c r="L2605" s="201">
        <f>SUMIFS(rl_daysafter,rl_key,$A$2560,rl_effmonth,$B2605,rl_first,1)</f>
        <v/>
      </c>
      <c r="M2605" s="209">
        <f>IF($K2605=0,0,MIN(1,$L2605/$D2605))</f>
        <v/>
      </c>
      <c r="N2605" s="208">
        <f>IF($K2605=0,$J2605,(1-$M2605)*$I2605+$M2605*$J2605)</f>
        <v/>
      </c>
      <c r="O2605" s="209">
        <f>IF($F2605&lt;$B$2561,$E$2561+$I$2561*($F2605-$A$2561),IF($F2605&lt;$C$2561,$F$2561+$J$2561*($F2605-$B$2561),$G$2561+$K$2561*($F2605-$C$2561)))</f>
        <v/>
      </c>
      <c r="P2605" s="208">
        <f>MIN(1,MAX(0,(nr_MEndPm1-$G2605+0.5)/$C$2560))-MIN(1,MAX(0,(nr_MStartPm1-1-$G2605+0.5)/$C$2560))</f>
        <v/>
      </c>
      <c r="Q2605" s="208">
        <f>MIN(1,MAX(0,(nr_MEndP-$G2605+0.5)/$C$2560))-MIN(1,MAX(0,(nr_MStartP-1-$G2605+0.5)/$C$2560))</f>
        <v/>
      </c>
      <c r="R2605" s="208">
        <f>MIN(1,MAX(0,(nr_MEndP1-$G2605+0.5)/$C$2560))-MIN(1,MAX(0,(nr_MStartP1-1-$G2605+0.5)/$C$2560))</f>
        <v/>
      </c>
      <c r="S2605" s="208">
        <f>IF($L$2560,$N2605*IF($O$2560=1,$O2605/$F$2560,1),"")</f>
        <v/>
      </c>
      <c r="T2605" s="208">
        <f>IF(NOT($L$2560),"",IF($G2605&lt;nr_MStartP,$S2605,$T2593*(1+IF($G2605&lt;nr_MStartP1,$M$2560,$N$2560))))</f>
        <v/>
      </c>
      <c r="U2605" s="208">
        <f>IF($L$2560,$T2605,$N2605)</f>
        <v/>
      </c>
    </row>
    <row r="2606">
      <c r="A2606" s="145" t="n">
        <v>44</v>
      </c>
      <c r="B2606" s="204">
        <f>EDATE($B2605,1)</f>
        <v/>
      </c>
      <c r="C2606" s="205">
        <f>EOMONTH($B2606,0)</f>
        <v/>
      </c>
      <c r="D2606" s="201">
        <f>$C2606-$B2606+1</f>
        <v/>
      </c>
      <c r="E2606" s="201">
        <f>MONTH($B2606)</f>
        <v/>
      </c>
      <c r="F2606" s="235">
        <f>($B2606+$C2606+1)/2</f>
        <v/>
      </c>
      <c r="G2606" s="201">
        <f>YEAR($B2606)*12+MONTH($B2606)-1</f>
        <v/>
      </c>
      <c r="H2606" s="207">
        <f>IF(OR(nr_SeasonOn="OFF",$D$2560=0,$E$2560=0),1,12*INDEX(se_block,$D$2560,$E2606)/$E$2560)</f>
        <v/>
      </c>
      <c r="I2606" s="208">
        <f>EXP(SUMPRODUCT((rl_eff&lt;$B2606)*(rl_key=$A$2560)*rl_ln1p))</f>
        <v/>
      </c>
      <c r="J2606" s="208">
        <f>EXP(SUMPRODUCT((rl_eff&lt;=$C2606)*(rl_key=$A$2560)*rl_ln1p))</f>
        <v/>
      </c>
      <c r="K2606" s="201">
        <f>COUNTIFS(rl_key,$A$2560,rl_eff,"&gt;="&amp;$B2606,rl_eff,"&lt;="&amp;$C2606)</f>
        <v/>
      </c>
      <c r="L2606" s="201">
        <f>SUMIFS(rl_daysafter,rl_key,$A$2560,rl_effmonth,$B2606,rl_first,1)</f>
        <v/>
      </c>
      <c r="M2606" s="209">
        <f>IF($K2606=0,0,MIN(1,$L2606/$D2606))</f>
        <v/>
      </c>
      <c r="N2606" s="208">
        <f>IF($K2606=0,$J2606,(1-$M2606)*$I2606+$M2606*$J2606)</f>
        <v/>
      </c>
      <c r="O2606" s="209">
        <f>IF($F2606&lt;$B$2561,$E$2561+$I$2561*($F2606-$A$2561),IF($F2606&lt;$C$2561,$F$2561+$J$2561*($F2606-$B$2561),$G$2561+$K$2561*($F2606-$C$2561)))</f>
        <v/>
      </c>
      <c r="P2606" s="208">
        <f>MIN(1,MAX(0,(nr_MEndPm1-$G2606+0.5)/$C$2560))-MIN(1,MAX(0,(nr_MStartPm1-1-$G2606+0.5)/$C$2560))</f>
        <v/>
      </c>
      <c r="Q2606" s="208">
        <f>MIN(1,MAX(0,(nr_MEndP-$G2606+0.5)/$C$2560))-MIN(1,MAX(0,(nr_MStartP-1-$G2606+0.5)/$C$2560))</f>
        <v/>
      </c>
      <c r="R2606" s="208">
        <f>MIN(1,MAX(0,(nr_MEndP1-$G2606+0.5)/$C$2560))-MIN(1,MAX(0,(nr_MStartP1-1-$G2606+0.5)/$C$2560))</f>
        <v/>
      </c>
      <c r="S2606" s="208">
        <f>IF($L$2560,$N2606*IF($O$2560=1,$O2606/$F$2560,1),"")</f>
        <v/>
      </c>
      <c r="T2606" s="208">
        <f>IF(NOT($L$2560),"",IF($G2606&lt;nr_MStartP,$S2606,$T2594*(1+IF($G2606&lt;nr_MStartP1,$M$2560,$N$2560))))</f>
        <v/>
      </c>
      <c r="U2606" s="208">
        <f>IF($L$2560,$T2606,$N2606)</f>
        <v/>
      </c>
    </row>
    <row r="2607">
      <c r="A2607" s="145" t="n">
        <v>45</v>
      </c>
      <c r="B2607" s="204">
        <f>EDATE($B2606,1)</f>
        <v/>
      </c>
      <c r="C2607" s="205">
        <f>EOMONTH($B2607,0)</f>
        <v/>
      </c>
      <c r="D2607" s="201">
        <f>$C2607-$B2607+1</f>
        <v/>
      </c>
      <c r="E2607" s="201">
        <f>MONTH($B2607)</f>
        <v/>
      </c>
      <c r="F2607" s="235">
        <f>($B2607+$C2607+1)/2</f>
        <v/>
      </c>
      <c r="G2607" s="201">
        <f>YEAR($B2607)*12+MONTH($B2607)-1</f>
        <v/>
      </c>
      <c r="H2607" s="207">
        <f>IF(OR(nr_SeasonOn="OFF",$D$2560=0,$E$2560=0),1,12*INDEX(se_block,$D$2560,$E2607)/$E$2560)</f>
        <v/>
      </c>
      <c r="I2607" s="208">
        <f>EXP(SUMPRODUCT((rl_eff&lt;$B2607)*(rl_key=$A$2560)*rl_ln1p))</f>
        <v/>
      </c>
      <c r="J2607" s="208">
        <f>EXP(SUMPRODUCT((rl_eff&lt;=$C2607)*(rl_key=$A$2560)*rl_ln1p))</f>
        <v/>
      </c>
      <c r="K2607" s="201">
        <f>COUNTIFS(rl_key,$A$2560,rl_eff,"&gt;="&amp;$B2607,rl_eff,"&lt;="&amp;$C2607)</f>
        <v/>
      </c>
      <c r="L2607" s="201">
        <f>SUMIFS(rl_daysafter,rl_key,$A$2560,rl_effmonth,$B2607,rl_first,1)</f>
        <v/>
      </c>
      <c r="M2607" s="209">
        <f>IF($K2607=0,0,MIN(1,$L2607/$D2607))</f>
        <v/>
      </c>
      <c r="N2607" s="208">
        <f>IF($K2607=0,$J2607,(1-$M2607)*$I2607+$M2607*$J2607)</f>
        <v/>
      </c>
      <c r="O2607" s="209">
        <f>IF($F2607&lt;$B$2561,$E$2561+$I$2561*($F2607-$A$2561),IF($F2607&lt;$C$2561,$F$2561+$J$2561*($F2607-$B$2561),$G$2561+$K$2561*($F2607-$C$2561)))</f>
        <v/>
      </c>
      <c r="P2607" s="208">
        <f>MIN(1,MAX(0,(nr_MEndPm1-$G2607+0.5)/$C$2560))-MIN(1,MAX(0,(nr_MStartPm1-1-$G2607+0.5)/$C$2560))</f>
        <v/>
      </c>
      <c r="Q2607" s="208">
        <f>MIN(1,MAX(0,(nr_MEndP-$G2607+0.5)/$C$2560))-MIN(1,MAX(0,(nr_MStartP-1-$G2607+0.5)/$C$2560))</f>
        <v/>
      </c>
      <c r="R2607" s="208">
        <f>MIN(1,MAX(0,(nr_MEndP1-$G2607+0.5)/$C$2560))-MIN(1,MAX(0,(nr_MStartP1-1-$G2607+0.5)/$C$2560))</f>
        <v/>
      </c>
      <c r="S2607" s="208">
        <f>IF($L$2560,$N2607*IF($O$2560=1,$O2607/$F$2560,1),"")</f>
        <v/>
      </c>
      <c r="T2607" s="208">
        <f>IF(NOT($L$2560),"",IF($G2607&lt;nr_MStartP,$S2607,$T2595*(1+IF($G2607&lt;nr_MStartP1,$M$2560,$N$2560))))</f>
        <v/>
      </c>
      <c r="U2607" s="208">
        <f>IF($L$2560,$T2607,$N2607)</f>
        <v/>
      </c>
    </row>
    <row r="2608">
      <c r="A2608" s="145" t="n">
        <v>46</v>
      </c>
      <c r="B2608" s="204">
        <f>EDATE($B2607,1)</f>
        <v/>
      </c>
      <c r="C2608" s="205">
        <f>EOMONTH($B2608,0)</f>
        <v/>
      </c>
      <c r="D2608" s="201">
        <f>$C2608-$B2608+1</f>
        <v/>
      </c>
      <c r="E2608" s="201">
        <f>MONTH($B2608)</f>
        <v/>
      </c>
      <c r="F2608" s="235">
        <f>($B2608+$C2608+1)/2</f>
        <v/>
      </c>
      <c r="G2608" s="201">
        <f>YEAR($B2608)*12+MONTH($B2608)-1</f>
        <v/>
      </c>
      <c r="H2608" s="207">
        <f>IF(OR(nr_SeasonOn="OFF",$D$2560=0,$E$2560=0),1,12*INDEX(se_block,$D$2560,$E2608)/$E$2560)</f>
        <v/>
      </c>
      <c r="I2608" s="208">
        <f>EXP(SUMPRODUCT((rl_eff&lt;$B2608)*(rl_key=$A$2560)*rl_ln1p))</f>
        <v/>
      </c>
      <c r="J2608" s="208">
        <f>EXP(SUMPRODUCT((rl_eff&lt;=$C2608)*(rl_key=$A$2560)*rl_ln1p))</f>
        <v/>
      </c>
      <c r="K2608" s="201">
        <f>COUNTIFS(rl_key,$A$2560,rl_eff,"&gt;="&amp;$B2608,rl_eff,"&lt;="&amp;$C2608)</f>
        <v/>
      </c>
      <c r="L2608" s="201">
        <f>SUMIFS(rl_daysafter,rl_key,$A$2560,rl_effmonth,$B2608,rl_first,1)</f>
        <v/>
      </c>
      <c r="M2608" s="209">
        <f>IF($K2608=0,0,MIN(1,$L2608/$D2608))</f>
        <v/>
      </c>
      <c r="N2608" s="208">
        <f>IF($K2608=0,$J2608,(1-$M2608)*$I2608+$M2608*$J2608)</f>
        <v/>
      </c>
      <c r="O2608" s="209">
        <f>IF($F2608&lt;$B$2561,$E$2561+$I$2561*($F2608-$A$2561),IF($F2608&lt;$C$2561,$F$2561+$J$2561*($F2608-$B$2561),$G$2561+$K$2561*($F2608-$C$2561)))</f>
        <v/>
      </c>
      <c r="P2608" s="208">
        <f>MIN(1,MAX(0,(nr_MEndPm1-$G2608+0.5)/$C$2560))-MIN(1,MAX(0,(nr_MStartPm1-1-$G2608+0.5)/$C$2560))</f>
        <v/>
      </c>
      <c r="Q2608" s="208">
        <f>MIN(1,MAX(0,(nr_MEndP-$G2608+0.5)/$C$2560))-MIN(1,MAX(0,(nr_MStartP-1-$G2608+0.5)/$C$2560))</f>
        <v/>
      </c>
      <c r="R2608" s="208">
        <f>MIN(1,MAX(0,(nr_MEndP1-$G2608+0.5)/$C$2560))-MIN(1,MAX(0,(nr_MStartP1-1-$G2608+0.5)/$C$2560))</f>
        <v/>
      </c>
      <c r="S2608" s="208">
        <f>IF($L$2560,$N2608*IF($O$2560=1,$O2608/$F$2560,1),"")</f>
        <v/>
      </c>
      <c r="T2608" s="208">
        <f>IF(NOT($L$2560),"",IF($G2608&lt;nr_MStartP,$S2608,$T2596*(1+IF($G2608&lt;nr_MStartP1,$M$2560,$N$2560))))</f>
        <v/>
      </c>
      <c r="U2608" s="208">
        <f>IF($L$2560,$T2608,$N2608)</f>
        <v/>
      </c>
    </row>
    <row r="2609">
      <c r="A2609" s="145" t="n">
        <v>47</v>
      </c>
      <c r="B2609" s="204">
        <f>EDATE($B2608,1)</f>
        <v/>
      </c>
      <c r="C2609" s="205">
        <f>EOMONTH($B2609,0)</f>
        <v/>
      </c>
      <c r="D2609" s="201">
        <f>$C2609-$B2609+1</f>
        <v/>
      </c>
      <c r="E2609" s="201">
        <f>MONTH($B2609)</f>
        <v/>
      </c>
      <c r="F2609" s="235">
        <f>($B2609+$C2609+1)/2</f>
        <v/>
      </c>
      <c r="G2609" s="201">
        <f>YEAR($B2609)*12+MONTH($B2609)-1</f>
        <v/>
      </c>
      <c r="H2609" s="207">
        <f>IF(OR(nr_SeasonOn="OFF",$D$2560=0,$E$2560=0),1,12*INDEX(se_block,$D$2560,$E2609)/$E$2560)</f>
        <v/>
      </c>
      <c r="I2609" s="208">
        <f>EXP(SUMPRODUCT((rl_eff&lt;$B2609)*(rl_key=$A$2560)*rl_ln1p))</f>
        <v/>
      </c>
      <c r="J2609" s="208">
        <f>EXP(SUMPRODUCT((rl_eff&lt;=$C2609)*(rl_key=$A$2560)*rl_ln1p))</f>
        <v/>
      </c>
      <c r="K2609" s="201">
        <f>COUNTIFS(rl_key,$A$2560,rl_eff,"&gt;="&amp;$B2609,rl_eff,"&lt;="&amp;$C2609)</f>
        <v/>
      </c>
      <c r="L2609" s="201">
        <f>SUMIFS(rl_daysafter,rl_key,$A$2560,rl_effmonth,$B2609,rl_first,1)</f>
        <v/>
      </c>
      <c r="M2609" s="209">
        <f>IF($K2609=0,0,MIN(1,$L2609/$D2609))</f>
        <v/>
      </c>
      <c r="N2609" s="208">
        <f>IF($K2609=0,$J2609,(1-$M2609)*$I2609+$M2609*$J2609)</f>
        <v/>
      </c>
      <c r="O2609" s="209">
        <f>IF($F2609&lt;$B$2561,$E$2561+$I$2561*($F2609-$A$2561),IF($F2609&lt;$C$2561,$F$2561+$J$2561*($F2609-$B$2561),$G$2561+$K$2561*($F2609-$C$2561)))</f>
        <v/>
      </c>
      <c r="P2609" s="208">
        <f>MIN(1,MAX(0,(nr_MEndPm1-$G2609+0.5)/$C$2560))-MIN(1,MAX(0,(nr_MStartPm1-1-$G2609+0.5)/$C$2560))</f>
        <v/>
      </c>
      <c r="Q2609" s="208">
        <f>MIN(1,MAX(0,(nr_MEndP-$G2609+0.5)/$C$2560))-MIN(1,MAX(0,(nr_MStartP-1-$G2609+0.5)/$C$2560))</f>
        <v/>
      </c>
      <c r="R2609" s="208">
        <f>MIN(1,MAX(0,(nr_MEndP1-$G2609+0.5)/$C$2560))-MIN(1,MAX(0,(nr_MStartP1-1-$G2609+0.5)/$C$2560))</f>
        <v/>
      </c>
      <c r="S2609" s="208">
        <f>IF($L$2560,$N2609*IF($O$2560=1,$O2609/$F$2560,1),"")</f>
        <v/>
      </c>
      <c r="T2609" s="208">
        <f>IF(NOT($L$2560),"",IF($G2609&lt;nr_MStartP,$S2609,$T2597*(1+IF($G2609&lt;nr_MStartP1,$M$2560,$N$2560))))</f>
        <v/>
      </c>
      <c r="U2609" s="208">
        <f>IF($L$2560,$T2609,$N2609)</f>
        <v/>
      </c>
    </row>
    <row r="2610">
      <c r="A2610" s="145" t="n">
        <v>48</v>
      </c>
      <c r="B2610" s="204">
        <f>EDATE($B2609,1)</f>
        <v/>
      </c>
      <c r="C2610" s="205">
        <f>EOMONTH($B2610,0)</f>
        <v/>
      </c>
      <c r="D2610" s="201">
        <f>$C2610-$B2610+1</f>
        <v/>
      </c>
      <c r="E2610" s="201">
        <f>MONTH($B2610)</f>
        <v/>
      </c>
      <c r="F2610" s="235">
        <f>($B2610+$C2610+1)/2</f>
        <v/>
      </c>
      <c r="G2610" s="201">
        <f>YEAR($B2610)*12+MONTH($B2610)-1</f>
        <v/>
      </c>
      <c r="H2610" s="207">
        <f>IF(OR(nr_SeasonOn="OFF",$D$2560=0,$E$2560=0),1,12*INDEX(se_block,$D$2560,$E2610)/$E$2560)</f>
        <v/>
      </c>
      <c r="I2610" s="208">
        <f>EXP(SUMPRODUCT((rl_eff&lt;$B2610)*(rl_key=$A$2560)*rl_ln1p))</f>
        <v/>
      </c>
      <c r="J2610" s="208">
        <f>EXP(SUMPRODUCT((rl_eff&lt;=$C2610)*(rl_key=$A$2560)*rl_ln1p))</f>
        <v/>
      </c>
      <c r="K2610" s="201">
        <f>COUNTIFS(rl_key,$A$2560,rl_eff,"&gt;="&amp;$B2610,rl_eff,"&lt;="&amp;$C2610)</f>
        <v/>
      </c>
      <c r="L2610" s="201">
        <f>SUMIFS(rl_daysafter,rl_key,$A$2560,rl_effmonth,$B2610,rl_first,1)</f>
        <v/>
      </c>
      <c r="M2610" s="209">
        <f>IF($K2610=0,0,MIN(1,$L2610/$D2610))</f>
        <v/>
      </c>
      <c r="N2610" s="208">
        <f>IF($K2610=0,$J2610,(1-$M2610)*$I2610+$M2610*$J2610)</f>
        <v/>
      </c>
      <c r="O2610" s="209">
        <f>IF($F2610&lt;$B$2561,$E$2561+$I$2561*($F2610-$A$2561),IF($F2610&lt;$C$2561,$F$2561+$J$2561*($F2610-$B$2561),$G$2561+$K$2561*($F2610-$C$2561)))</f>
        <v/>
      </c>
      <c r="P2610" s="208">
        <f>MIN(1,MAX(0,(nr_MEndPm1-$G2610+0.5)/$C$2560))-MIN(1,MAX(0,(nr_MStartPm1-1-$G2610+0.5)/$C$2560))</f>
        <v/>
      </c>
      <c r="Q2610" s="208">
        <f>MIN(1,MAX(0,(nr_MEndP-$G2610+0.5)/$C$2560))-MIN(1,MAX(0,(nr_MStartP-1-$G2610+0.5)/$C$2560))</f>
        <v/>
      </c>
      <c r="R2610" s="208">
        <f>MIN(1,MAX(0,(nr_MEndP1-$G2610+0.5)/$C$2560))-MIN(1,MAX(0,(nr_MStartP1-1-$G2610+0.5)/$C$2560))</f>
        <v/>
      </c>
      <c r="S2610" s="208">
        <f>IF($L$2560,$N2610*IF($O$2560=1,$O2610/$F$2560,1),"")</f>
        <v/>
      </c>
      <c r="T2610" s="208">
        <f>IF(NOT($L$2560),"",IF($G2610&lt;nr_MStartP,$S2610,$T2598*(1+IF($G2610&lt;nr_MStartP1,$M$2560,$N$2560))))</f>
        <v/>
      </c>
      <c r="U2610" s="208">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184">
        <f>SUMPRODUCT($H$2563:$H$2610,$Q$2563:$Q$2610,$O$2563:$O$2610)/SUMPRODUCT($H$2563:$H$2610,$Q$2563:$Q$2610)</f>
        <v/>
      </c>
      <c r="G2611" s="184">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184">
        <f>IF(N(INDEX(lr_mind,48))=0,1,INDEX(lr_mind,48))</f>
        <v/>
      </c>
      <c r="G2614" s="184">
        <f>IF(N(INDEX(lr_m0,48))=0,1,INDEX(lr_m0,48))</f>
        <v/>
      </c>
      <c r="H2614" s="73">
        <f>IF(N(INDEX(lr_m0asof,48))=0,DATE(nr_PlanYear-1,10,1),INDEX(lr_m0asof,48))</f>
        <v/>
      </c>
      <c r="I2614" s="184">
        <f>IF(N(INDEX(lr_m1,48))=0,1,INDEX(lr_m1,48))</f>
        <v/>
      </c>
      <c r="J2614" s="184">
        <f>INDEX(lr_mprior,48)</f>
        <v/>
      </c>
      <c r="K2614" s="184">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145" t="n">
        <v>1</v>
      </c>
      <c r="B2617" s="204">
        <f>DATE(nr_PlanYear-2,1,1)</f>
        <v/>
      </c>
      <c r="C2617" s="205">
        <f>EOMONTH($B2617,0)</f>
        <v/>
      </c>
      <c r="D2617" s="201">
        <f>$C2617-$B2617+1</f>
        <v/>
      </c>
      <c r="E2617" s="201">
        <f>MONTH($B2617)</f>
        <v/>
      </c>
      <c r="F2617" s="235">
        <f>($B2617+$C2617+1)/2</f>
        <v/>
      </c>
      <c r="G2617" s="201">
        <f>YEAR($B2617)*12+MONTH($B2617)-1</f>
        <v/>
      </c>
      <c r="H2617" s="207">
        <f>IF(OR(nr_SeasonOn="OFF",$D$2614=0,$E$2614=0),1,12*INDEX(se_block,$D$2614,$E2617)/$E$2614)</f>
        <v/>
      </c>
      <c r="I2617" s="208">
        <f>EXP(SUMPRODUCT((rl_eff&lt;$B2617)*(rl_key=$A$2614)*rl_ln1p))</f>
        <v/>
      </c>
      <c r="J2617" s="208">
        <f>EXP(SUMPRODUCT((rl_eff&lt;=$C2617)*(rl_key=$A$2614)*rl_ln1p))</f>
        <v/>
      </c>
      <c r="K2617" s="201">
        <f>COUNTIFS(rl_key,$A$2614,rl_eff,"&gt;="&amp;$B2617,rl_eff,"&lt;="&amp;$C2617)</f>
        <v/>
      </c>
      <c r="L2617" s="201">
        <f>SUMIFS(rl_daysafter,rl_key,$A$2614,rl_effmonth,$B2617,rl_first,1)</f>
        <v/>
      </c>
      <c r="M2617" s="209">
        <f>IF($K2617=0,0,MIN(1,$L2617/$D2617))</f>
        <v/>
      </c>
      <c r="N2617" s="208">
        <f>IF($K2617=0,$J2617,(1-$M2617)*$I2617+$M2617*$J2617)</f>
        <v/>
      </c>
      <c r="O2617" s="209">
        <f>IF($F2617&lt;$B$2615,$E$2615+$I$2615*($F2617-$A$2615),IF($F2617&lt;$C$2615,$F$2615+$J$2615*($F2617-$B$2615),$G$2615+$K$2615*($F2617-$C$2615)))</f>
        <v/>
      </c>
      <c r="P2617" s="208">
        <f>MIN(1,MAX(0,(nr_MEndPm1-$G2617+0.5)/$C$2614))-MIN(1,MAX(0,(nr_MStartPm1-1-$G2617+0.5)/$C$2614))</f>
        <v/>
      </c>
      <c r="Q2617" s="208">
        <f>MIN(1,MAX(0,(nr_MEndP-$G2617+0.5)/$C$2614))-MIN(1,MAX(0,(nr_MStartP-1-$G2617+0.5)/$C$2614))</f>
        <v/>
      </c>
      <c r="R2617" s="208">
        <f>MIN(1,MAX(0,(nr_MEndP1-$G2617+0.5)/$C$2614))-MIN(1,MAX(0,(nr_MStartP1-1-$G2617+0.5)/$C$2614))</f>
        <v/>
      </c>
      <c r="S2617" s="208">
        <f>IF($L$2614,$N2617*IF($O$2614=1,$O2617/$F$2614,1),"")</f>
        <v/>
      </c>
      <c r="T2617" s="208">
        <f>IF(NOT($L$2614),"",IF($G2617&lt;nr_MStartP,$S2617,$T2605*(1+IF($G2617&lt;nr_MStartP1,$M$2614,$N$2614))))</f>
        <v/>
      </c>
      <c r="U2617" s="208">
        <f>IF($L$2614,$T2617,$N2617)</f>
        <v/>
      </c>
    </row>
    <row r="2618">
      <c r="A2618" s="145" t="n">
        <v>2</v>
      </c>
      <c r="B2618" s="204">
        <f>EDATE($B2617,1)</f>
        <v/>
      </c>
      <c r="C2618" s="205">
        <f>EOMONTH($B2618,0)</f>
        <v/>
      </c>
      <c r="D2618" s="201">
        <f>$C2618-$B2618+1</f>
        <v/>
      </c>
      <c r="E2618" s="201">
        <f>MONTH($B2618)</f>
        <v/>
      </c>
      <c r="F2618" s="235">
        <f>($B2618+$C2618+1)/2</f>
        <v/>
      </c>
      <c r="G2618" s="201">
        <f>YEAR($B2618)*12+MONTH($B2618)-1</f>
        <v/>
      </c>
      <c r="H2618" s="207">
        <f>IF(OR(nr_SeasonOn="OFF",$D$2614=0,$E$2614=0),1,12*INDEX(se_block,$D$2614,$E2618)/$E$2614)</f>
        <v/>
      </c>
      <c r="I2618" s="208">
        <f>EXP(SUMPRODUCT((rl_eff&lt;$B2618)*(rl_key=$A$2614)*rl_ln1p))</f>
        <v/>
      </c>
      <c r="J2618" s="208">
        <f>EXP(SUMPRODUCT((rl_eff&lt;=$C2618)*(rl_key=$A$2614)*rl_ln1p))</f>
        <v/>
      </c>
      <c r="K2618" s="201">
        <f>COUNTIFS(rl_key,$A$2614,rl_eff,"&gt;="&amp;$B2618,rl_eff,"&lt;="&amp;$C2618)</f>
        <v/>
      </c>
      <c r="L2618" s="201">
        <f>SUMIFS(rl_daysafter,rl_key,$A$2614,rl_effmonth,$B2618,rl_first,1)</f>
        <v/>
      </c>
      <c r="M2618" s="209">
        <f>IF($K2618=0,0,MIN(1,$L2618/$D2618))</f>
        <v/>
      </c>
      <c r="N2618" s="208">
        <f>IF($K2618=0,$J2618,(1-$M2618)*$I2618+$M2618*$J2618)</f>
        <v/>
      </c>
      <c r="O2618" s="209">
        <f>IF($F2618&lt;$B$2615,$E$2615+$I$2615*($F2618-$A$2615),IF($F2618&lt;$C$2615,$F$2615+$J$2615*($F2618-$B$2615),$G$2615+$K$2615*($F2618-$C$2615)))</f>
        <v/>
      </c>
      <c r="P2618" s="208">
        <f>MIN(1,MAX(0,(nr_MEndPm1-$G2618+0.5)/$C$2614))-MIN(1,MAX(0,(nr_MStartPm1-1-$G2618+0.5)/$C$2614))</f>
        <v/>
      </c>
      <c r="Q2618" s="208">
        <f>MIN(1,MAX(0,(nr_MEndP-$G2618+0.5)/$C$2614))-MIN(1,MAX(0,(nr_MStartP-1-$G2618+0.5)/$C$2614))</f>
        <v/>
      </c>
      <c r="R2618" s="208">
        <f>MIN(1,MAX(0,(nr_MEndP1-$G2618+0.5)/$C$2614))-MIN(1,MAX(0,(nr_MStartP1-1-$G2618+0.5)/$C$2614))</f>
        <v/>
      </c>
      <c r="S2618" s="208">
        <f>IF($L$2614,$N2618*IF($O$2614=1,$O2618/$F$2614,1),"")</f>
        <v/>
      </c>
      <c r="T2618" s="208">
        <f>IF(NOT($L$2614),"",IF($G2618&lt;nr_MStartP,$S2618,$T2606*(1+IF($G2618&lt;nr_MStartP1,$M$2614,$N$2614))))</f>
        <v/>
      </c>
      <c r="U2618" s="208">
        <f>IF($L$2614,$T2618,$N2618)</f>
        <v/>
      </c>
    </row>
    <row r="2619">
      <c r="A2619" s="145" t="n">
        <v>3</v>
      </c>
      <c r="B2619" s="204">
        <f>EDATE($B2618,1)</f>
        <v/>
      </c>
      <c r="C2619" s="205">
        <f>EOMONTH($B2619,0)</f>
        <v/>
      </c>
      <c r="D2619" s="201">
        <f>$C2619-$B2619+1</f>
        <v/>
      </c>
      <c r="E2619" s="201">
        <f>MONTH($B2619)</f>
        <v/>
      </c>
      <c r="F2619" s="235">
        <f>($B2619+$C2619+1)/2</f>
        <v/>
      </c>
      <c r="G2619" s="201">
        <f>YEAR($B2619)*12+MONTH($B2619)-1</f>
        <v/>
      </c>
      <c r="H2619" s="207">
        <f>IF(OR(nr_SeasonOn="OFF",$D$2614=0,$E$2614=0),1,12*INDEX(se_block,$D$2614,$E2619)/$E$2614)</f>
        <v/>
      </c>
      <c r="I2619" s="208">
        <f>EXP(SUMPRODUCT((rl_eff&lt;$B2619)*(rl_key=$A$2614)*rl_ln1p))</f>
        <v/>
      </c>
      <c r="J2619" s="208">
        <f>EXP(SUMPRODUCT((rl_eff&lt;=$C2619)*(rl_key=$A$2614)*rl_ln1p))</f>
        <v/>
      </c>
      <c r="K2619" s="201">
        <f>COUNTIFS(rl_key,$A$2614,rl_eff,"&gt;="&amp;$B2619,rl_eff,"&lt;="&amp;$C2619)</f>
        <v/>
      </c>
      <c r="L2619" s="201">
        <f>SUMIFS(rl_daysafter,rl_key,$A$2614,rl_effmonth,$B2619,rl_first,1)</f>
        <v/>
      </c>
      <c r="M2619" s="209">
        <f>IF($K2619=0,0,MIN(1,$L2619/$D2619))</f>
        <v/>
      </c>
      <c r="N2619" s="208">
        <f>IF($K2619=0,$J2619,(1-$M2619)*$I2619+$M2619*$J2619)</f>
        <v/>
      </c>
      <c r="O2619" s="209">
        <f>IF($F2619&lt;$B$2615,$E$2615+$I$2615*($F2619-$A$2615),IF($F2619&lt;$C$2615,$F$2615+$J$2615*($F2619-$B$2615),$G$2615+$K$2615*($F2619-$C$2615)))</f>
        <v/>
      </c>
      <c r="P2619" s="208">
        <f>MIN(1,MAX(0,(nr_MEndPm1-$G2619+0.5)/$C$2614))-MIN(1,MAX(0,(nr_MStartPm1-1-$G2619+0.5)/$C$2614))</f>
        <v/>
      </c>
      <c r="Q2619" s="208">
        <f>MIN(1,MAX(0,(nr_MEndP-$G2619+0.5)/$C$2614))-MIN(1,MAX(0,(nr_MStartP-1-$G2619+0.5)/$C$2614))</f>
        <v/>
      </c>
      <c r="R2619" s="208">
        <f>MIN(1,MAX(0,(nr_MEndP1-$G2619+0.5)/$C$2614))-MIN(1,MAX(0,(nr_MStartP1-1-$G2619+0.5)/$C$2614))</f>
        <v/>
      </c>
      <c r="S2619" s="208">
        <f>IF($L$2614,$N2619*IF($O$2614=1,$O2619/$F$2614,1),"")</f>
        <v/>
      </c>
      <c r="T2619" s="208">
        <f>IF(NOT($L$2614),"",IF($G2619&lt;nr_MStartP,$S2619,$T2607*(1+IF($G2619&lt;nr_MStartP1,$M$2614,$N$2614))))</f>
        <v/>
      </c>
      <c r="U2619" s="208">
        <f>IF($L$2614,$T2619,$N2619)</f>
        <v/>
      </c>
    </row>
    <row r="2620">
      <c r="A2620" s="145" t="n">
        <v>4</v>
      </c>
      <c r="B2620" s="204">
        <f>EDATE($B2619,1)</f>
        <v/>
      </c>
      <c r="C2620" s="205">
        <f>EOMONTH($B2620,0)</f>
        <v/>
      </c>
      <c r="D2620" s="201">
        <f>$C2620-$B2620+1</f>
        <v/>
      </c>
      <c r="E2620" s="201">
        <f>MONTH($B2620)</f>
        <v/>
      </c>
      <c r="F2620" s="235">
        <f>($B2620+$C2620+1)/2</f>
        <v/>
      </c>
      <c r="G2620" s="201">
        <f>YEAR($B2620)*12+MONTH($B2620)-1</f>
        <v/>
      </c>
      <c r="H2620" s="207">
        <f>IF(OR(nr_SeasonOn="OFF",$D$2614=0,$E$2614=0),1,12*INDEX(se_block,$D$2614,$E2620)/$E$2614)</f>
        <v/>
      </c>
      <c r="I2620" s="208">
        <f>EXP(SUMPRODUCT((rl_eff&lt;$B2620)*(rl_key=$A$2614)*rl_ln1p))</f>
        <v/>
      </c>
      <c r="J2620" s="208">
        <f>EXP(SUMPRODUCT((rl_eff&lt;=$C2620)*(rl_key=$A$2614)*rl_ln1p))</f>
        <v/>
      </c>
      <c r="K2620" s="201">
        <f>COUNTIFS(rl_key,$A$2614,rl_eff,"&gt;="&amp;$B2620,rl_eff,"&lt;="&amp;$C2620)</f>
        <v/>
      </c>
      <c r="L2620" s="201">
        <f>SUMIFS(rl_daysafter,rl_key,$A$2614,rl_effmonth,$B2620,rl_first,1)</f>
        <v/>
      </c>
      <c r="M2620" s="209">
        <f>IF($K2620=0,0,MIN(1,$L2620/$D2620))</f>
        <v/>
      </c>
      <c r="N2620" s="208">
        <f>IF($K2620=0,$J2620,(1-$M2620)*$I2620+$M2620*$J2620)</f>
        <v/>
      </c>
      <c r="O2620" s="209">
        <f>IF($F2620&lt;$B$2615,$E$2615+$I$2615*($F2620-$A$2615),IF($F2620&lt;$C$2615,$F$2615+$J$2615*($F2620-$B$2615),$G$2615+$K$2615*($F2620-$C$2615)))</f>
        <v/>
      </c>
      <c r="P2620" s="208">
        <f>MIN(1,MAX(0,(nr_MEndPm1-$G2620+0.5)/$C$2614))-MIN(1,MAX(0,(nr_MStartPm1-1-$G2620+0.5)/$C$2614))</f>
        <v/>
      </c>
      <c r="Q2620" s="208">
        <f>MIN(1,MAX(0,(nr_MEndP-$G2620+0.5)/$C$2614))-MIN(1,MAX(0,(nr_MStartP-1-$G2620+0.5)/$C$2614))</f>
        <v/>
      </c>
      <c r="R2620" s="208">
        <f>MIN(1,MAX(0,(nr_MEndP1-$G2620+0.5)/$C$2614))-MIN(1,MAX(0,(nr_MStartP1-1-$G2620+0.5)/$C$2614))</f>
        <v/>
      </c>
      <c r="S2620" s="208">
        <f>IF($L$2614,$N2620*IF($O$2614=1,$O2620/$F$2614,1),"")</f>
        <v/>
      </c>
      <c r="T2620" s="208">
        <f>IF(NOT($L$2614),"",IF($G2620&lt;nr_MStartP,$S2620,$T2608*(1+IF($G2620&lt;nr_MStartP1,$M$2614,$N$2614))))</f>
        <v/>
      </c>
      <c r="U2620" s="208">
        <f>IF($L$2614,$T2620,$N2620)</f>
        <v/>
      </c>
    </row>
    <row r="2621">
      <c r="A2621" s="145" t="n">
        <v>5</v>
      </c>
      <c r="B2621" s="204">
        <f>EDATE($B2620,1)</f>
        <v/>
      </c>
      <c r="C2621" s="205">
        <f>EOMONTH($B2621,0)</f>
        <v/>
      </c>
      <c r="D2621" s="201">
        <f>$C2621-$B2621+1</f>
        <v/>
      </c>
      <c r="E2621" s="201">
        <f>MONTH($B2621)</f>
        <v/>
      </c>
      <c r="F2621" s="235">
        <f>($B2621+$C2621+1)/2</f>
        <v/>
      </c>
      <c r="G2621" s="201">
        <f>YEAR($B2621)*12+MONTH($B2621)-1</f>
        <v/>
      </c>
      <c r="H2621" s="207">
        <f>IF(OR(nr_SeasonOn="OFF",$D$2614=0,$E$2614=0),1,12*INDEX(se_block,$D$2614,$E2621)/$E$2614)</f>
        <v/>
      </c>
      <c r="I2621" s="208">
        <f>EXP(SUMPRODUCT((rl_eff&lt;$B2621)*(rl_key=$A$2614)*rl_ln1p))</f>
        <v/>
      </c>
      <c r="J2621" s="208">
        <f>EXP(SUMPRODUCT((rl_eff&lt;=$C2621)*(rl_key=$A$2614)*rl_ln1p))</f>
        <v/>
      </c>
      <c r="K2621" s="201">
        <f>COUNTIFS(rl_key,$A$2614,rl_eff,"&gt;="&amp;$B2621,rl_eff,"&lt;="&amp;$C2621)</f>
        <v/>
      </c>
      <c r="L2621" s="201">
        <f>SUMIFS(rl_daysafter,rl_key,$A$2614,rl_effmonth,$B2621,rl_first,1)</f>
        <v/>
      </c>
      <c r="M2621" s="209">
        <f>IF($K2621=0,0,MIN(1,$L2621/$D2621))</f>
        <v/>
      </c>
      <c r="N2621" s="208">
        <f>IF($K2621=0,$J2621,(1-$M2621)*$I2621+$M2621*$J2621)</f>
        <v/>
      </c>
      <c r="O2621" s="209">
        <f>IF($F2621&lt;$B$2615,$E$2615+$I$2615*($F2621-$A$2615),IF($F2621&lt;$C$2615,$F$2615+$J$2615*($F2621-$B$2615),$G$2615+$K$2615*($F2621-$C$2615)))</f>
        <v/>
      </c>
      <c r="P2621" s="208">
        <f>MIN(1,MAX(0,(nr_MEndPm1-$G2621+0.5)/$C$2614))-MIN(1,MAX(0,(nr_MStartPm1-1-$G2621+0.5)/$C$2614))</f>
        <v/>
      </c>
      <c r="Q2621" s="208">
        <f>MIN(1,MAX(0,(nr_MEndP-$G2621+0.5)/$C$2614))-MIN(1,MAX(0,(nr_MStartP-1-$G2621+0.5)/$C$2614))</f>
        <v/>
      </c>
      <c r="R2621" s="208">
        <f>MIN(1,MAX(0,(nr_MEndP1-$G2621+0.5)/$C$2614))-MIN(1,MAX(0,(nr_MStartP1-1-$G2621+0.5)/$C$2614))</f>
        <v/>
      </c>
      <c r="S2621" s="208">
        <f>IF($L$2614,$N2621*IF($O$2614=1,$O2621/$F$2614,1),"")</f>
        <v/>
      </c>
      <c r="T2621" s="208">
        <f>IF(NOT($L$2614),"",IF($G2621&lt;nr_MStartP,$S2621,$T2609*(1+IF($G2621&lt;nr_MStartP1,$M$2614,$N$2614))))</f>
        <v/>
      </c>
      <c r="U2621" s="208">
        <f>IF($L$2614,$T2621,$N2621)</f>
        <v/>
      </c>
    </row>
    <row r="2622">
      <c r="A2622" s="145" t="n">
        <v>6</v>
      </c>
      <c r="B2622" s="204">
        <f>EDATE($B2621,1)</f>
        <v/>
      </c>
      <c r="C2622" s="205">
        <f>EOMONTH($B2622,0)</f>
        <v/>
      </c>
      <c r="D2622" s="201">
        <f>$C2622-$B2622+1</f>
        <v/>
      </c>
      <c r="E2622" s="201">
        <f>MONTH($B2622)</f>
        <v/>
      </c>
      <c r="F2622" s="235">
        <f>($B2622+$C2622+1)/2</f>
        <v/>
      </c>
      <c r="G2622" s="201">
        <f>YEAR($B2622)*12+MONTH($B2622)-1</f>
        <v/>
      </c>
      <c r="H2622" s="207">
        <f>IF(OR(nr_SeasonOn="OFF",$D$2614=0,$E$2614=0),1,12*INDEX(se_block,$D$2614,$E2622)/$E$2614)</f>
        <v/>
      </c>
      <c r="I2622" s="208">
        <f>EXP(SUMPRODUCT((rl_eff&lt;$B2622)*(rl_key=$A$2614)*rl_ln1p))</f>
        <v/>
      </c>
      <c r="J2622" s="208">
        <f>EXP(SUMPRODUCT((rl_eff&lt;=$C2622)*(rl_key=$A$2614)*rl_ln1p))</f>
        <v/>
      </c>
      <c r="K2622" s="201">
        <f>COUNTIFS(rl_key,$A$2614,rl_eff,"&gt;="&amp;$B2622,rl_eff,"&lt;="&amp;$C2622)</f>
        <v/>
      </c>
      <c r="L2622" s="201">
        <f>SUMIFS(rl_daysafter,rl_key,$A$2614,rl_effmonth,$B2622,rl_first,1)</f>
        <v/>
      </c>
      <c r="M2622" s="209">
        <f>IF($K2622=0,0,MIN(1,$L2622/$D2622))</f>
        <v/>
      </c>
      <c r="N2622" s="208">
        <f>IF($K2622=0,$J2622,(1-$M2622)*$I2622+$M2622*$J2622)</f>
        <v/>
      </c>
      <c r="O2622" s="209">
        <f>IF($F2622&lt;$B$2615,$E$2615+$I$2615*($F2622-$A$2615),IF($F2622&lt;$C$2615,$F$2615+$J$2615*($F2622-$B$2615),$G$2615+$K$2615*($F2622-$C$2615)))</f>
        <v/>
      </c>
      <c r="P2622" s="208">
        <f>MIN(1,MAX(0,(nr_MEndPm1-$G2622+0.5)/$C$2614))-MIN(1,MAX(0,(nr_MStartPm1-1-$G2622+0.5)/$C$2614))</f>
        <v/>
      </c>
      <c r="Q2622" s="208">
        <f>MIN(1,MAX(0,(nr_MEndP-$G2622+0.5)/$C$2614))-MIN(1,MAX(0,(nr_MStartP-1-$G2622+0.5)/$C$2614))</f>
        <v/>
      </c>
      <c r="R2622" s="208">
        <f>MIN(1,MAX(0,(nr_MEndP1-$G2622+0.5)/$C$2614))-MIN(1,MAX(0,(nr_MStartP1-1-$G2622+0.5)/$C$2614))</f>
        <v/>
      </c>
      <c r="S2622" s="208">
        <f>IF($L$2614,$N2622*IF($O$2614=1,$O2622/$F$2614,1),"")</f>
        <v/>
      </c>
      <c r="T2622" s="208">
        <f>IF(NOT($L$2614),"",IF($G2622&lt;nr_MStartP,$S2622,$T2610*(1+IF($G2622&lt;nr_MStartP1,$M$2614,$N$2614))))</f>
        <v/>
      </c>
      <c r="U2622" s="208">
        <f>IF($L$2614,$T2622,$N2622)</f>
        <v/>
      </c>
    </row>
    <row r="2623">
      <c r="A2623" s="145" t="n">
        <v>7</v>
      </c>
      <c r="B2623" s="204">
        <f>EDATE($B2622,1)</f>
        <v/>
      </c>
      <c r="C2623" s="205">
        <f>EOMONTH($B2623,0)</f>
        <v/>
      </c>
      <c r="D2623" s="201">
        <f>$C2623-$B2623+1</f>
        <v/>
      </c>
      <c r="E2623" s="201">
        <f>MONTH($B2623)</f>
        <v/>
      </c>
      <c r="F2623" s="235">
        <f>($B2623+$C2623+1)/2</f>
        <v/>
      </c>
      <c r="G2623" s="201">
        <f>YEAR($B2623)*12+MONTH($B2623)-1</f>
        <v/>
      </c>
      <c r="H2623" s="207">
        <f>IF(OR(nr_SeasonOn="OFF",$D$2614=0,$E$2614=0),1,12*INDEX(se_block,$D$2614,$E2623)/$E$2614)</f>
        <v/>
      </c>
      <c r="I2623" s="208">
        <f>EXP(SUMPRODUCT((rl_eff&lt;$B2623)*(rl_key=$A$2614)*rl_ln1p))</f>
        <v/>
      </c>
      <c r="J2623" s="208">
        <f>EXP(SUMPRODUCT((rl_eff&lt;=$C2623)*(rl_key=$A$2614)*rl_ln1p))</f>
        <v/>
      </c>
      <c r="K2623" s="201">
        <f>COUNTIFS(rl_key,$A$2614,rl_eff,"&gt;="&amp;$B2623,rl_eff,"&lt;="&amp;$C2623)</f>
        <v/>
      </c>
      <c r="L2623" s="201">
        <f>SUMIFS(rl_daysafter,rl_key,$A$2614,rl_effmonth,$B2623,rl_first,1)</f>
        <v/>
      </c>
      <c r="M2623" s="209">
        <f>IF($K2623=0,0,MIN(1,$L2623/$D2623))</f>
        <v/>
      </c>
      <c r="N2623" s="208">
        <f>IF($K2623=0,$J2623,(1-$M2623)*$I2623+$M2623*$J2623)</f>
        <v/>
      </c>
      <c r="O2623" s="209">
        <f>IF($F2623&lt;$B$2615,$E$2615+$I$2615*($F2623-$A$2615),IF($F2623&lt;$C$2615,$F$2615+$J$2615*($F2623-$B$2615),$G$2615+$K$2615*($F2623-$C$2615)))</f>
        <v/>
      </c>
      <c r="P2623" s="208">
        <f>MIN(1,MAX(0,(nr_MEndPm1-$G2623+0.5)/$C$2614))-MIN(1,MAX(0,(nr_MStartPm1-1-$G2623+0.5)/$C$2614))</f>
        <v/>
      </c>
      <c r="Q2623" s="208">
        <f>MIN(1,MAX(0,(nr_MEndP-$G2623+0.5)/$C$2614))-MIN(1,MAX(0,(nr_MStartP-1-$G2623+0.5)/$C$2614))</f>
        <v/>
      </c>
      <c r="R2623" s="208">
        <f>MIN(1,MAX(0,(nr_MEndP1-$G2623+0.5)/$C$2614))-MIN(1,MAX(0,(nr_MStartP1-1-$G2623+0.5)/$C$2614))</f>
        <v/>
      </c>
      <c r="S2623" s="208">
        <f>IF($L$2614,$N2623*IF($O$2614=1,$O2623/$F$2614,1),"")</f>
        <v/>
      </c>
      <c r="T2623" s="208">
        <f>IF(NOT($L$2614),"",IF($G2623&lt;nr_MStartP,$S2623,$T2611*(1+IF($G2623&lt;nr_MStartP1,$M$2614,$N$2614))))</f>
        <v/>
      </c>
      <c r="U2623" s="208">
        <f>IF($L$2614,$T2623,$N2623)</f>
        <v/>
      </c>
    </row>
    <row r="2624">
      <c r="A2624" s="145" t="n">
        <v>8</v>
      </c>
      <c r="B2624" s="204">
        <f>EDATE($B2623,1)</f>
        <v/>
      </c>
      <c r="C2624" s="205">
        <f>EOMONTH($B2624,0)</f>
        <v/>
      </c>
      <c r="D2624" s="201">
        <f>$C2624-$B2624+1</f>
        <v/>
      </c>
      <c r="E2624" s="201">
        <f>MONTH($B2624)</f>
        <v/>
      </c>
      <c r="F2624" s="235">
        <f>($B2624+$C2624+1)/2</f>
        <v/>
      </c>
      <c r="G2624" s="201">
        <f>YEAR($B2624)*12+MONTH($B2624)-1</f>
        <v/>
      </c>
      <c r="H2624" s="207">
        <f>IF(OR(nr_SeasonOn="OFF",$D$2614=0,$E$2614=0),1,12*INDEX(se_block,$D$2614,$E2624)/$E$2614)</f>
        <v/>
      </c>
      <c r="I2624" s="208">
        <f>EXP(SUMPRODUCT((rl_eff&lt;$B2624)*(rl_key=$A$2614)*rl_ln1p))</f>
        <v/>
      </c>
      <c r="J2624" s="208">
        <f>EXP(SUMPRODUCT((rl_eff&lt;=$C2624)*(rl_key=$A$2614)*rl_ln1p))</f>
        <v/>
      </c>
      <c r="K2624" s="201">
        <f>COUNTIFS(rl_key,$A$2614,rl_eff,"&gt;="&amp;$B2624,rl_eff,"&lt;="&amp;$C2624)</f>
        <v/>
      </c>
      <c r="L2624" s="201">
        <f>SUMIFS(rl_daysafter,rl_key,$A$2614,rl_effmonth,$B2624,rl_first,1)</f>
        <v/>
      </c>
      <c r="M2624" s="209">
        <f>IF($K2624=0,0,MIN(1,$L2624/$D2624))</f>
        <v/>
      </c>
      <c r="N2624" s="208">
        <f>IF($K2624=0,$J2624,(1-$M2624)*$I2624+$M2624*$J2624)</f>
        <v/>
      </c>
      <c r="O2624" s="209">
        <f>IF($F2624&lt;$B$2615,$E$2615+$I$2615*($F2624-$A$2615),IF($F2624&lt;$C$2615,$F$2615+$J$2615*($F2624-$B$2615),$G$2615+$K$2615*($F2624-$C$2615)))</f>
        <v/>
      </c>
      <c r="P2624" s="208">
        <f>MIN(1,MAX(0,(nr_MEndPm1-$G2624+0.5)/$C$2614))-MIN(1,MAX(0,(nr_MStartPm1-1-$G2624+0.5)/$C$2614))</f>
        <v/>
      </c>
      <c r="Q2624" s="208">
        <f>MIN(1,MAX(0,(nr_MEndP-$G2624+0.5)/$C$2614))-MIN(1,MAX(0,(nr_MStartP-1-$G2624+0.5)/$C$2614))</f>
        <v/>
      </c>
      <c r="R2624" s="208">
        <f>MIN(1,MAX(0,(nr_MEndP1-$G2624+0.5)/$C$2614))-MIN(1,MAX(0,(nr_MStartP1-1-$G2624+0.5)/$C$2614))</f>
        <v/>
      </c>
      <c r="S2624" s="208">
        <f>IF($L$2614,$N2624*IF($O$2614=1,$O2624/$F$2614,1),"")</f>
        <v/>
      </c>
      <c r="T2624" s="208">
        <f>IF(NOT($L$2614),"",IF($G2624&lt;nr_MStartP,$S2624,$T2612*(1+IF($G2624&lt;nr_MStartP1,$M$2614,$N$2614))))</f>
        <v/>
      </c>
      <c r="U2624" s="208">
        <f>IF($L$2614,$T2624,$N2624)</f>
        <v/>
      </c>
    </row>
    <row r="2625">
      <c r="A2625" s="145" t="n">
        <v>9</v>
      </c>
      <c r="B2625" s="204">
        <f>EDATE($B2624,1)</f>
        <v/>
      </c>
      <c r="C2625" s="205">
        <f>EOMONTH($B2625,0)</f>
        <v/>
      </c>
      <c r="D2625" s="201">
        <f>$C2625-$B2625+1</f>
        <v/>
      </c>
      <c r="E2625" s="201">
        <f>MONTH($B2625)</f>
        <v/>
      </c>
      <c r="F2625" s="235">
        <f>($B2625+$C2625+1)/2</f>
        <v/>
      </c>
      <c r="G2625" s="201">
        <f>YEAR($B2625)*12+MONTH($B2625)-1</f>
        <v/>
      </c>
      <c r="H2625" s="207">
        <f>IF(OR(nr_SeasonOn="OFF",$D$2614=0,$E$2614=0),1,12*INDEX(se_block,$D$2614,$E2625)/$E$2614)</f>
        <v/>
      </c>
      <c r="I2625" s="208">
        <f>EXP(SUMPRODUCT((rl_eff&lt;$B2625)*(rl_key=$A$2614)*rl_ln1p))</f>
        <v/>
      </c>
      <c r="J2625" s="208">
        <f>EXP(SUMPRODUCT((rl_eff&lt;=$C2625)*(rl_key=$A$2614)*rl_ln1p))</f>
        <v/>
      </c>
      <c r="K2625" s="201">
        <f>COUNTIFS(rl_key,$A$2614,rl_eff,"&gt;="&amp;$B2625,rl_eff,"&lt;="&amp;$C2625)</f>
        <v/>
      </c>
      <c r="L2625" s="201">
        <f>SUMIFS(rl_daysafter,rl_key,$A$2614,rl_effmonth,$B2625,rl_first,1)</f>
        <v/>
      </c>
      <c r="M2625" s="209">
        <f>IF($K2625=0,0,MIN(1,$L2625/$D2625))</f>
        <v/>
      </c>
      <c r="N2625" s="208">
        <f>IF($K2625=0,$J2625,(1-$M2625)*$I2625+$M2625*$J2625)</f>
        <v/>
      </c>
      <c r="O2625" s="209">
        <f>IF($F2625&lt;$B$2615,$E$2615+$I$2615*($F2625-$A$2615),IF($F2625&lt;$C$2615,$F$2615+$J$2615*($F2625-$B$2615),$G$2615+$K$2615*($F2625-$C$2615)))</f>
        <v/>
      </c>
      <c r="P2625" s="208">
        <f>MIN(1,MAX(0,(nr_MEndPm1-$G2625+0.5)/$C$2614))-MIN(1,MAX(0,(nr_MStartPm1-1-$G2625+0.5)/$C$2614))</f>
        <v/>
      </c>
      <c r="Q2625" s="208">
        <f>MIN(1,MAX(0,(nr_MEndP-$G2625+0.5)/$C$2614))-MIN(1,MAX(0,(nr_MStartP-1-$G2625+0.5)/$C$2614))</f>
        <v/>
      </c>
      <c r="R2625" s="208">
        <f>MIN(1,MAX(0,(nr_MEndP1-$G2625+0.5)/$C$2614))-MIN(1,MAX(0,(nr_MStartP1-1-$G2625+0.5)/$C$2614))</f>
        <v/>
      </c>
      <c r="S2625" s="208">
        <f>IF($L$2614,$N2625*IF($O$2614=1,$O2625/$F$2614,1),"")</f>
        <v/>
      </c>
      <c r="T2625" s="208">
        <f>IF(NOT($L$2614),"",IF($G2625&lt;nr_MStartP,$S2625,$T2613*(1+IF($G2625&lt;nr_MStartP1,$M$2614,$N$2614))))</f>
        <v/>
      </c>
      <c r="U2625" s="208">
        <f>IF($L$2614,$T2625,$N2625)</f>
        <v/>
      </c>
    </row>
    <row r="2626">
      <c r="A2626" s="145" t="n">
        <v>10</v>
      </c>
      <c r="B2626" s="204">
        <f>EDATE($B2625,1)</f>
        <v/>
      </c>
      <c r="C2626" s="205">
        <f>EOMONTH($B2626,0)</f>
        <v/>
      </c>
      <c r="D2626" s="201">
        <f>$C2626-$B2626+1</f>
        <v/>
      </c>
      <c r="E2626" s="201">
        <f>MONTH($B2626)</f>
        <v/>
      </c>
      <c r="F2626" s="235">
        <f>($B2626+$C2626+1)/2</f>
        <v/>
      </c>
      <c r="G2626" s="201">
        <f>YEAR($B2626)*12+MONTH($B2626)-1</f>
        <v/>
      </c>
      <c r="H2626" s="207">
        <f>IF(OR(nr_SeasonOn="OFF",$D$2614=0,$E$2614=0),1,12*INDEX(se_block,$D$2614,$E2626)/$E$2614)</f>
        <v/>
      </c>
      <c r="I2626" s="208">
        <f>EXP(SUMPRODUCT((rl_eff&lt;$B2626)*(rl_key=$A$2614)*rl_ln1p))</f>
        <v/>
      </c>
      <c r="J2626" s="208">
        <f>EXP(SUMPRODUCT((rl_eff&lt;=$C2626)*(rl_key=$A$2614)*rl_ln1p))</f>
        <v/>
      </c>
      <c r="K2626" s="201">
        <f>COUNTIFS(rl_key,$A$2614,rl_eff,"&gt;="&amp;$B2626,rl_eff,"&lt;="&amp;$C2626)</f>
        <v/>
      </c>
      <c r="L2626" s="201">
        <f>SUMIFS(rl_daysafter,rl_key,$A$2614,rl_effmonth,$B2626,rl_first,1)</f>
        <v/>
      </c>
      <c r="M2626" s="209">
        <f>IF($K2626=0,0,MIN(1,$L2626/$D2626))</f>
        <v/>
      </c>
      <c r="N2626" s="208">
        <f>IF($K2626=0,$J2626,(1-$M2626)*$I2626+$M2626*$J2626)</f>
        <v/>
      </c>
      <c r="O2626" s="209">
        <f>IF($F2626&lt;$B$2615,$E$2615+$I$2615*($F2626-$A$2615),IF($F2626&lt;$C$2615,$F$2615+$J$2615*($F2626-$B$2615),$G$2615+$K$2615*($F2626-$C$2615)))</f>
        <v/>
      </c>
      <c r="P2626" s="208">
        <f>MIN(1,MAX(0,(nr_MEndPm1-$G2626+0.5)/$C$2614))-MIN(1,MAX(0,(nr_MStartPm1-1-$G2626+0.5)/$C$2614))</f>
        <v/>
      </c>
      <c r="Q2626" s="208">
        <f>MIN(1,MAX(0,(nr_MEndP-$G2626+0.5)/$C$2614))-MIN(1,MAX(0,(nr_MStartP-1-$G2626+0.5)/$C$2614))</f>
        <v/>
      </c>
      <c r="R2626" s="208">
        <f>MIN(1,MAX(0,(nr_MEndP1-$G2626+0.5)/$C$2614))-MIN(1,MAX(0,(nr_MStartP1-1-$G2626+0.5)/$C$2614))</f>
        <v/>
      </c>
      <c r="S2626" s="208">
        <f>IF($L$2614,$N2626*IF($O$2614=1,$O2626/$F$2614,1),"")</f>
        <v/>
      </c>
      <c r="T2626" s="208">
        <f>IF(NOT($L$2614),"",IF($G2626&lt;nr_MStartP,$S2626,$T2614*(1+IF($G2626&lt;nr_MStartP1,$M$2614,$N$2614))))</f>
        <v/>
      </c>
      <c r="U2626" s="208">
        <f>IF($L$2614,$T2626,$N2626)</f>
        <v/>
      </c>
    </row>
    <row r="2627">
      <c r="A2627" s="145" t="n">
        <v>11</v>
      </c>
      <c r="B2627" s="204">
        <f>EDATE($B2626,1)</f>
        <v/>
      </c>
      <c r="C2627" s="205">
        <f>EOMONTH($B2627,0)</f>
        <v/>
      </c>
      <c r="D2627" s="201">
        <f>$C2627-$B2627+1</f>
        <v/>
      </c>
      <c r="E2627" s="201">
        <f>MONTH($B2627)</f>
        <v/>
      </c>
      <c r="F2627" s="235">
        <f>($B2627+$C2627+1)/2</f>
        <v/>
      </c>
      <c r="G2627" s="201">
        <f>YEAR($B2627)*12+MONTH($B2627)-1</f>
        <v/>
      </c>
      <c r="H2627" s="207">
        <f>IF(OR(nr_SeasonOn="OFF",$D$2614=0,$E$2614=0),1,12*INDEX(se_block,$D$2614,$E2627)/$E$2614)</f>
        <v/>
      </c>
      <c r="I2627" s="208">
        <f>EXP(SUMPRODUCT((rl_eff&lt;$B2627)*(rl_key=$A$2614)*rl_ln1p))</f>
        <v/>
      </c>
      <c r="J2627" s="208">
        <f>EXP(SUMPRODUCT((rl_eff&lt;=$C2627)*(rl_key=$A$2614)*rl_ln1p))</f>
        <v/>
      </c>
      <c r="K2627" s="201">
        <f>COUNTIFS(rl_key,$A$2614,rl_eff,"&gt;="&amp;$B2627,rl_eff,"&lt;="&amp;$C2627)</f>
        <v/>
      </c>
      <c r="L2627" s="201">
        <f>SUMIFS(rl_daysafter,rl_key,$A$2614,rl_effmonth,$B2627,rl_first,1)</f>
        <v/>
      </c>
      <c r="M2627" s="209">
        <f>IF($K2627=0,0,MIN(1,$L2627/$D2627))</f>
        <v/>
      </c>
      <c r="N2627" s="208">
        <f>IF($K2627=0,$J2627,(1-$M2627)*$I2627+$M2627*$J2627)</f>
        <v/>
      </c>
      <c r="O2627" s="209">
        <f>IF($F2627&lt;$B$2615,$E$2615+$I$2615*($F2627-$A$2615),IF($F2627&lt;$C$2615,$F$2615+$J$2615*($F2627-$B$2615),$G$2615+$K$2615*($F2627-$C$2615)))</f>
        <v/>
      </c>
      <c r="P2627" s="208">
        <f>MIN(1,MAX(0,(nr_MEndPm1-$G2627+0.5)/$C$2614))-MIN(1,MAX(0,(nr_MStartPm1-1-$G2627+0.5)/$C$2614))</f>
        <v/>
      </c>
      <c r="Q2627" s="208">
        <f>MIN(1,MAX(0,(nr_MEndP-$G2627+0.5)/$C$2614))-MIN(1,MAX(0,(nr_MStartP-1-$G2627+0.5)/$C$2614))</f>
        <v/>
      </c>
      <c r="R2627" s="208">
        <f>MIN(1,MAX(0,(nr_MEndP1-$G2627+0.5)/$C$2614))-MIN(1,MAX(0,(nr_MStartP1-1-$G2627+0.5)/$C$2614))</f>
        <v/>
      </c>
      <c r="S2627" s="208">
        <f>IF($L$2614,$N2627*IF($O$2614=1,$O2627/$F$2614,1),"")</f>
        <v/>
      </c>
      <c r="T2627" s="208">
        <f>IF(NOT($L$2614),"",IF($G2627&lt;nr_MStartP,$S2627,$T2615*(1+IF($G2627&lt;nr_MStartP1,$M$2614,$N$2614))))</f>
        <v/>
      </c>
      <c r="U2627" s="208">
        <f>IF($L$2614,$T2627,$N2627)</f>
        <v/>
      </c>
    </row>
    <row r="2628">
      <c r="A2628" s="145" t="n">
        <v>12</v>
      </c>
      <c r="B2628" s="204">
        <f>EDATE($B2627,1)</f>
        <v/>
      </c>
      <c r="C2628" s="205">
        <f>EOMONTH($B2628,0)</f>
        <v/>
      </c>
      <c r="D2628" s="201">
        <f>$C2628-$B2628+1</f>
        <v/>
      </c>
      <c r="E2628" s="201">
        <f>MONTH($B2628)</f>
        <v/>
      </c>
      <c r="F2628" s="235">
        <f>($B2628+$C2628+1)/2</f>
        <v/>
      </c>
      <c r="G2628" s="201">
        <f>YEAR($B2628)*12+MONTH($B2628)-1</f>
        <v/>
      </c>
      <c r="H2628" s="207">
        <f>IF(OR(nr_SeasonOn="OFF",$D$2614=0,$E$2614=0),1,12*INDEX(se_block,$D$2614,$E2628)/$E$2614)</f>
        <v/>
      </c>
      <c r="I2628" s="208">
        <f>EXP(SUMPRODUCT((rl_eff&lt;$B2628)*(rl_key=$A$2614)*rl_ln1p))</f>
        <v/>
      </c>
      <c r="J2628" s="208">
        <f>EXP(SUMPRODUCT((rl_eff&lt;=$C2628)*(rl_key=$A$2614)*rl_ln1p))</f>
        <v/>
      </c>
      <c r="K2628" s="201">
        <f>COUNTIFS(rl_key,$A$2614,rl_eff,"&gt;="&amp;$B2628,rl_eff,"&lt;="&amp;$C2628)</f>
        <v/>
      </c>
      <c r="L2628" s="201">
        <f>SUMIFS(rl_daysafter,rl_key,$A$2614,rl_effmonth,$B2628,rl_first,1)</f>
        <v/>
      </c>
      <c r="M2628" s="209">
        <f>IF($K2628=0,0,MIN(1,$L2628/$D2628))</f>
        <v/>
      </c>
      <c r="N2628" s="208">
        <f>IF($K2628=0,$J2628,(1-$M2628)*$I2628+$M2628*$J2628)</f>
        <v/>
      </c>
      <c r="O2628" s="209">
        <f>IF($F2628&lt;$B$2615,$E$2615+$I$2615*($F2628-$A$2615),IF($F2628&lt;$C$2615,$F$2615+$J$2615*($F2628-$B$2615),$G$2615+$K$2615*($F2628-$C$2615)))</f>
        <v/>
      </c>
      <c r="P2628" s="208">
        <f>MIN(1,MAX(0,(nr_MEndPm1-$G2628+0.5)/$C$2614))-MIN(1,MAX(0,(nr_MStartPm1-1-$G2628+0.5)/$C$2614))</f>
        <v/>
      </c>
      <c r="Q2628" s="208">
        <f>MIN(1,MAX(0,(nr_MEndP-$G2628+0.5)/$C$2614))-MIN(1,MAX(0,(nr_MStartP-1-$G2628+0.5)/$C$2614))</f>
        <v/>
      </c>
      <c r="R2628" s="208">
        <f>MIN(1,MAX(0,(nr_MEndP1-$G2628+0.5)/$C$2614))-MIN(1,MAX(0,(nr_MStartP1-1-$G2628+0.5)/$C$2614))</f>
        <v/>
      </c>
      <c r="S2628" s="208">
        <f>IF($L$2614,$N2628*IF($O$2614=1,$O2628/$F$2614,1),"")</f>
        <v/>
      </c>
      <c r="T2628" s="208">
        <f>IF(NOT($L$2614),"",IF($G2628&lt;nr_MStartP,$S2628,$T2616*(1+IF($G2628&lt;nr_MStartP1,$M$2614,$N$2614))))</f>
        <v/>
      </c>
      <c r="U2628" s="208">
        <f>IF($L$2614,$T2628,$N2628)</f>
        <v/>
      </c>
    </row>
    <row r="2629">
      <c r="A2629" s="145" t="n">
        <v>13</v>
      </c>
      <c r="B2629" s="204">
        <f>EDATE($B2628,1)</f>
        <v/>
      </c>
      <c r="C2629" s="205">
        <f>EOMONTH($B2629,0)</f>
        <v/>
      </c>
      <c r="D2629" s="201">
        <f>$C2629-$B2629+1</f>
        <v/>
      </c>
      <c r="E2629" s="201">
        <f>MONTH($B2629)</f>
        <v/>
      </c>
      <c r="F2629" s="235">
        <f>($B2629+$C2629+1)/2</f>
        <v/>
      </c>
      <c r="G2629" s="201">
        <f>YEAR($B2629)*12+MONTH($B2629)-1</f>
        <v/>
      </c>
      <c r="H2629" s="207">
        <f>IF(OR(nr_SeasonOn="OFF",$D$2614=0,$E$2614=0),1,12*INDEX(se_block,$D$2614,$E2629)/$E$2614)</f>
        <v/>
      </c>
      <c r="I2629" s="208">
        <f>EXP(SUMPRODUCT((rl_eff&lt;$B2629)*(rl_key=$A$2614)*rl_ln1p))</f>
        <v/>
      </c>
      <c r="J2629" s="208">
        <f>EXP(SUMPRODUCT((rl_eff&lt;=$C2629)*(rl_key=$A$2614)*rl_ln1p))</f>
        <v/>
      </c>
      <c r="K2629" s="201">
        <f>COUNTIFS(rl_key,$A$2614,rl_eff,"&gt;="&amp;$B2629,rl_eff,"&lt;="&amp;$C2629)</f>
        <v/>
      </c>
      <c r="L2629" s="201">
        <f>SUMIFS(rl_daysafter,rl_key,$A$2614,rl_effmonth,$B2629,rl_first,1)</f>
        <v/>
      </c>
      <c r="M2629" s="209">
        <f>IF($K2629=0,0,MIN(1,$L2629/$D2629))</f>
        <v/>
      </c>
      <c r="N2629" s="208">
        <f>IF($K2629=0,$J2629,(1-$M2629)*$I2629+$M2629*$J2629)</f>
        <v/>
      </c>
      <c r="O2629" s="209">
        <f>IF($F2629&lt;$B$2615,$E$2615+$I$2615*($F2629-$A$2615),IF($F2629&lt;$C$2615,$F$2615+$J$2615*($F2629-$B$2615),$G$2615+$K$2615*($F2629-$C$2615)))</f>
        <v/>
      </c>
      <c r="P2629" s="208">
        <f>MIN(1,MAX(0,(nr_MEndPm1-$G2629+0.5)/$C$2614))-MIN(1,MAX(0,(nr_MStartPm1-1-$G2629+0.5)/$C$2614))</f>
        <v/>
      </c>
      <c r="Q2629" s="208">
        <f>MIN(1,MAX(0,(nr_MEndP-$G2629+0.5)/$C$2614))-MIN(1,MAX(0,(nr_MStartP-1-$G2629+0.5)/$C$2614))</f>
        <v/>
      </c>
      <c r="R2629" s="208">
        <f>MIN(1,MAX(0,(nr_MEndP1-$G2629+0.5)/$C$2614))-MIN(1,MAX(0,(nr_MStartP1-1-$G2629+0.5)/$C$2614))</f>
        <v/>
      </c>
      <c r="S2629" s="208">
        <f>IF($L$2614,$N2629*IF($O$2614=1,$O2629/$F$2614,1),"")</f>
        <v/>
      </c>
      <c r="T2629" s="208">
        <f>IF(NOT($L$2614),"",IF($G2629&lt;nr_MStartP,$S2629,$T2617*(1+IF($G2629&lt;nr_MStartP1,$M$2614,$N$2614))))</f>
        <v/>
      </c>
      <c r="U2629" s="208">
        <f>IF($L$2614,$T2629,$N2629)</f>
        <v/>
      </c>
    </row>
    <row r="2630">
      <c r="A2630" s="145" t="n">
        <v>14</v>
      </c>
      <c r="B2630" s="204">
        <f>EDATE($B2629,1)</f>
        <v/>
      </c>
      <c r="C2630" s="205">
        <f>EOMONTH($B2630,0)</f>
        <v/>
      </c>
      <c r="D2630" s="201">
        <f>$C2630-$B2630+1</f>
        <v/>
      </c>
      <c r="E2630" s="201">
        <f>MONTH($B2630)</f>
        <v/>
      </c>
      <c r="F2630" s="235">
        <f>($B2630+$C2630+1)/2</f>
        <v/>
      </c>
      <c r="G2630" s="201">
        <f>YEAR($B2630)*12+MONTH($B2630)-1</f>
        <v/>
      </c>
      <c r="H2630" s="207">
        <f>IF(OR(nr_SeasonOn="OFF",$D$2614=0,$E$2614=0),1,12*INDEX(se_block,$D$2614,$E2630)/$E$2614)</f>
        <v/>
      </c>
      <c r="I2630" s="208">
        <f>EXP(SUMPRODUCT((rl_eff&lt;$B2630)*(rl_key=$A$2614)*rl_ln1p))</f>
        <v/>
      </c>
      <c r="J2630" s="208">
        <f>EXP(SUMPRODUCT((rl_eff&lt;=$C2630)*(rl_key=$A$2614)*rl_ln1p))</f>
        <v/>
      </c>
      <c r="K2630" s="201">
        <f>COUNTIFS(rl_key,$A$2614,rl_eff,"&gt;="&amp;$B2630,rl_eff,"&lt;="&amp;$C2630)</f>
        <v/>
      </c>
      <c r="L2630" s="201">
        <f>SUMIFS(rl_daysafter,rl_key,$A$2614,rl_effmonth,$B2630,rl_first,1)</f>
        <v/>
      </c>
      <c r="M2630" s="209">
        <f>IF($K2630=0,0,MIN(1,$L2630/$D2630))</f>
        <v/>
      </c>
      <c r="N2630" s="208">
        <f>IF($K2630=0,$J2630,(1-$M2630)*$I2630+$M2630*$J2630)</f>
        <v/>
      </c>
      <c r="O2630" s="209">
        <f>IF($F2630&lt;$B$2615,$E$2615+$I$2615*($F2630-$A$2615),IF($F2630&lt;$C$2615,$F$2615+$J$2615*($F2630-$B$2615),$G$2615+$K$2615*($F2630-$C$2615)))</f>
        <v/>
      </c>
      <c r="P2630" s="208">
        <f>MIN(1,MAX(0,(nr_MEndPm1-$G2630+0.5)/$C$2614))-MIN(1,MAX(0,(nr_MStartPm1-1-$G2630+0.5)/$C$2614))</f>
        <v/>
      </c>
      <c r="Q2630" s="208">
        <f>MIN(1,MAX(0,(nr_MEndP-$G2630+0.5)/$C$2614))-MIN(1,MAX(0,(nr_MStartP-1-$G2630+0.5)/$C$2614))</f>
        <v/>
      </c>
      <c r="R2630" s="208">
        <f>MIN(1,MAX(0,(nr_MEndP1-$G2630+0.5)/$C$2614))-MIN(1,MAX(0,(nr_MStartP1-1-$G2630+0.5)/$C$2614))</f>
        <v/>
      </c>
      <c r="S2630" s="208">
        <f>IF($L$2614,$N2630*IF($O$2614=1,$O2630/$F$2614,1),"")</f>
        <v/>
      </c>
      <c r="T2630" s="208">
        <f>IF(NOT($L$2614),"",IF($G2630&lt;nr_MStartP,$S2630,$T2618*(1+IF($G2630&lt;nr_MStartP1,$M$2614,$N$2614))))</f>
        <v/>
      </c>
      <c r="U2630" s="208">
        <f>IF($L$2614,$T2630,$N2630)</f>
        <v/>
      </c>
    </row>
    <row r="2631">
      <c r="A2631" s="145" t="n">
        <v>15</v>
      </c>
      <c r="B2631" s="204">
        <f>EDATE($B2630,1)</f>
        <v/>
      </c>
      <c r="C2631" s="205">
        <f>EOMONTH($B2631,0)</f>
        <v/>
      </c>
      <c r="D2631" s="201">
        <f>$C2631-$B2631+1</f>
        <v/>
      </c>
      <c r="E2631" s="201">
        <f>MONTH($B2631)</f>
        <v/>
      </c>
      <c r="F2631" s="235">
        <f>($B2631+$C2631+1)/2</f>
        <v/>
      </c>
      <c r="G2631" s="201">
        <f>YEAR($B2631)*12+MONTH($B2631)-1</f>
        <v/>
      </c>
      <c r="H2631" s="207">
        <f>IF(OR(nr_SeasonOn="OFF",$D$2614=0,$E$2614=0),1,12*INDEX(se_block,$D$2614,$E2631)/$E$2614)</f>
        <v/>
      </c>
      <c r="I2631" s="208">
        <f>EXP(SUMPRODUCT((rl_eff&lt;$B2631)*(rl_key=$A$2614)*rl_ln1p))</f>
        <v/>
      </c>
      <c r="J2631" s="208">
        <f>EXP(SUMPRODUCT((rl_eff&lt;=$C2631)*(rl_key=$A$2614)*rl_ln1p))</f>
        <v/>
      </c>
      <c r="K2631" s="201">
        <f>COUNTIFS(rl_key,$A$2614,rl_eff,"&gt;="&amp;$B2631,rl_eff,"&lt;="&amp;$C2631)</f>
        <v/>
      </c>
      <c r="L2631" s="201">
        <f>SUMIFS(rl_daysafter,rl_key,$A$2614,rl_effmonth,$B2631,rl_first,1)</f>
        <v/>
      </c>
      <c r="M2631" s="209">
        <f>IF($K2631=0,0,MIN(1,$L2631/$D2631))</f>
        <v/>
      </c>
      <c r="N2631" s="208">
        <f>IF($K2631=0,$J2631,(1-$M2631)*$I2631+$M2631*$J2631)</f>
        <v/>
      </c>
      <c r="O2631" s="209">
        <f>IF($F2631&lt;$B$2615,$E$2615+$I$2615*($F2631-$A$2615),IF($F2631&lt;$C$2615,$F$2615+$J$2615*($F2631-$B$2615),$G$2615+$K$2615*($F2631-$C$2615)))</f>
        <v/>
      </c>
      <c r="P2631" s="208">
        <f>MIN(1,MAX(0,(nr_MEndPm1-$G2631+0.5)/$C$2614))-MIN(1,MAX(0,(nr_MStartPm1-1-$G2631+0.5)/$C$2614))</f>
        <v/>
      </c>
      <c r="Q2631" s="208">
        <f>MIN(1,MAX(0,(nr_MEndP-$G2631+0.5)/$C$2614))-MIN(1,MAX(0,(nr_MStartP-1-$G2631+0.5)/$C$2614))</f>
        <v/>
      </c>
      <c r="R2631" s="208">
        <f>MIN(1,MAX(0,(nr_MEndP1-$G2631+0.5)/$C$2614))-MIN(1,MAX(0,(nr_MStartP1-1-$G2631+0.5)/$C$2614))</f>
        <v/>
      </c>
      <c r="S2631" s="208">
        <f>IF($L$2614,$N2631*IF($O$2614=1,$O2631/$F$2614,1),"")</f>
        <v/>
      </c>
      <c r="T2631" s="208">
        <f>IF(NOT($L$2614),"",IF($G2631&lt;nr_MStartP,$S2631,$T2619*(1+IF($G2631&lt;nr_MStartP1,$M$2614,$N$2614))))</f>
        <v/>
      </c>
      <c r="U2631" s="208">
        <f>IF($L$2614,$T2631,$N2631)</f>
        <v/>
      </c>
    </row>
    <row r="2632">
      <c r="A2632" s="145" t="n">
        <v>16</v>
      </c>
      <c r="B2632" s="204">
        <f>EDATE($B2631,1)</f>
        <v/>
      </c>
      <c r="C2632" s="205">
        <f>EOMONTH($B2632,0)</f>
        <v/>
      </c>
      <c r="D2632" s="201">
        <f>$C2632-$B2632+1</f>
        <v/>
      </c>
      <c r="E2632" s="201">
        <f>MONTH($B2632)</f>
        <v/>
      </c>
      <c r="F2632" s="235">
        <f>($B2632+$C2632+1)/2</f>
        <v/>
      </c>
      <c r="G2632" s="201">
        <f>YEAR($B2632)*12+MONTH($B2632)-1</f>
        <v/>
      </c>
      <c r="H2632" s="207">
        <f>IF(OR(nr_SeasonOn="OFF",$D$2614=0,$E$2614=0),1,12*INDEX(se_block,$D$2614,$E2632)/$E$2614)</f>
        <v/>
      </c>
      <c r="I2632" s="208">
        <f>EXP(SUMPRODUCT((rl_eff&lt;$B2632)*(rl_key=$A$2614)*rl_ln1p))</f>
        <v/>
      </c>
      <c r="J2632" s="208">
        <f>EXP(SUMPRODUCT((rl_eff&lt;=$C2632)*(rl_key=$A$2614)*rl_ln1p))</f>
        <v/>
      </c>
      <c r="K2632" s="201">
        <f>COUNTIFS(rl_key,$A$2614,rl_eff,"&gt;="&amp;$B2632,rl_eff,"&lt;="&amp;$C2632)</f>
        <v/>
      </c>
      <c r="L2632" s="201">
        <f>SUMIFS(rl_daysafter,rl_key,$A$2614,rl_effmonth,$B2632,rl_first,1)</f>
        <v/>
      </c>
      <c r="M2632" s="209">
        <f>IF($K2632=0,0,MIN(1,$L2632/$D2632))</f>
        <v/>
      </c>
      <c r="N2632" s="208">
        <f>IF($K2632=0,$J2632,(1-$M2632)*$I2632+$M2632*$J2632)</f>
        <v/>
      </c>
      <c r="O2632" s="209">
        <f>IF($F2632&lt;$B$2615,$E$2615+$I$2615*($F2632-$A$2615),IF($F2632&lt;$C$2615,$F$2615+$J$2615*($F2632-$B$2615),$G$2615+$K$2615*($F2632-$C$2615)))</f>
        <v/>
      </c>
      <c r="P2632" s="208">
        <f>MIN(1,MAX(0,(nr_MEndPm1-$G2632+0.5)/$C$2614))-MIN(1,MAX(0,(nr_MStartPm1-1-$G2632+0.5)/$C$2614))</f>
        <v/>
      </c>
      <c r="Q2632" s="208">
        <f>MIN(1,MAX(0,(nr_MEndP-$G2632+0.5)/$C$2614))-MIN(1,MAX(0,(nr_MStartP-1-$G2632+0.5)/$C$2614))</f>
        <v/>
      </c>
      <c r="R2632" s="208">
        <f>MIN(1,MAX(0,(nr_MEndP1-$G2632+0.5)/$C$2614))-MIN(1,MAX(0,(nr_MStartP1-1-$G2632+0.5)/$C$2614))</f>
        <v/>
      </c>
      <c r="S2632" s="208">
        <f>IF($L$2614,$N2632*IF($O$2614=1,$O2632/$F$2614,1),"")</f>
        <v/>
      </c>
      <c r="T2632" s="208">
        <f>IF(NOT($L$2614),"",IF($G2632&lt;nr_MStartP,$S2632,$T2620*(1+IF($G2632&lt;nr_MStartP1,$M$2614,$N$2614))))</f>
        <v/>
      </c>
      <c r="U2632" s="208">
        <f>IF($L$2614,$T2632,$N2632)</f>
        <v/>
      </c>
    </row>
    <row r="2633">
      <c r="A2633" s="145" t="n">
        <v>17</v>
      </c>
      <c r="B2633" s="204">
        <f>EDATE($B2632,1)</f>
        <v/>
      </c>
      <c r="C2633" s="205">
        <f>EOMONTH($B2633,0)</f>
        <v/>
      </c>
      <c r="D2633" s="201">
        <f>$C2633-$B2633+1</f>
        <v/>
      </c>
      <c r="E2633" s="201">
        <f>MONTH($B2633)</f>
        <v/>
      </c>
      <c r="F2633" s="235">
        <f>($B2633+$C2633+1)/2</f>
        <v/>
      </c>
      <c r="G2633" s="201">
        <f>YEAR($B2633)*12+MONTH($B2633)-1</f>
        <v/>
      </c>
      <c r="H2633" s="207">
        <f>IF(OR(nr_SeasonOn="OFF",$D$2614=0,$E$2614=0),1,12*INDEX(se_block,$D$2614,$E2633)/$E$2614)</f>
        <v/>
      </c>
      <c r="I2633" s="208">
        <f>EXP(SUMPRODUCT((rl_eff&lt;$B2633)*(rl_key=$A$2614)*rl_ln1p))</f>
        <v/>
      </c>
      <c r="J2633" s="208">
        <f>EXP(SUMPRODUCT((rl_eff&lt;=$C2633)*(rl_key=$A$2614)*rl_ln1p))</f>
        <v/>
      </c>
      <c r="K2633" s="201">
        <f>COUNTIFS(rl_key,$A$2614,rl_eff,"&gt;="&amp;$B2633,rl_eff,"&lt;="&amp;$C2633)</f>
        <v/>
      </c>
      <c r="L2633" s="201">
        <f>SUMIFS(rl_daysafter,rl_key,$A$2614,rl_effmonth,$B2633,rl_first,1)</f>
        <v/>
      </c>
      <c r="M2633" s="209">
        <f>IF($K2633=0,0,MIN(1,$L2633/$D2633))</f>
        <v/>
      </c>
      <c r="N2633" s="208">
        <f>IF($K2633=0,$J2633,(1-$M2633)*$I2633+$M2633*$J2633)</f>
        <v/>
      </c>
      <c r="O2633" s="209">
        <f>IF($F2633&lt;$B$2615,$E$2615+$I$2615*($F2633-$A$2615),IF($F2633&lt;$C$2615,$F$2615+$J$2615*($F2633-$B$2615),$G$2615+$K$2615*($F2633-$C$2615)))</f>
        <v/>
      </c>
      <c r="P2633" s="208">
        <f>MIN(1,MAX(0,(nr_MEndPm1-$G2633+0.5)/$C$2614))-MIN(1,MAX(0,(nr_MStartPm1-1-$G2633+0.5)/$C$2614))</f>
        <v/>
      </c>
      <c r="Q2633" s="208">
        <f>MIN(1,MAX(0,(nr_MEndP-$G2633+0.5)/$C$2614))-MIN(1,MAX(0,(nr_MStartP-1-$G2633+0.5)/$C$2614))</f>
        <v/>
      </c>
      <c r="R2633" s="208">
        <f>MIN(1,MAX(0,(nr_MEndP1-$G2633+0.5)/$C$2614))-MIN(1,MAX(0,(nr_MStartP1-1-$G2633+0.5)/$C$2614))</f>
        <v/>
      </c>
      <c r="S2633" s="208">
        <f>IF($L$2614,$N2633*IF($O$2614=1,$O2633/$F$2614,1),"")</f>
        <v/>
      </c>
      <c r="T2633" s="208">
        <f>IF(NOT($L$2614),"",IF($G2633&lt;nr_MStartP,$S2633,$T2621*(1+IF($G2633&lt;nr_MStartP1,$M$2614,$N$2614))))</f>
        <v/>
      </c>
      <c r="U2633" s="208">
        <f>IF($L$2614,$T2633,$N2633)</f>
        <v/>
      </c>
    </row>
    <row r="2634">
      <c r="A2634" s="145" t="n">
        <v>18</v>
      </c>
      <c r="B2634" s="204">
        <f>EDATE($B2633,1)</f>
        <v/>
      </c>
      <c r="C2634" s="205">
        <f>EOMONTH($B2634,0)</f>
        <v/>
      </c>
      <c r="D2634" s="201">
        <f>$C2634-$B2634+1</f>
        <v/>
      </c>
      <c r="E2634" s="201">
        <f>MONTH($B2634)</f>
        <v/>
      </c>
      <c r="F2634" s="235">
        <f>($B2634+$C2634+1)/2</f>
        <v/>
      </c>
      <c r="G2634" s="201">
        <f>YEAR($B2634)*12+MONTH($B2634)-1</f>
        <v/>
      </c>
      <c r="H2634" s="207">
        <f>IF(OR(nr_SeasonOn="OFF",$D$2614=0,$E$2614=0),1,12*INDEX(se_block,$D$2614,$E2634)/$E$2614)</f>
        <v/>
      </c>
      <c r="I2634" s="208">
        <f>EXP(SUMPRODUCT((rl_eff&lt;$B2634)*(rl_key=$A$2614)*rl_ln1p))</f>
        <v/>
      </c>
      <c r="J2634" s="208">
        <f>EXP(SUMPRODUCT((rl_eff&lt;=$C2634)*(rl_key=$A$2614)*rl_ln1p))</f>
        <v/>
      </c>
      <c r="K2634" s="201">
        <f>COUNTIFS(rl_key,$A$2614,rl_eff,"&gt;="&amp;$B2634,rl_eff,"&lt;="&amp;$C2634)</f>
        <v/>
      </c>
      <c r="L2634" s="201">
        <f>SUMIFS(rl_daysafter,rl_key,$A$2614,rl_effmonth,$B2634,rl_first,1)</f>
        <v/>
      </c>
      <c r="M2634" s="209">
        <f>IF($K2634=0,0,MIN(1,$L2634/$D2634))</f>
        <v/>
      </c>
      <c r="N2634" s="208">
        <f>IF($K2634=0,$J2634,(1-$M2634)*$I2634+$M2634*$J2634)</f>
        <v/>
      </c>
      <c r="O2634" s="209">
        <f>IF($F2634&lt;$B$2615,$E$2615+$I$2615*($F2634-$A$2615),IF($F2634&lt;$C$2615,$F$2615+$J$2615*($F2634-$B$2615),$G$2615+$K$2615*($F2634-$C$2615)))</f>
        <v/>
      </c>
      <c r="P2634" s="208">
        <f>MIN(1,MAX(0,(nr_MEndPm1-$G2634+0.5)/$C$2614))-MIN(1,MAX(0,(nr_MStartPm1-1-$G2634+0.5)/$C$2614))</f>
        <v/>
      </c>
      <c r="Q2634" s="208">
        <f>MIN(1,MAX(0,(nr_MEndP-$G2634+0.5)/$C$2614))-MIN(1,MAX(0,(nr_MStartP-1-$G2634+0.5)/$C$2614))</f>
        <v/>
      </c>
      <c r="R2634" s="208">
        <f>MIN(1,MAX(0,(nr_MEndP1-$G2634+0.5)/$C$2614))-MIN(1,MAX(0,(nr_MStartP1-1-$G2634+0.5)/$C$2614))</f>
        <v/>
      </c>
      <c r="S2634" s="208">
        <f>IF($L$2614,$N2634*IF($O$2614=1,$O2634/$F$2614,1),"")</f>
        <v/>
      </c>
      <c r="T2634" s="208">
        <f>IF(NOT($L$2614),"",IF($G2634&lt;nr_MStartP,$S2634,$T2622*(1+IF($G2634&lt;nr_MStartP1,$M$2614,$N$2614))))</f>
        <v/>
      </c>
      <c r="U2634" s="208">
        <f>IF($L$2614,$T2634,$N2634)</f>
        <v/>
      </c>
    </row>
    <row r="2635">
      <c r="A2635" s="145" t="n">
        <v>19</v>
      </c>
      <c r="B2635" s="204">
        <f>EDATE($B2634,1)</f>
        <v/>
      </c>
      <c r="C2635" s="205">
        <f>EOMONTH($B2635,0)</f>
        <v/>
      </c>
      <c r="D2635" s="201">
        <f>$C2635-$B2635+1</f>
        <v/>
      </c>
      <c r="E2635" s="201">
        <f>MONTH($B2635)</f>
        <v/>
      </c>
      <c r="F2635" s="235">
        <f>($B2635+$C2635+1)/2</f>
        <v/>
      </c>
      <c r="G2635" s="201">
        <f>YEAR($B2635)*12+MONTH($B2635)-1</f>
        <v/>
      </c>
      <c r="H2635" s="207">
        <f>IF(OR(nr_SeasonOn="OFF",$D$2614=0,$E$2614=0),1,12*INDEX(se_block,$D$2614,$E2635)/$E$2614)</f>
        <v/>
      </c>
      <c r="I2635" s="208">
        <f>EXP(SUMPRODUCT((rl_eff&lt;$B2635)*(rl_key=$A$2614)*rl_ln1p))</f>
        <v/>
      </c>
      <c r="J2635" s="208">
        <f>EXP(SUMPRODUCT((rl_eff&lt;=$C2635)*(rl_key=$A$2614)*rl_ln1p))</f>
        <v/>
      </c>
      <c r="K2635" s="201">
        <f>COUNTIFS(rl_key,$A$2614,rl_eff,"&gt;="&amp;$B2635,rl_eff,"&lt;="&amp;$C2635)</f>
        <v/>
      </c>
      <c r="L2635" s="201">
        <f>SUMIFS(rl_daysafter,rl_key,$A$2614,rl_effmonth,$B2635,rl_first,1)</f>
        <v/>
      </c>
      <c r="M2635" s="209">
        <f>IF($K2635=0,0,MIN(1,$L2635/$D2635))</f>
        <v/>
      </c>
      <c r="N2635" s="208">
        <f>IF($K2635=0,$J2635,(1-$M2635)*$I2635+$M2635*$J2635)</f>
        <v/>
      </c>
      <c r="O2635" s="209">
        <f>IF($F2635&lt;$B$2615,$E$2615+$I$2615*($F2635-$A$2615),IF($F2635&lt;$C$2615,$F$2615+$J$2615*($F2635-$B$2615),$G$2615+$K$2615*($F2635-$C$2615)))</f>
        <v/>
      </c>
      <c r="P2635" s="208">
        <f>MIN(1,MAX(0,(nr_MEndPm1-$G2635+0.5)/$C$2614))-MIN(1,MAX(0,(nr_MStartPm1-1-$G2635+0.5)/$C$2614))</f>
        <v/>
      </c>
      <c r="Q2635" s="208">
        <f>MIN(1,MAX(0,(nr_MEndP-$G2635+0.5)/$C$2614))-MIN(1,MAX(0,(nr_MStartP-1-$G2635+0.5)/$C$2614))</f>
        <v/>
      </c>
      <c r="R2635" s="208">
        <f>MIN(1,MAX(0,(nr_MEndP1-$G2635+0.5)/$C$2614))-MIN(1,MAX(0,(nr_MStartP1-1-$G2635+0.5)/$C$2614))</f>
        <v/>
      </c>
      <c r="S2635" s="208">
        <f>IF($L$2614,$N2635*IF($O$2614=1,$O2635/$F$2614,1),"")</f>
        <v/>
      </c>
      <c r="T2635" s="208">
        <f>IF(NOT($L$2614),"",IF($G2635&lt;nr_MStartP,$S2635,$T2623*(1+IF($G2635&lt;nr_MStartP1,$M$2614,$N$2614))))</f>
        <v/>
      </c>
      <c r="U2635" s="208">
        <f>IF($L$2614,$T2635,$N2635)</f>
        <v/>
      </c>
    </row>
    <row r="2636">
      <c r="A2636" s="145" t="n">
        <v>20</v>
      </c>
      <c r="B2636" s="204">
        <f>EDATE($B2635,1)</f>
        <v/>
      </c>
      <c r="C2636" s="205">
        <f>EOMONTH($B2636,0)</f>
        <v/>
      </c>
      <c r="D2636" s="201">
        <f>$C2636-$B2636+1</f>
        <v/>
      </c>
      <c r="E2636" s="201">
        <f>MONTH($B2636)</f>
        <v/>
      </c>
      <c r="F2636" s="235">
        <f>($B2636+$C2636+1)/2</f>
        <v/>
      </c>
      <c r="G2636" s="201">
        <f>YEAR($B2636)*12+MONTH($B2636)-1</f>
        <v/>
      </c>
      <c r="H2636" s="207">
        <f>IF(OR(nr_SeasonOn="OFF",$D$2614=0,$E$2614=0),1,12*INDEX(se_block,$D$2614,$E2636)/$E$2614)</f>
        <v/>
      </c>
      <c r="I2636" s="208">
        <f>EXP(SUMPRODUCT((rl_eff&lt;$B2636)*(rl_key=$A$2614)*rl_ln1p))</f>
        <v/>
      </c>
      <c r="J2636" s="208">
        <f>EXP(SUMPRODUCT((rl_eff&lt;=$C2636)*(rl_key=$A$2614)*rl_ln1p))</f>
        <v/>
      </c>
      <c r="K2636" s="201">
        <f>COUNTIFS(rl_key,$A$2614,rl_eff,"&gt;="&amp;$B2636,rl_eff,"&lt;="&amp;$C2636)</f>
        <v/>
      </c>
      <c r="L2636" s="201">
        <f>SUMIFS(rl_daysafter,rl_key,$A$2614,rl_effmonth,$B2636,rl_first,1)</f>
        <v/>
      </c>
      <c r="M2636" s="209">
        <f>IF($K2636=0,0,MIN(1,$L2636/$D2636))</f>
        <v/>
      </c>
      <c r="N2636" s="208">
        <f>IF($K2636=0,$J2636,(1-$M2636)*$I2636+$M2636*$J2636)</f>
        <v/>
      </c>
      <c r="O2636" s="209">
        <f>IF($F2636&lt;$B$2615,$E$2615+$I$2615*($F2636-$A$2615),IF($F2636&lt;$C$2615,$F$2615+$J$2615*($F2636-$B$2615),$G$2615+$K$2615*($F2636-$C$2615)))</f>
        <v/>
      </c>
      <c r="P2636" s="208">
        <f>MIN(1,MAX(0,(nr_MEndPm1-$G2636+0.5)/$C$2614))-MIN(1,MAX(0,(nr_MStartPm1-1-$G2636+0.5)/$C$2614))</f>
        <v/>
      </c>
      <c r="Q2636" s="208">
        <f>MIN(1,MAX(0,(nr_MEndP-$G2636+0.5)/$C$2614))-MIN(1,MAX(0,(nr_MStartP-1-$G2636+0.5)/$C$2614))</f>
        <v/>
      </c>
      <c r="R2636" s="208">
        <f>MIN(1,MAX(0,(nr_MEndP1-$G2636+0.5)/$C$2614))-MIN(1,MAX(0,(nr_MStartP1-1-$G2636+0.5)/$C$2614))</f>
        <v/>
      </c>
      <c r="S2636" s="208">
        <f>IF($L$2614,$N2636*IF($O$2614=1,$O2636/$F$2614,1),"")</f>
        <v/>
      </c>
      <c r="T2636" s="208">
        <f>IF(NOT($L$2614),"",IF($G2636&lt;nr_MStartP,$S2636,$T2624*(1+IF($G2636&lt;nr_MStartP1,$M$2614,$N$2614))))</f>
        <v/>
      </c>
      <c r="U2636" s="208">
        <f>IF($L$2614,$T2636,$N2636)</f>
        <v/>
      </c>
    </row>
    <row r="2637">
      <c r="A2637" s="145" t="n">
        <v>21</v>
      </c>
      <c r="B2637" s="204">
        <f>EDATE($B2636,1)</f>
        <v/>
      </c>
      <c r="C2637" s="205">
        <f>EOMONTH($B2637,0)</f>
        <v/>
      </c>
      <c r="D2637" s="201">
        <f>$C2637-$B2637+1</f>
        <v/>
      </c>
      <c r="E2637" s="201">
        <f>MONTH($B2637)</f>
        <v/>
      </c>
      <c r="F2637" s="235">
        <f>($B2637+$C2637+1)/2</f>
        <v/>
      </c>
      <c r="G2637" s="201">
        <f>YEAR($B2637)*12+MONTH($B2637)-1</f>
        <v/>
      </c>
      <c r="H2637" s="207">
        <f>IF(OR(nr_SeasonOn="OFF",$D$2614=0,$E$2614=0),1,12*INDEX(se_block,$D$2614,$E2637)/$E$2614)</f>
        <v/>
      </c>
      <c r="I2637" s="208">
        <f>EXP(SUMPRODUCT((rl_eff&lt;$B2637)*(rl_key=$A$2614)*rl_ln1p))</f>
        <v/>
      </c>
      <c r="J2637" s="208">
        <f>EXP(SUMPRODUCT((rl_eff&lt;=$C2637)*(rl_key=$A$2614)*rl_ln1p))</f>
        <v/>
      </c>
      <c r="K2637" s="201">
        <f>COUNTIFS(rl_key,$A$2614,rl_eff,"&gt;="&amp;$B2637,rl_eff,"&lt;="&amp;$C2637)</f>
        <v/>
      </c>
      <c r="L2637" s="201">
        <f>SUMIFS(rl_daysafter,rl_key,$A$2614,rl_effmonth,$B2637,rl_first,1)</f>
        <v/>
      </c>
      <c r="M2637" s="209">
        <f>IF($K2637=0,0,MIN(1,$L2637/$D2637))</f>
        <v/>
      </c>
      <c r="N2637" s="208">
        <f>IF($K2637=0,$J2637,(1-$M2637)*$I2637+$M2637*$J2637)</f>
        <v/>
      </c>
      <c r="O2637" s="209">
        <f>IF($F2637&lt;$B$2615,$E$2615+$I$2615*($F2637-$A$2615),IF($F2637&lt;$C$2615,$F$2615+$J$2615*($F2637-$B$2615),$G$2615+$K$2615*($F2637-$C$2615)))</f>
        <v/>
      </c>
      <c r="P2637" s="208">
        <f>MIN(1,MAX(0,(nr_MEndPm1-$G2637+0.5)/$C$2614))-MIN(1,MAX(0,(nr_MStartPm1-1-$G2637+0.5)/$C$2614))</f>
        <v/>
      </c>
      <c r="Q2637" s="208">
        <f>MIN(1,MAX(0,(nr_MEndP-$G2637+0.5)/$C$2614))-MIN(1,MAX(0,(nr_MStartP-1-$G2637+0.5)/$C$2614))</f>
        <v/>
      </c>
      <c r="R2637" s="208">
        <f>MIN(1,MAX(0,(nr_MEndP1-$G2637+0.5)/$C$2614))-MIN(1,MAX(0,(nr_MStartP1-1-$G2637+0.5)/$C$2614))</f>
        <v/>
      </c>
      <c r="S2637" s="208">
        <f>IF($L$2614,$N2637*IF($O$2614=1,$O2637/$F$2614,1),"")</f>
        <v/>
      </c>
      <c r="T2637" s="208">
        <f>IF(NOT($L$2614),"",IF($G2637&lt;nr_MStartP,$S2637,$T2625*(1+IF($G2637&lt;nr_MStartP1,$M$2614,$N$2614))))</f>
        <v/>
      </c>
      <c r="U2637" s="208">
        <f>IF($L$2614,$T2637,$N2637)</f>
        <v/>
      </c>
    </row>
    <row r="2638">
      <c r="A2638" s="145" t="n">
        <v>22</v>
      </c>
      <c r="B2638" s="204">
        <f>EDATE($B2637,1)</f>
        <v/>
      </c>
      <c r="C2638" s="205">
        <f>EOMONTH($B2638,0)</f>
        <v/>
      </c>
      <c r="D2638" s="201">
        <f>$C2638-$B2638+1</f>
        <v/>
      </c>
      <c r="E2638" s="201">
        <f>MONTH($B2638)</f>
        <v/>
      </c>
      <c r="F2638" s="235">
        <f>($B2638+$C2638+1)/2</f>
        <v/>
      </c>
      <c r="G2638" s="201">
        <f>YEAR($B2638)*12+MONTH($B2638)-1</f>
        <v/>
      </c>
      <c r="H2638" s="207">
        <f>IF(OR(nr_SeasonOn="OFF",$D$2614=0,$E$2614=0),1,12*INDEX(se_block,$D$2614,$E2638)/$E$2614)</f>
        <v/>
      </c>
      <c r="I2638" s="208">
        <f>EXP(SUMPRODUCT((rl_eff&lt;$B2638)*(rl_key=$A$2614)*rl_ln1p))</f>
        <v/>
      </c>
      <c r="J2638" s="208">
        <f>EXP(SUMPRODUCT((rl_eff&lt;=$C2638)*(rl_key=$A$2614)*rl_ln1p))</f>
        <v/>
      </c>
      <c r="K2638" s="201">
        <f>COUNTIFS(rl_key,$A$2614,rl_eff,"&gt;="&amp;$B2638,rl_eff,"&lt;="&amp;$C2638)</f>
        <v/>
      </c>
      <c r="L2638" s="201">
        <f>SUMIFS(rl_daysafter,rl_key,$A$2614,rl_effmonth,$B2638,rl_first,1)</f>
        <v/>
      </c>
      <c r="M2638" s="209">
        <f>IF($K2638=0,0,MIN(1,$L2638/$D2638))</f>
        <v/>
      </c>
      <c r="N2638" s="208">
        <f>IF($K2638=0,$J2638,(1-$M2638)*$I2638+$M2638*$J2638)</f>
        <v/>
      </c>
      <c r="O2638" s="209">
        <f>IF($F2638&lt;$B$2615,$E$2615+$I$2615*($F2638-$A$2615),IF($F2638&lt;$C$2615,$F$2615+$J$2615*($F2638-$B$2615),$G$2615+$K$2615*($F2638-$C$2615)))</f>
        <v/>
      </c>
      <c r="P2638" s="208">
        <f>MIN(1,MAX(0,(nr_MEndPm1-$G2638+0.5)/$C$2614))-MIN(1,MAX(0,(nr_MStartPm1-1-$G2638+0.5)/$C$2614))</f>
        <v/>
      </c>
      <c r="Q2638" s="208">
        <f>MIN(1,MAX(0,(nr_MEndP-$G2638+0.5)/$C$2614))-MIN(1,MAX(0,(nr_MStartP-1-$G2638+0.5)/$C$2614))</f>
        <v/>
      </c>
      <c r="R2638" s="208">
        <f>MIN(1,MAX(0,(nr_MEndP1-$G2638+0.5)/$C$2614))-MIN(1,MAX(0,(nr_MStartP1-1-$G2638+0.5)/$C$2614))</f>
        <v/>
      </c>
      <c r="S2638" s="208">
        <f>IF($L$2614,$N2638*IF($O$2614=1,$O2638/$F$2614,1),"")</f>
        <v/>
      </c>
      <c r="T2638" s="208">
        <f>IF(NOT($L$2614),"",IF($G2638&lt;nr_MStartP,$S2638,$T2626*(1+IF($G2638&lt;nr_MStartP1,$M$2614,$N$2614))))</f>
        <v/>
      </c>
      <c r="U2638" s="208">
        <f>IF($L$2614,$T2638,$N2638)</f>
        <v/>
      </c>
    </row>
    <row r="2639">
      <c r="A2639" s="145" t="n">
        <v>23</v>
      </c>
      <c r="B2639" s="204">
        <f>EDATE($B2638,1)</f>
        <v/>
      </c>
      <c r="C2639" s="205">
        <f>EOMONTH($B2639,0)</f>
        <v/>
      </c>
      <c r="D2639" s="201">
        <f>$C2639-$B2639+1</f>
        <v/>
      </c>
      <c r="E2639" s="201">
        <f>MONTH($B2639)</f>
        <v/>
      </c>
      <c r="F2639" s="235">
        <f>($B2639+$C2639+1)/2</f>
        <v/>
      </c>
      <c r="G2639" s="201">
        <f>YEAR($B2639)*12+MONTH($B2639)-1</f>
        <v/>
      </c>
      <c r="H2639" s="207">
        <f>IF(OR(nr_SeasonOn="OFF",$D$2614=0,$E$2614=0),1,12*INDEX(se_block,$D$2614,$E2639)/$E$2614)</f>
        <v/>
      </c>
      <c r="I2639" s="208">
        <f>EXP(SUMPRODUCT((rl_eff&lt;$B2639)*(rl_key=$A$2614)*rl_ln1p))</f>
        <v/>
      </c>
      <c r="J2639" s="208">
        <f>EXP(SUMPRODUCT((rl_eff&lt;=$C2639)*(rl_key=$A$2614)*rl_ln1p))</f>
        <v/>
      </c>
      <c r="K2639" s="201">
        <f>COUNTIFS(rl_key,$A$2614,rl_eff,"&gt;="&amp;$B2639,rl_eff,"&lt;="&amp;$C2639)</f>
        <v/>
      </c>
      <c r="L2639" s="201">
        <f>SUMIFS(rl_daysafter,rl_key,$A$2614,rl_effmonth,$B2639,rl_first,1)</f>
        <v/>
      </c>
      <c r="M2639" s="209">
        <f>IF($K2639=0,0,MIN(1,$L2639/$D2639))</f>
        <v/>
      </c>
      <c r="N2639" s="208">
        <f>IF($K2639=0,$J2639,(1-$M2639)*$I2639+$M2639*$J2639)</f>
        <v/>
      </c>
      <c r="O2639" s="209">
        <f>IF($F2639&lt;$B$2615,$E$2615+$I$2615*($F2639-$A$2615),IF($F2639&lt;$C$2615,$F$2615+$J$2615*($F2639-$B$2615),$G$2615+$K$2615*($F2639-$C$2615)))</f>
        <v/>
      </c>
      <c r="P2639" s="208">
        <f>MIN(1,MAX(0,(nr_MEndPm1-$G2639+0.5)/$C$2614))-MIN(1,MAX(0,(nr_MStartPm1-1-$G2639+0.5)/$C$2614))</f>
        <v/>
      </c>
      <c r="Q2639" s="208">
        <f>MIN(1,MAX(0,(nr_MEndP-$G2639+0.5)/$C$2614))-MIN(1,MAX(0,(nr_MStartP-1-$G2639+0.5)/$C$2614))</f>
        <v/>
      </c>
      <c r="R2639" s="208">
        <f>MIN(1,MAX(0,(nr_MEndP1-$G2639+0.5)/$C$2614))-MIN(1,MAX(0,(nr_MStartP1-1-$G2639+0.5)/$C$2614))</f>
        <v/>
      </c>
      <c r="S2639" s="208">
        <f>IF($L$2614,$N2639*IF($O$2614=1,$O2639/$F$2614,1),"")</f>
        <v/>
      </c>
      <c r="T2639" s="208">
        <f>IF(NOT($L$2614),"",IF($G2639&lt;nr_MStartP,$S2639,$T2627*(1+IF($G2639&lt;nr_MStartP1,$M$2614,$N$2614))))</f>
        <v/>
      </c>
      <c r="U2639" s="208">
        <f>IF($L$2614,$T2639,$N2639)</f>
        <v/>
      </c>
    </row>
    <row r="2640">
      <c r="A2640" s="145" t="n">
        <v>24</v>
      </c>
      <c r="B2640" s="204">
        <f>EDATE($B2639,1)</f>
        <v/>
      </c>
      <c r="C2640" s="205">
        <f>EOMONTH($B2640,0)</f>
        <v/>
      </c>
      <c r="D2640" s="201">
        <f>$C2640-$B2640+1</f>
        <v/>
      </c>
      <c r="E2640" s="201">
        <f>MONTH($B2640)</f>
        <v/>
      </c>
      <c r="F2640" s="235">
        <f>($B2640+$C2640+1)/2</f>
        <v/>
      </c>
      <c r="G2640" s="201">
        <f>YEAR($B2640)*12+MONTH($B2640)-1</f>
        <v/>
      </c>
      <c r="H2640" s="207">
        <f>IF(OR(nr_SeasonOn="OFF",$D$2614=0,$E$2614=0),1,12*INDEX(se_block,$D$2614,$E2640)/$E$2614)</f>
        <v/>
      </c>
      <c r="I2640" s="208">
        <f>EXP(SUMPRODUCT((rl_eff&lt;$B2640)*(rl_key=$A$2614)*rl_ln1p))</f>
        <v/>
      </c>
      <c r="J2640" s="208">
        <f>EXP(SUMPRODUCT((rl_eff&lt;=$C2640)*(rl_key=$A$2614)*rl_ln1p))</f>
        <v/>
      </c>
      <c r="K2640" s="201">
        <f>COUNTIFS(rl_key,$A$2614,rl_eff,"&gt;="&amp;$B2640,rl_eff,"&lt;="&amp;$C2640)</f>
        <v/>
      </c>
      <c r="L2640" s="201">
        <f>SUMIFS(rl_daysafter,rl_key,$A$2614,rl_effmonth,$B2640,rl_first,1)</f>
        <v/>
      </c>
      <c r="M2640" s="209">
        <f>IF($K2640=0,0,MIN(1,$L2640/$D2640))</f>
        <v/>
      </c>
      <c r="N2640" s="208">
        <f>IF($K2640=0,$J2640,(1-$M2640)*$I2640+$M2640*$J2640)</f>
        <v/>
      </c>
      <c r="O2640" s="209">
        <f>IF($F2640&lt;$B$2615,$E$2615+$I$2615*($F2640-$A$2615),IF($F2640&lt;$C$2615,$F$2615+$J$2615*($F2640-$B$2615),$G$2615+$K$2615*($F2640-$C$2615)))</f>
        <v/>
      </c>
      <c r="P2640" s="208">
        <f>MIN(1,MAX(0,(nr_MEndPm1-$G2640+0.5)/$C$2614))-MIN(1,MAX(0,(nr_MStartPm1-1-$G2640+0.5)/$C$2614))</f>
        <v/>
      </c>
      <c r="Q2640" s="208">
        <f>MIN(1,MAX(0,(nr_MEndP-$G2640+0.5)/$C$2614))-MIN(1,MAX(0,(nr_MStartP-1-$G2640+0.5)/$C$2614))</f>
        <v/>
      </c>
      <c r="R2640" s="208">
        <f>MIN(1,MAX(0,(nr_MEndP1-$G2640+0.5)/$C$2614))-MIN(1,MAX(0,(nr_MStartP1-1-$G2640+0.5)/$C$2614))</f>
        <v/>
      </c>
      <c r="S2640" s="208">
        <f>IF($L$2614,$N2640*IF($O$2614=1,$O2640/$F$2614,1),"")</f>
        <v/>
      </c>
      <c r="T2640" s="208">
        <f>IF(NOT($L$2614),"",IF($G2640&lt;nr_MStartP,$S2640,$T2628*(1+IF($G2640&lt;nr_MStartP1,$M$2614,$N$2614))))</f>
        <v/>
      </c>
      <c r="U2640" s="208">
        <f>IF($L$2614,$T2640,$N2640)</f>
        <v/>
      </c>
    </row>
    <row r="2641">
      <c r="A2641" s="145" t="n">
        <v>25</v>
      </c>
      <c r="B2641" s="204">
        <f>EDATE($B2640,1)</f>
        <v/>
      </c>
      <c r="C2641" s="205">
        <f>EOMONTH($B2641,0)</f>
        <v/>
      </c>
      <c r="D2641" s="201">
        <f>$C2641-$B2641+1</f>
        <v/>
      </c>
      <c r="E2641" s="201">
        <f>MONTH($B2641)</f>
        <v/>
      </c>
      <c r="F2641" s="235">
        <f>($B2641+$C2641+1)/2</f>
        <v/>
      </c>
      <c r="G2641" s="201">
        <f>YEAR($B2641)*12+MONTH($B2641)-1</f>
        <v/>
      </c>
      <c r="H2641" s="207">
        <f>IF(OR(nr_SeasonOn="OFF",$D$2614=0,$E$2614=0),1,12*INDEX(se_block,$D$2614,$E2641)/$E$2614)</f>
        <v/>
      </c>
      <c r="I2641" s="208">
        <f>EXP(SUMPRODUCT((rl_eff&lt;$B2641)*(rl_key=$A$2614)*rl_ln1p))</f>
        <v/>
      </c>
      <c r="J2641" s="208">
        <f>EXP(SUMPRODUCT((rl_eff&lt;=$C2641)*(rl_key=$A$2614)*rl_ln1p))</f>
        <v/>
      </c>
      <c r="K2641" s="201">
        <f>COUNTIFS(rl_key,$A$2614,rl_eff,"&gt;="&amp;$B2641,rl_eff,"&lt;="&amp;$C2641)</f>
        <v/>
      </c>
      <c r="L2641" s="201">
        <f>SUMIFS(rl_daysafter,rl_key,$A$2614,rl_effmonth,$B2641,rl_first,1)</f>
        <v/>
      </c>
      <c r="M2641" s="209">
        <f>IF($K2641=0,0,MIN(1,$L2641/$D2641))</f>
        <v/>
      </c>
      <c r="N2641" s="208">
        <f>IF($K2641=0,$J2641,(1-$M2641)*$I2641+$M2641*$J2641)</f>
        <v/>
      </c>
      <c r="O2641" s="209">
        <f>IF($F2641&lt;$B$2615,$E$2615+$I$2615*($F2641-$A$2615),IF($F2641&lt;$C$2615,$F$2615+$J$2615*($F2641-$B$2615),$G$2615+$K$2615*($F2641-$C$2615)))</f>
        <v/>
      </c>
      <c r="P2641" s="208">
        <f>MIN(1,MAX(0,(nr_MEndPm1-$G2641+0.5)/$C$2614))-MIN(1,MAX(0,(nr_MStartPm1-1-$G2641+0.5)/$C$2614))</f>
        <v/>
      </c>
      <c r="Q2641" s="208">
        <f>MIN(1,MAX(0,(nr_MEndP-$G2641+0.5)/$C$2614))-MIN(1,MAX(0,(nr_MStartP-1-$G2641+0.5)/$C$2614))</f>
        <v/>
      </c>
      <c r="R2641" s="208">
        <f>MIN(1,MAX(0,(nr_MEndP1-$G2641+0.5)/$C$2614))-MIN(1,MAX(0,(nr_MStartP1-1-$G2641+0.5)/$C$2614))</f>
        <v/>
      </c>
      <c r="S2641" s="208">
        <f>IF($L$2614,$N2641*IF($O$2614=1,$O2641/$F$2614,1),"")</f>
        <v/>
      </c>
      <c r="T2641" s="208">
        <f>IF(NOT($L$2614),"",IF($G2641&lt;nr_MStartP,$S2641,$T2629*(1+IF($G2641&lt;nr_MStartP1,$M$2614,$N$2614))))</f>
        <v/>
      </c>
      <c r="U2641" s="208">
        <f>IF($L$2614,$T2641,$N2641)</f>
        <v/>
      </c>
    </row>
    <row r="2642">
      <c r="A2642" s="145" t="n">
        <v>26</v>
      </c>
      <c r="B2642" s="204">
        <f>EDATE($B2641,1)</f>
        <v/>
      </c>
      <c r="C2642" s="205">
        <f>EOMONTH($B2642,0)</f>
        <v/>
      </c>
      <c r="D2642" s="201">
        <f>$C2642-$B2642+1</f>
        <v/>
      </c>
      <c r="E2642" s="201">
        <f>MONTH($B2642)</f>
        <v/>
      </c>
      <c r="F2642" s="235">
        <f>($B2642+$C2642+1)/2</f>
        <v/>
      </c>
      <c r="G2642" s="201">
        <f>YEAR($B2642)*12+MONTH($B2642)-1</f>
        <v/>
      </c>
      <c r="H2642" s="207">
        <f>IF(OR(nr_SeasonOn="OFF",$D$2614=0,$E$2614=0),1,12*INDEX(se_block,$D$2614,$E2642)/$E$2614)</f>
        <v/>
      </c>
      <c r="I2642" s="208">
        <f>EXP(SUMPRODUCT((rl_eff&lt;$B2642)*(rl_key=$A$2614)*rl_ln1p))</f>
        <v/>
      </c>
      <c r="J2642" s="208">
        <f>EXP(SUMPRODUCT((rl_eff&lt;=$C2642)*(rl_key=$A$2614)*rl_ln1p))</f>
        <v/>
      </c>
      <c r="K2642" s="201">
        <f>COUNTIFS(rl_key,$A$2614,rl_eff,"&gt;="&amp;$B2642,rl_eff,"&lt;="&amp;$C2642)</f>
        <v/>
      </c>
      <c r="L2642" s="201">
        <f>SUMIFS(rl_daysafter,rl_key,$A$2614,rl_effmonth,$B2642,rl_first,1)</f>
        <v/>
      </c>
      <c r="M2642" s="209">
        <f>IF($K2642=0,0,MIN(1,$L2642/$D2642))</f>
        <v/>
      </c>
      <c r="N2642" s="208">
        <f>IF($K2642=0,$J2642,(1-$M2642)*$I2642+$M2642*$J2642)</f>
        <v/>
      </c>
      <c r="O2642" s="209">
        <f>IF($F2642&lt;$B$2615,$E$2615+$I$2615*($F2642-$A$2615),IF($F2642&lt;$C$2615,$F$2615+$J$2615*($F2642-$B$2615),$G$2615+$K$2615*($F2642-$C$2615)))</f>
        <v/>
      </c>
      <c r="P2642" s="208">
        <f>MIN(1,MAX(0,(nr_MEndPm1-$G2642+0.5)/$C$2614))-MIN(1,MAX(0,(nr_MStartPm1-1-$G2642+0.5)/$C$2614))</f>
        <v/>
      </c>
      <c r="Q2642" s="208">
        <f>MIN(1,MAX(0,(nr_MEndP-$G2642+0.5)/$C$2614))-MIN(1,MAX(0,(nr_MStartP-1-$G2642+0.5)/$C$2614))</f>
        <v/>
      </c>
      <c r="R2642" s="208">
        <f>MIN(1,MAX(0,(nr_MEndP1-$G2642+0.5)/$C$2614))-MIN(1,MAX(0,(nr_MStartP1-1-$G2642+0.5)/$C$2614))</f>
        <v/>
      </c>
      <c r="S2642" s="208">
        <f>IF($L$2614,$N2642*IF($O$2614=1,$O2642/$F$2614,1),"")</f>
        <v/>
      </c>
      <c r="T2642" s="208">
        <f>IF(NOT($L$2614),"",IF($G2642&lt;nr_MStartP,$S2642,$T2630*(1+IF($G2642&lt;nr_MStartP1,$M$2614,$N$2614))))</f>
        <v/>
      </c>
      <c r="U2642" s="208">
        <f>IF($L$2614,$T2642,$N2642)</f>
        <v/>
      </c>
    </row>
    <row r="2643">
      <c r="A2643" s="145" t="n">
        <v>27</v>
      </c>
      <c r="B2643" s="204">
        <f>EDATE($B2642,1)</f>
        <v/>
      </c>
      <c r="C2643" s="205">
        <f>EOMONTH($B2643,0)</f>
        <v/>
      </c>
      <c r="D2643" s="201">
        <f>$C2643-$B2643+1</f>
        <v/>
      </c>
      <c r="E2643" s="201">
        <f>MONTH($B2643)</f>
        <v/>
      </c>
      <c r="F2643" s="235">
        <f>($B2643+$C2643+1)/2</f>
        <v/>
      </c>
      <c r="G2643" s="201">
        <f>YEAR($B2643)*12+MONTH($B2643)-1</f>
        <v/>
      </c>
      <c r="H2643" s="207">
        <f>IF(OR(nr_SeasonOn="OFF",$D$2614=0,$E$2614=0),1,12*INDEX(se_block,$D$2614,$E2643)/$E$2614)</f>
        <v/>
      </c>
      <c r="I2643" s="208">
        <f>EXP(SUMPRODUCT((rl_eff&lt;$B2643)*(rl_key=$A$2614)*rl_ln1p))</f>
        <v/>
      </c>
      <c r="J2643" s="208">
        <f>EXP(SUMPRODUCT((rl_eff&lt;=$C2643)*(rl_key=$A$2614)*rl_ln1p))</f>
        <v/>
      </c>
      <c r="K2643" s="201">
        <f>COUNTIFS(rl_key,$A$2614,rl_eff,"&gt;="&amp;$B2643,rl_eff,"&lt;="&amp;$C2643)</f>
        <v/>
      </c>
      <c r="L2643" s="201">
        <f>SUMIFS(rl_daysafter,rl_key,$A$2614,rl_effmonth,$B2643,rl_first,1)</f>
        <v/>
      </c>
      <c r="M2643" s="209">
        <f>IF($K2643=0,0,MIN(1,$L2643/$D2643))</f>
        <v/>
      </c>
      <c r="N2643" s="208">
        <f>IF($K2643=0,$J2643,(1-$M2643)*$I2643+$M2643*$J2643)</f>
        <v/>
      </c>
      <c r="O2643" s="209">
        <f>IF($F2643&lt;$B$2615,$E$2615+$I$2615*($F2643-$A$2615),IF($F2643&lt;$C$2615,$F$2615+$J$2615*($F2643-$B$2615),$G$2615+$K$2615*($F2643-$C$2615)))</f>
        <v/>
      </c>
      <c r="P2643" s="208">
        <f>MIN(1,MAX(0,(nr_MEndPm1-$G2643+0.5)/$C$2614))-MIN(1,MAX(0,(nr_MStartPm1-1-$G2643+0.5)/$C$2614))</f>
        <v/>
      </c>
      <c r="Q2643" s="208">
        <f>MIN(1,MAX(0,(nr_MEndP-$G2643+0.5)/$C$2614))-MIN(1,MAX(0,(nr_MStartP-1-$G2643+0.5)/$C$2614))</f>
        <v/>
      </c>
      <c r="R2643" s="208">
        <f>MIN(1,MAX(0,(nr_MEndP1-$G2643+0.5)/$C$2614))-MIN(1,MAX(0,(nr_MStartP1-1-$G2643+0.5)/$C$2614))</f>
        <v/>
      </c>
      <c r="S2643" s="208">
        <f>IF($L$2614,$N2643*IF($O$2614=1,$O2643/$F$2614,1),"")</f>
        <v/>
      </c>
      <c r="T2643" s="208">
        <f>IF(NOT($L$2614),"",IF($G2643&lt;nr_MStartP,$S2643,$T2631*(1+IF($G2643&lt;nr_MStartP1,$M$2614,$N$2614))))</f>
        <v/>
      </c>
      <c r="U2643" s="208">
        <f>IF($L$2614,$T2643,$N2643)</f>
        <v/>
      </c>
    </row>
    <row r="2644">
      <c r="A2644" s="145" t="n">
        <v>28</v>
      </c>
      <c r="B2644" s="204">
        <f>EDATE($B2643,1)</f>
        <v/>
      </c>
      <c r="C2644" s="205">
        <f>EOMONTH($B2644,0)</f>
        <v/>
      </c>
      <c r="D2644" s="201">
        <f>$C2644-$B2644+1</f>
        <v/>
      </c>
      <c r="E2644" s="201">
        <f>MONTH($B2644)</f>
        <v/>
      </c>
      <c r="F2644" s="235">
        <f>($B2644+$C2644+1)/2</f>
        <v/>
      </c>
      <c r="G2644" s="201">
        <f>YEAR($B2644)*12+MONTH($B2644)-1</f>
        <v/>
      </c>
      <c r="H2644" s="207">
        <f>IF(OR(nr_SeasonOn="OFF",$D$2614=0,$E$2614=0),1,12*INDEX(se_block,$D$2614,$E2644)/$E$2614)</f>
        <v/>
      </c>
      <c r="I2644" s="208">
        <f>EXP(SUMPRODUCT((rl_eff&lt;$B2644)*(rl_key=$A$2614)*rl_ln1p))</f>
        <v/>
      </c>
      <c r="J2644" s="208">
        <f>EXP(SUMPRODUCT((rl_eff&lt;=$C2644)*(rl_key=$A$2614)*rl_ln1p))</f>
        <v/>
      </c>
      <c r="K2644" s="201">
        <f>COUNTIFS(rl_key,$A$2614,rl_eff,"&gt;="&amp;$B2644,rl_eff,"&lt;="&amp;$C2644)</f>
        <v/>
      </c>
      <c r="L2644" s="201">
        <f>SUMIFS(rl_daysafter,rl_key,$A$2614,rl_effmonth,$B2644,rl_first,1)</f>
        <v/>
      </c>
      <c r="M2644" s="209">
        <f>IF($K2644=0,0,MIN(1,$L2644/$D2644))</f>
        <v/>
      </c>
      <c r="N2644" s="208">
        <f>IF($K2644=0,$J2644,(1-$M2644)*$I2644+$M2644*$J2644)</f>
        <v/>
      </c>
      <c r="O2644" s="209">
        <f>IF($F2644&lt;$B$2615,$E$2615+$I$2615*($F2644-$A$2615),IF($F2644&lt;$C$2615,$F$2615+$J$2615*($F2644-$B$2615),$G$2615+$K$2615*($F2644-$C$2615)))</f>
        <v/>
      </c>
      <c r="P2644" s="208">
        <f>MIN(1,MAX(0,(nr_MEndPm1-$G2644+0.5)/$C$2614))-MIN(1,MAX(0,(nr_MStartPm1-1-$G2644+0.5)/$C$2614))</f>
        <v/>
      </c>
      <c r="Q2644" s="208">
        <f>MIN(1,MAX(0,(nr_MEndP-$G2644+0.5)/$C$2614))-MIN(1,MAX(0,(nr_MStartP-1-$G2644+0.5)/$C$2614))</f>
        <v/>
      </c>
      <c r="R2644" s="208">
        <f>MIN(1,MAX(0,(nr_MEndP1-$G2644+0.5)/$C$2614))-MIN(1,MAX(0,(nr_MStartP1-1-$G2644+0.5)/$C$2614))</f>
        <v/>
      </c>
      <c r="S2644" s="208">
        <f>IF($L$2614,$N2644*IF($O$2614=1,$O2644/$F$2614,1),"")</f>
        <v/>
      </c>
      <c r="T2644" s="208">
        <f>IF(NOT($L$2614),"",IF($G2644&lt;nr_MStartP,$S2644,$T2632*(1+IF($G2644&lt;nr_MStartP1,$M$2614,$N$2614))))</f>
        <v/>
      </c>
      <c r="U2644" s="208">
        <f>IF($L$2614,$T2644,$N2644)</f>
        <v/>
      </c>
    </row>
    <row r="2645">
      <c r="A2645" s="145" t="n">
        <v>29</v>
      </c>
      <c r="B2645" s="204">
        <f>EDATE($B2644,1)</f>
        <v/>
      </c>
      <c r="C2645" s="205">
        <f>EOMONTH($B2645,0)</f>
        <v/>
      </c>
      <c r="D2645" s="201">
        <f>$C2645-$B2645+1</f>
        <v/>
      </c>
      <c r="E2645" s="201">
        <f>MONTH($B2645)</f>
        <v/>
      </c>
      <c r="F2645" s="235">
        <f>($B2645+$C2645+1)/2</f>
        <v/>
      </c>
      <c r="G2645" s="201">
        <f>YEAR($B2645)*12+MONTH($B2645)-1</f>
        <v/>
      </c>
      <c r="H2645" s="207">
        <f>IF(OR(nr_SeasonOn="OFF",$D$2614=0,$E$2614=0),1,12*INDEX(se_block,$D$2614,$E2645)/$E$2614)</f>
        <v/>
      </c>
      <c r="I2645" s="208">
        <f>EXP(SUMPRODUCT((rl_eff&lt;$B2645)*(rl_key=$A$2614)*rl_ln1p))</f>
        <v/>
      </c>
      <c r="J2645" s="208">
        <f>EXP(SUMPRODUCT((rl_eff&lt;=$C2645)*(rl_key=$A$2614)*rl_ln1p))</f>
        <v/>
      </c>
      <c r="K2645" s="201">
        <f>COUNTIFS(rl_key,$A$2614,rl_eff,"&gt;="&amp;$B2645,rl_eff,"&lt;="&amp;$C2645)</f>
        <v/>
      </c>
      <c r="L2645" s="201">
        <f>SUMIFS(rl_daysafter,rl_key,$A$2614,rl_effmonth,$B2645,rl_first,1)</f>
        <v/>
      </c>
      <c r="M2645" s="209">
        <f>IF($K2645=0,0,MIN(1,$L2645/$D2645))</f>
        <v/>
      </c>
      <c r="N2645" s="208">
        <f>IF($K2645=0,$J2645,(1-$M2645)*$I2645+$M2645*$J2645)</f>
        <v/>
      </c>
      <c r="O2645" s="209">
        <f>IF($F2645&lt;$B$2615,$E$2615+$I$2615*($F2645-$A$2615),IF($F2645&lt;$C$2615,$F$2615+$J$2615*($F2645-$B$2615),$G$2615+$K$2615*($F2645-$C$2615)))</f>
        <v/>
      </c>
      <c r="P2645" s="208">
        <f>MIN(1,MAX(0,(nr_MEndPm1-$G2645+0.5)/$C$2614))-MIN(1,MAX(0,(nr_MStartPm1-1-$G2645+0.5)/$C$2614))</f>
        <v/>
      </c>
      <c r="Q2645" s="208">
        <f>MIN(1,MAX(0,(nr_MEndP-$G2645+0.5)/$C$2614))-MIN(1,MAX(0,(nr_MStartP-1-$G2645+0.5)/$C$2614))</f>
        <v/>
      </c>
      <c r="R2645" s="208">
        <f>MIN(1,MAX(0,(nr_MEndP1-$G2645+0.5)/$C$2614))-MIN(1,MAX(0,(nr_MStartP1-1-$G2645+0.5)/$C$2614))</f>
        <v/>
      </c>
      <c r="S2645" s="208">
        <f>IF($L$2614,$N2645*IF($O$2614=1,$O2645/$F$2614,1),"")</f>
        <v/>
      </c>
      <c r="T2645" s="208">
        <f>IF(NOT($L$2614),"",IF($G2645&lt;nr_MStartP,$S2645,$T2633*(1+IF($G2645&lt;nr_MStartP1,$M$2614,$N$2614))))</f>
        <v/>
      </c>
      <c r="U2645" s="208">
        <f>IF($L$2614,$T2645,$N2645)</f>
        <v/>
      </c>
    </row>
    <row r="2646">
      <c r="A2646" s="145" t="n">
        <v>30</v>
      </c>
      <c r="B2646" s="204">
        <f>EDATE($B2645,1)</f>
        <v/>
      </c>
      <c r="C2646" s="205">
        <f>EOMONTH($B2646,0)</f>
        <v/>
      </c>
      <c r="D2646" s="201">
        <f>$C2646-$B2646+1</f>
        <v/>
      </c>
      <c r="E2646" s="201">
        <f>MONTH($B2646)</f>
        <v/>
      </c>
      <c r="F2646" s="235">
        <f>($B2646+$C2646+1)/2</f>
        <v/>
      </c>
      <c r="G2646" s="201">
        <f>YEAR($B2646)*12+MONTH($B2646)-1</f>
        <v/>
      </c>
      <c r="H2646" s="207">
        <f>IF(OR(nr_SeasonOn="OFF",$D$2614=0,$E$2614=0),1,12*INDEX(se_block,$D$2614,$E2646)/$E$2614)</f>
        <v/>
      </c>
      <c r="I2646" s="208">
        <f>EXP(SUMPRODUCT((rl_eff&lt;$B2646)*(rl_key=$A$2614)*rl_ln1p))</f>
        <v/>
      </c>
      <c r="J2646" s="208">
        <f>EXP(SUMPRODUCT((rl_eff&lt;=$C2646)*(rl_key=$A$2614)*rl_ln1p))</f>
        <v/>
      </c>
      <c r="K2646" s="201">
        <f>COUNTIFS(rl_key,$A$2614,rl_eff,"&gt;="&amp;$B2646,rl_eff,"&lt;="&amp;$C2646)</f>
        <v/>
      </c>
      <c r="L2646" s="201">
        <f>SUMIFS(rl_daysafter,rl_key,$A$2614,rl_effmonth,$B2646,rl_first,1)</f>
        <v/>
      </c>
      <c r="M2646" s="209">
        <f>IF($K2646=0,0,MIN(1,$L2646/$D2646))</f>
        <v/>
      </c>
      <c r="N2646" s="208">
        <f>IF($K2646=0,$J2646,(1-$M2646)*$I2646+$M2646*$J2646)</f>
        <v/>
      </c>
      <c r="O2646" s="209">
        <f>IF($F2646&lt;$B$2615,$E$2615+$I$2615*($F2646-$A$2615),IF($F2646&lt;$C$2615,$F$2615+$J$2615*($F2646-$B$2615),$G$2615+$K$2615*($F2646-$C$2615)))</f>
        <v/>
      </c>
      <c r="P2646" s="208">
        <f>MIN(1,MAX(0,(nr_MEndPm1-$G2646+0.5)/$C$2614))-MIN(1,MAX(0,(nr_MStartPm1-1-$G2646+0.5)/$C$2614))</f>
        <v/>
      </c>
      <c r="Q2646" s="208">
        <f>MIN(1,MAX(0,(nr_MEndP-$G2646+0.5)/$C$2614))-MIN(1,MAX(0,(nr_MStartP-1-$G2646+0.5)/$C$2614))</f>
        <v/>
      </c>
      <c r="R2646" s="208">
        <f>MIN(1,MAX(0,(nr_MEndP1-$G2646+0.5)/$C$2614))-MIN(1,MAX(0,(nr_MStartP1-1-$G2646+0.5)/$C$2614))</f>
        <v/>
      </c>
      <c r="S2646" s="208">
        <f>IF($L$2614,$N2646*IF($O$2614=1,$O2646/$F$2614,1),"")</f>
        <v/>
      </c>
      <c r="T2646" s="208">
        <f>IF(NOT($L$2614),"",IF($G2646&lt;nr_MStartP,$S2646,$T2634*(1+IF($G2646&lt;nr_MStartP1,$M$2614,$N$2614))))</f>
        <v/>
      </c>
      <c r="U2646" s="208">
        <f>IF($L$2614,$T2646,$N2646)</f>
        <v/>
      </c>
    </row>
    <row r="2647">
      <c r="A2647" s="145" t="n">
        <v>31</v>
      </c>
      <c r="B2647" s="204">
        <f>EDATE($B2646,1)</f>
        <v/>
      </c>
      <c r="C2647" s="205">
        <f>EOMONTH($B2647,0)</f>
        <v/>
      </c>
      <c r="D2647" s="201">
        <f>$C2647-$B2647+1</f>
        <v/>
      </c>
      <c r="E2647" s="201">
        <f>MONTH($B2647)</f>
        <v/>
      </c>
      <c r="F2647" s="235">
        <f>($B2647+$C2647+1)/2</f>
        <v/>
      </c>
      <c r="G2647" s="201">
        <f>YEAR($B2647)*12+MONTH($B2647)-1</f>
        <v/>
      </c>
      <c r="H2647" s="207">
        <f>IF(OR(nr_SeasonOn="OFF",$D$2614=0,$E$2614=0),1,12*INDEX(se_block,$D$2614,$E2647)/$E$2614)</f>
        <v/>
      </c>
      <c r="I2647" s="208">
        <f>EXP(SUMPRODUCT((rl_eff&lt;$B2647)*(rl_key=$A$2614)*rl_ln1p))</f>
        <v/>
      </c>
      <c r="J2647" s="208">
        <f>EXP(SUMPRODUCT((rl_eff&lt;=$C2647)*(rl_key=$A$2614)*rl_ln1p))</f>
        <v/>
      </c>
      <c r="K2647" s="201">
        <f>COUNTIFS(rl_key,$A$2614,rl_eff,"&gt;="&amp;$B2647,rl_eff,"&lt;="&amp;$C2647)</f>
        <v/>
      </c>
      <c r="L2647" s="201">
        <f>SUMIFS(rl_daysafter,rl_key,$A$2614,rl_effmonth,$B2647,rl_first,1)</f>
        <v/>
      </c>
      <c r="M2647" s="209">
        <f>IF($K2647=0,0,MIN(1,$L2647/$D2647))</f>
        <v/>
      </c>
      <c r="N2647" s="208">
        <f>IF($K2647=0,$J2647,(1-$M2647)*$I2647+$M2647*$J2647)</f>
        <v/>
      </c>
      <c r="O2647" s="209">
        <f>IF($F2647&lt;$B$2615,$E$2615+$I$2615*($F2647-$A$2615),IF($F2647&lt;$C$2615,$F$2615+$J$2615*($F2647-$B$2615),$G$2615+$K$2615*($F2647-$C$2615)))</f>
        <v/>
      </c>
      <c r="P2647" s="208">
        <f>MIN(1,MAX(0,(nr_MEndPm1-$G2647+0.5)/$C$2614))-MIN(1,MAX(0,(nr_MStartPm1-1-$G2647+0.5)/$C$2614))</f>
        <v/>
      </c>
      <c r="Q2647" s="208">
        <f>MIN(1,MAX(0,(nr_MEndP-$G2647+0.5)/$C$2614))-MIN(1,MAX(0,(nr_MStartP-1-$G2647+0.5)/$C$2614))</f>
        <v/>
      </c>
      <c r="R2647" s="208">
        <f>MIN(1,MAX(0,(nr_MEndP1-$G2647+0.5)/$C$2614))-MIN(1,MAX(0,(nr_MStartP1-1-$G2647+0.5)/$C$2614))</f>
        <v/>
      </c>
      <c r="S2647" s="208">
        <f>IF($L$2614,$N2647*IF($O$2614=1,$O2647/$F$2614,1),"")</f>
        <v/>
      </c>
      <c r="T2647" s="208">
        <f>IF(NOT($L$2614),"",IF($G2647&lt;nr_MStartP,$S2647,$T2635*(1+IF($G2647&lt;nr_MStartP1,$M$2614,$N$2614))))</f>
        <v/>
      </c>
      <c r="U2647" s="208">
        <f>IF($L$2614,$T2647,$N2647)</f>
        <v/>
      </c>
    </row>
    <row r="2648">
      <c r="A2648" s="145" t="n">
        <v>32</v>
      </c>
      <c r="B2648" s="204">
        <f>EDATE($B2647,1)</f>
        <v/>
      </c>
      <c r="C2648" s="205">
        <f>EOMONTH($B2648,0)</f>
        <v/>
      </c>
      <c r="D2648" s="201">
        <f>$C2648-$B2648+1</f>
        <v/>
      </c>
      <c r="E2648" s="201">
        <f>MONTH($B2648)</f>
        <v/>
      </c>
      <c r="F2648" s="235">
        <f>($B2648+$C2648+1)/2</f>
        <v/>
      </c>
      <c r="G2648" s="201">
        <f>YEAR($B2648)*12+MONTH($B2648)-1</f>
        <v/>
      </c>
      <c r="H2648" s="207">
        <f>IF(OR(nr_SeasonOn="OFF",$D$2614=0,$E$2614=0),1,12*INDEX(se_block,$D$2614,$E2648)/$E$2614)</f>
        <v/>
      </c>
      <c r="I2648" s="208">
        <f>EXP(SUMPRODUCT((rl_eff&lt;$B2648)*(rl_key=$A$2614)*rl_ln1p))</f>
        <v/>
      </c>
      <c r="J2648" s="208">
        <f>EXP(SUMPRODUCT((rl_eff&lt;=$C2648)*(rl_key=$A$2614)*rl_ln1p))</f>
        <v/>
      </c>
      <c r="K2648" s="201">
        <f>COUNTIFS(rl_key,$A$2614,rl_eff,"&gt;="&amp;$B2648,rl_eff,"&lt;="&amp;$C2648)</f>
        <v/>
      </c>
      <c r="L2648" s="201">
        <f>SUMIFS(rl_daysafter,rl_key,$A$2614,rl_effmonth,$B2648,rl_first,1)</f>
        <v/>
      </c>
      <c r="M2648" s="209">
        <f>IF($K2648=0,0,MIN(1,$L2648/$D2648))</f>
        <v/>
      </c>
      <c r="N2648" s="208">
        <f>IF($K2648=0,$J2648,(1-$M2648)*$I2648+$M2648*$J2648)</f>
        <v/>
      </c>
      <c r="O2648" s="209">
        <f>IF($F2648&lt;$B$2615,$E$2615+$I$2615*($F2648-$A$2615),IF($F2648&lt;$C$2615,$F$2615+$J$2615*($F2648-$B$2615),$G$2615+$K$2615*($F2648-$C$2615)))</f>
        <v/>
      </c>
      <c r="P2648" s="208">
        <f>MIN(1,MAX(0,(nr_MEndPm1-$G2648+0.5)/$C$2614))-MIN(1,MAX(0,(nr_MStartPm1-1-$G2648+0.5)/$C$2614))</f>
        <v/>
      </c>
      <c r="Q2648" s="208">
        <f>MIN(1,MAX(0,(nr_MEndP-$G2648+0.5)/$C$2614))-MIN(1,MAX(0,(nr_MStartP-1-$G2648+0.5)/$C$2614))</f>
        <v/>
      </c>
      <c r="R2648" s="208">
        <f>MIN(1,MAX(0,(nr_MEndP1-$G2648+0.5)/$C$2614))-MIN(1,MAX(0,(nr_MStartP1-1-$G2648+0.5)/$C$2614))</f>
        <v/>
      </c>
      <c r="S2648" s="208">
        <f>IF($L$2614,$N2648*IF($O$2614=1,$O2648/$F$2614,1),"")</f>
        <v/>
      </c>
      <c r="T2648" s="208">
        <f>IF(NOT($L$2614),"",IF($G2648&lt;nr_MStartP,$S2648,$T2636*(1+IF($G2648&lt;nr_MStartP1,$M$2614,$N$2614))))</f>
        <v/>
      </c>
      <c r="U2648" s="208">
        <f>IF($L$2614,$T2648,$N2648)</f>
        <v/>
      </c>
    </row>
    <row r="2649">
      <c r="A2649" s="145" t="n">
        <v>33</v>
      </c>
      <c r="B2649" s="204">
        <f>EDATE($B2648,1)</f>
        <v/>
      </c>
      <c r="C2649" s="205">
        <f>EOMONTH($B2649,0)</f>
        <v/>
      </c>
      <c r="D2649" s="201">
        <f>$C2649-$B2649+1</f>
        <v/>
      </c>
      <c r="E2649" s="201">
        <f>MONTH($B2649)</f>
        <v/>
      </c>
      <c r="F2649" s="235">
        <f>($B2649+$C2649+1)/2</f>
        <v/>
      </c>
      <c r="G2649" s="201">
        <f>YEAR($B2649)*12+MONTH($B2649)-1</f>
        <v/>
      </c>
      <c r="H2649" s="207">
        <f>IF(OR(nr_SeasonOn="OFF",$D$2614=0,$E$2614=0),1,12*INDEX(se_block,$D$2614,$E2649)/$E$2614)</f>
        <v/>
      </c>
      <c r="I2649" s="208">
        <f>EXP(SUMPRODUCT((rl_eff&lt;$B2649)*(rl_key=$A$2614)*rl_ln1p))</f>
        <v/>
      </c>
      <c r="J2649" s="208">
        <f>EXP(SUMPRODUCT((rl_eff&lt;=$C2649)*(rl_key=$A$2614)*rl_ln1p))</f>
        <v/>
      </c>
      <c r="K2649" s="201">
        <f>COUNTIFS(rl_key,$A$2614,rl_eff,"&gt;="&amp;$B2649,rl_eff,"&lt;="&amp;$C2649)</f>
        <v/>
      </c>
      <c r="L2649" s="201">
        <f>SUMIFS(rl_daysafter,rl_key,$A$2614,rl_effmonth,$B2649,rl_first,1)</f>
        <v/>
      </c>
      <c r="M2649" s="209">
        <f>IF($K2649=0,0,MIN(1,$L2649/$D2649))</f>
        <v/>
      </c>
      <c r="N2649" s="208">
        <f>IF($K2649=0,$J2649,(1-$M2649)*$I2649+$M2649*$J2649)</f>
        <v/>
      </c>
      <c r="O2649" s="209">
        <f>IF($F2649&lt;$B$2615,$E$2615+$I$2615*($F2649-$A$2615),IF($F2649&lt;$C$2615,$F$2615+$J$2615*($F2649-$B$2615),$G$2615+$K$2615*($F2649-$C$2615)))</f>
        <v/>
      </c>
      <c r="P2649" s="208">
        <f>MIN(1,MAX(0,(nr_MEndPm1-$G2649+0.5)/$C$2614))-MIN(1,MAX(0,(nr_MStartPm1-1-$G2649+0.5)/$C$2614))</f>
        <v/>
      </c>
      <c r="Q2649" s="208">
        <f>MIN(1,MAX(0,(nr_MEndP-$G2649+0.5)/$C$2614))-MIN(1,MAX(0,(nr_MStartP-1-$G2649+0.5)/$C$2614))</f>
        <v/>
      </c>
      <c r="R2649" s="208">
        <f>MIN(1,MAX(0,(nr_MEndP1-$G2649+0.5)/$C$2614))-MIN(1,MAX(0,(nr_MStartP1-1-$G2649+0.5)/$C$2614))</f>
        <v/>
      </c>
      <c r="S2649" s="208">
        <f>IF($L$2614,$N2649*IF($O$2614=1,$O2649/$F$2614,1),"")</f>
        <v/>
      </c>
      <c r="T2649" s="208">
        <f>IF(NOT($L$2614),"",IF($G2649&lt;nr_MStartP,$S2649,$T2637*(1+IF($G2649&lt;nr_MStartP1,$M$2614,$N$2614))))</f>
        <v/>
      </c>
      <c r="U2649" s="208">
        <f>IF($L$2614,$T2649,$N2649)</f>
        <v/>
      </c>
    </row>
    <row r="2650">
      <c r="A2650" s="145" t="n">
        <v>34</v>
      </c>
      <c r="B2650" s="204">
        <f>EDATE($B2649,1)</f>
        <v/>
      </c>
      <c r="C2650" s="205">
        <f>EOMONTH($B2650,0)</f>
        <v/>
      </c>
      <c r="D2650" s="201">
        <f>$C2650-$B2650+1</f>
        <v/>
      </c>
      <c r="E2650" s="201">
        <f>MONTH($B2650)</f>
        <v/>
      </c>
      <c r="F2650" s="235">
        <f>($B2650+$C2650+1)/2</f>
        <v/>
      </c>
      <c r="G2650" s="201">
        <f>YEAR($B2650)*12+MONTH($B2650)-1</f>
        <v/>
      </c>
      <c r="H2650" s="207">
        <f>IF(OR(nr_SeasonOn="OFF",$D$2614=0,$E$2614=0),1,12*INDEX(se_block,$D$2614,$E2650)/$E$2614)</f>
        <v/>
      </c>
      <c r="I2650" s="208">
        <f>EXP(SUMPRODUCT((rl_eff&lt;$B2650)*(rl_key=$A$2614)*rl_ln1p))</f>
        <v/>
      </c>
      <c r="J2650" s="208">
        <f>EXP(SUMPRODUCT((rl_eff&lt;=$C2650)*(rl_key=$A$2614)*rl_ln1p))</f>
        <v/>
      </c>
      <c r="K2650" s="201">
        <f>COUNTIFS(rl_key,$A$2614,rl_eff,"&gt;="&amp;$B2650,rl_eff,"&lt;="&amp;$C2650)</f>
        <v/>
      </c>
      <c r="L2650" s="201">
        <f>SUMIFS(rl_daysafter,rl_key,$A$2614,rl_effmonth,$B2650,rl_first,1)</f>
        <v/>
      </c>
      <c r="M2650" s="209">
        <f>IF($K2650=0,0,MIN(1,$L2650/$D2650))</f>
        <v/>
      </c>
      <c r="N2650" s="208">
        <f>IF($K2650=0,$J2650,(1-$M2650)*$I2650+$M2650*$J2650)</f>
        <v/>
      </c>
      <c r="O2650" s="209">
        <f>IF($F2650&lt;$B$2615,$E$2615+$I$2615*($F2650-$A$2615),IF($F2650&lt;$C$2615,$F$2615+$J$2615*($F2650-$B$2615),$G$2615+$K$2615*($F2650-$C$2615)))</f>
        <v/>
      </c>
      <c r="P2650" s="208">
        <f>MIN(1,MAX(0,(nr_MEndPm1-$G2650+0.5)/$C$2614))-MIN(1,MAX(0,(nr_MStartPm1-1-$G2650+0.5)/$C$2614))</f>
        <v/>
      </c>
      <c r="Q2650" s="208">
        <f>MIN(1,MAX(0,(nr_MEndP-$G2650+0.5)/$C$2614))-MIN(1,MAX(0,(nr_MStartP-1-$G2650+0.5)/$C$2614))</f>
        <v/>
      </c>
      <c r="R2650" s="208">
        <f>MIN(1,MAX(0,(nr_MEndP1-$G2650+0.5)/$C$2614))-MIN(1,MAX(0,(nr_MStartP1-1-$G2650+0.5)/$C$2614))</f>
        <v/>
      </c>
      <c r="S2650" s="208">
        <f>IF($L$2614,$N2650*IF($O$2614=1,$O2650/$F$2614,1),"")</f>
        <v/>
      </c>
      <c r="T2650" s="208">
        <f>IF(NOT($L$2614),"",IF($G2650&lt;nr_MStartP,$S2650,$T2638*(1+IF($G2650&lt;nr_MStartP1,$M$2614,$N$2614))))</f>
        <v/>
      </c>
      <c r="U2650" s="208">
        <f>IF($L$2614,$T2650,$N2650)</f>
        <v/>
      </c>
    </row>
    <row r="2651">
      <c r="A2651" s="145" t="n">
        <v>35</v>
      </c>
      <c r="B2651" s="204">
        <f>EDATE($B2650,1)</f>
        <v/>
      </c>
      <c r="C2651" s="205">
        <f>EOMONTH($B2651,0)</f>
        <v/>
      </c>
      <c r="D2651" s="201">
        <f>$C2651-$B2651+1</f>
        <v/>
      </c>
      <c r="E2651" s="201">
        <f>MONTH($B2651)</f>
        <v/>
      </c>
      <c r="F2651" s="235">
        <f>($B2651+$C2651+1)/2</f>
        <v/>
      </c>
      <c r="G2651" s="201">
        <f>YEAR($B2651)*12+MONTH($B2651)-1</f>
        <v/>
      </c>
      <c r="H2651" s="207">
        <f>IF(OR(nr_SeasonOn="OFF",$D$2614=0,$E$2614=0),1,12*INDEX(se_block,$D$2614,$E2651)/$E$2614)</f>
        <v/>
      </c>
      <c r="I2651" s="208">
        <f>EXP(SUMPRODUCT((rl_eff&lt;$B2651)*(rl_key=$A$2614)*rl_ln1p))</f>
        <v/>
      </c>
      <c r="J2651" s="208">
        <f>EXP(SUMPRODUCT((rl_eff&lt;=$C2651)*(rl_key=$A$2614)*rl_ln1p))</f>
        <v/>
      </c>
      <c r="K2651" s="201">
        <f>COUNTIFS(rl_key,$A$2614,rl_eff,"&gt;="&amp;$B2651,rl_eff,"&lt;="&amp;$C2651)</f>
        <v/>
      </c>
      <c r="L2651" s="201">
        <f>SUMIFS(rl_daysafter,rl_key,$A$2614,rl_effmonth,$B2651,rl_first,1)</f>
        <v/>
      </c>
      <c r="M2651" s="209">
        <f>IF($K2651=0,0,MIN(1,$L2651/$D2651))</f>
        <v/>
      </c>
      <c r="N2651" s="208">
        <f>IF($K2651=0,$J2651,(1-$M2651)*$I2651+$M2651*$J2651)</f>
        <v/>
      </c>
      <c r="O2651" s="209">
        <f>IF($F2651&lt;$B$2615,$E$2615+$I$2615*($F2651-$A$2615),IF($F2651&lt;$C$2615,$F$2615+$J$2615*($F2651-$B$2615),$G$2615+$K$2615*($F2651-$C$2615)))</f>
        <v/>
      </c>
      <c r="P2651" s="208">
        <f>MIN(1,MAX(0,(nr_MEndPm1-$G2651+0.5)/$C$2614))-MIN(1,MAX(0,(nr_MStartPm1-1-$G2651+0.5)/$C$2614))</f>
        <v/>
      </c>
      <c r="Q2651" s="208">
        <f>MIN(1,MAX(0,(nr_MEndP-$G2651+0.5)/$C$2614))-MIN(1,MAX(0,(nr_MStartP-1-$G2651+0.5)/$C$2614))</f>
        <v/>
      </c>
      <c r="R2651" s="208">
        <f>MIN(1,MAX(0,(nr_MEndP1-$G2651+0.5)/$C$2614))-MIN(1,MAX(0,(nr_MStartP1-1-$G2651+0.5)/$C$2614))</f>
        <v/>
      </c>
      <c r="S2651" s="208">
        <f>IF($L$2614,$N2651*IF($O$2614=1,$O2651/$F$2614,1),"")</f>
        <v/>
      </c>
      <c r="T2651" s="208">
        <f>IF(NOT($L$2614),"",IF($G2651&lt;nr_MStartP,$S2651,$T2639*(1+IF($G2651&lt;nr_MStartP1,$M$2614,$N$2614))))</f>
        <v/>
      </c>
      <c r="U2651" s="208">
        <f>IF($L$2614,$T2651,$N2651)</f>
        <v/>
      </c>
    </row>
    <row r="2652">
      <c r="A2652" s="145" t="n">
        <v>36</v>
      </c>
      <c r="B2652" s="204">
        <f>EDATE($B2651,1)</f>
        <v/>
      </c>
      <c r="C2652" s="205">
        <f>EOMONTH($B2652,0)</f>
        <v/>
      </c>
      <c r="D2652" s="201">
        <f>$C2652-$B2652+1</f>
        <v/>
      </c>
      <c r="E2652" s="201">
        <f>MONTH($B2652)</f>
        <v/>
      </c>
      <c r="F2652" s="235">
        <f>($B2652+$C2652+1)/2</f>
        <v/>
      </c>
      <c r="G2652" s="201">
        <f>YEAR($B2652)*12+MONTH($B2652)-1</f>
        <v/>
      </c>
      <c r="H2652" s="207">
        <f>IF(OR(nr_SeasonOn="OFF",$D$2614=0,$E$2614=0),1,12*INDEX(se_block,$D$2614,$E2652)/$E$2614)</f>
        <v/>
      </c>
      <c r="I2652" s="208">
        <f>EXP(SUMPRODUCT((rl_eff&lt;$B2652)*(rl_key=$A$2614)*rl_ln1p))</f>
        <v/>
      </c>
      <c r="J2652" s="208">
        <f>EXP(SUMPRODUCT((rl_eff&lt;=$C2652)*(rl_key=$A$2614)*rl_ln1p))</f>
        <v/>
      </c>
      <c r="K2652" s="201">
        <f>COUNTIFS(rl_key,$A$2614,rl_eff,"&gt;="&amp;$B2652,rl_eff,"&lt;="&amp;$C2652)</f>
        <v/>
      </c>
      <c r="L2652" s="201">
        <f>SUMIFS(rl_daysafter,rl_key,$A$2614,rl_effmonth,$B2652,rl_first,1)</f>
        <v/>
      </c>
      <c r="M2652" s="209">
        <f>IF($K2652=0,0,MIN(1,$L2652/$D2652))</f>
        <v/>
      </c>
      <c r="N2652" s="208">
        <f>IF($K2652=0,$J2652,(1-$M2652)*$I2652+$M2652*$J2652)</f>
        <v/>
      </c>
      <c r="O2652" s="209">
        <f>IF($F2652&lt;$B$2615,$E$2615+$I$2615*($F2652-$A$2615),IF($F2652&lt;$C$2615,$F$2615+$J$2615*($F2652-$B$2615),$G$2615+$K$2615*($F2652-$C$2615)))</f>
        <v/>
      </c>
      <c r="P2652" s="208">
        <f>MIN(1,MAX(0,(nr_MEndPm1-$G2652+0.5)/$C$2614))-MIN(1,MAX(0,(nr_MStartPm1-1-$G2652+0.5)/$C$2614))</f>
        <v/>
      </c>
      <c r="Q2652" s="208">
        <f>MIN(1,MAX(0,(nr_MEndP-$G2652+0.5)/$C$2614))-MIN(1,MAX(0,(nr_MStartP-1-$G2652+0.5)/$C$2614))</f>
        <v/>
      </c>
      <c r="R2652" s="208">
        <f>MIN(1,MAX(0,(nr_MEndP1-$G2652+0.5)/$C$2614))-MIN(1,MAX(0,(nr_MStartP1-1-$G2652+0.5)/$C$2614))</f>
        <v/>
      </c>
      <c r="S2652" s="208">
        <f>IF($L$2614,$N2652*IF($O$2614=1,$O2652/$F$2614,1),"")</f>
        <v/>
      </c>
      <c r="T2652" s="208">
        <f>IF(NOT($L$2614),"",IF($G2652&lt;nr_MStartP,$S2652,$T2640*(1+IF($G2652&lt;nr_MStartP1,$M$2614,$N$2614))))</f>
        <v/>
      </c>
      <c r="U2652" s="208">
        <f>IF($L$2614,$T2652,$N2652)</f>
        <v/>
      </c>
    </row>
    <row r="2653">
      <c r="A2653" s="145" t="n">
        <v>37</v>
      </c>
      <c r="B2653" s="204">
        <f>EDATE($B2652,1)</f>
        <v/>
      </c>
      <c r="C2653" s="205">
        <f>EOMONTH($B2653,0)</f>
        <v/>
      </c>
      <c r="D2653" s="201">
        <f>$C2653-$B2653+1</f>
        <v/>
      </c>
      <c r="E2653" s="201">
        <f>MONTH($B2653)</f>
        <v/>
      </c>
      <c r="F2653" s="235">
        <f>($B2653+$C2653+1)/2</f>
        <v/>
      </c>
      <c r="G2653" s="201">
        <f>YEAR($B2653)*12+MONTH($B2653)-1</f>
        <v/>
      </c>
      <c r="H2653" s="207">
        <f>IF(OR(nr_SeasonOn="OFF",$D$2614=0,$E$2614=0),1,12*INDEX(se_block,$D$2614,$E2653)/$E$2614)</f>
        <v/>
      </c>
      <c r="I2653" s="208">
        <f>EXP(SUMPRODUCT((rl_eff&lt;$B2653)*(rl_key=$A$2614)*rl_ln1p))</f>
        <v/>
      </c>
      <c r="J2653" s="208">
        <f>EXP(SUMPRODUCT((rl_eff&lt;=$C2653)*(rl_key=$A$2614)*rl_ln1p))</f>
        <v/>
      </c>
      <c r="K2653" s="201">
        <f>COUNTIFS(rl_key,$A$2614,rl_eff,"&gt;="&amp;$B2653,rl_eff,"&lt;="&amp;$C2653)</f>
        <v/>
      </c>
      <c r="L2653" s="201">
        <f>SUMIFS(rl_daysafter,rl_key,$A$2614,rl_effmonth,$B2653,rl_first,1)</f>
        <v/>
      </c>
      <c r="M2653" s="209">
        <f>IF($K2653=0,0,MIN(1,$L2653/$D2653))</f>
        <v/>
      </c>
      <c r="N2653" s="208">
        <f>IF($K2653=0,$J2653,(1-$M2653)*$I2653+$M2653*$J2653)</f>
        <v/>
      </c>
      <c r="O2653" s="209">
        <f>IF($F2653&lt;$B$2615,$E$2615+$I$2615*($F2653-$A$2615),IF($F2653&lt;$C$2615,$F$2615+$J$2615*($F2653-$B$2615),$G$2615+$K$2615*($F2653-$C$2615)))</f>
        <v/>
      </c>
      <c r="P2653" s="208">
        <f>MIN(1,MAX(0,(nr_MEndPm1-$G2653+0.5)/$C$2614))-MIN(1,MAX(0,(nr_MStartPm1-1-$G2653+0.5)/$C$2614))</f>
        <v/>
      </c>
      <c r="Q2653" s="208">
        <f>MIN(1,MAX(0,(nr_MEndP-$G2653+0.5)/$C$2614))-MIN(1,MAX(0,(nr_MStartP-1-$G2653+0.5)/$C$2614))</f>
        <v/>
      </c>
      <c r="R2653" s="208">
        <f>MIN(1,MAX(0,(nr_MEndP1-$G2653+0.5)/$C$2614))-MIN(1,MAX(0,(nr_MStartP1-1-$G2653+0.5)/$C$2614))</f>
        <v/>
      </c>
      <c r="S2653" s="208">
        <f>IF($L$2614,$N2653*IF($O$2614=1,$O2653/$F$2614,1),"")</f>
        <v/>
      </c>
      <c r="T2653" s="208">
        <f>IF(NOT($L$2614),"",IF($G2653&lt;nr_MStartP,$S2653,$T2641*(1+IF($G2653&lt;nr_MStartP1,$M$2614,$N$2614))))</f>
        <v/>
      </c>
      <c r="U2653" s="208">
        <f>IF($L$2614,$T2653,$N2653)</f>
        <v/>
      </c>
    </row>
    <row r="2654">
      <c r="A2654" s="145" t="n">
        <v>38</v>
      </c>
      <c r="B2654" s="204">
        <f>EDATE($B2653,1)</f>
        <v/>
      </c>
      <c r="C2654" s="205">
        <f>EOMONTH($B2654,0)</f>
        <v/>
      </c>
      <c r="D2654" s="201">
        <f>$C2654-$B2654+1</f>
        <v/>
      </c>
      <c r="E2654" s="201">
        <f>MONTH($B2654)</f>
        <v/>
      </c>
      <c r="F2654" s="235">
        <f>($B2654+$C2654+1)/2</f>
        <v/>
      </c>
      <c r="G2654" s="201">
        <f>YEAR($B2654)*12+MONTH($B2654)-1</f>
        <v/>
      </c>
      <c r="H2654" s="207">
        <f>IF(OR(nr_SeasonOn="OFF",$D$2614=0,$E$2614=0),1,12*INDEX(se_block,$D$2614,$E2654)/$E$2614)</f>
        <v/>
      </c>
      <c r="I2654" s="208">
        <f>EXP(SUMPRODUCT((rl_eff&lt;$B2654)*(rl_key=$A$2614)*rl_ln1p))</f>
        <v/>
      </c>
      <c r="J2654" s="208">
        <f>EXP(SUMPRODUCT((rl_eff&lt;=$C2654)*(rl_key=$A$2614)*rl_ln1p))</f>
        <v/>
      </c>
      <c r="K2654" s="201">
        <f>COUNTIFS(rl_key,$A$2614,rl_eff,"&gt;="&amp;$B2654,rl_eff,"&lt;="&amp;$C2654)</f>
        <v/>
      </c>
      <c r="L2654" s="201">
        <f>SUMIFS(rl_daysafter,rl_key,$A$2614,rl_effmonth,$B2654,rl_first,1)</f>
        <v/>
      </c>
      <c r="M2654" s="209">
        <f>IF($K2654=0,0,MIN(1,$L2654/$D2654))</f>
        <v/>
      </c>
      <c r="N2654" s="208">
        <f>IF($K2654=0,$J2654,(1-$M2654)*$I2654+$M2654*$J2654)</f>
        <v/>
      </c>
      <c r="O2654" s="209">
        <f>IF($F2654&lt;$B$2615,$E$2615+$I$2615*($F2654-$A$2615),IF($F2654&lt;$C$2615,$F$2615+$J$2615*($F2654-$B$2615),$G$2615+$K$2615*($F2654-$C$2615)))</f>
        <v/>
      </c>
      <c r="P2654" s="208">
        <f>MIN(1,MAX(0,(nr_MEndPm1-$G2654+0.5)/$C$2614))-MIN(1,MAX(0,(nr_MStartPm1-1-$G2654+0.5)/$C$2614))</f>
        <v/>
      </c>
      <c r="Q2654" s="208">
        <f>MIN(1,MAX(0,(nr_MEndP-$G2654+0.5)/$C$2614))-MIN(1,MAX(0,(nr_MStartP-1-$G2654+0.5)/$C$2614))</f>
        <v/>
      </c>
      <c r="R2654" s="208">
        <f>MIN(1,MAX(0,(nr_MEndP1-$G2654+0.5)/$C$2614))-MIN(1,MAX(0,(nr_MStartP1-1-$G2654+0.5)/$C$2614))</f>
        <v/>
      </c>
      <c r="S2654" s="208">
        <f>IF($L$2614,$N2654*IF($O$2614=1,$O2654/$F$2614,1),"")</f>
        <v/>
      </c>
      <c r="T2654" s="208">
        <f>IF(NOT($L$2614),"",IF($G2654&lt;nr_MStartP,$S2654,$T2642*(1+IF($G2654&lt;nr_MStartP1,$M$2614,$N$2614))))</f>
        <v/>
      </c>
      <c r="U2654" s="208">
        <f>IF($L$2614,$T2654,$N2654)</f>
        <v/>
      </c>
    </row>
    <row r="2655">
      <c r="A2655" s="145" t="n">
        <v>39</v>
      </c>
      <c r="B2655" s="204">
        <f>EDATE($B2654,1)</f>
        <v/>
      </c>
      <c r="C2655" s="205">
        <f>EOMONTH($B2655,0)</f>
        <v/>
      </c>
      <c r="D2655" s="201">
        <f>$C2655-$B2655+1</f>
        <v/>
      </c>
      <c r="E2655" s="201">
        <f>MONTH($B2655)</f>
        <v/>
      </c>
      <c r="F2655" s="235">
        <f>($B2655+$C2655+1)/2</f>
        <v/>
      </c>
      <c r="G2655" s="201">
        <f>YEAR($B2655)*12+MONTH($B2655)-1</f>
        <v/>
      </c>
      <c r="H2655" s="207">
        <f>IF(OR(nr_SeasonOn="OFF",$D$2614=0,$E$2614=0),1,12*INDEX(se_block,$D$2614,$E2655)/$E$2614)</f>
        <v/>
      </c>
      <c r="I2655" s="208">
        <f>EXP(SUMPRODUCT((rl_eff&lt;$B2655)*(rl_key=$A$2614)*rl_ln1p))</f>
        <v/>
      </c>
      <c r="J2655" s="208">
        <f>EXP(SUMPRODUCT((rl_eff&lt;=$C2655)*(rl_key=$A$2614)*rl_ln1p))</f>
        <v/>
      </c>
      <c r="K2655" s="201">
        <f>COUNTIFS(rl_key,$A$2614,rl_eff,"&gt;="&amp;$B2655,rl_eff,"&lt;="&amp;$C2655)</f>
        <v/>
      </c>
      <c r="L2655" s="201">
        <f>SUMIFS(rl_daysafter,rl_key,$A$2614,rl_effmonth,$B2655,rl_first,1)</f>
        <v/>
      </c>
      <c r="M2655" s="209">
        <f>IF($K2655=0,0,MIN(1,$L2655/$D2655))</f>
        <v/>
      </c>
      <c r="N2655" s="208">
        <f>IF($K2655=0,$J2655,(1-$M2655)*$I2655+$M2655*$J2655)</f>
        <v/>
      </c>
      <c r="O2655" s="209">
        <f>IF($F2655&lt;$B$2615,$E$2615+$I$2615*($F2655-$A$2615),IF($F2655&lt;$C$2615,$F$2615+$J$2615*($F2655-$B$2615),$G$2615+$K$2615*($F2655-$C$2615)))</f>
        <v/>
      </c>
      <c r="P2655" s="208">
        <f>MIN(1,MAX(0,(nr_MEndPm1-$G2655+0.5)/$C$2614))-MIN(1,MAX(0,(nr_MStartPm1-1-$G2655+0.5)/$C$2614))</f>
        <v/>
      </c>
      <c r="Q2655" s="208">
        <f>MIN(1,MAX(0,(nr_MEndP-$G2655+0.5)/$C$2614))-MIN(1,MAX(0,(nr_MStartP-1-$G2655+0.5)/$C$2614))</f>
        <v/>
      </c>
      <c r="R2655" s="208">
        <f>MIN(1,MAX(0,(nr_MEndP1-$G2655+0.5)/$C$2614))-MIN(1,MAX(0,(nr_MStartP1-1-$G2655+0.5)/$C$2614))</f>
        <v/>
      </c>
      <c r="S2655" s="208">
        <f>IF($L$2614,$N2655*IF($O$2614=1,$O2655/$F$2614,1),"")</f>
        <v/>
      </c>
      <c r="T2655" s="208">
        <f>IF(NOT($L$2614),"",IF($G2655&lt;nr_MStartP,$S2655,$T2643*(1+IF($G2655&lt;nr_MStartP1,$M$2614,$N$2614))))</f>
        <v/>
      </c>
      <c r="U2655" s="208">
        <f>IF($L$2614,$T2655,$N2655)</f>
        <v/>
      </c>
    </row>
    <row r="2656">
      <c r="A2656" s="145" t="n">
        <v>40</v>
      </c>
      <c r="B2656" s="204">
        <f>EDATE($B2655,1)</f>
        <v/>
      </c>
      <c r="C2656" s="205">
        <f>EOMONTH($B2656,0)</f>
        <v/>
      </c>
      <c r="D2656" s="201">
        <f>$C2656-$B2656+1</f>
        <v/>
      </c>
      <c r="E2656" s="201">
        <f>MONTH($B2656)</f>
        <v/>
      </c>
      <c r="F2656" s="235">
        <f>($B2656+$C2656+1)/2</f>
        <v/>
      </c>
      <c r="G2656" s="201">
        <f>YEAR($B2656)*12+MONTH($B2656)-1</f>
        <v/>
      </c>
      <c r="H2656" s="207">
        <f>IF(OR(nr_SeasonOn="OFF",$D$2614=0,$E$2614=0),1,12*INDEX(se_block,$D$2614,$E2656)/$E$2614)</f>
        <v/>
      </c>
      <c r="I2656" s="208">
        <f>EXP(SUMPRODUCT((rl_eff&lt;$B2656)*(rl_key=$A$2614)*rl_ln1p))</f>
        <v/>
      </c>
      <c r="J2656" s="208">
        <f>EXP(SUMPRODUCT((rl_eff&lt;=$C2656)*(rl_key=$A$2614)*rl_ln1p))</f>
        <v/>
      </c>
      <c r="K2656" s="201">
        <f>COUNTIFS(rl_key,$A$2614,rl_eff,"&gt;="&amp;$B2656,rl_eff,"&lt;="&amp;$C2656)</f>
        <v/>
      </c>
      <c r="L2656" s="201">
        <f>SUMIFS(rl_daysafter,rl_key,$A$2614,rl_effmonth,$B2656,rl_first,1)</f>
        <v/>
      </c>
      <c r="M2656" s="209">
        <f>IF($K2656=0,0,MIN(1,$L2656/$D2656))</f>
        <v/>
      </c>
      <c r="N2656" s="208">
        <f>IF($K2656=0,$J2656,(1-$M2656)*$I2656+$M2656*$J2656)</f>
        <v/>
      </c>
      <c r="O2656" s="209">
        <f>IF($F2656&lt;$B$2615,$E$2615+$I$2615*($F2656-$A$2615),IF($F2656&lt;$C$2615,$F$2615+$J$2615*($F2656-$B$2615),$G$2615+$K$2615*($F2656-$C$2615)))</f>
        <v/>
      </c>
      <c r="P2656" s="208">
        <f>MIN(1,MAX(0,(nr_MEndPm1-$G2656+0.5)/$C$2614))-MIN(1,MAX(0,(nr_MStartPm1-1-$G2656+0.5)/$C$2614))</f>
        <v/>
      </c>
      <c r="Q2656" s="208">
        <f>MIN(1,MAX(0,(nr_MEndP-$G2656+0.5)/$C$2614))-MIN(1,MAX(0,(nr_MStartP-1-$G2656+0.5)/$C$2614))</f>
        <v/>
      </c>
      <c r="R2656" s="208">
        <f>MIN(1,MAX(0,(nr_MEndP1-$G2656+0.5)/$C$2614))-MIN(1,MAX(0,(nr_MStartP1-1-$G2656+0.5)/$C$2614))</f>
        <v/>
      </c>
      <c r="S2656" s="208">
        <f>IF($L$2614,$N2656*IF($O$2614=1,$O2656/$F$2614,1),"")</f>
        <v/>
      </c>
      <c r="T2656" s="208">
        <f>IF(NOT($L$2614),"",IF($G2656&lt;nr_MStartP,$S2656,$T2644*(1+IF($G2656&lt;nr_MStartP1,$M$2614,$N$2614))))</f>
        <v/>
      </c>
      <c r="U2656" s="208">
        <f>IF($L$2614,$T2656,$N2656)</f>
        <v/>
      </c>
    </row>
    <row r="2657">
      <c r="A2657" s="145" t="n">
        <v>41</v>
      </c>
      <c r="B2657" s="204">
        <f>EDATE($B2656,1)</f>
        <v/>
      </c>
      <c r="C2657" s="205">
        <f>EOMONTH($B2657,0)</f>
        <v/>
      </c>
      <c r="D2657" s="201">
        <f>$C2657-$B2657+1</f>
        <v/>
      </c>
      <c r="E2657" s="201">
        <f>MONTH($B2657)</f>
        <v/>
      </c>
      <c r="F2657" s="235">
        <f>($B2657+$C2657+1)/2</f>
        <v/>
      </c>
      <c r="G2657" s="201">
        <f>YEAR($B2657)*12+MONTH($B2657)-1</f>
        <v/>
      </c>
      <c r="H2657" s="207">
        <f>IF(OR(nr_SeasonOn="OFF",$D$2614=0,$E$2614=0),1,12*INDEX(se_block,$D$2614,$E2657)/$E$2614)</f>
        <v/>
      </c>
      <c r="I2657" s="208">
        <f>EXP(SUMPRODUCT((rl_eff&lt;$B2657)*(rl_key=$A$2614)*rl_ln1p))</f>
        <v/>
      </c>
      <c r="J2657" s="208">
        <f>EXP(SUMPRODUCT((rl_eff&lt;=$C2657)*(rl_key=$A$2614)*rl_ln1p))</f>
        <v/>
      </c>
      <c r="K2657" s="201">
        <f>COUNTIFS(rl_key,$A$2614,rl_eff,"&gt;="&amp;$B2657,rl_eff,"&lt;="&amp;$C2657)</f>
        <v/>
      </c>
      <c r="L2657" s="201">
        <f>SUMIFS(rl_daysafter,rl_key,$A$2614,rl_effmonth,$B2657,rl_first,1)</f>
        <v/>
      </c>
      <c r="M2657" s="209">
        <f>IF($K2657=0,0,MIN(1,$L2657/$D2657))</f>
        <v/>
      </c>
      <c r="N2657" s="208">
        <f>IF($K2657=0,$J2657,(1-$M2657)*$I2657+$M2657*$J2657)</f>
        <v/>
      </c>
      <c r="O2657" s="209">
        <f>IF($F2657&lt;$B$2615,$E$2615+$I$2615*($F2657-$A$2615),IF($F2657&lt;$C$2615,$F$2615+$J$2615*($F2657-$B$2615),$G$2615+$K$2615*($F2657-$C$2615)))</f>
        <v/>
      </c>
      <c r="P2657" s="208">
        <f>MIN(1,MAX(0,(nr_MEndPm1-$G2657+0.5)/$C$2614))-MIN(1,MAX(0,(nr_MStartPm1-1-$G2657+0.5)/$C$2614))</f>
        <v/>
      </c>
      <c r="Q2657" s="208">
        <f>MIN(1,MAX(0,(nr_MEndP-$G2657+0.5)/$C$2614))-MIN(1,MAX(0,(nr_MStartP-1-$G2657+0.5)/$C$2614))</f>
        <v/>
      </c>
      <c r="R2657" s="208">
        <f>MIN(1,MAX(0,(nr_MEndP1-$G2657+0.5)/$C$2614))-MIN(1,MAX(0,(nr_MStartP1-1-$G2657+0.5)/$C$2614))</f>
        <v/>
      </c>
      <c r="S2657" s="208">
        <f>IF($L$2614,$N2657*IF($O$2614=1,$O2657/$F$2614,1),"")</f>
        <v/>
      </c>
      <c r="T2657" s="208">
        <f>IF(NOT($L$2614),"",IF($G2657&lt;nr_MStartP,$S2657,$T2645*(1+IF($G2657&lt;nr_MStartP1,$M$2614,$N$2614))))</f>
        <v/>
      </c>
      <c r="U2657" s="208">
        <f>IF($L$2614,$T2657,$N2657)</f>
        <v/>
      </c>
    </row>
    <row r="2658">
      <c r="A2658" s="145" t="n">
        <v>42</v>
      </c>
      <c r="B2658" s="204">
        <f>EDATE($B2657,1)</f>
        <v/>
      </c>
      <c r="C2658" s="205">
        <f>EOMONTH($B2658,0)</f>
        <v/>
      </c>
      <c r="D2658" s="201">
        <f>$C2658-$B2658+1</f>
        <v/>
      </c>
      <c r="E2658" s="201">
        <f>MONTH($B2658)</f>
        <v/>
      </c>
      <c r="F2658" s="235">
        <f>($B2658+$C2658+1)/2</f>
        <v/>
      </c>
      <c r="G2658" s="201">
        <f>YEAR($B2658)*12+MONTH($B2658)-1</f>
        <v/>
      </c>
      <c r="H2658" s="207">
        <f>IF(OR(nr_SeasonOn="OFF",$D$2614=0,$E$2614=0),1,12*INDEX(se_block,$D$2614,$E2658)/$E$2614)</f>
        <v/>
      </c>
      <c r="I2658" s="208">
        <f>EXP(SUMPRODUCT((rl_eff&lt;$B2658)*(rl_key=$A$2614)*rl_ln1p))</f>
        <v/>
      </c>
      <c r="J2658" s="208">
        <f>EXP(SUMPRODUCT((rl_eff&lt;=$C2658)*(rl_key=$A$2614)*rl_ln1p))</f>
        <v/>
      </c>
      <c r="K2658" s="201">
        <f>COUNTIFS(rl_key,$A$2614,rl_eff,"&gt;="&amp;$B2658,rl_eff,"&lt;="&amp;$C2658)</f>
        <v/>
      </c>
      <c r="L2658" s="201">
        <f>SUMIFS(rl_daysafter,rl_key,$A$2614,rl_effmonth,$B2658,rl_first,1)</f>
        <v/>
      </c>
      <c r="M2658" s="209">
        <f>IF($K2658=0,0,MIN(1,$L2658/$D2658))</f>
        <v/>
      </c>
      <c r="N2658" s="208">
        <f>IF($K2658=0,$J2658,(1-$M2658)*$I2658+$M2658*$J2658)</f>
        <v/>
      </c>
      <c r="O2658" s="209">
        <f>IF($F2658&lt;$B$2615,$E$2615+$I$2615*($F2658-$A$2615),IF($F2658&lt;$C$2615,$F$2615+$J$2615*($F2658-$B$2615),$G$2615+$K$2615*($F2658-$C$2615)))</f>
        <v/>
      </c>
      <c r="P2658" s="208">
        <f>MIN(1,MAX(0,(nr_MEndPm1-$G2658+0.5)/$C$2614))-MIN(1,MAX(0,(nr_MStartPm1-1-$G2658+0.5)/$C$2614))</f>
        <v/>
      </c>
      <c r="Q2658" s="208">
        <f>MIN(1,MAX(0,(nr_MEndP-$G2658+0.5)/$C$2614))-MIN(1,MAX(0,(nr_MStartP-1-$G2658+0.5)/$C$2614))</f>
        <v/>
      </c>
      <c r="R2658" s="208">
        <f>MIN(1,MAX(0,(nr_MEndP1-$G2658+0.5)/$C$2614))-MIN(1,MAX(0,(nr_MStartP1-1-$G2658+0.5)/$C$2614))</f>
        <v/>
      </c>
      <c r="S2658" s="208">
        <f>IF($L$2614,$N2658*IF($O$2614=1,$O2658/$F$2614,1),"")</f>
        <v/>
      </c>
      <c r="T2658" s="208">
        <f>IF(NOT($L$2614),"",IF($G2658&lt;nr_MStartP,$S2658,$T2646*(1+IF($G2658&lt;nr_MStartP1,$M$2614,$N$2614))))</f>
        <v/>
      </c>
      <c r="U2658" s="208">
        <f>IF($L$2614,$T2658,$N2658)</f>
        <v/>
      </c>
    </row>
    <row r="2659">
      <c r="A2659" s="145" t="n">
        <v>43</v>
      </c>
      <c r="B2659" s="204">
        <f>EDATE($B2658,1)</f>
        <v/>
      </c>
      <c r="C2659" s="205">
        <f>EOMONTH($B2659,0)</f>
        <v/>
      </c>
      <c r="D2659" s="201">
        <f>$C2659-$B2659+1</f>
        <v/>
      </c>
      <c r="E2659" s="201">
        <f>MONTH($B2659)</f>
        <v/>
      </c>
      <c r="F2659" s="235">
        <f>($B2659+$C2659+1)/2</f>
        <v/>
      </c>
      <c r="G2659" s="201">
        <f>YEAR($B2659)*12+MONTH($B2659)-1</f>
        <v/>
      </c>
      <c r="H2659" s="207">
        <f>IF(OR(nr_SeasonOn="OFF",$D$2614=0,$E$2614=0),1,12*INDEX(se_block,$D$2614,$E2659)/$E$2614)</f>
        <v/>
      </c>
      <c r="I2659" s="208">
        <f>EXP(SUMPRODUCT((rl_eff&lt;$B2659)*(rl_key=$A$2614)*rl_ln1p))</f>
        <v/>
      </c>
      <c r="J2659" s="208">
        <f>EXP(SUMPRODUCT((rl_eff&lt;=$C2659)*(rl_key=$A$2614)*rl_ln1p))</f>
        <v/>
      </c>
      <c r="K2659" s="201">
        <f>COUNTIFS(rl_key,$A$2614,rl_eff,"&gt;="&amp;$B2659,rl_eff,"&lt;="&amp;$C2659)</f>
        <v/>
      </c>
      <c r="L2659" s="201">
        <f>SUMIFS(rl_daysafter,rl_key,$A$2614,rl_effmonth,$B2659,rl_first,1)</f>
        <v/>
      </c>
      <c r="M2659" s="209">
        <f>IF($K2659=0,0,MIN(1,$L2659/$D2659))</f>
        <v/>
      </c>
      <c r="N2659" s="208">
        <f>IF($K2659=0,$J2659,(1-$M2659)*$I2659+$M2659*$J2659)</f>
        <v/>
      </c>
      <c r="O2659" s="209">
        <f>IF($F2659&lt;$B$2615,$E$2615+$I$2615*($F2659-$A$2615),IF($F2659&lt;$C$2615,$F$2615+$J$2615*($F2659-$B$2615),$G$2615+$K$2615*($F2659-$C$2615)))</f>
        <v/>
      </c>
      <c r="P2659" s="208">
        <f>MIN(1,MAX(0,(nr_MEndPm1-$G2659+0.5)/$C$2614))-MIN(1,MAX(0,(nr_MStartPm1-1-$G2659+0.5)/$C$2614))</f>
        <v/>
      </c>
      <c r="Q2659" s="208">
        <f>MIN(1,MAX(0,(nr_MEndP-$G2659+0.5)/$C$2614))-MIN(1,MAX(0,(nr_MStartP-1-$G2659+0.5)/$C$2614))</f>
        <v/>
      </c>
      <c r="R2659" s="208">
        <f>MIN(1,MAX(0,(nr_MEndP1-$G2659+0.5)/$C$2614))-MIN(1,MAX(0,(nr_MStartP1-1-$G2659+0.5)/$C$2614))</f>
        <v/>
      </c>
      <c r="S2659" s="208">
        <f>IF($L$2614,$N2659*IF($O$2614=1,$O2659/$F$2614,1),"")</f>
        <v/>
      </c>
      <c r="T2659" s="208">
        <f>IF(NOT($L$2614),"",IF($G2659&lt;nr_MStartP,$S2659,$T2647*(1+IF($G2659&lt;nr_MStartP1,$M$2614,$N$2614))))</f>
        <v/>
      </c>
      <c r="U2659" s="208">
        <f>IF($L$2614,$T2659,$N2659)</f>
        <v/>
      </c>
    </row>
    <row r="2660">
      <c r="A2660" s="145" t="n">
        <v>44</v>
      </c>
      <c r="B2660" s="204">
        <f>EDATE($B2659,1)</f>
        <v/>
      </c>
      <c r="C2660" s="205">
        <f>EOMONTH($B2660,0)</f>
        <v/>
      </c>
      <c r="D2660" s="201">
        <f>$C2660-$B2660+1</f>
        <v/>
      </c>
      <c r="E2660" s="201">
        <f>MONTH($B2660)</f>
        <v/>
      </c>
      <c r="F2660" s="235">
        <f>($B2660+$C2660+1)/2</f>
        <v/>
      </c>
      <c r="G2660" s="201">
        <f>YEAR($B2660)*12+MONTH($B2660)-1</f>
        <v/>
      </c>
      <c r="H2660" s="207">
        <f>IF(OR(nr_SeasonOn="OFF",$D$2614=0,$E$2614=0),1,12*INDEX(se_block,$D$2614,$E2660)/$E$2614)</f>
        <v/>
      </c>
      <c r="I2660" s="208">
        <f>EXP(SUMPRODUCT((rl_eff&lt;$B2660)*(rl_key=$A$2614)*rl_ln1p))</f>
        <v/>
      </c>
      <c r="J2660" s="208">
        <f>EXP(SUMPRODUCT((rl_eff&lt;=$C2660)*(rl_key=$A$2614)*rl_ln1p))</f>
        <v/>
      </c>
      <c r="K2660" s="201">
        <f>COUNTIFS(rl_key,$A$2614,rl_eff,"&gt;="&amp;$B2660,rl_eff,"&lt;="&amp;$C2660)</f>
        <v/>
      </c>
      <c r="L2660" s="201">
        <f>SUMIFS(rl_daysafter,rl_key,$A$2614,rl_effmonth,$B2660,rl_first,1)</f>
        <v/>
      </c>
      <c r="M2660" s="209">
        <f>IF($K2660=0,0,MIN(1,$L2660/$D2660))</f>
        <v/>
      </c>
      <c r="N2660" s="208">
        <f>IF($K2660=0,$J2660,(1-$M2660)*$I2660+$M2660*$J2660)</f>
        <v/>
      </c>
      <c r="O2660" s="209">
        <f>IF($F2660&lt;$B$2615,$E$2615+$I$2615*($F2660-$A$2615),IF($F2660&lt;$C$2615,$F$2615+$J$2615*($F2660-$B$2615),$G$2615+$K$2615*($F2660-$C$2615)))</f>
        <v/>
      </c>
      <c r="P2660" s="208">
        <f>MIN(1,MAX(0,(nr_MEndPm1-$G2660+0.5)/$C$2614))-MIN(1,MAX(0,(nr_MStartPm1-1-$G2660+0.5)/$C$2614))</f>
        <v/>
      </c>
      <c r="Q2660" s="208">
        <f>MIN(1,MAX(0,(nr_MEndP-$G2660+0.5)/$C$2614))-MIN(1,MAX(0,(nr_MStartP-1-$G2660+0.5)/$C$2614))</f>
        <v/>
      </c>
      <c r="R2660" s="208">
        <f>MIN(1,MAX(0,(nr_MEndP1-$G2660+0.5)/$C$2614))-MIN(1,MAX(0,(nr_MStartP1-1-$G2660+0.5)/$C$2614))</f>
        <v/>
      </c>
      <c r="S2660" s="208">
        <f>IF($L$2614,$N2660*IF($O$2614=1,$O2660/$F$2614,1),"")</f>
        <v/>
      </c>
      <c r="T2660" s="208">
        <f>IF(NOT($L$2614),"",IF($G2660&lt;nr_MStartP,$S2660,$T2648*(1+IF($G2660&lt;nr_MStartP1,$M$2614,$N$2614))))</f>
        <v/>
      </c>
      <c r="U2660" s="208">
        <f>IF($L$2614,$T2660,$N2660)</f>
        <v/>
      </c>
    </row>
    <row r="2661">
      <c r="A2661" s="145" t="n">
        <v>45</v>
      </c>
      <c r="B2661" s="204">
        <f>EDATE($B2660,1)</f>
        <v/>
      </c>
      <c r="C2661" s="205">
        <f>EOMONTH($B2661,0)</f>
        <v/>
      </c>
      <c r="D2661" s="201">
        <f>$C2661-$B2661+1</f>
        <v/>
      </c>
      <c r="E2661" s="201">
        <f>MONTH($B2661)</f>
        <v/>
      </c>
      <c r="F2661" s="235">
        <f>($B2661+$C2661+1)/2</f>
        <v/>
      </c>
      <c r="G2661" s="201">
        <f>YEAR($B2661)*12+MONTH($B2661)-1</f>
        <v/>
      </c>
      <c r="H2661" s="207">
        <f>IF(OR(nr_SeasonOn="OFF",$D$2614=0,$E$2614=0),1,12*INDEX(se_block,$D$2614,$E2661)/$E$2614)</f>
        <v/>
      </c>
      <c r="I2661" s="208">
        <f>EXP(SUMPRODUCT((rl_eff&lt;$B2661)*(rl_key=$A$2614)*rl_ln1p))</f>
        <v/>
      </c>
      <c r="J2661" s="208">
        <f>EXP(SUMPRODUCT((rl_eff&lt;=$C2661)*(rl_key=$A$2614)*rl_ln1p))</f>
        <v/>
      </c>
      <c r="K2661" s="201">
        <f>COUNTIFS(rl_key,$A$2614,rl_eff,"&gt;="&amp;$B2661,rl_eff,"&lt;="&amp;$C2661)</f>
        <v/>
      </c>
      <c r="L2661" s="201">
        <f>SUMIFS(rl_daysafter,rl_key,$A$2614,rl_effmonth,$B2661,rl_first,1)</f>
        <v/>
      </c>
      <c r="M2661" s="209">
        <f>IF($K2661=0,0,MIN(1,$L2661/$D2661))</f>
        <v/>
      </c>
      <c r="N2661" s="208">
        <f>IF($K2661=0,$J2661,(1-$M2661)*$I2661+$M2661*$J2661)</f>
        <v/>
      </c>
      <c r="O2661" s="209">
        <f>IF($F2661&lt;$B$2615,$E$2615+$I$2615*($F2661-$A$2615),IF($F2661&lt;$C$2615,$F$2615+$J$2615*($F2661-$B$2615),$G$2615+$K$2615*($F2661-$C$2615)))</f>
        <v/>
      </c>
      <c r="P2661" s="208">
        <f>MIN(1,MAX(0,(nr_MEndPm1-$G2661+0.5)/$C$2614))-MIN(1,MAX(0,(nr_MStartPm1-1-$G2661+0.5)/$C$2614))</f>
        <v/>
      </c>
      <c r="Q2661" s="208">
        <f>MIN(1,MAX(0,(nr_MEndP-$G2661+0.5)/$C$2614))-MIN(1,MAX(0,(nr_MStartP-1-$G2661+0.5)/$C$2614))</f>
        <v/>
      </c>
      <c r="R2661" s="208">
        <f>MIN(1,MAX(0,(nr_MEndP1-$G2661+0.5)/$C$2614))-MIN(1,MAX(0,(nr_MStartP1-1-$G2661+0.5)/$C$2614))</f>
        <v/>
      </c>
      <c r="S2661" s="208">
        <f>IF($L$2614,$N2661*IF($O$2614=1,$O2661/$F$2614,1),"")</f>
        <v/>
      </c>
      <c r="T2661" s="208">
        <f>IF(NOT($L$2614),"",IF($G2661&lt;nr_MStartP,$S2661,$T2649*(1+IF($G2661&lt;nr_MStartP1,$M$2614,$N$2614))))</f>
        <v/>
      </c>
      <c r="U2661" s="208">
        <f>IF($L$2614,$T2661,$N2661)</f>
        <v/>
      </c>
    </row>
    <row r="2662">
      <c r="A2662" s="145" t="n">
        <v>46</v>
      </c>
      <c r="B2662" s="204">
        <f>EDATE($B2661,1)</f>
        <v/>
      </c>
      <c r="C2662" s="205">
        <f>EOMONTH($B2662,0)</f>
        <v/>
      </c>
      <c r="D2662" s="201">
        <f>$C2662-$B2662+1</f>
        <v/>
      </c>
      <c r="E2662" s="201">
        <f>MONTH($B2662)</f>
        <v/>
      </c>
      <c r="F2662" s="235">
        <f>($B2662+$C2662+1)/2</f>
        <v/>
      </c>
      <c r="G2662" s="201">
        <f>YEAR($B2662)*12+MONTH($B2662)-1</f>
        <v/>
      </c>
      <c r="H2662" s="207">
        <f>IF(OR(nr_SeasonOn="OFF",$D$2614=0,$E$2614=0),1,12*INDEX(se_block,$D$2614,$E2662)/$E$2614)</f>
        <v/>
      </c>
      <c r="I2662" s="208">
        <f>EXP(SUMPRODUCT((rl_eff&lt;$B2662)*(rl_key=$A$2614)*rl_ln1p))</f>
        <v/>
      </c>
      <c r="J2662" s="208">
        <f>EXP(SUMPRODUCT((rl_eff&lt;=$C2662)*(rl_key=$A$2614)*rl_ln1p))</f>
        <v/>
      </c>
      <c r="K2662" s="201">
        <f>COUNTIFS(rl_key,$A$2614,rl_eff,"&gt;="&amp;$B2662,rl_eff,"&lt;="&amp;$C2662)</f>
        <v/>
      </c>
      <c r="L2662" s="201">
        <f>SUMIFS(rl_daysafter,rl_key,$A$2614,rl_effmonth,$B2662,rl_first,1)</f>
        <v/>
      </c>
      <c r="M2662" s="209">
        <f>IF($K2662=0,0,MIN(1,$L2662/$D2662))</f>
        <v/>
      </c>
      <c r="N2662" s="208">
        <f>IF($K2662=0,$J2662,(1-$M2662)*$I2662+$M2662*$J2662)</f>
        <v/>
      </c>
      <c r="O2662" s="209">
        <f>IF($F2662&lt;$B$2615,$E$2615+$I$2615*($F2662-$A$2615),IF($F2662&lt;$C$2615,$F$2615+$J$2615*($F2662-$B$2615),$G$2615+$K$2615*($F2662-$C$2615)))</f>
        <v/>
      </c>
      <c r="P2662" s="208">
        <f>MIN(1,MAX(0,(nr_MEndPm1-$G2662+0.5)/$C$2614))-MIN(1,MAX(0,(nr_MStartPm1-1-$G2662+0.5)/$C$2614))</f>
        <v/>
      </c>
      <c r="Q2662" s="208">
        <f>MIN(1,MAX(0,(nr_MEndP-$G2662+0.5)/$C$2614))-MIN(1,MAX(0,(nr_MStartP-1-$G2662+0.5)/$C$2614))</f>
        <v/>
      </c>
      <c r="R2662" s="208">
        <f>MIN(1,MAX(0,(nr_MEndP1-$G2662+0.5)/$C$2614))-MIN(1,MAX(0,(nr_MStartP1-1-$G2662+0.5)/$C$2614))</f>
        <v/>
      </c>
      <c r="S2662" s="208">
        <f>IF($L$2614,$N2662*IF($O$2614=1,$O2662/$F$2614,1),"")</f>
        <v/>
      </c>
      <c r="T2662" s="208">
        <f>IF(NOT($L$2614),"",IF($G2662&lt;nr_MStartP,$S2662,$T2650*(1+IF($G2662&lt;nr_MStartP1,$M$2614,$N$2614))))</f>
        <v/>
      </c>
      <c r="U2662" s="208">
        <f>IF($L$2614,$T2662,$N2662)</f>
        <v/>
      </c>
    </row>
    <row r="2663">
      <c r="A2663" s="145" t="n">
        <v>47</v>
      </c>
      <c r="B2663" s="204">
        <f>EDATE($B2662,1)</f>
        <v/>
      </c>
      <c r="C2663" s="205">
        <f>EOMONTH($B2663,0)</f>
        <v/>
      </c>
      <c r="D2663" s="201">
        <f>$C2663-$B2663+1</f>
        <v/>
      </c>
      <c r="E2663" s="201">
        <f>MONTH($B2663)</f>
        <v/>
      </c>
      <c r="F2663" s="235">
        <f>($B2663+$C2663+1)/2</f>
        <v/>
      </c>
      <c r="G2663" s="201">
        <f>YEAR($B2663)*12+MONTH($B2663)-1</f>
        <v/>
      </c>
      <c r="H2663" s="207">
        <f>IF(OR(nr_SeasonOn="OFF",$D$2614=0,$E$2614=0),1,12*INDEX(se_block,$D$2614,$E2663)/$E$2614)</f>
        <v/>
      </c>
      <c r="I2663" s="208">
        <f>EXP(SUMPRODUCT((rl_eff&lt;$B2663)*(rl_key=$A$2614)*rl_ln1p))</f>
        <v/>
      </c>
      <c r="J2663" s="208">
        <f>EXP(SUMPRODUCT((rl_eff&lt;=$C2663)*(rl_key=$A$2614)*rl_ln1p))</f>
        <v/>
      </c>
      <c r="K2663" s="201">
        <f>COUNTIFS(rl_key,$A$2614,rl_eff,"&gt;="&amp;$B2663,rl_eff,"&lt;="&amp;$C2663)</f>
        <v/>
      </c>
      <c r="L2663" s="201">
        <f>SUMIFS(rl_daysafter,rl_key,$A$2614,rl_effmonth,$B2663,rl_first,1)</f>
        <v/>
      </c>
      <c r="M2663" s="209">
        <f>IF($K2663=0,0,MIN(1,$L2663/$D2663))</f>
        <v/>
      </c>
      <c r="N2663" s="208">
        <f>IF($K2663=0,$J2663,(1-$M2663)*$I2663+$M2663*$J2663)</f>
        <v/>
      </c>
      <c r="O2663" s="209">
        <f>IF($F2663&lt;$B$2615,$E$2615+$I$2615*($F2663-$A$2615),IF($F2663&lt;$C$2615,$F$2615+$J$2615*($F2663-$B$2615),$G$2615+$K$2615*($F2663-$C$2615)))</f>
        <v/>
      </c>
      <c r="P2663" s="208">
        <f>MIN(1,MAX(0,(nr_MEndPm1-$G2663+0.5)/$C$2614))-MIN(1,MAX(0,(nr_MStartPm1-1-$G2663+0.5)/$C$2614))</f>
        <v/>
      </c>
      <c r="Q2663" s="208">
        <f>MIN(1,MAX(0,(nr_MEndP-$G2663+0.5)/$C$2614))-MIN(1,MAX(0,(nr_MStartP-1-$G2663+0.5)/$C$2614))</f>
        <v/>
      </c>
      <c r="R2663" s="208">
        <f>MIN(1,MAX(0,(nr_MEndP1-$G2663+0.5)/$C$2614))-MIN(1,MAX(0,(nr_MStartP1-1-$G2663+0.5)/$C$2614))</f>
        <v/>
      </c>
      <c r="S2663" s="208">
        <f>IF($L$2614,$N2663*IF($O$2614=1,$O2663/$F$2614,1),"")</f>
        <v/>
      </c>
      <c r="T2663" s="208">
        <f>IF(NOT($L$2614),"",IF($G2663&lt;nr_MStartP,$S2663,$T2651*(1+IF($G2663&lt;nr_MStartP1,$M$2614,$N$2614))))</f>
        <v/>
      </c>
      <c r="U2663" s="208">
        <f>IF($L$2614,$T2663,$N2663)</f>
        <v/>
      </c>
    </row>
    <row r="2664">
      <c r="A2664" s="145" t="n">
        <v>48</v>
      </c>
      <c r="B2664" s="204">
        <f>EDATE($B2663,1)</f>
        <v/>
      </c>
      <c r="C2664" s="205">
        <f>EOMONTH($B2664,0)</f>
        <v/>
      </c>
      <c r="D2664" s="201">
        <f>$C2664-$B2664+1</f>
        <v/>
      </c>
      <c r="E2664" s="201">
        <f>MONTH($B2664)</f>
        <v/>
      </c>
      <c r="F2664" s="235">
        <f>($B2664+$C2664+1)/2</f>
        <v/>
      </c>
      <c r="G2664" s="201">
        <f>YEAR($B2664)*12+MONTH($B2664)-1</f>
        <v/>
      </c>
      <c r="H2664" s="207">
        <f>IF(OR(nr_SeasonOn="OFF",$D$2614=0,$E$2614=0),1,12*INDEX(se_block,$D$2614,$E2664)/$E$2614)</f>
        <v/>
      </c>
      <c r="I2664" s="208">
        <f>EXP(SUMPRODUCT((rl_eff&lt;$B2664)*(rl_key=$A$2614)*rl_ln1p))</f>
        <v/>
      </c>
      <c r="J2664" s="208">
        <f>EXP(SUMPRODUCT((rl_eff&lt;=$C2664)*(rl_key=$A$2614)*rl_ln1p))</f>
        <v/>
      </c>
      <c r="K2664" s="201">
        <f>COUNTIFS(rl_key,$A$2614,rl_eff,"&gt;="&amp;$B2664,rl_eff,"&lt;="&amp;$C2664)</f>
        <v/>
      </c>
      <c r="L2664" s="201">
        <f>SUMIFS(rl_daysafter,rl_key,$A$2614,rl_effmonth,$B2664,rl_first,1)</f>
        <v/>
      </c>
      <c r="M2664" s="209">
        <f>IF($K2664=0,0,MIN(1,$L2664/$D2664))</f>
        <v/>
      </c>
      <c r="N2664" s="208">
        <f>IF($K2664=0,$J2664,(1-$M2664)*$I2664+$M2664*$J2664)</f>
        <v/>
      </c>
      <c r="O2664" s="209">
        <f>IF($F2664&lt;$B$2615,$E$2615+$I$2615*($F2664-$A$2615),IF($F2664&lt;$C$2615,$F$2615+$J$2615*($F2664-$B$2615),$G$2615+$K$2615*($F2664-$C$2615)))</f>
        <v/>
      </c>
      <c r="P2664" s="208">
        <f>MIN(1,MAX(0,(nr_MEndPm1-$G2664+0.5)/$C$2614))-MIN(1,MAX(0,(nr_MStartPm1-1-$G2664+0.5)/$C$2614))</f>
        <v/>
      </c>
      <c r="Q2664" s="208">
        <f>MIN(1,MAX(0,(nr_MEndP-$G2664+0.5)/$C$2614))-MIN(1,MAX(0,(nr_MStartP-1-$G2664+0.5)/$C$2614))</f>
        <v/>
      </c>
      <c r="R2664" s="208">
        <f>MIN(1,MAX(0,(nr_MEndP1-$G2664+0.5)/$C$2614))-MIN(1,MAX(0,(nr_MStartP1-1-$G2664+0.5)/$C$2614))</f>
        <v/>
      </c>
      <c r="S2664" s="208">
        <f>IF($L$2614,$N2664*IF($O$2614=1,$O2664/$F$2614,1),"")</f>
        <v/>
      </c>
      <c r="T2664" s="208">
        <f>IF(NOT($L$2614),"",IF($G2664&lt;nr_MStartP,$S2664,$T2652*(1+IF($G2664&lt;nr_MStartP1,$M$2614,$N$2614))))</f>
        <v/>
      </c>
      <c r="U2664" s="208">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184">
        <f>SUMPRODUCT($H$2617:$H$2664,$Q$2617:$Q$2664,$O$2617:$O$2664)/SUMPRODUCT($H$2617:$H$2664,$Q$2617:$Q$2664)</f>
        <v/>
      </c>
      <c r="G2665" s="184">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184">
        <f>IF(N(INDEX(lr_mind,49))=0,1,INDEX(lr_mind,49))</f>
        <v/>
      </c>
      <c r="G2668" s="184">
        <f>IF(N(INDEX(lr_m0,49))=0,1,INDEX(lr_m0,49))</f>
        <v/>
      </c>
      <c r="H2668" s="73">
        <f>IF(N(INDEX(lr_m0asof,49))=0,DATE(nr_PlanYear-1,10,1),INDEX(lr_m0asof,49))</f>
        <v/>
      </c>
      <c r="I2668" s="184">
        <f>IF(N(INDEX(lr_m1,49))=0,1,INDEX(lr_m1,49))</f>
        <v/>
      </c>
      <c r="J2668" s="184">
        <f>INDEX(lr_mprior,49)</f>
        <v/>
      </c>
      <c r="K2668" s="184">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145" t="n">
        <v>1</v>
      </c>
      <c r="B2671" s="204">
        <f>DATE(nr_PlanYear-2,1,1)</f>
        <v/>
      </c>
      <c r="C2671" s="205">
        <f>EOMONTH($B2671,0)</f>
        <v/>
      </c>
      <c r="D2671" s="201">
        <f>$C2671-$B2671+1</f>
        <v/>
      </c>
      <c r="E2671" s="201">
        <f>MONTH($B2671)</f>
        <v/>
      </c>
      <c r="F2671" s="235">
        <f>($B2671+$C2671+1)/2</f>
        <v/>
      </c>
      <c r="G2671" s="201">
        <f>YEAR($B2671)*12+MONTH($B2671)-1</f>
        <v/>
      </c>
      <c r="H2671" s="207">
        <f>IF(OR(nr_SeasonOn="OFF",$D$2668=0,$E$2668=0),1,12*INDEX(se_block,$D$2668,$E2671)/$E$2668)</f>
        <v/>
      </c>
      <c r="I2671" s="208">
        <f>EXP(SUMPRODUCT((rl_eff&lt;$B2671)*(rl_key=$A$2668)*rl_ln1p))</f>
        <v/>
      </c>
      <c r="J2671" s="208">
        <f>EXP(SUMPRODUCT((rl_eff&lt;=$C2671)*(rl_key=$A$2668)*rl_ln1p))</f>
        <v/>
      </c>
      <c r="K2671" s="201">
        <f>COUNTIFS(rl_key,$A$2668,rl_eff,"&gt;="&amp;$B2671,rl_eff,"&lt;="&amp;$C2671)</f>
        <v/>
      </c>
      <c r="L2671" s="201">
        <f>SUMIFS(rl_daysafter,rl_key,$A$2668,rl_effmonth,$B2671,rl_first,1)</f>
        <v/>
      </c>
      <c r="M2671" s="209">
        <f>IF($K2671=0,0,MIN(1,$L2671/$D2671))</f>
        <v/>
      </c>
      <c r="N2671" s="208">
        <f>IF($K2671=0,$J2671,(1-$M2671)*$I2671+$M2671*$J2671)</f>
        <v/>
      </c>
      <c r="O2671" s="209">
        <f>IF($F2671&lt;$B$2669,$E$2669+$I$2669*($F2671-$A$2669),IF($F2671&lt;$C$2669,$F$2669+$J$2669*($F2671-$B$2669),$G$2669+$K$2669*($F2671-$C$2669)))</f>
        <v/>
      </c>
      <c r="P2671" s="208">
        <f>MIN(1,MAX(0,(nr_MEndPm1-$G2671+0.5)/$C$2668))-MIN(1,MAX(0,(nr_MStartPm1-1-$G2671+0.5)/$C$2668))</f>
        <v/>
      </c>
      <c r="Q2671" s="208">
        <f>MIN(1,MAX(0,(nr_MEndP-$G2671+0.5)/$C$2668))-MIN(1,MAX(0,(nr_MStartP-1-$G2671+0.5)/$C$2668))</f>
        <v/>
      </c>
      <c r="R2671" s="208">
        <f>MIN(1,MAX(0,(nr_MEndP1-$G2671+0.5)/$C$2668))-MIN(1,MAX(0,(nr_MStartP1-1-$G2671+0.5)/$C$2668))</f>
        <v/>
      </c>
      <c r="S2671" s="208">
        <f>IF($L$2668,$N2671*IF($O$2668=1,$O2671/$F$2668,1),"")</f>
        <v/>
      </c>
      <c r="T2671" s="208">
        <f>IF(NOT($L$2668),"",IF($G2671&lt;nr_MStartP,$S2671,$T2659*(1+IF($G2671&lt;nr_MStartP1,$M$2668,$N$2668))))</f>
        <v/>
      </c>
      <c r="U2671" s="208">
        <f>IF($L$2668,$T2671,$N2671)</f>
        <v/>
      </c>
    </row>
    <row r="2672">
      <c r="A2672" s="145" t="n">
        <v>2</v>
      </c>
      <c r="B2672" s="204">
        <f>EDATE($B2671,1)</f>
        <v/>
      </c>
      <c r="C2672" s="205">
        <f>EOMONTH($B2672,0)</f>
        <v/>
      </c>
      <c r="D2672" s="201">
        <f>$C2672-$B2672+1</f>
        <v/>
      </c>
      <c r="E2672" s="201">
        <f>MONTH($B2672)</f>
        <v/>
      </c>
      <c r="F2672" s="235">
        <f>($B2672+$C2672+1)/2</f>
        <v/>
      </c>
      <c r="G2672" s="201">
        <f>YEAR($B2672)*12+MONTH($B2672)-1</f>
        <v/>
      </c>
      <c r="H2672" s="207">
        <f>IF(OR(nr_SeasonOn="OFF",$D$2668=0,$E$2668=0),1,12*INDEX(se_block,$D$2668,$E2672)/$E$2668)</f>
        <v/>
      </c>
      <c r="I2672" s="208">
        <f>EXP(SUMPRODUCT((rl_eff&lt;$B2672)*(rl_key=$A$2668)*rl_ln1p))</f>
        <v/>
      </c>
      <c r="J2672" s="208">
        <f>EXP(SUMPRODUCT((rl_eff&lt;=$C2672)*(rl_key=$A$2668)*rl_ln1p))</f>
        <v/>
      </c>
      <c r="K2672" s="201">
        <f>COUNTIFS(rl_key,$A$2668,rl_eff,"&gt;="&amp;$B2672,rl_eff,"&lt;="&amp;$C2672)</f>
        <v/>
      </c>
      <c r="L2672" s="201">
        <f>SUMIFS(rl_daysafter,rl_key,$A$2668,rl_effmonth,$B2672,rl_first,1)</f>
        <v/>
      </c>
      <c r="M2672" s="209">
        <f>IF($K2672=0,0,MIN(1,$L2672/$D2672))</f>
        <v/>
      </c>
      <c r="N2672" s="208">
        <f>IF($K2672=0,$J2672,(1-$M2672)*$I2672+$M2672*$J2672)</f>
        <v/>
      </c>
      <c r="O2672" s="209">
        <f>IF($F2672&lt;$B$2669,$E$2669+$I$2669*($F2672-$A$2669),IF($F2672&lt;$C$2669,$F$2669+$J$2669*($F2672-$B$2669),$G$2669+$K$2669*($F2672-$C$2669)))</f>
        <v/>
      </c>
      <c r="P2672" s="208">
        <f>MIN(1,MAX(0,(nr_MEndPm1-$G2672+0.5)/$C$2668))-MIN(1,MAX(0,(nr_MStartPm1-1-$G2672+0.5)/$C$2668))</f>
        <v/>
      </c>
      <c r="Q2672" s="208">
        <f>MIN(1,MAX(0,(nr_MEndP-$G2672+0.5)/$C$2668))-MIN(1,MAX(0,(nr_MStartP-1-$G2672+0.5)/$C$2668))</f>
        <v/>
      </c>
      <c r="R2672" s="208">
        <f>MIN(1,MAX(0,(nr_MEndP1-$G2672+0.5)/$C$2668))-MIN(1,MAX(0,(nr_MStartP1-1-$G2672+0.5)/$C$2668))</f>
        <v/>
      </c>
      <c r="S2672" s="208">
        <f>IF($L$2668,$N2672*IF($O$2668=1,$O2672/$F$2668,1),"")</f>
        <v/>
      </c>
      <c r="T2672" s="208">
        <f>IF(NOT($L$2668),"",IF($G2672&lt;nr_MStartP,$S2672,$T2660*(1+IF($G2672&lt;nr_MStartP1,$M$2668,$N$2668))))</f>
        <v/>
      </c>
      <c r="U2672" s="208">
        <f>IF($L$2668,$T2672,$N2672)</f>
        <v/>
      </c>
    </row>
    <row r="2673">
      <c r="A2673" s="145" t="n">
        <v>3</v>
      </c>
      <c r="B2673" s="204">
        <f>EDATE($B2672,1)</f>
        <v/>
      </c>
      <c r="C2673" s="205">
        <f>EOMONTH($B2673,0)</f>
        <v/>
      </c>
      <c r="D2673" s="201">
        <f>$C2673-$B2673+1</f>
        <v/>
      </c>
      <c r="E2673" s="201">
        <f>MONTH($B2673)</f>
        <v/>
      </c>
      <c r="F2673" s="235">
        <f>($B2673+$C2673+1)/2</f>
        <v/>
      </c>
      <c r="G2673" s="201">
        <f>YEAR($B2673)*12+MONTH($B2673)-1</f>
        <v/>
      </c>
      <c r="H2673" s="207">
        <f>IF(OR(nr_SeasonOn="OFF",$D$2668=0,$E$2668=0),1,12*INDEX(se_block,$D$2668,$E2673)/$E$2668)</f>
        <v/>
      </c>
      <c r="I2673" s="208">
        <f>EXP(SUMPRODUCT((rl_eff&lt;$B2673)*(rl_key=$A$2668)*rl_ln1p))</f>
        <v/>
      </c>
      <c r="J2673" s="208">
        <f>EXP(SUMPRODUCT((rl_eff&lt;=$C2673)*(rl_key=$A$2668)*rl_ln1p))</f>
        <v/>
      </c>
      <c r="K2673" s="201">
        <f>COUNTIFS(rl_key,$A$2668,rl_eff,"&gt;="&amp;$B2673,rl_eff,"&lt;="&amp;$C2673)</f>
        <v/>
      </c>
      <c r="L2673" s="201">
        <f>SUMIFS(rl_daysafter,rl_key,$A$2668,rl_effmonth,$B2673,rl_first,1)</f>
        <v/>
      </c>
      <c r="M2673" s="209">
        <f>IF($K2673=0,0,MIN(1,$L2673/$D2673))</f>
        <v/>
      </c>
      <c r="N2673" s="208">
        <f>IF($K2673=0,$J2673,(1-$M2673)*$I2673+$M2673*$J2673)</f>
        <v/>
      </c>
      <c r="O2673" s="209">
        <f>IF($F2673&lt;$B$2669,$E$2669+$I$2669*($F2673-$A$2669),IF($F2673&lt;$C$2669,$F$2669+$J$2669*($F2673-$B$2669),$G$2669+$K$2669*($F2673-$C$2669)))</f>
        <v/>
      </c>
      <c r="P2673" s="208">
        <f>MIN(1,MAX(0,(nr_MEndPm1-$G2673+0.5)/$C$2668))-MIN(1,MAX(0,(nr_MStartPm1-1-$G2673+0.5)/$C$2668))</f>
        <v/>
      </c>
      <c r="Q2673" s="208">
        <f>MIN(1,MAX(0,(nr_MEndP-$G2673+0.5)/$C$2668))-MIN(1,MAX(0,(nr_MStartP-1-$G2673+0.5)/$C$2668))</f>
        <v/>
      </c>
      <c r="R2673" s="208">
        <f>MIN(1,MAX(0,(nr_MEndP1-$G2673+0.5)/$C$2668))-MIN(1,MAX(0,(nr_MStartP1-1-$G2673+0.5)/$C$2668))</f>
        <v/>
      </c>
      <c r="S2673" s="208">
        <f>IF($L$2668,$N2673*IF($O$2668=1,$O2673/$F$2668,1),"")</f>
        <v/>
      </c>
      <c r="T2673" s="208">
        <f>IF(NOT($L$2668),"",IF($G2673&lt;nr_MStartP,$S2673,$T2661*(1+IF($G2673&lt;nr_MStartP1,$M$2668,$N$2668))))</f>
        <v/>
      </c>
      <c r="U2673" s="208">
        <f>IF($L$2668,$T2673,$N2673)</f>
        <v/>
      </c>
    </row>
    <row r="2674">
      <c r="A2674" s="145" t="n">
        <v>4</v>
      </c>
      <c r="B2674" s="204">
        <f>EDATE($B2673,1)</f>
        <v/>
      </c>
      <c r="C2674" s="205">
        <f>EOMONTH($B2674,0)</f>
        <v/>
      </c>
      <c r="D2674" s="201">
        <f>$C2674-$B2674+1</f>
        <v/>
      </c>
      <c r="E2674" s="201">
        <f>MONTH($B2674)</f>
        <v/>
      </c>
      <c r="F2674" s="235">
        <f>($B2674+$C2674+1)/2</f>
        <v/>
      </c>
      <c r="G2674" s="201">
        <f>YEAR($B2674)*12+MONTH($B2674)-1</f>
        <v/>
      </c>
      <c r="H2674" s="207">
        <f>IF(OR(nr_SeasonOn="OFF",$D$2668=0,$E$2668=0),1,12*INDEX(se_block,$D$2668,$E2674)/$E$2668)</f>
        <v/>
      </c>
      <c r="I2674" s="208">
        <f>EXP(SUMPRODUCT((rl_eff&lt;$B2674)*(rl_key=$A$2668)*rl_ln1p))</f>
        <v/>
      </c>
      <c r="J2674" s="208">
        <f>EXP(SUMPRODUCT((rl_eff&lt;=$C2674)*(rl_key=$A$2668)*rl_ln1p))</f>
        <v/>
      </c>
      <c r="K2674" s="201">
        <f>COUNTIFS(rl_key,$A$2668,rl_eff,"&gt;="&amp;$B2674,rl_eff,"&lt;="&amp;$C2674)</f>
        <v/>
      </c>
      <c r="L2674" s="201">
        <f>SUMIFS(rl_daysafter,rl_key,$A$2668,rl_effmonth,$B2674,rl_first,1)</f>
        <v/>
      </c>
      <c r="M2674" s="209">
        <f>IF($K2674=0,0,MIN(1,$L2674/$D2674))</f>
        <v/>
      </c>
      <c r="N2674" s="208">
        <f>IF($K2674=0,$J2674,(1-$M2674)*$I2674+$M2674*$J2674)</f>
        <v/>
      </c>
      <c r="O2674" s="209">
        <f>IF($F2674&lt;$B$2669,$E$2669+$I$2669*($F2674-$A$2669),IF($F2674&lt;$C$2669,$F$2669+$J$2669*($F2674-$B$2669),$G$2669+$K$2669*($F2674-$C$2669)))</f>
        <v/>
      </c>
      <c r="P2674" s="208">
        <f>MIN(1,MAX(0,(nr_MEndPm1-$G2674+0.5)/$C$2668))-MIN(1,MAX(0,(nr_MStartPm1-1-$G2674+0.5)/$C$2668))</f>
        <v/>
      </c>
      <c r="Q2674" s="208">
        <f>MIN(1,MAX(0,(nr_MEndP-$G2674+0.5)/$C$2668))-MIN(1,MAX(0,(nr_MStartP-1-$G2674+0.5)/$C$2668))</f>
        <v/>
      </c>
      <c r="R2674" s="208">
        <f>MIN(1,MAX(0,(nr_MEndP1-$G2674+0.5)/$C$2668))-MIN(1,MAX(0,(nr_MStartP1-1-$G2674+0.5)/$C$2668))</f>
        <v/>
      </c>
      <c r="S2674" s="208">
        <f>IF($L$2668,$N2674*IF($O$2668=1,$O2674/$F$2668,1),"")</f>
        <v/>
      </c>
      <c r="T2674" s="208">
        <f>IF(NOT($L$2668),"",IF($G2674&lt;nr_MStartP,$S2674,$T2662*(1+IF($G2674&lt;nr_MStartP1,$M$2668,$N$2668))))</f>
        <v/>
      </c>
      <c r="U2674" s="208">
        <f>IF($L$2668,$T2674,$N2674)</f>
        <v/>
      </c>
    </row>
    <row r="2675">
      <c r="A2675" s="145" t="n">
        <v>5</v>
      </c>
      <c r="B2675" s="204">
        <f>EDATE($B2674,1)</f>
        <v/>
      </c>
      <c r="C2675" s="205">
        <f>EOMONTH($B2675,0)</f>
        <v/>
      </c>
      <c r="D2675" s="201">
        <f>$C2675-$B2675+1</f>
        <v/>
      </c>
      <c r="E2675" s="201">
        <f>MONTH($B2675)</f>
        <v/>
      </c>
      <c r="F2675" s="235">
        <f>($B2675+$C2675+1)/2</f>
        <v/>
      </c>
      <c r="G2675" s="201">
        <f>YEAR($B2675)*12+MONTH($B2675)-1</f>
        <v/>
      </c>
      <c r="H2675" s="207">
        <f>IF(OR(nr_SeasonOn="OFF",$D$2668=0,$E$2668=0),1,12*INDEX(se_block,$D$2668,$E2675)/$E$2668)</f>
        <v/>
      </c>
      <c r="I2675" s="208">
        <f>EXP(SUMPRODUCT((rl_eff&lt;$B2675)*(rl_key=$A$2668)*rl_ln1p))</f>
        <v/>
      </c>
      <c r="J2675" s="208">
        <f>EXP(SUMPRODUCT((rl_eff&lt;=$C2675)*(rl_key=$A$2668)*rl_ln1p))</f>
        <v/>
      </c>
      <c r="K2675" s="201">
        <f>COUNTIFS(rl_key,$A$2668,rl_eff,"&gt;="&amp;$B2675,rl_eff,"&lt;="&amp;$C2675)</f>
        <v/>
      </c>
      <c r="L2675" s="201">
        <f>SUMIFS(rl_daysafter,rl_key,$A$2668,rl_effmonth,$B2675,rl_first,1)</f>
        <v/>
      </c>
      <c r="M2675" s="209">
        <f>IF($K2675=0,0,MIN(1,$L2675/$D2675))</f>
        <v/>
      </c>
      <c r="N2675" s="208">
        <f>IF($K2675=0,$J2675,(1-$M2675)*$I2675+$M2675*$J2675)</f>
        <v/>
      </c>
      <c r="O2675" s="209">
        <f>IF($F2675&lt;$B$2669,$E$2669+$I$2669*($F2675-$A$2669),IF($F2675&lt;$C$2669,$F$2669+$J$2669*($F2675-$B$2669),$G$2669+$K$2669*($F2675-$C$2669)))</f>
        <v/>
      </c>
      <c r="P2675" s="208">
        <f>MIN(1,MAX(0,(nr_MEndPm1-$G2675+0.5)/$C$2668))-MIN(1,MAX(0,(nr_MStartPm1-1-$G2675+0.5)/$C$2668))</f>
        <v/>
      </c>
      <c r="Q2675" s="208">
        <f>MIN(1,MAX(0,(nr_MEndP-$G2675+0.5)/$C$2668))-MIN(1,MAX(0,(nr_MStartP-1-$G2675+0.5)/$C$2668))</f>
        <v/>
      </c>
      <c r="R2675" s="208">
        <f>MIN(1,MAX(0,(nr_MEndP1-$G2675+0.5)/$C$2668))-MIN(1,MAX(0,(nr_MStartP1-1-$G2675+0.5)/$C$2668))</f>
        <v/>
      </c>
      <c r="S2675" s="208">
        <f>IF($L$2668,$N2675*IF($O$2668=1,$O2675/$F$2668,1),"")</f>
        <v/>
      </c>
      <c r="T2675" s="208">
        <f>IF(NOT($L$2668),"",IF($G2675&lt;nr_MStartP,$S2675,$T2663*(1+IF($G2675&lt;nr_MStartP1,$M$2668,$N$2668))))</f>
        <v/>
      </c>
      <c r="U2675" s="208">
        <f>IF($L$2668,$T2675,$N2675)</f>
        <v/>
      </c>
    </row>
    <row r="2676">
      <c r="A2676" s="145" t="n">
        <v>6</v>
      </c>
      <c r="B2676" s="204">
        <f>EDATE($B2675,1)</f>
        <v/>
      </c>
      <c r="C2676" s="205">
        <f>EOMONTH($B2676,0)</f>
        <v/>
      </c>
      <c r="D2676" s="201">
        <f>$C2676-$B2676+1</f>
        <v/>
      </c>
      <c r="E2676" s="201">
        <f>MONTH($B2676)</f>
        <v/>
      </c>
      <c r="F2676" s="235">
        <f>($B2676+$C2676+1)/2</f>
        <v/>
      </c>
      <c r="G2676" s="201">
        <f>YEAR($B2676)*12+MONTH($B2676)-1</f>
        <v/>
      </c>
      <c r="H2676" s="207">
        <f>IF(OR(nr_SeasonOn="OFF",$D$2668=0,$E$2668=0),1,12*INDEX(se_block,$D$2668,$E2676)/$E$2668)</f>
        <v/>
      </c>
      <c r="I2676" s="208">
        <f>EXP(SUMPRODUCT((rl_eff&lt;$B2676)*(rl_key=$A$2668)*rl_ln1p))</f>
        <v/>
      </c>
      <c r="J2676" s="208">
        <f>EXP(SUMPRODUCT((rl_eff&lt;=$C2676)*(rl_key=$A$2668)*rl_ln1p))</f>
        <v/>
      </c>
      <c r="K2676" s="201">
        <f>COUNTIFS(rl_key,$A$2668,rl_eff,"&gt;="&amp;$B2676,rl_eff,"&lt;="&amp;$C2676)</f>
        <v/>
      </c>
      <c r="L2676" s="201">
        <f>SUMIFS(rl_daysafter,rl_key,$A$2668,rl_effmonth,$B2676,rl_first,1)</f>
        <v/>
      </c>
      <c r="M2676" s="209">
        <f>IF($K2676=0,0,MIN(1,$L2676/$D2676))</f>
        <v/>
      </c>
      <c r="N2676" s="208">
        <f>IF($K2676=0,$J2676,(1-$M2676)*$I2676+$M2676*$J2676)</f>
        <v/>
      </c>
      <c r="O2676" s="209">
        <f>IF($F2676&lt;$B$2669,$E$2669+$I$2669*($F2676-$A$2669),IF($F2676&lt;$C$2669,$F$2669+$J$2669*($F2676-$B$2669),$G$2669+$K$2669*($F2676-$C$2669)))</f>
        <v/>
      </c>
      <c r="P2676" s="208">
        <f>MIN(1,MAX(0,(nr_MEndPm1-$G2676+0.5)/$C$2668))-MIN(1,MAX(0,(nr_MStartPm1-1-$G2676+0.5)/$C$2668))</f>
        <v/>
      </c>
      <c r="Q2676" s="208">
        <f>MIN(1,MAX(0,(nr_MEndP-$G2676+0.5)/$C$2668))-MIN(1,MAX(0,(nr_MStartP-1-$G2676+0.5)/$C$2668))</f>
        <v/>
      </c>
      <c r="R2676" s="208">
        <f>MIN(1,MAX(0,(nr_MEndP1-$G2676+0.5)/$C$2668))-MIN(1,MAX(0,(nr_MStartP1-1-$G2676+0.5)/$C$2668))</f>
        <v/>
      </c>
      <c r="S2676" s="208">
        <f>IF($L$2668,$N2676*IF($O$2668=1,$O2676/$F$2668,1),"")</f>
        <v/>
      </c>
      <c r="T2676" s="208">
        <f>IF(NOT($L$2668),"",IF($G2676&lt;nr_MStartP,$S2676,$T2664*(1+IF($G2676&lt;nr_MStartP1,$M$2668,$N$2668))))</f>
        <v/>
      </c>
      <c r="U2676" s="208">
        <f>IF($L$2668,$T2676,$N2676)</f>
        <v/>
      </c>
    </row>
    <row r="2677">
      <c r="A2677" s="145" t="n">
        <v>7</v>
      </c>
      <c r="B2677" s="204">
        <f>EDATE($B2676,1)</f>
        <v/>
      </c>
      <c r="C2677" s="205">
        <f>EOMONTH($B2677,0)</f>
        <v/>
      </c>
      <c r="D2677" s="201">
        <f>$C2677-$B2677+1</f>
        <v/>
      </c>
      <c r="E2677" s="201">
        <f>MONTH($B2677)</f>
        <v/>
      </c>
      <c r="F2677" s="235">
        <f>($B2677+$C2677+1)/2</f>
        <v/>
      </c>
      <c r="G2677" s="201">
        <f>YEAR($B2677)*12+MONTH($B2677)-1</f>
        <v/>
      </c>
      <c r="H2677" s="207">
        <f>IF(OR(nr_SeasonOn="OFF",$D$2668=0,$E$2668=0),1,12*INDEX(se_block,$D$2668,$E2677)/$E$2668)</f>
        <v/>
      </c>
      <c r="I2677" s="208">
        <f>EXP(SUMPRODUCT((rl_eff&lt;$B2677)*(rl_key=$A$2668)*rl_ln1p))</f>
        <v/>
      </c>
      <c r="J2677" s="208">
        <f>EXP(SUMPRODUCT((rl_eff&lt;=$C2677)*(rl_key=$A$2668)*rl_ln1p))</f>
        <v/>
      </c>
      <c r="K2677" s="201">
        <f>COUNTIFS(rl_key,$A$2668,rl_eff,"&gt;="&amp;$B2677,rl_eff,"&lt;="&amp;$C2677)</f>
        <v/>
      </c>
      <c r="L2677" s="201">
        <f>SUMIFS(rl_daysafter,rl_key,$A$2668,rl_effmonth,$B2677,rl_first,1)</f>
        <v/>
      </c>
      <c r="M2677" s="209">
        <f>IF($K2677=0,0,MIN(1,$L2677/$D2677))</f>
        <v/>
      </c>
      <c r="N2677" s="208">
        <f>IF($K2677=0,$J2677,(1-$M2677)*$I2677+$M2677*$J2677)</f>
        <v/>
      </c>
      <c r="O2677" s="209">
        <f>IF($F2677&lt;$B$2669,$E$2669+$I$2669*($F2677-$A$2669),IF($F2677&lt;$C$2669,$F$2669+$J$2669*($F2677-$B$2669),$G$2669+$K$2669*($F2677-$C$2669)))</f>
        <v/>
      </c>
      <c r="P2677" s="208">
        <f>MIN(1,MAX(0,(nr_MEndPm1-$G2677+0.5)/$C$2668))-MIN(1,MAX(0,(nr_MStartPm1-1-$G2677+0.5)/$C$2668))</f>
        <v/>
      </c>
      <c r="Q2677" s="208">
        <f>MIN(1,MAX(0,(nr_MEndP-$G2677+0.5)/$C$2668))-MIN(1,MAX(0,(nr_MStartP-1-$G2677+0.5)/$C$2668))</f>
        <v/>
      </c>
      <c r="R2677" s="208">
        <f>MIN(1,MAX(0,(nr_MEndP1-$G2677+0.5)/$C$2668))-MIN(1,MAX(0,(nr_MStartP1-1-$G2677+0.5)/$C$2668))</f>
        <v/>
      </c>
      <c r="S2677" s="208">
        <f>IF($L$2668,$N2677*IF($O$2668=1,$O2677/$F$2668,1),"")</f>
        <v/>
      </c>
      <c r="T2677" s="208">
        <f>IF(NOT($L$2668),"",IF($G2677&lt;nr_MStartP,$S2677,$T2665*(1+IF($G2677&lt;nr_MStartP1,$M$2668,$N$2668))))</f>
        <v/>
      </c>
      <c r="U2677" s="208">
        <f>IF($L$2668,$T2677,$N2677)</f>
        <v/>
      </c>
    </row>
    <row r="2678">
      <c r="A2678" s="145" t="n">
        <v>8</v>
      </c>
      <c r="B2678" s="204">
        <f>EDATE($B2677,1)</f>
        <v/>
      </c>
      <c r="C2678" s="205">
        <f>EOMONTH($B2678,0)</f>
        <v/>
      </c>
      <c r="D2678" s="201">
        <f>$C2678-$B2678+1</f>
        <v/>
      </c>
      <c r="E2678" s="201">
        <f>MONTH($B2678)</f>
        <v/>
      </c>
      <c r="F2678" s="235">
        <f>($B2678+$C2678+1)/2</f>
        <v/>
      </c>
      <c r="G2678" s="201">
        <f>YEAR($B2678)*12+MONTH($B2678)-1</f>
        <v/>
      </c>
      <c r="H2678" s="207">
        <f>IF(OR(nr_SeasonOn="OFF",$D$2668=0,$E$2668=0),1,12*INDEX(se_block,$D$2668,$E2678)/$E$2668)</f>
        <v/>
      </c>
      <c r="I2678" s="208">
        <f>EXP(SUMPRODUCT((rl_eff&lt;$B2678)*(rl_key=$A$2668)*rl_ln1p))</f>
        <v/>
      </c>
      <c r="J2678" s="208">
        <f>EXP(SUMPRODUCT((rl_eff&lt;=$C2678)*(rl_key=$A$2668)*rl_ln1p))</f>
        <v/>
      </c>
      <c r="K2678" s="201">
        <f>COUNTIFS(rl_key,$A$2668,rl_eff,"&gt;="&amp;$B2678,rl_eff,"&lt;="&amp;$C2678)</f>
        <v/>
      </c>
      <c r="L2678" s="201">
        <f>SUMIFS(rl_daysafter,rl_key,$A$2668,rl_effmonth,$B2678,rl_first,1)</f>
        <v/>
      </c>
      <c r="M2678" s="209">
        <f>IF($K2678=0,0,MIN(1,$L2678/$D2678))</f>
        <v/>
      </c>
      <c r="N2678" s="208">
        <f>IF($K2678=0,$J2678,(1-$M2678)*$I2678+$M2678*$J2678)</f>
        <v/>
      </c>
      <c r="O2678" s="209">
        <f>IF($F2678&lt;$B$2669,$E$2669+$I$2669*($F2678-$A$2669),IF($F2678&lt;$C$2669,$F$2669+$J$2669*($F2678-$B$2669),$G$2669+$K$2669*($F2678-$C$2669)))</f>
        <v/>
      </c>
      <c r="P2678" s="208">
        <f>MIN(1,MAX(0,(nr_MEndPm1-$G2678+0.5)/$C$2668))-MIN(1,MAX(0,(nr_MStartPm1-1-$G2678+0.5)/$C$2668))</f>
        <v/>
      </c>
      <c r="Q2678" s="208">
        <f>MIN(1,MAX(0,(nr_MEndP-$G2678+0.5)/$C$2668))-MIN(1,MAX(0,(nr_MStartP-1-$G2678+0.5)/$C$2668))</f>
        <v/>
      </c>
      <c r="R2678" s="208">
        <f>MIN(1,MAX(0,(nr_MEndP1-$G2678+0.5)/$C$2668))-MIN(1,MAX(0,(nr_MStartP1-1-$G2678+0.5)/$C$2668))</f>
        <v/>
      </c>
      <c r="S2678" s="208">
        <f>IF($L$2668,$N2678*IF($O$2668=1,$O2678/$F$2668,1),"")</f>
        <v/>
      </c>
      <c r="T2678" s="208">
        <f>IF(NOT($L$2668),"",IF($G2678&lt;nr_MStartP,$S2678,$T2666*(1+IF($G2678&lt;nr_MStartP1,$M$2668,$N$2668))))</f>
        <v/>
      </c>
      <c r="U2678" s="208">
        <f>IF($L$2668,$T2678,$N2678)</f>
        <v/>
      </c>
    </row>
    <row r="2679">
      <c r="A2679" s="145" t="n">
        <v>9</v>
      </c>
      <c r="B2679" s="204">
        <f>EDATE($B2678,1)</f>
        <v/>
      </c>
      <c r="C2679" s="205">
        <f>EOMONTH($B2679,0)</f>
        <v/>
      </c>
      <c r="D2679" s="201">
        <f>$C2679-$B2679+1</f>
        <v/>
      </c>
      <c r="E2679" s="201">
        <f>MONTH($B2679)</f>
        <v/>
      </c>
      <c r="F2679" s="235">
        <f>($B2679+$C2679+1)/2</f>
        <v/>
      </c>
      <c r="G2679" s="201">
        <f>YEAR($B2679)*12+MONTH($B2679)-1</f>
        <v/>
      </c>
      <c r="H2679" s="207">
        <f>IF(OR(nr_SeasonOn="OFF",$D$2668=0,$E$2668=0),1,12*INDEX(se_block,$D$2668,$E2679)/$E$2668)</f>
        <v/>
      </c>
      <c r="I2679" s="208">
        <f>EXP(SUMPRODUCT((rl_eff&lt;$B2679)*(rl_key=$A$2668)*rl_ln1p))</f>
        <v/>
      </c>
      <c r="J2679" s="208">
        <f>EXP(SUMPRODUCT((rl_eff&lt;=$C2679)*(rl_key=$A$2668)*rl_ln1p))</f>
        <v/>
      </c>
      <c r="K2679" s="201">
        <f>COUNTIFS(rl_key,$A$2668,rl_eff,"&gt;="&amp;$B2679,rl_eff,"&lt;="&amp;$C2679)</f>
        <v/>
      </c>
      <c r="L2679" s="201">
        <f>SUMIFS(rl_daysafter,rl_key,$A$2668,rl_effmonth,$B2679,rl_first,1)</f>
        <v/>
      </c>
      <c r="M2679" s="209">
        <f>IF($K2679=0,0,MIN(1,$L2679/$D2679))</f>
        <v/>
      </c>
      <c r="N2679" s="208">
        <f>IF($K2679=0,$J2679,(1-$M2679)*$I2679+$M2679*$J2679)</f>
        <v/>
      </c>
      <c r="O2679" s="209">
        <f>IF($F2679&lt;$B$2669,$E$2669+$I$2669*($F2679-$A$2669),IF($F2679&lt;$C$2669,$F$2669+$J$2669*($F2679-$B$2669),$G$2669+$K$2669*($F2679-$C$2669)))</f>
        <v/>
      </c>
      <c r="P2679" s="208">
        <f>MIN(1,MAX(0,(nr_MEndPm1-$G2679+0.5)/$C$2668))-MIN(1,MAX(0,(nr_MStartPm1-1-$G2679+0.5)/$C$2668))</f>
        <v/>
      </c>
      <c r="Q2679" s="208">
        <f>MIN(1,MAX(0,(nr_MEndP-$G2679+0.5)/$C$2668))-MIN(1,MAX(0,(nr_MStartP-1-$G2679+0.5)/$C$2668))</f>
        <v/>
      </c>
      <c r="R2679" s="208">
        <f>MIN(1,MAX(0,(nr_MEndP1-$G2679+0.5)/$C$2668))-MIN(1,MAX(0,(nr_MStartP1-1-$G2679+0.5)/$C$2668))</f>
        <v/>
      </c>
      <c r="S2679" s="208">
        <f>IF($L$2668,$N2679*IF($O$2668=1,$O2679/$F$2668,1),"")</f>
        <v/>
      </c>
      <c r="T2679" s="208">
        <f>IF(NOT($L$2668),"",IF($G2679&lt;nr_MStartP,$S2679,$T2667*(1+IF($G2679&lt;nr_MStartP1,$M$2668,$N$2668))))</f>
        <v/>
      </c>
      <c r="U2679" s="208">
        <f>IF($L$2668,$T2679,$N2679)</f>
        <v/>
      </c>
    </row>
    <row r="2680">
      <c r="A2680" s="145" t="n">
        <v>10</v>
      </c>
      <c r="B2680" s="204">
        <f>EDATE($B2679,1)</f>
        <v/>
      </c>
      <c r="C2680" s="205">
        <f>EOMONTH($B2680,0)</f>
        <v/>
      </c>
      <c r="D2680" s="201">
        <f>$C2680-$B2680+1</f>
        <v/>
      </c>
      <c r="E2680" s="201">
        <f>MONTH($B2680)</f>
        <v/>
      </c>
      <c r="F2680" s="235">
        <f>($B2680+$C2680+1)/2</f>
        <v/>
      </c>
      <c r="G2680" s="201">
        <f>YEAR($B2680)*12+MONTH($B2680)-1</f>
        <v/>
      </c>
      <c r="H2680" s="207">
        <f>IF(OR(nr_SeasonOn="OFF",$D$2668=0,$E$2668=0),1,12*INDEX(se_block,$D$2668,$E2680)/$E$2668)</f>
        <v/>
      </c>
      <c r="I2680" s="208">
        <f>EXP(SUMPRODUCT((rl_eff&lt;$B2680)*(rl_key=$A$2668)*rl_ln1p))</f>
        <v/>
      </c>
      <c r="J2680" s="208">
        <f>EXP(SUMPRODUCT((rl_eff&lt;=$C2680)*(rl_key=$A$2668)*rl_ln1p))</f>
        <v/>
      </c>
      <c r="K2680" s="201">
        <f>COUNTIFS(rl_key,$A$2668,rl_eff,"&gt;="&amp;$B2680,rl_eff,"&lt;="&amp;$C2680)</f>
        <v/>
      </c>
      <c r="L2680" s="201">
        <f>SUMIFS(rl_daysafter,rl_key,$A$2668,rl_effmonth,$B2680,rl_first,1)</f>
        <v/>
      </c>
      <c r="M2680" s="209">
        <f>IF($K2680=0,0,MIN(1,$L2680/$D2680))</f>
        <v/>
      </c>
      <c r="N2680" s="208">
        <f>IF($K2680=0,$J2680,(1-$M2680)*$I2680+$M2680*$J2680)</f>
        <v/>
      </c>
      <c r="O2680" s="209">
        <f>IF($F2680&lt;$B$2669,$E$2669+$I$2669*($F2680-$A$2669),IF($F2680&lt;$C$2669,$F$2669+$J$2669*($F2680-$B$2669),$G$2669+$K$2669*($F2680-$C$2669)))</f>
        <v/>
      </c>
      <c r="P2680" s="208">
        <f>MIN(1,MAX(0,(nr_MEndPm1-$G2680+0.5)/$C$2668))-MIN(1,MAX(0,(nr_MStartPm1-1-$G2680+0.5)/$C$2668))</f>
        <v/>
      </c>
      <c r="Q2680" s="208">
        <f>MIN(1,MAX(0,(nr_MEndP-$G2680+0.5)/$C$2668))-MIN(1,MAX(0,(nr_MStartP-1-$G2680+0.5)/$C$2668))</f>
        <v/>
      </c>
      <c r="R2680" s="208">
        <f>MIN(1,MAX(0,(nr_MEndP1-$G2680+0.5)/$C$2668))-MIN(1,MAX(0,(nr_MStartP1-1-$G2680+0.5)/$C$2668))</f>
        <v/>
      </c>
      <c r="S2680" s="208">
        <f>IF($L$2668,$N2680*IF($O$2668=1,$O2680/$F$2668,1),"")</f>
        <v/>
      </c>
      <c r="T2680" s="208">
        <f>IF(NOT($L$2668),"",IF($G2680&lt;nr_MStartP,$S2680,$T2668*(1+IF($G2680&lt;nr_MStartP1,$M$2668,$N$2668))))</f>
        <v/>
      </c>
      <c r="U2680" s="208">
        <f>IF($L$2668,$T2680,$N2680)</f>
        <v/>
      </c>
    </row>
    <row r="2681">
      <c r="A2681" s="145" t="n">
        <v>11</v>
      </c>
      <c r="B2681" s="204">
        <f>EDATE($B2680,1)</f>
        <v/>
      </c>
      <c r="C2681" s="205">
        <f>EOMONTH($B2681,0)</f>
        <v/>
      </c>
      <c r="D2681" s="201">
        <f>$C2681-$B2681+1</f>
        <v/>
      </c>
      <c r="E2681" s="201">
        <f>MONTH($B2681)</f>
        <v/>
      </c>
      <c r="F2681" s="235">
        <f>($B2681+$C2681+1)/2</f>
        <v/>
      </c>
      <c r="G2681" s="201">
        <f>YEAR($B2681)*12+MONTH($B2681)-1</f>
        <v/>
      </c>
      <c r="H2681" s="207">
        <f>IF(OR(nr_SeasonOn="OFF",$D$2668=0,$E$2668=0),1,12*INDEX(se_block,$D$2668,$E2681)/$E$2668)</f>
        <v/>
      </c>
      <c r="I2681" s="208">
        <f>EXP(SUMPRODUCT((rl_eff&lt;$B2681)*(rl_key=$A$2668)*rl_ln1p))</f>
        <v/>
      </c>
      <c r="J2681" s="208">
        <f>EXP(SUMPRODUCT((rl_eff&lt;=$C2681)*(rl_key=$A$2668)*rl_ln1p))</f>
        <v/>
      </c>
      <c r="K2681" s="201">
        <f>COUNTIFS(rl_key,$A$2668,rl_eff,"&gt;="&amp;$B2681,rl_eff,"&lt;="&amp;$C2681)</f>
        <v/>
      </c>
      <c r="L2681" s="201">
        <f>SUMIFS(rl_daysafter,rl_key,$A$2668,rl_effmonth,$B2681,rl_first,1)</f>
        <v/>
      </c>
      <c r="M2681" s="209">
        <f>IF($K2681=0,0,MIN(1,$L2681/$D2681))</f>
        <v/>
      </c>
      <c r="N2681" s="208">
        <f>IF($K2681=0,$J2681,(1-$M2681)*$I2681+$M2681*$J2681)</f>
        <v/>
      </c>
      <c r="O2681" s="209">
        <f>IF($F2681&lt;$B$2669,$E$2669+$I$2669*($F2681-$A$2669),IF($F2681&lt;$C$2669,$F$2669+$J$2669*($F2681-$B$2669),$G$2669+$K$2669*($F2681-$C$2669)))</f>
        <v/>
      </c>
      <c r="P2681" s="208">
        <f>MIN(1,MAX(0,(nr_MEndPm1-$G2681+0.5)/$C$2668))-MIN(1,MAX(0,(nr_MStartPm1-1-$G2681+0.5)/$C$2668))</f>
        <v/>
      </c>
      <c r="Q2681" s="208">
        <f>MIN(1,MAX(0,(nr_MEndP-$G2681+0.5)/$C$2668))-MIN(1,MAX(0,(nr_MStartP-1-$G2681+0.5)/$C$2668))</f>
        <v/>
      </c>
      <c r="R2681" s="208">
        <f>MIN(1,MAX(0,(nr_MEndP1-$G2681+0.5)/$C$2668))-MIN(1,MAX(0,(nr_MStartP1-1-$G2681+0.5)/$C$2668))</f>
        <v/>
      </c>
      <c r="S2681" s="208">
        <f>IF($L$2668,$N2681*IF($O$2668=1,$O2681/$F$2668,1),"")</f>
        <v/>
      </c>
      <c r="T2681" s="208">
        <f>IF(NOT($L$2668),"",IF($G2681&lt;nr_MStartP,$S2681,$T2669*(1+IF($G2681&lt;nr_MStartP1,$M$2668,$N$2668))))</f>
        <v/>
      </c>
      <c r="U2681" s="208">
        <f>IF($L$2668,$T2681,$N2681)</f>
        <v/>
      </c>
    </row>
    <row r="2682">
      <c r="A2682" s="145" t="n">
        <v>12</v>
      </c>
      <c r="B2682" s="204">
        <f>EDATE($B2681,1)</f>
        <v/>
      </c>
      <c r="C2682" s="205">
        <f>EOMONTH($B2682,0)</f>
        <v/>
      </c>
      <c r="D2682" s="201">
        <f>$C2682-$B2682+1</f>
        <v/>
      </c>
      <c r="E2682" s="201">
        <f>MONTH($B2682)</f>
        <v/>
      </c>
      <c r="F2682" s="235">
        <f>($B2682+$C2682+1)/2</f>
        <v/>
      </c>
      <c r="G2682" s="201">
        <f>YEAR($B2682)*12+MONTH($B2682)-1</f>
        <v/>
      </c>
      <c r="H2682" s="207">
        <f>IF(OR(nr_SeasonOn="OFF",$D$2668=0,$E$2668=0),1,12*INDEX(se_block,$D$2668,$E2682)/$E$2668)</f>
        <v/>
      </c>
      <c r="I2682" s="208">
        <f>EXP(SUMPRODUCT((rl_eff&lt;$B2682)*(rl_key=$A$2668)*rl_ln1p))</f>
        <v/>
      </c>
      <c r="J2682" s="208">
        <f>EXP(SUMPRODUCT((rl_eff&lt;=$C2682)*(rl_key=$A$2668)*rl_ln1p))</f>
        <v/>
      </c>
      <c r="K2682" s="201">
        <f>COUNTIFS(rl_key,$A$2668,rl_eff,"&gt;="&amp;$B2682,rl_eff,"&lt;="&amp;$C2682)</f>
        <v/>
      </c>
      <c r="L2682" s="201">
        <f>SUMIFS(rl_daysafter,rl_key,$A$2668,rl_effmonth,$B2682,rl_first,1)</f>
        <v/>
      </c>
      <c r="M2682" s="209">
        <f>IF($K2682=0,0,MIN(1,$L2682/$D2682))</f>
        <v/>
      </c>
      <c r="N2682" s="208">
        <f>IF($K2682=0,$J2682,(1-$M2682)*$I2682+$M2682*$J2682)</f>
        <v/>
      </c>
      <c r="O2682" s="209">
        <f>IF($F2682&lt;$B$2669,$E$2669+$I$2669*($F2682-$A$2669),IF($F2682&lt;$C$2669,$F$2669+$J$2669*($F2682-$B$2669),$G$2669+$K$2669*($F2682-$C$2669)))</f>
        <v/>
      </c>
      <c r="P2682" s="208">
        <f>MIN(1,MAX(0,(nr_MEndPm1-$G2682+0.5)/$C$2668))-MIN(1,MAX(0,(nr_MStartPm1-1-$G2682+0.5)/$C$2668))</f>
        <v/>
      </c>
      <c r="Q2682" s="208">
        <f>MIN(1,MAX(0,(nr_MEndP-$G2682+0.5)/$C$2668))-MIN(1,MAX(0,(nr_MStartP-1-$G2682+0.5)/$C$2668))</f>
        <v/>
      </c>
      <c r="R2682" s="208">
        <f>MIN(1,MAX(0,(nr_MEndP1-$G2682+0.5)/$C$2668))-MIN(1,MAX(0,(nr_MStartP1-1-$G2682+0.5)/$C$2668))</f>
        <v/>
      </c>
      <c r="S2682" s="208">
        <f>IF($L$2668,$N2682*IF($O$2668=1,$O2682/$F$2668,1),"")</f>
        <v/>
      </c>
      <c r="T2682" s="208">
        <f>IF(NOT($L$2668),"",IF($G2682&lt;nr_MStartP,$S2682,$T2670*(1+IF($G2682&lt;nr_MStartP1,$M$2668,$N$2668))))</f>
        <v/>
      </c>
      <c r="U2682" s="208">
        <f>IF($L$2668,$T2682,$N2682)</f>
        <v/>
      </c>
    </row>
    <row r="2683">
      <c r="A2683" s="145" t="n">
        <v>13</v>
      </c>
      <c r="B2683" s="204">
        <f>EDATE($B2682,1)</f>
        <v/>
      </c>
      <c r="C2683" s="205">
        <f>EOMONTH($B2683,0)</f>
        <v/>
      </c>
      <c r="D2683" s="201">
        <f>$C2683-$B2683+1</f>
        <v/>
      </c>
      <c r="E2683" s="201">
        <f>MONTH($B2683)</f>
        <v/>
      </c>
      <c r="F2683" s="235">
        <f>($B2683+$C2683+1)/2</f>
        <v/>
      </c>
      <c r="G2683" s="201">
        <f>YEAR($B2683)*12+MONTH($B2683)-1</f>
        <v/>
      </c>
      <c r="H2683" s="207">
        <f>IF(OR(nr_SeasonOn="OFF",$D$2668=0,$E$2668=0),1,12*INDEX(se_block,$D$2668,$E2683)/$E$2668)</f>
        <v/>
      </c>
      <c r="I2683" s="208">
        <f>EXP(SUMPRODUCT((rl_eff&lt;$B2683)*(rl_key=$A$2668)*rl_ln1p))</f>
        <v/>
      </c>
      <c r="J2683" s="208">
        <f>EXP(SUMPRODUCT((rl_eff&lt;=$C2683)*(rl_key=$A$2668)*rl_ln1p))</f>
        <v/>
      </c>
      <c r="K2683" s="201">
        <f>COUNTIFS(rl_key,$A$2668,rl_eff,"&gt;="&amp;$B2683,rl_eff,"&lt;="&amp;$C2683)</f>
        <v/>
      </c>
      <c r="L2683" s="201">
        <f>SUMIFS(rl_daysafter,rl_key,$A$2668,rl_effmonth,$B2683,rl_first,1)</f>
        <v/>
      </c>
      <c r="M2683" s="209">
        <f>IF($K2683=0,0,MIN(1,$L2683/$D2683))</f>
        <v/>
      </c>
      <c r="N2683" s="208">
        <f>IF($K2683=0,$J2683,(1-$M2683)*$I2683+$M2683*$J2683)</f>
        <v/>
      </c>
      <c r="O2683" s="209">
        <f>IF($F2683&lt;$B$2669,$E$2669+$I$2669*($F2683-$A$2669),IF($F2683&lt;$C$2669,$F$2669+$J$2669*($F2683-$B$2669),$G$2669+$K$2669*($F2683-$C$2669)))</f>
        <v/>
      </c>
      <c r="P2683" s="208">
        <f>MIN(1,MAX(0,(nr_MEndPm1-$G2683+0.5)/$C$2668))-MIN(1,MAX(0,(nr_MStartPm1-1-$G2683+0.5)/$C$2668))</f>
        <v/>
      </c>
      <c r="Q2683" s="208">
        <f>MIN(1,MAX(0,(nr_MEndP-$G2683+0.5)/$C$2668))-MIN(1,MAX(0,(nr_MStartP-1-$G2683+0.5)/$C$2668))</f>
        <v/>
      </c>
      <c r="R2683" s="208">
        <f>MIN(1,MAX(0,(nr_MEndP1-$G2683+0.5)/$C$2668))-MIN(1,MAX(0,(nr_MStartP1-1-$G2683+0.5)/$C$2668))</f>
        <v/>
      </c>
      <c r="S2683" s="208">
        <f>IF($L$2668,$N2683*IF($O$2668=1,$O2683/$F$2668,1),"")</f>
        <v/>
      </c>
      <c r="T2683" s="208">
        <f>IF(NOT($L$2668),"",IF($G2683&lt;nr_MStartP,$S2683,$T2671*(1+IF($G2683&lt;nr_MStartP1,$M$2668,$N$2668))))</f>
        <v/>
      </c>
      <c r="U2683" s="208">
        <f>IF($L$2668,$T2683,$N2683)</f>
        <v/>
      </c>
    </row>
    <row r="2684">
      <c r="A2684" s="145" t="n">
        <v>14</v>
      </c>
      <c r="B2684" s="204">
        <f>EDATE($B2683,1)</f>
        <v/>
      </c>
      <c r="C2684" s="205">
        <f>EOMONTH($B2684,0)</f>
        <v/>
      </c>
      <c r="D2684" s="201">
        <f>$C2684-$B2684+1</f>
        <v/>
      </c>
      <c r="E2684" s="201">
        <f>MONTH($B2684)</f>
        <v/>
      </c>
      <c r="F2684" s="235">
        <f>($B2684+$C2684+1)/2</f>
        <v/>
      </c>
      <c r="G2684" s="201">
        <f>YEAR($B2684)*12+MONTH($B2684)-1</f>
        <v/>
      </c>
      <c r="H2684" s="207">
        <f>IF(OR(nr_SeasonOn="OFF",$D$2668=0,$E$2668=0),1,12*INDEX(se_block,$D$2668,$E2684)/$E$2668)</f>
        <v/>
      </c>
      <c r="I2684" s="208">
        <f>EXP(SUMPRODUCT((rl_eff&lt;$B2684)*(rl_key=$A$2668)*rl_ln1p))</f>
        <v/>
      </c>
      <c r="J2684" s="208">
        <f>EXP(SUMPRODUCT((rl_eff&lt;=$C2684)*(rl_key=$A$2668)*rl_ln1p))</f>
        <v/>
      </c>
      <c r="K2684" s="201">
        <f>COUNTIFS(rl_key,$A$2668,rl_eff,"&gt;="&amp;$B2684,rl_eff,"&lt;="&amp;$C2684)</f>
        <v/>
      </c>
      <c r="L2684" s="201">
        <f>SUMIFS(rl_daysafter,rl_key,$A$2668,rl_effmonth,$B2684,rl_first,1)</f>
        <v/>
      </c>
      <c r="M2684" s="209">
        <f>IF($K2684=0,0,MIN(1,$L2684/$D2684))</f>
        <v/>
      </c>
      <c r="N2684" s="208">
        <f>IF($K2684=0,$J2684,(1-$M2684)*$I2684+$M2684*$J2684)</f>
        <v/>
      </c>
      <c r="O2684" s="209">
        <f>IF($F2684&lt;$B$2669,$E$2669+$I$2669*($F2684-$A$2669),IF($F2684&lt;$C$2669,$F$2669+$J$2669*($F2684-$B$2669),$G$2669+$K$2669*($F2684-$C$2669)))</f>
        <v/>
      </c>
      <c r="P2684" s="208">
        <f>MIN(1,MAX(0,(nr_MEndPm1-$G2684+0.5)/$C$2668))-MIN(1,MAX(0,(nr_MStartPm1-1-$G2684+0.5)/$C$2668))</f>
        <v/>
      </c>
      <c r="Q2684" s="208">
        <f>MIN(1,MAX(0,(nr_MEndP-$G2684+0.5)/$C$2668))-MIN(1,MAX(0,(nr_MStartP-1-$G2684+0.5)/$C$2668))</f>
        <v/>
      </c>
      <c r="R2684" s="208">
        <f>MIN(1,MAX(0,(nr_MEndP1-$G2684+0.5)/$C$2668))-MIN(1,MAX(0,(nr_MStartP1-1-$G2684+0.5)/$C$2668))</f>
        <v/>
      </c>
      <c r="S2684" s="208">
        <f>IF($L$2668,$N2684*IF($O$2668=1,$O2684/$F$2668,1),"")</f>
        <v/>
      </c>
      <c r="T2684" s="208">
        <f>IF(NOT($L$2668),"",IF($G2684&lt;nr_MStartP,$S2684,$T2672*(1+IF($G2684&lt;nr_MStartP1,$M$2668,$N$2668))))</f>
        <v/>
      </c>
      <c r="U2684" s="208">
        <f>IF($L$2668,$T2684,$N2684)</f>
        <v/>
      </c>
    </row>
    <row r="2685">
      <c r="A2685" s="145" t="n">
        <v>15</v>
      </c>
      <c r="B2685" s="204">
        <f>EDATE($B2684,1)</f>
        <v/>
      </c>
      <c r="C2685" s="205">
        <f>EOMONTH($B2685,0)</f>
        <v/>
      </c>
      <c r="D2685" s="201">
        <f>$C2685-$B2685+1</f>
        <v/>
      </c>
      <c r="E2685" s="201">
        <f>MONTH($B2685)</f>
        <v/>
      </c>
      <c r="F2685" s="235">
        <f>($B2685+$C2685+1)/2</f>
        <v/>
      </c>
      <c r="G2685" s="201">
        <f>YEAR($B2685)*12+MONTH($B2685)-1</f>
        <v/>
      </c>
      <c r="H2685" s="207">
        <f>IF(OR(nr_SeasonOn="OFF",$D$2668=0,$E$2668=0),1,12*INDEX(se_block,$D$2668,$E2685)/$E$2668)</f>
        <v/>
      </c>
      <c r="I2685" s="208">
        <f>EXP(SUMPRODUCT((rl_eff&lt;$B2685)*(rl_key=$A$2668)*rl_ln1p))</f>
        <v/>
      </c>
      <c r="J2685" s="208">
        <f>EXP(SUMPRODUCT((rl_eff&lt;=$C2685)*(rl_key=$A$2668)*rl_ln1p))</f>
        <v/>
      </c>
      <c r="K2685" s="201">
        <f>COUNTIFS(rl_key,$A$2668,rl_eff,"&gt;="&amp;$B2685,rl_eff,"&lt;="&amp;$C2685)</f>
        <v/>
      </c>
      <c r="L2685" s="201">
        <f>SUMIFS(rl_daysafter,rl_key,$A$2668,rl_effmonth,$B2685,rl_first,1)</f>
        <v/>
      </c>
      <c r="M2685" s="209">
        <f>IF($K2685=0,0,MIN(1,$L2685/$D2685))</f>
        <v/>
      </c>
      <c r="N2685" s="208">
        <f>IF($K2685=0,$J2685,(1-$M2685)*$I2685+$M2685*$J2685)</f>
        <v/>
      </c>
      <c r="O2685" s="209">
        <f>IF($F2685&lt;$B$2669,$E$2669+$I$2669*($F2685-$A$2669),IF($F2685&lt;$C$2669,$F$2669+$J$2669*($F2685-$B$2669),$G$2669+$K$2669*($F2685-$C$2669)))</f>
        <v/>
      </c>
      <c r="P2685" s="208">
        <f>MIN(1,MAX(0,(nr_MEndPm1-$G2685+0.5)/$C$2668))-MIN(1,MAX(0,(nr_MStartPm1-1-$G2685+0.5)/$C$2668))</f>
        <v/>
      </c>
      <c r="Q2685" s="208">
        <f>MIN(1,MAX(0,(nr_MEndP-$G2685+0.5)/$C$2668))-MIN(1,MAX(0,(nr_MStartP-1-$G2685+0.5)/$C$2668))</f>
        <v/>
      </c>
      <c r="R2685" s="208">
        <f>MIN(1,MAX(0,(nr_MEndP1-$G2685+0.5)/$C$2668))-MIN(1,MAX(0,(nr_MStartP1-1-$G2685+0.5)/$C$2668))</f>
        <v/>
      </c>
      <c r="S2685" s="208">
        <f>IF($L$2668,$N2685*IF($O$2668=1,$O2685/$F$2668,1),"")</f>
        <v/>
      </c>
      <c r="T2685" s="208">
        <f>IF(NOT($L$2668),"",IF($G2685&lt;nr_MStartP,$S2685,$T2673*(1+IF($G2685&lt;nr_MStartP1,$M$2668,$N$2668))))</f>
        <v/>
      </c>
      <c r="U2685" s="208">
        <f>IF($L$2668,$T2685,$N2685)</f>
        <v/>
      </c>
    </row>
    <row r="2686">
      <c r="A2686" s="145" t="n">
        <v>16</v>
      </c>
      <c r="B2686" s="204">
        <f>EDATE($B2685,1)</f>
        <v/>
      </c>
      <c r="C2686" s="205">
        <f>EOMONTH($B2686,0)</f>
        <v/>
      </c>
      <c r="D2686" s="201">
        <f>$C2686-$B2686+1</f>
        <v/>
      </c>
      <c r="E2686" s="201">
        <f>MONTH($B2686)</f>
        <v/>
      </c>
      <c r="F2686" s="235">
        <f>($B2686+$C2686+1)/2</f>
        <v/>
      </c>
      <c r="G2686" s="201">
        <f>YEAR($B2686)*12+MONTH($B2686)-1</f>
        <v/>
      </c>
      <c r="H2686" s="207">
        <f>IF(OR(nr_SeasonOn="OFF",$D$2668=0,$E$2668=0),1,12*INDEX(se_block,$D$2668,$E2686)/$E$2668)</f>
        <v/>
      </c>
      <c r="I2686" s="208">
        <f>EXP(SUMPRODUCT((rl_eff&lt;$B2686)*(rl_key=$A$2668)*rl_ln1p))</f>
        <v/>
      </c>
      <c r="J2686" s="208">
        <f>EXP(SUMPRODUCT((rl_eff&lt;=$C2686)*(rl_key=$A$2668)*rl_ln1p))</f>
        <v/>
      </c>
      <c r="K2686" s="201">
        <f>COUNTIFS(rl_key,$A$2668,rl_eff,"&gt;="&amp;$B2686,rl_eff,"&lt;="&amp;$C2686)</f>
        <v/>
      </c>
      <c r="L2686" s="201">
        <f>SUMIFS(rl_daysafter,rl_key,$A$2668,rl_effmonth,$B2686,rl_first,1)</f>
        <v/>
      </c>
      <c r="M2686" s="209">
        <f>IF($K2686=0,0,MIN(1,$L2686/$D2686))</f>
        <v/>
      </c>
      <c r="N2686" s="208">
        <f>IF($K2686=0,$J2686,(1-$M2686)*$I2686+$M2686*$J2686)</f>
        <v/>
      </c>
      <c r="O2686" s="209">
        <f>IF($F2686&lt;$B$2669,$E$2669+$I$2669*($F2686-$A$2669),IF($F2686&lt;$C$2669,$F$2669+$J$2669*($F2686-$B$2669),$G$2669+$K$2669*($F2686-$C$2669)))</f>
        <v/>
      </c>
      <c r="P2686" s="208">
        <f>MIN(1,MAX(0,(nr_MEndPm1-$G2686+0.5)/$C$2668))-MIN(1,MAX(0,(nr_MStartPm1-1-$G2686+0.5)/$C$2668))</f>
        <v/>
      </c>
      <c r="Q2686" s="208">
        <f>MIN(1,MAX(0,(nr_MEndP-$G2686+0.5)/$C$2668))-MIN(1,MAX(0,(nr_MStartP-1-$G2686+0.5)/$C$2668))</f>
        <v/>
      </c>
      <c r="R2686" s="208">
        <f>MIN(1,MAX(0,(nr_MEndP1-$G2686+0.5)/$C$2668))-MIN(1,MAX(0,(nr_MStartP1-1-$G2686+0.5)/$C$2668))</f>
        <v/>
      </c>
      <c r="S2686" s="208">
        <f>IF($L$2668,$N2686*IF($O$2668=1,$O2686/$F$2668,1),"")</f>
        <v/>
      </c>
      <c r="T2686" s="208">
        <f>IF(NOT($L$2668),"",IF($G2686&lt;nr_MStartP,$S2686,$T2674*(1+IF($G2686&lt;nr_MStartP1,$M$2668,$N$2668))))</f>
        <v/>
      </c>
      <c r="U2686" s="208">
        <f>IF($L$2668,$T2686,$N2686)</f>
        <v/>
      </c>
    </row>
    <row r="2687">
      <c r="A2687" s="145" t="n">
        <v>17</v>
      </c>
      <c r="B2687" s="204">
        <f>EDATE($B2686,1)</f>
        <v/>
      </c>
      <c r="C2687" s="205">
        <f>EOMONTH($B2687,0)</f>
        <v/>
      </c>
      <c r="D2687" s="201">
        <f>$C2687-$B2687+1</f>
        <v/>
      </c>
      <c r="E2687" s="201">
        <f>MONTH($B2687)</f>
        <v/>
      </c>
      <c r="F2687" s="235">
        <f>($B2687+$C2687+1)/2</f>
        <v/>
      </c>
      <c r="G2687" s="201">
        <f>YEAR($B2687)*12+MONTH($B2687)-1</f>
        <v/>
      </c>
      <c r="H2687" s="207">
        <f>IF(OR(nr_SeasonOn="OFF",$D$2668=0,$E$2668=0),1,12*INDEX(se_block,$D$2668,$E2687)/$E$2668)</f>
        <v/>
      </c>
      <c r="I2687" s="208">
        <f>EXP(SUMPRODUCT((rl_eff&lt;$B2687)*(rl_key=$A$2668)*rl_ln1p))</f>
        <v/>
      </c>
      <c r="J2687" s="208">
        <f>EXP(SUMPRODUCT((rl_eff&lt;=$C2687)*(rl_key=$A$2668)*rl_ln1p))</f>
        <v/>
      </c>
      <c r="K2687" s="201">
        <f>COUNTIFS(rl_key,$A$2668,rl_eff,"&gt;="&amp;$B2687,rl_eff,"&lt;="&amp;$C2687)</f>
        <v/>
      </c>
      <c r="L2687" s="201">
        <f>SUMIFS(rl_daysafter,rl_key,$A$2668,rl_effmonth,$B2687,rl_first,1)</f>
        <v/>
      </c>
      <c r="M2687" s="209">
        <f>IF($K2687=0,0,MIN(1,$L2687/$D2687))</f>
        <v/>
      </c>
      <c r="N2687" s="208">
        <f>IF($K2687=0,$J2687,(1-$M2687)*$I2687+$M2687*$J2687)</f>
        <v/>
      </c>
      <c r="O2687" s="209">
        <f>IF($F2687&lt;$B$2669,$E$2669+$I$2669*($F2687-$A$2669),IF($F2687&lt;$C$2669,$F$2669+$J$2669*($F2687-$B$2669),$G$2669+$K$2669*($F2687-$C$2669)))</f>
        <v/>
      </c>
      <c r="P2687" s="208">
        <f>MIN(1,MAX(0,(nr_MEndPm1-$G2687+0.5)/$C$2668))-MIN(1,MAX(0,(nr_MStartPm1-1-$G2687+0.5)/$C$2668))</f>
        <v/>
      </c>
      <c r="Q2687" s="208">
        <f>MIN(1,MAX(0,(nr_MEndP-$G2687+0.5)/$C$2668))-MIN(1,MAX(0,(nr_MStartP-1-$G2687+0.5)/$C$2668))</f>
        <v/>
      </c>
      <c r="R2687" s="208">
        <f>MIN(1,MAX(0,(nr_MEndP1-$G2687+0.5)/$C$2668))-MIN(1,MAX(0,(nr_MStartP1-1-$G2687+0.5)/$C$2668))</f>
        <v/>
      </c>
      <c r="S2687" s="208">
        <f>IF($L$2668,$N2687*IF($O$2668=1,$O2687/$F$2668,1),"")</f>
        <v/>
      </c>
      <c r="T2687" s="208">
        <f>IF(NOT($L$2668),"",IF($G2687&lt;nr_MStartP,$S2687,$T2675*(1+IF($G2687&lt;nr_MStartP1,$M$2668,$N$2668))))</f>
        <v/>
      </c>
      <c r="U2687" s="208">
        <f>IF($L$2668,$T2687,$N2687)</f>
        <v/>
      </c>
    </row>
    <row r="2688">
      <c r="A2688" s="145" t="n">
        <v>18</v>
      </c>
      <c r="B2688" s="204">
        <f>EDATE($B2687,1)</f>
        <v/>
      </c>
      <c r="C2688" s="205">
        <f>EOMONTH($B2688,0)</f>
        <v/>
      </c>
      <c r="D2688" s="201">
        <f>$C2688-$B2688+1</f>
        <v/>
      </c>
      <c r="E2688" s="201">
        <f>MONTH($B2688)</f>
        <v/>
      </c>
      <c r="F2688" s="235">
        <f>($B2688+$C2688+1)/2</f>
        <v/>
      </c>
      <c r="G2688" s="201">
        <f>YEAR($B2688)*12+MONTH($B2688)-1</f>
        <v/>
      </c>
      <c r="H2688" s="207">
        <f>IF(OR(nr_SeasonOn="OFF",$D$2668=0,$E$2668=0),1,12*INDEX(se_block,$D$2668,$E2688)/$E$2668)</f>
        <v/>
      </c>
      <c r="I2688" s="208">
        <f>EXP(SUMPRODUCT((rl_eff&lt;$B2688)*(rl_key=$A$2668)*rl_ln1p))</f>
        <v/>
      </c>
      <c r="J2688" s="208">
        <f>EXP(SUMPRODUCT((rl_eff&lt;=$C2688)*(rl_key=$A$2668)*rl_ln1p))</f>
        <v/>
      </c>
      <c r="K2688" s="201">
        <f>COUNTIFS(rl_key,$A$2668,rl_eff,"&gt;="&amp;$B2688,rl_eff,"&lt;="&amp;$C2688)</f>
        <v/>
      </c>
      <c r="L2688" s="201">
        <f>SUMIFS(rl_daysafter,rl_key,$A$2668,rl_effmonth,$B2688,rl_first,1)</f>
        <v/>
      </c>
      <c r="M2688" s="209">
        <f>IF($K2688=0,0,MIN(1,$L2688/$D2688))</f>
        <v/>
      </c>
      <c r="N2688" s="208">
        <f>IF($K2688=0,$J2688,(1-$M2688)*$I2688+$M2688*$J2688)</f>
        <v/>
      </c>
      <c r="O2688" s="209">
        <f>IF($F2688&lt;$B$2669,$E$2669+$I$2669*($F2688-$A$2669),IF($F2688&lt;$C$2669,$F$2669+$J$2669*($F2688-$B$2669),$G$2669+$K$2669*($F2688-$C$2669)))</f>
        <v/>
      </c>
      <c r="P2688" s="208">
        <f>MIN(1,MAX(0,(nr_MEndPm1-$G2688+0.5)/$C$2668))-MIN(1,MAX(0,(nr_MStartPm1-1-$G2688+0.5)/$C$2668))</f>
        <v/>
      </c>
      <c r="Q2688" s="208">
        <f>MIN(1,MAX(0,(nr_MEndP-$G2688+0.5)/$C$2668))-MIN(1,MAX(0,(nr_MStartP-1-$G2688+0.5)/$C$2668))</f>
        <v/>
      </c>
      <c r="R2688" s="208">
        <f>MIN(1,MAX(0,(nr_MEndP1-$G2688+0.5)/$C$2668))-MIN(1,MAX(0,(nr_MStartP1-1-$G2688+0.5)/$C$2668))</f>
        <v/>
      </c>
      <c r="S2688" s="208">
        <f>IF($L$2668,$N2688*IF($O$2668=1,$O2688/$F$2668,1),"")</f>
        <v/>
      </c>
      <c r="T2688" s="208">
        <f>IF(NOT($L$2668),"",IF($G2688&lt;nr_MStartP,$S2688,$T2676*(1+IF($G2688&lt;nr_MStartP1,$M$2668,$N$2668))))</f>
        <v/>
      </c>
      <c r="U2688" s="208">
        <f>IF($L$2668,$T2688,$N2688)</f>
        <v/>
      </c>
    </row>
    <row r="2689">
      <c r="A2689" s="145" t="n">
        <v>19</v>
      </c>
      <c r="B2689" s="204">
        <f>EDATE($B2688,1)</f>
        <v/>
      </c>
      <c r="C2689" s="205">
        <f>EOMONTH($B2689,0)</f>
        <v/>
      </c>
      <c r="D2689" s="201">
        <f>$C2689-$B2689+1</f>
        <v/>
      </c>
      <c r="E2689" s="201">
        <f>MONTH($B2689)</f>
        <v/>
      </c>
      <c r="F2689" s="235">
        <f>($B2689+$C2689+1)/2</f>
        <v/>
      </c>
      <c r="G2689" s="201">
        <f>YEAR($B2689)*12+MONTH($B2689)-1</f>
        <v/>
      </c>
      <c r="H2689" s="207">
        <f>IF(OR(nr_SeasonOn="OFF",$D$2668=0,$E$2668=0),1,12*INDEX(se_block,$D$2668,$E2689)/$E$2668)</f>
        <v/>
      </c>
      <c r="I2689" s="208">
        <f>EXP(SUMPRODUCT((rl_eff&lt;$B2689)*(rl_key=$A$2668)*rl_ln1p))</f>
        <v/>
      </c>
      <c r="J2689" s="208">
        <f>EXP(SUMPRODUCT((rl_eff&lt;=$C2689)*(rl_key=$A$2668)*rl_ln1p))</f>
        <v/>
      </c>
      <c r="K2689" s="201">
        <f>COUNTIFS(rl_key,$A$2668,rl_eff,"&gt;="&amp;$B2689,rl_eff,"&lt;="&amp;$C2689)</f>
        <v/>
      </c>
      <c r="L2689" s="201">
        <f>SUMIFS(rl_daysafter,rl_key,$A$2668,rl_effmonth,$B2689,rl_first,1)</f>
        <v/>
      </c>
      <c r="M2689" s="209">
        <f>IF($K2689=0,0,MIN(1,$L2689/$D2689))</f>
        <v/>
      </c>
      <c r="N2689" s="208">
        <f>IF($K2689=0,$J2689,(1-$M2689)*$I2689+$M2689*$J2689)</f>
        <v/>
      </c>
      <c r="O2689" s="209">
        <f>IF($F2689&lt;$B$2669,$E$2669+$I$2669*($F2689-$A$2669),IF($F2689&lt;$C$2669,$F$2669+$J$2669*($F2689-$B$2669),$G$2669+$K$2669*($F2689-$C$2669)))</f>
        <v/>
      </c>
      <c r="P2689" s="208">
        <f>MIN(1,MAX(0,(nr_MEndPm1-$G2689+0.5)/$C$2668))-MIN(1,MAX(0,(nr_MStartPm1-1-$G2689+0.5)/$C$2668))</f>
        <v/>
      </c>
      <c r="Q2689" s="208">
        <f>MIN(1,MAX(0,(nr_MEndP-$G2689+0.5)/$C$2668))-MIN(1,MAX(0,(nr_MStartP-1-$G2689+0.5)/$C$2668))</f>
        <v/>
      </c>
      <c r="R2689" s="208">
        <f>MIN(1,MAX(0,(nr_MEndP1-$G2689+0.5)/$C$2668))-MIN(1,MAX(0,(nr_MStartP1-1-$G2689+0.5)/$C$2668))</f>
        <v/>
      </c>
      <c r="S2689" s="208">
        <f>IF($L$2668,$N2689*IF($O$2668=1,$O2689/$F$2668,1),"")</f>
        <v/>
      </c>
      <c r="T2689" s="208">
        <f>IF(NOT($L$2668),"",IF($G2689&lt;nr_MStartP,$S2689,$T2677*(1+IF($G2689&lt;nr_MStartP1,$M$2668,$N$2668))))</f>
        <v/>
      </c>
      <c r="U2689" s="208">
        <f>IF($L$2668,$T2689,$N2689)</f>
        <v/>
      </c>
    </row>
    <row r="2690">
      <c r="A2690" s="145" t="n">
        <v>20</v>
      </c>
      <c r="B2690" s="204">
        <f>EDATE($B2689,1)</f>
        <v/>
      </c>
      <c r="C2690" s="205">
        <f>EOMONTH($B2690,0)</f>
        <v/>
      </c>
      <c r="D2690" s="201">
        <f>$C2690-$B2690+1</f>
        <v/>
      </c>
      <c r="E2690" s="201">
        <f>MONTH($B2690)</f>
        <v/>
      </c>
      <c r="F2690" s="235">
        <f>($B2690+$C2690+1)/2</f>
        <v/>
      </c>
      <c r="G2690" s="201">
        <f>YEAR($B2690)*12+MONTH($B2690)-1</f>
        <v/>
      </c>
      <c r="H2690" s="207">
        <f>IF(OR(nr_SeasonOn="OFF",$D$2668=0,$E$2668=0),1,12*INDEX(se_block,$D$2668,$E2690)/$E$2668)</f>
        <v/>
      </c>
      <c r="I2690" s="208">
        <f>EXP(SUMPRODUCT((rl_eff&lt;$B2690)*(rl_key=$A$2668)*rl_ln1p))</f>
        <v/>
      </c>
      <c r="J2690" s="208">
        <f>EXP(SUMPRODUCT((rl_eff&lt;=$C2690)*(rl_key=$A$2668)*rl_ln1p))</f>
        <v/>
      </c>
      <c r="K2690" s="201">
        <f>COUNTIFS(rl_key,$A$2668,rl_eff,"&gt;="&amp;$B2690,rl_eff,"&lt;="&amp;$C2690)</f>
        <v/>
      </c>
      <c r="L2690" s="201">
        <f>SUMIFS(rl_daysafter,rl_key,$A$2668,rl_effmonth,$B2690,rl_first,1)</f>
        <v/>
      </c>
      <c r="M2690" s="209">
        <f>IF($K2690=0,0,MIN(1,$L2690/$D2690))</f>
        <v/>
      </c>
      <c r="N2690" s="208">
        <f>IF($K2690=0,$J2690,(1-$M2690)*$I2690+$M2690*$J2690)</f>
        <v/>
      </c>
      <c r="O2690" s="209">
        <f>IF($F2690&lt;$B$2669,$E$2669+$I$2669*($F2690-$A$2669),IF($F2690&lt;$C$2669,$F$2669+$J$2669*($F2690-$B$2669),$G$2669+$K$2669*($F2690-$C$2669)))</f>
        <v/>
      </c>
      <c r="P2690" s="208">
        <f>MIN(1,MAX(0,(nr_MEndPm1-$G2690+0.5)/$C$2668))-MIN(1,MAX(0,(nr_MStartPm1-1-$G2690+0.5)/$C$2668))</f>
        <v/>
      </c>
      <c r="Q2690" s="208">
        <f>MIN(1,MAX(0,(nr_MEndP-$G2690+0.5)/$C$2668))-MIN(1,MAX(0,(nr_MStartP-1-$G2690+0.5)/$C$2668))</f>
        <v/>
      </c>
      <c r="R2690" s="208">
        <f>MIN(1,MAX(0,(nr_MEndP1-$G2690+0.5)/$C$2668))-MIN(1,MAX(0,(nr_MStartP1-1-$G2690+0.5)/$C$2668))</f>
        <v/>
      </c>
      <c r="S2690" s="208">
        <f>IF($L$2668,$N2690*IF($O$2668=1,$O2690/$F$2668,1),"")</f>
        <v/>
      </c>
      <c r="T2690" s="208">
        <f>IF(NOT($L$2668),"",IF($G2690&lt;nr_MStartP,$S2690,$T2678*(1+IF($G2690&lt;nr_MStartP1,$M$2668,$N$2668))))</f>
        <v/>
      </c>
      <c r="U2690" s="208">
        <f>IF($L$2668,$T2690,$N2690)</f>
        <v/>
      </c>
    </row>
    <row r="2691">
      <c r="A2691" s="145" t="n">
        <v>21</v>
      </c>
      <c r="B2691" s="204">
        <f>EDATE($B2690,1)</f>
        <v/>
      </c>
      <c r="C2691" s="205">
        <f>EOMONTH($B2691,0)</f>
        <v/>
      </c>
      <c r="D2691" s="201">
        <f>$C2691-$B2691+1</f>
        <v/>
      </c>
      <c r="E2691" s="201">
        <f>MONTH($B2691)</f>
        <v/>
      </c>
      <c r="F2691" s="235">
        <f>($B2691+$C2691+1)/2</f>
        <v/>
      </c>
      <c r="G2691" s="201">
        <f>YEAR($B2691)*12+MONTH($B2691)-1</f>
        <v/>
      </c>
      <c r="H2691" s="207">
        <f>IF(OR(nr_SeasonOn="OFF",$D$2668=0,$E$2668=0),1,12*INDEX(se_block,$D$2668,$E2691)/$E$2668)</f>
        <v/>
      </c>
      <c r="I2691" s="208">
        <f>EXP(SUMPRODUCT((rl_eff&lt;$B2691)*(rl_key=$A$2668)*rl_ln1p))</f>
        <v/>
      </c>
      <c r="J2691" s="208">
        <f>EXP(SUMPRODUCT((rl_eff&lt;=$C2691)*(rl_key=$A$2668)*rl_ln1p))</f>
        <v/>
      </c>
      <c r="K2691" s="201">
        <f>COUNTIFS(rl_key,$A$2668,rl_eff,"&gt;="&amp;$B2691,rl_eff,"&lt;="&amp;$C2691)</f>
        <v/>
      </c>
      <c r="L2691" s="201">
        <f>SUMIFS(rl_daysafter,rl_key,$A$2668,rl_effmonth,$B2691,rl_first,1)</f>
        <v/>
      </c>
      <c r="M2691" s="209">
        <f>IF($K2691=0,0,MIN(1,$L2691/$D2691))</f>
        <v/>
      </c>
      <c r="N2691" s="208">
        <f>IF($K2691=0,$J2691,(1-$M2691)*$I2691+$M2691*$J2691)</f>
        <v/>
      </c>
      <c r="O2691" s="209">
        <f>IF($F2691&lt;$B$2669,$E$2669+$I$2669*($F2691-$A$2669),IF($F2691&lt;$C$2669,$F$2669+$J$2669*($F2691-$B$2669),$G$2669+$K$2669*($F2691-$C$2669)))</f>
        <v/>
      </c>
      <c r="P2691" s="208">
        <f>MIN(1,MAX(0,(nr_MEndPm1-$G2691+0.5)/$C$2668))-MIN(1,MAX(0,(nr_MStartPm1-1-$G2691+0.5)/$C$2668))</f>
        <v/>
      </c>
      <c r="Q2691" s="208">
        <f>MIN(1,MAX(0,(nr_MEndP-$G2691+0.5)/$C$2668))-MIN(1,MAX(0,(nr_MStartP-1-$G2691+0.5)/$C$2668))</f>
        <v/>
      </c>
      <c r="R2691" s="208">
        <f>MIN(1,MAX(0,(nr_MEndP1-$G2691+0.5)/$C$2668))-MIN(1,MAX(0,(nr_MStartP1-1-$G2691+0.5)/$C$2668))</f>
        <v/>
      </c>
      <c r="S2691" s="208">
        <f>IF($L$2668,$N2691*IF($O$2668=1,$O2691/$F$2668,1),"")</f>
        <v/>
      </c>
      <c r="T2691" s="208">
        <f>IF(NOT($L$2668),"",IF($G2691&lt;nr_MStartP,$S2691,$T2679*(1+IF($G2691&lt;nr_MStartP1,$M$2668,$N$2668))))</f>
        <v/>
      </c>
      <c r="U2691" s="208">
        <f>IF($L$2668,$T2691,$N2691)</f>
        <v/>
      </c>
    </row>
    <row r="2692">
      <c r="A2692" s="145" t="n">
        <v>22</v>
      </c>
      <c r="B2692" s="204">
        <f>EDATE($B2691,1)</f>
        <v/>
      </c>
      <c r="C2692" s="205">
        <f>EOMONTH($B2692,0)</f>
        <v/>
      </c>
      <c r="D2692" s="201">
        <f>$C2692-$B2692+1</f>
        <v/>
      </c>
      <c r="E2692" s="201">
        <f>MONTH($B2692)</f>
        <v/>
      </c>
      <c r="F2692" s="235">
        <f>($B2692+$C2692+1)/2</f>
        <v/>
      </c>
      <c r="G2692" s="201">
        <f>YEAR($B2692)*12+MONTH($B2692)-1</f>
        <v/>
      </c>
      <c r="H2692" s="207">
        <f>IF(OR(nr_SeasonOn="OFF",$D$2668=0,$E$2668=0),1,12*INDEX(se_block,$D$2668,$E2692)/$E$2668)</f>
        <v/>
      </c>
      <c r="I2692" s="208">
        <f>EXP(SUMPRODUCT((rl_eff&lt;$B2692)*(rl_key=$A$2668)*rl_ln1p))</f>
        <v/>
      </c>
      <c r="J2692" s="208">
        <f>EXP(SUMPRODUCT((rl_eff&lt;=$C2692)*(rl_key=$A$2668)*rl_ln1p))</f>
        <v/>
      </c>
      <c r="K2692" s="201">
        <f>COUNTIFS(rl_key,$A$2668,rl_eff,"&gt;="&amp;$B2692,rl_eff,"&lt;="&amp;$C2692)</f>
        <v/>
      </c>
      <c r="L2692" s="201">
        <f>SUMIFS(rl_daysafter,rl_key,$A$2668,rl_effmonth,$B2692,rl_first,1)</f>
        <v/>
      </c>
      <c r="M2692" s="209">
        <f>IF($K2692=0,0,MIN(1,$L2692/$D2692))</f>
        <v/>
      </c>
      <c r="N2692" s="208">
        <f>IF($K2692=0,$J2692,(1-$M2692)*$I2692+$M2692*$J2692)</f>
        <v/>
      </c>
      <c r="O2692" s="209">
        <f>IF($F2692&lt;$B$2669,$E$2669+$I$2669*($F2692-$A$2669),IF($F2692&lt;$C$2669,$F$2669+$J$2669*($F2692-$B$2669),$G$2669+$K$2669*($F2692-$C$2669)))</f>
        <v/>
      </c>
      <c r="P2692" s="208">
        <f>MIN(1,MAX(0,(nr_MEndPm1-$G2692+0.5)/$C$2668))-MIN(1,MAX(0,(nr_MStartPm1-1-$G2692+0.5)/$C$2668))</f>
        <v/>
      </c>
      <c r="Q2692" s="208">
        <f>MIN(1,MAX(0,(nr_MEndP-$G2692+0.5)/$C$2668))-MIN(1,MAX(0,(nr_MStartP-1-$G2692+0.5)/$C$2668))</f>
        <v/>
      </c>
      <c r="R2692" s="208">
        <f>MIN(1,MAX(0,(nr_MEndP1-$G2692+0.5)/$C$2668))-MIN(1,MAX(0,(nr_MStartP1-1-$G2692+0.5)/$C$2668))</f>
        <v/>
      </c>
      <c r="S2692" s="208">
        <f>IF($L$2668,$N2692*IF($O$2668=1,$O2692/$F$2668,1),"")</f>
        <v/>
      </c>
      <c r="T2692" s="208">
        <f>IF(NOT($L$2668),"",IF($G2692&lt;nr_MStartP,$S2692,$T2680*(1+IF($G2692&lt;nr_MStartP1,$M$2668,$N$2668))))</f>
        <v/>
      </c>
      <c r="U2692" s="208">
        <f>IF($L$2668,$T2692,$N2692)</f>
        <v/>
      </c>
    </row>
    <row r="2693">
      <c r="A2693" s="145" t="n">
        <v>23</v>
      </c>
      <c r="B2693" s="204">
        <f>EDATE($B2692,1)</f>
        <v/>
      </c>
      <c r="C2693" s="205">
        <f>EOMONTH($B2693,0)</f>
        <v/>
      </c>
      <c r="D2693" s="201">
        <f>$C2693-$B2693+1</f>
        <v/>
      </c>
      <c r="E2693" s="201">
        <f>MONTH($B2693)</f>
        <v/>
      </c>
      <c r="F2693" s="235">
        <f>($B2693+$C2693+1)/2</f>
        <v/>
      </c>
      <c r="G2693" s="201">
        <f>YEAR($B2693)*12+MONTH($B2693)-1</f>
        <v/>
      </c>
      <c r="H2693" s="207">
        <f>IF(OR(nr_SeasonOn="OFF",$D$2668=0,$E$2668=0),1,12*INDEX(se_block,$D$2668,$E2693)/$E$2668)</f>
        <v/>
      </c>
      <c r="I2693" s="208">
        <f>EXP(SUMPRODUCT((rl_eff&lt;$B2693)*(rl_key=$A$2668)*rl_ln1p))</f>
        <v/>
      </c>
      <c r="J2693" s="208">
        <f>EXP(SUMPRODUCT((rl_eff&lt;=$C2693)*(rl_key=$A$2668)*rl_ln1p))</f>
        <v/>
      </c>
      <c r="K2693" s="201">
        <f>COUNTIFS(rl_key,$A$2668,rl_eff,"&gt;="&amp;$B2693,rl_eff,"&lt;="&amp;$C2693)</f>
        <v/>
      </c>
      <c r="L2693" s="201">
        <f>SUMIFS(rl_daysafter,rl_key,$A$2668,rl_effmonth,$B2693,rl_first,1)</f>
        <v/>
      </c>
      <c r="M2693" s="209">
        <f>IF($K2693=0,0,MIN(1,$L2693/$D2693))</f>
        <v/>
      </c>
      <c r="N2693" s="208">
        <f>IF($K2693=0,$J2693,(1-$M2693)*$I2693+$M2693*$J2693)</f>
        <v/>
      </c>
      <c r="O2693" s="209">
        <f>IF($F2693&lt;$B$2669,$E$2669+$I$2669*($F2693-$A$2669),IF($F2693&lt;$C$2669,$F$2669+$J$2669*($F2693-$B$2669),$G$2669+$K$2669*($F2693-$C$2669)))</f>
        <v/>
      </c>
      <c r="P2693" s="208">
        <f>MIN(1,MAX(0,(nr_MEndPm1-$G2693+0.5)/$C$2668))-MIN(1,MAX(0,(nr_MStartPm1-1-$G2693+0.5)/$C$2668))</f>
        <v/>
      </c>
      <c r="Q2693" s="208">
        <f>MIN(1,MAX(0,(nr_MEndP-$G2693+0.5)/$C$2668))-MIN(1,MAX(0,(nr_MStartP-1-$G2693+0.5)/$C$2668))</f>
        <v/>
      </c>
      <c r="R2693" s="208">
        <f>MIN(1,MAX(0,(nr_MEndP1-$G2693+0.5)/$C$2668))-MIN(1,MAX(0,(nr_MStartP1-1-$G2693+0.5)/$C$2668))</f>
        <v/>
      </c>
      <c r="S2693" s="208">
        <f>IF($L$2668,$N2693*IF($O$2668=1,$O2693/$F$2668,1),"")</f>
        <v/>
      </c>
      <c r="T2693" s="208">
        <f>IF(NOT($L$2668),"",IF($G2693&lt;nr_MStartP,$S2693,$T2681*(1+IF($G2693&lt;nr_MStartP1,$M$2668,$N$2668))))</f>
        <v/>
      </c>
      <c r="U2693" s="208">
        <f>IF($L$2668,$T2693,$N2693)</f>
        <v/>
      </c>
    </row>
    <row r="2694">
      <c r="A2694" s="145" t="n">
        <v>24</v>
      </c>
      <c r="B2694" s="204">
        <f>EDATE($B2693,1)</f>
        <v/>
      </c>
      <c r="C2694" s="205">
        <f>EOMONTH($B2694,0)</f>
        <v/>
      </c>
      <c r="D2694" s="201">
        <f>$C2694-$B2694+1</f>
        <v/>
      </c>
      <c r="E2694" s="201">
        <f>MONTH($B2694)</f>
        <v/>
      </c>
      <c r="F2694" s="235">
        <f>($B2694+$C2694+1)/2</f>
        <v/>
      </c>
      <c r="G2694" s="201">
        <f>YEAR($B2694)*12+MONTH($B2694)-1</f>
        <v/>
      </c>
      <c r="H2694" s="207">
        <f>IF(OR(nr_SeasonOn="OFF",$D$2668=0,$E$2668=0),1,12*INDEX(se_block,$D$2668,$E2694)/$E$2668)</f>
        <v/>
      </c>
      <c r="I2694" s="208">
        <f>EXP(SUMPRODUCT((rl_eff&lt;$B2694)*(rl_key=$A$2668)*rl_ln1p))</f>
        <v/>
      </c>
      <c r="J2694" s="208">
        <f>EXP(SUMPRODUCT((rl_eff&lt;=$C2694)*(rl_key=$A$2668)*rl_ln1p))</f>
        <v/>
      </c>
      <c r="K2694" s="201">
        <f>COUNTIFS(rl_key,$A$2668,rl_eff,"&gt;="&amp;$B2694,rl_eff,"&lt;="&amp;$C2694)</f>
        <v/>
      </c>
      <c r="L2694" s="201">
        <f>SUMIFS(rl_daysafter,rl_key,$A$2668,rl_effmonth,$B2694,rl_first,1)</f>
        <v/>
      </c>
      <c r="M2694" s="209">
        <f>IF($K2694=0,0,MIN(1,$L2694/$D2694))</f>
        <v/>
      </c>
      <c r="N2694" s="208">
        <f>IF($K2694=0,$J2694,(1-$M2694)*$I2694+$M2694*$J2694)</f>
        <v/>
      </c>
      <c r="O2694" s="209">
        <f>IF($F2694&lt;$B$2669,$E$2669+$I$2669*($F2694-$A$2669),IF($F2694&lt;$C$2669,$F$2669+$J$2669*($F2694-$B$2669),$G$2669+$K$2669*($F2694-$C$2669)))</f>
        <v/>
      </c>
      <c r="P2694" s="208">
        <f>MIN(1,MAX(0,(nr_MEndPm1-$G2694+0.5)/$C$2668))-MIN(1,MAX(0,(nr_MStartPm1-1-$G2694+0.5)/$C$2668))</f>
        <v/>
      </c>
      <c r="Q2694" s="208">
        <f>MIN(1,MAX(0,(nr_MEndP-$G2694+0.5)/$C$2668))-MIN(1,MAX(0,(nr_MStartP-1-$G2694+0.5)/$C$2668))</f>
        <v/>
      </c>
      <c r="R2694" s="208">
        <f>MIN(1,MAX(0,(nr_MEndP1-$G2694+0.5)/$C$2668))-MIN(1,MAX(0,(nr_MStartP1-1-$G2694+0.5)/$C$2668))</f>
        <v/>
      </c>
      <c r="S2694" s="208">
        <f>IF($L$2668,$N2694*IF($O$2668=1,$O2694/$F$2668,1),"")</f>
        <v/>
      </c>
      <c r="T2694" s="208">
        <f>IF(NOT($L$2668),"",IF($G2694&lt;nr_MStartP,$S2694,$T2682*(1+IF($G2694&lt;nr_MStartP1,$M$2668,$N$2668))))</f>
        <v/>
      </c>
      <c r="U2694" s="208">
        <f>IF($L$2668,$T2694,$N2694)</f>
        <v/>
      </c>
    </row>
    <row r="2695">
      <c r="A2695" s="145" t="n">
        <v>25</v>
      </c>
      <c r="B2695" s="204">
        <f>EDATE($B2694,1)</f>
        <v/>
      </c>
      <c r="C2695" s="205">
        <f>EOMONTH($B2695,0)</f>
        <v/>
      </c>
      <c r="D2695" s="201">
        <f>$C2695-$B2695+1</f>
        <v/>
      </c>
      <c r="E2695" s="201">
        <f>MONTH($B2695)</f>
        <v/>
      </c>
      <c r="F2695" s="235">
        <f>($B2695+$C2695+1)/2</f>
        <v/>
      </c>
      <c r="G2695" s="201">
        <f>YEAR($B2695)*12+MONTH($B2695)-1</f>
        <v/>
      </c>
      <c r="H2695" s="207">
        <f>IF(OR(nr_SeasonOn="OFF",$D$2668=0,$E$2668=0),1,12*INDEX(se_block,$D$2668,$E2695)/$E$2668)</f>
        <v/>
      </c>
      <c r="I2695" s="208">
        <f>EXP(SUMPRODUCT((rl_eff&lt;$B2695)*(rl_key=$A$2668)*rl_ln1p))</f>
        <v/>
      </c>
      <c r="J2695" s="208">
        <f>EXP(SUMPRODUCT((rl_eff&lt;=$C2695)*(rl_key=$A$2668)*rl_ln1p))</f>
        <v/>
      </c>
      <c r="K2695" s="201">
        <f>COUNTIFS(rl_key,$A$2668,rl_eff,"&gt;="&amp;$B2695,rl_eff,"&lt;="&amp;$C2695)</f>
        <v/>
      </c>
      <c r="L2695" s="201">
        <f>SUMIFS(rl_daysafter,rl_key,$A$2668,rl_effmonth,$B2695,rl_first,1)</f>
        <v/>
      </c>
      <c r="M2695" s="209">
        <f>IF($K2695=0,0,MIN(1,$L2695/$D2695))</f>
        <v/>
      </c>
      <c r="N2695" s="208">
        <f>IF($K2695=0,$J2695,(1-$M2695)*$I2695+$M2695*$J2695)</f>
        <v/>
      </c>
      <c r="O2695" s="209">
        <f>IF($F2695&lt;$B$2669,$E$2669+$I$2669*($F2695-$A$2669),IF($F2695&lt;$C$2669,$F$2669+$J$2669*($F2695-$B$2669),$G$2669+$K$2669*($F2695-$C$2669)))</f>
        <v/>
      </c>
      <c r="P2695" s="208">
        <f>MIN(1,MAX(0,(nr_MEndPm1-$G2695+0.5)/$C$2668))-MIN(1,MAX(0,(nr_MStartPm1-1-$G2695+0.5)/$C$2668))</f>
        <v/>
      </c>
      <c r="Q2695" s="208">
        <f>MIN(1,MAX(0,(nr_MEndP-$G2695+0.5)/$C$2668))-MIN(1,MAX(0,(nr_MStartP-1-$G2695+0.5)/$C$2668))</f>
        <v/>
      </c>
      <c r="R2695" s="208">
        <f>MIN(1,MAX(0,(nr_MEndP1-$G2695+0.5)/$C$2668))-MIN(1,MAX(0,(nr_MStartP1-1-$G2695+0.5)/$C$2668))</f>
        <v/>
      </c>
      <c r="S2695" s="208">
        <f>IF($L$2668,$N2695*IF($O$2668=1,$O2695/$F$2668,1),"")</f>
        <v/>
      </c>
      <c r="T2695" s="208">
        <f>IF(NOT($L$2668),"",IF($G2695&lt;nr_MStartP,$S2695,$T2683*(1+IF($G2695&lt;nr_MStartP1,$M$2668,$N$2668))))</f>
        <v/>
      </c>
      <c r="U2695" s="208">
        <f>IF($L$2668,$T2695,$N2695)</f>
        <v/>
      </c>
    </row>
    <row r="2696">
      <c r="A2696" s="145" t="n">
        <v>26</v>
      </c>
      <c r="B2696" s="204">
        <f>EDATE($B2695,1)</f>
        <v/>
      </c>
      <c r="C2696" s="205">
        <f>EOMONTH($B2696,0)</f>
        <v/>
      </c>
      <c r="D2696" s="201">
        <f>$C2696-$B2696+1</f>
        <v/>
      </c>
      <c r="E2696" s="201">
        <f>MONTH($B2696)</f>
        <v/>
      </c>
      <c r="F2696" s="235">
        <f>($B2696+$C2696+1)/2</f>
        <v/>
      </c>
      <c r="G2696" s="201">
        <f>YEAR($B2696)*12+MONTH($B2696)-1</f>
        <v/>
      </c>
      <c r="H2696" s="207">
        <f>IF(OR(nr_SeasonOn="OFF",$D$2668=0,$E$2668=0),1,12*INDEX(se_block,$D$2668,$E2696)/$E$2668)</f>
        <v/>
      </c>
      <c r="I2696" s="208">
        <f>EXP(SUMPRODUCT((rl_eff&lt;$B2696)*(rl_key=$A$2668)*rl_ln1p))</f>
        <v/>
      </c>
      <c r="J2696" s="208">
        <f>EXP(SUMPRODUCT((rl_eff&lt;=$C2696)*(rl_key=$A$2668)*rl_ln1p))</f>
        <v/>
      </c>
      <c r="K2696" s="201">
        <f>COUNTIFS(rl_key,$A$2668,rl_eff,"&gt;="&amp;$B2696,rl_eff,"&lt;="&amp;$C2696)</f>
        <v/>
      </c>
      <c r="L2696" s="201">
        <f>SUMIFS(rl_daysafter,rl_key,$A$2668,rl_effmonth,$B2696,rl_first,1)</f>
        <v/>
      </c>
      <c r="M2696" s="209">
        <f>IF($K2696=0,0,MIN(1,$L2696/$D2696))</f>
        <v/>
      </c>
      <c r="N2696" s="208">
        <f>IF($K2696=0,$J2696,(1-$M2696)*$I2696+$M2696*$J2696)</f>
        <v/>
      </c>
      <c r="O2696" s="209">
        <f>IF($F2696&lt;$B$2669,$E$2669+$I$2669*($F2696-$A$2669),IF($F2696&lt;$C$2669,$F$2669+$J$2669*($F2696-$B$2669),$G$2669+$K$2669*($F2696-$C$2669)))</f>
        <v/>
      </c>
      <c r="P2696" s="208">
        <f>MIN(1,MAX(0,(nr_MEndPm1-$G2696+0.5)/$C$2668))-MIN(1,MAX(0,(nr_MStartPm1-1-$G2696+0.5)/$C$2668))</f>
        <v/>
      </c>
      <c r="Q2696" s="208">
        <f>MIN(1,MAX(0,(nr_MEndP-$G2696+0.5)/$C$2668))-MIN(1,MAX(0,(nr_MStartP-1-$G2696+0.5)/$C$2668))</f>
        <v/>
      </c>
      <c r="R2696" s="208">
        <f>MIN(1,MAX(0,(nr_MEndP1-$G2696+0.5)/$C$2668))-MIN(1,MAX(0,(nr_MStartP1-1-$G2696+0.5)/$C$2668))</f>
        <v/>
      </c>
      <c r="S2696" s="208">
        <f>IF($L$2668,$N2696*IF($O$2668=1,$O2696/$F$2668,1),"")</f>
        <v/>
      </c>
      <c r="T2696" s="208">
        <f>IF(NOT($L$2668),"",IF($G2696&lt;nr_MStartP,$S2696,$T2684*(1+IF($G2696&lt;nr_MStartP1,$M$2668,$N$2668))))</f>
        <v/>
      </c>
      <c r="U2696" s="208">
        <f>IF($L$2668,$T2696,$N2696)</f>
        <v/>
      </c>
    </row>
    <row r="2697">
      <c r="A2697" s="145" t="n">
        <v>27</v>
      </c>
      <c r="B2697" s="204">
        <f>EDATE($B2696,1)</f>
        <v/>
      </c>
      <c r="C2697" s="205">
        <f>EOMONTH($B2697,0)</f>
        <v/>
      </c>
      <c r="D2697" s="201">
        <f>$C2697-$B2697+1</f>
        <v/>
      </c>
      <c r="E2697" s="201">
        <f>MONTH($B2697)</f>
        <v/>
      </c>
      <c r="F2697" s="235">
        <f>($B2697+$C2697+1)/2</f>
        <v/>
      </c>
      <c r="G2697" s="201">
        <f>YEAR($B2697)*12+MONTH($B2697)-1</f>
        <v/>
      </c>
      <c r="H2697" s="207">
        <f>IF(OR(nr_SeasonOn="OFF",$D$2668=0,$E$2668=0),1,12*INDEX(se_block,$D$2668,$E2697)/$E$2668)</f>
        <v/>
      </c>
      <c r="I2697" s="208">
        <f>EXP(SUMPRODUCT((rl_eff&lt;$B2697)*(rl_key=$A$2668)*rl_ln1p))</f>
        <v/>
      </c>
      <c r="J2697" s="208">
        <f>EXP(SUMPRODUCT((rl_eff&lt;=$C2697)*(rl_key=$A$2668)*rl_ln1p))</f>
        <v/>
      </c>
      <c r="K2697" s="201">
        <f>COUNTIFS(rl_key,$A$2668,rl_eff,"&gt;="&amp;$B2697,rl_eff,"&lt;="&amp;$C2697)</f>
        <v/>
      </c>
      <c r="L2697" s="201">
        <f>SUMIFS(rl_daysafter,rl_key,$A$2668,rl_effmonth,$B2697,rl_first,1)</f>
        <v/>
      </c>
      <c r="M2697" s="209">
        <f>IF($K2697=0,0,MIN(1,$L2697/$D2697))</f>
        <v/>
      </c>
      <c r="N2697" s="208">
        <f>IF($K2697=0,$J2697,(1-$M2697)*$I2697+$M2697*$J2697)</f>
        <v/>
      </c>
      <c r="O2697" s="209">
        <f>IF($F2697&lt;$B$2669,$E$2669+$I$2669*($F2697-$A$2669),IF($F2697&lt;$C$2669,$F$2669+$J$2669*($F2697-$B$2669),$G$2669+$K$2669*($F2697-$C$2669)))</f>
        <v/>
      </c>
      <c r="P2697" s="208">
        <f>MIN(1,MAX(0,(nr_MEndPm1-$G2697+0.5)/$C$2668))-MIN(1,MAX(0,(nr_MStartPm1-1-$G2697+0.5)/$C$2668))</f>
        <v/>
      </c>
      <c r="Q2697" s="208">
        <f>MIN(1,MAX(0,(nr_MEndP-$G2697+0.5)/$C$2668))-MIN(1,MAX(0,(nr_MStartP-1-$G2697+0.5)/$C$2668))</f>
        <v/>
      </c>
      <c r="R2697" s="208">
        <f>MIN(1,MAX(0,(nr_MEndP1-$G2697+0.5)/$C$2668))-MIN(1,MAX(0,(nr_MStartP1-1-$G2697+0.5)/$C$2668))</f>
        <v/>
      </c>
      <c r="S2697" s="208">
        <f>IF($L$2668,$N2697*IF($O$2668=1,$O2697/$F$2668,1),"")</f>
        <v/>
      </c>
      <c r="T2697" s="208">
        <f>IF(NOT($L$2668),"",IF($G2697&lt;nr_MStartP,$S2697,$T2685*(1+IF($G2697&lt;nr_MStartP1,$M$2668,$N$2668))))</f>
        <v/>
      </c>
      <c r="U2697" s="208">
        <f>IF($L$2668,$T2697,$N2697)</f>
        <v/>
      </c>
    </row>
    <row r="2698">
      <c r="A2698" s="145" t="n">
        <v>28</v>
      </c>
      <c r="B2698" s="204">
        <f>EDATE($B2697,1)</f>
        <v/>
      </c>
      <c r="C2698" s="205">
        <f>EOMONTH($B2698,0)</f>
        <v/>
      </c>
      <c r="D2698" s="201">
        <f>$C2698-$B2698+1</f>
        <v/>
      </c>
      <c r="E2698" s="201">
        <f>MONTH($B2698)</f>
        <v/>
      </c>
      <c r="F2698" s="235">
        <f>($B2698+$C2698+1)/2</f>
        <v/>
      </c>
      <c r="G2698" s="201">
        <f>YEAR($B2698)*12+MONTH($B2698)-1</f>
        <v/>
      </c>
      <c r="H2698" s="207">
        <f>IF(OR(nr_SeasonOn="OFF",$D$2668=0,$E$2668=0),1,12*INDEX(se_block,$D$2668,$E2698)/$E$2668)</f>
        <v/>
      </c>
      <c r="I2698" s="208">
        <f>EXP(SUMPRODUCT((rl_eff&lt;$B2698)*(rl_key=$A$2668)*rl_ln1p))</f>
        <v/>
      </c>
      <c r="J2698" s="208">
        <f>EXP(SUMPRODUCT((rl_eff&lt;=$C2698)*(rl_key=$A$2668)*rl_ln1p))</f>
        <v/>
      </c>
      <c r="K2698" s="201">
        <f>COUNTIFS(rl_key,$A$2668,rl_eff,"&gt;="&amp;$B2698,rl_eff,"&lt;="&amp;$C2698)</f>
        <v/>
      </c>
      <c r="L2698" s="201">
        <f>SUMIFS(rl_daysafter,rl_key,$A$2668,rl_effmonth,$B2698,rl_first,1)</f>
        <v/>
      </c>
      <c r="M2698" s="209">
        <f>IF($K2698=0,0,MIN(1,$L2698/$D2698))</f>
        <v/>
      </c>
      <c r="N2698" s="208">
        <f>IF($K2698=0,$J2698,(1-$M2698)*$I2698+$M2698*$J2698)</f>
        <v/>
      </c>
      <c r="O2698" s="209">
        <f>IF($F2698&lt;$B$2669,$E$2669+$I$2669*($F2698-$A$2669),IF($F2698&lt;$C$2669,$F$2669+$J$2669*($F2698-$B$2669),$G$2669+$K$2669*($F2698-$C$2669)))</f>
        <v/>
      </c>
      <c r="P2698" s="208">
        <f>MIN(1,MAX(0,(nr_MEndPm1-$G2698+0.5)/$C$2668))-MIN(1,MAX(0,(nr_MStartPm1-1-$G2698+0.5)/$C$2668))</f>
        <v/>
      </c>
      <c r="Q2698" s="208">
        <f>MIN(1,MAX(0,(nr_MEndP-$G2698+0.5)/$C$2668))-MIN(1,MAX(0,(nr_MStartP-1-$G2698+0.5)/$C$2668))</f>
        <v/>
      </c>
      <c r="R2698" s="208">
        <f>MIN(1,MAX(0,(nr_MEndP1-$G2698+0.5)/$C$2668))-MIN(1,MAX(0,(nr_MStartP1-1-$G2698+0.5)/$C$2668))</f>
        <v/>
      </c>
      <c r="S2698" s="208">
        <f>IF($L$2668,$N2698*IF($O$2668=1,$O2698/$F$2668,1),"")</f>
        <v/>
      </c>
      <c r="T2698" s="208">
        <f>IF(NOT($L$2668),"",IF($G2698&lt;nr_MStartP,$S2698,$T2686*(1+IF($G2698&lt;nr_MStartP1,$M$2668,$N$2668))))</f>
        <v/>
      </c>
      <c r="U2698" s="208">
        <f>IF($L$2668,$T2698,$N2698)</f>
        <v/>
      </c>
    </row>
    <row r="2699">
      <c r="A2699" s="145" t="n">
        <v>29</v>
      </c>
      <c r="B2699" s="204">
        <f>EDATE($B2698,1)</f>
        <v/>
      </c>
      <c r="C2699" s="205">
        <f>EOMONTH($B2699,0)</f>
        <v/>
      </c>
      <c r="D2699" s="201">
        <f>$C2699-$B2699+1</f>
        <v/>
      </c>
      <c r="E2699" s="201">
        <f>MONTH($B2699)</f>
        <v/>
      </c>
      <c r="F2699" s="235">
        <f>($B2699+$C2699+1)/2</f>
        <v/>
      </c>
      <c r="G2699" s="201">
        <f>YEAR($B2699)*12+MONTH($B2699)-1</f>
        <v/>
      </c>
      <c r="H2699" s="207">
        <f>IF(OR(nr_SeasonOn="OFF",$D$2668=0,$E$2668=0),1,12*INDEX(se_block,$D$2668,$E2699)/$E$2668)</f>
        <v/>
      </c>
      <c r="I2699" s="208">
        <f>EXP(SUMPRODUCT((rl_eff&lt;$B2699)*(rl_key=$A$2668)*rl_ln1p))</f>
        <v/>
      </c>
      <c r="J2699" s="208">
        <f>EXP(SUMPRODUCT((rl_eff&lt;=$C2699)*(rl_key=$A$2668)*rl_ln1p))</f>
        <v/>
      </c>
      <c r="K2699" s="201">
        <f>COUNTIFS(rl_key,$A$2668,rl_eff,"&gt;="&amp;$B2699,rl_eff,"&lt;="&amp;$C2699)</f>
        <v/>
      </c>
      <c r="L2699" s="201">
        <f>SUMIFS(rl_daysafter,rl_key,$A$2668,rl_effmonth,$B2699,rl_first,1)</f>
        <v/>
      </c>
      <c r="M2699" s="209">
        <f>IF($K2699=0,0,MIN(1,$L2699/$D2699))</f>
        <v/>
      </c>
      <c r="N2699" s="208">
        <f>IF($K2699=0,$J2699,(1-$M2699)*$I2699+$M2699*$J2699)</f>
        <v/>
      </c>
      <c r="O2699" s="209">
        <f>IF($F2699&lt;$B$2669,$E$2669+$I$2669*($F2699-$A$2669),IF($F2699&lt;$C$2669,$F$2669+$J$2669*($F2699-$B$2669),$G$2669+$K$2669*($F2699-$C$2669)))</f>
        <v/>
      </c>
      <c r="P2699" s="208">
        <f>MIN(1,MAX(0,(nr_MEndPm1-$G2699+0.5)/$C$2668))-MIN(1,MAX(0,(nr_MStartPm1-1-$G2699+0.5)/$C$2668))</f>
        <v/>
      </c>
      <c r="Q2699" s="208">
        <f>MIN(1,MAX(0,(nr_MEndP-$G2699+0.5)/$C$2668))-MIN(1,MAX(0,(nr_MStartP-1-$G2699+0.5)/$C$2668))</f>
        <v/>
      </c>
      <c r="R2699" s="208">
        <f>MIN(1,MAX(0,(nr_MEndP1-$G2699+0.5)/$C$2668))-MIN(1,MAX(0,(nr_MStartP1-1-$G2699+0.5)/$C$2668))</f>
        <v/>
      </c>
      <c r="S2699" s="208">
        <f>IF($L$2668,$N2699*IF($O$2668=1,$O2699/$F$2668,1),"")</f>
        <v/>
      </c>
      <c r="T2699" s="208">
        <f>IF(NOT($L$2668),"",IF($G2699&lt;nr_MStartP,$S2699,$T2687*(1+IF($G2699&lt;nr_MStartP1,$M$2668,$N$2668))))</f>
        <v/>
      </c>
      <c r="U2699" s="208">
        <f>IF($L$2668,$T2699,$N2699)</f>
        <v/>
      </c>
    </row>
    <row r="2700">
      <c r="A2700" s="145" t="n">
        <v>30</v>
      </c>
      <c r="B2700" s="204">
        <f>EDATE($B2699,1)</f>
        <v/>
      </c>
      <c r="C2700" s="205">
        <f>EOMONTH($B2700,0)</f>
        <v/>
      </c>
      <c r="D2700" s="201">
        <f>$C2700-$B2700+1</f>
        <v/>
      </c>
      <c r="E2700" s="201">
        <f>MONTH($B2700)</f>
        <v/>
      </c>
      <c r="F2700" s="235">
        <f>($B2700+$C2700+1)/2</f>
        <v/>
      </c>
      <c r="G2700" s="201">
        <f>YEAR($B2700)*12+MONTH($B2700)-1</f>
        <v/>
      </c>
      <c r="H2700" s="207">
        <f>IF(OR(nr_SeasonOn="OFF",$D$2668=0,$E$2668=0),1,12*INDEX(se_block,$D$2668,$E2700)/$E$2668)</f>
        <v/>
      </c>
      <c r="I2700" s="208">
        <f>EXP(SUMPRODUCT((rl_eff&lt;$B2700)*(rl_key=$A$2668)*rl_ln1p))</f>
        <v/>
      </c>
      <c r="J2700" s="208">
        <f>EXP(SUMPRODUCT((rl_eff&lt;=$C2700)*(rl_key=$A$2668)*rl_ln1p))</f>
        <v/>
      </c>
      <c r="K2700" s="201">
        <f>COUNTIFS(rl_key,$A$2668,rl_eff,"&gt;="&amp;$B2700,rl_eff,"&lt;="&amp;$C2700)</f>
        <v/>
      </c>
      <c r="L2700" s="201">
        <f>SUMIFS(rl_daysafter,rl_key,$A$2668,rl_effmonth,$B2700,rl_first,1)</f>
        <v/>
      </c>
      <c r="M2700" s="209">
        <f>IF($K2700=0,0,MIN(1,$L2700/$D2700))</f>
        <v/>
      </c>
      <c r="N2700" s="208">
        <f>IF($K2700=0,$J2700,(1-$M2700)*$I2700+$M2700*$J2700)</f>
        <v/>
      </c>
      <c r="O2700" s="209">
        <f>IF($F2700&lt;$B$2669,$E$2669+$I$2669*($F2700-$A$2669),IF($F2700&lt;$C$2669,$F$2669+$J$2669*($F2700-$B$2669),$G$2669+$K$2669*($F2700-$C$2669)))</f>
        <v/>
      </c>
      <c r="P2700" s="208">
        <f>MIN(1,MAX(0,(nr_MEndPm1-$G2700+0.5)/$C$2668))-MIN(1,MAX(0,(nr_MStartPm1-1-$G2700+0.5)/$C$2668))</f>
        <v/>
      </c>
      <c r="Q2700" s="208">
        <f>MIN(1,MAX(0,(nr_MEndP-$G2700+0.5)/$C$2668))-MIN(1,MAX(0,(nr_MStartP-1-$G2700+0.5)/$C$2668))</f>
        <v/>
      </c>
      <c r="R2700" s="208">
        <f>MIN(1,MAX(0,(nr_MEndP1-$G2700+0.5)/$C$2668))-MIN(1,MAX(0,(nr_MStartP1-1-$G2700+0.5)/$C$2668))</f>
        <v/>
      </c>
      <c r="S2700" s="208">
        <f>IF($L$2668,$N2700*IF($O$2668=1,$O2700/$F$2668,1),"")</f>
        <v/>
      </c>
      <c r="T2700" s="208">
        <f>IF(NOT($L$2668),"",IF($G2700&lt;nr_MStartP,$S2700,$T2688*(1+IF($G2700&lt;nr_MStartP1,$M$2668,$N$2668))))</f>
        <v/>
      </c>
      <c r="U2700" s="208">
        <f>IF($L$2668,$T2700,$N2700)</f>
        <v/>
      </c>
    </row>
    <row r="2701">
      <c r="A2701" s="145" t="n">
        <v>31</v>
      </c>
      <c r="B2701" s="204">
        <f>EDATE($B2700,1)</f>
        <v/>
      </c>
      <c r="C2701" s="205">
        <f>EOMONTH($B2701,0)</f>
        <v/>
      </c>
      <c r="D2701" s="201">
        <f>$C2701-$B2701+1</f>
        <v/>
      </c>
      <c r="E2701" s="201">
        <f>MONTH($B2701)</f>
        <v/>
      </c>
      <c r="F2701" s="235">
        <f>($B2701+$C2701+1)/2</f>
        <v/>
      </c>
      <c r="G2701" s="201">
        <f>YEAR($B2701)*12+MONTH($B2701)-1</f>
        <v/>
      </c>
      <c r="H2701" s="207">
        <f>IF(OR(nr_SeasonOn="OFF",$D$2668=0,$E$2668=0),1,12*INDEX(se_block,$D$2668,$E2701)/$E$2668)</f>
        <v/>
      </c>
      <c r="I2701" s="208">
        <f>EXP(SUMPRODUCT((rl_eff&lt;$B2701)*(rl_key=$A$2668)*rl_ln1p))</f>
        <v/>
      </c>
      <c r="J2701" s="208">
        <f>EXP(SUMPRODUCT((rl_eff&lt;=$C2701)*(rl_key=$A$2668)*rl_ln1p))</f>
        <v/>
      </c>
      <c r="K2701" s="201">
        <f>COUNTIFS(rl_key,$A$2668,rl_eff,"&gt;="&amp;$B2701,rl_eff,"&lt;="&amp;$C2701)</f>
        <v/>
      </c>
      <c r="L2701" s="201">
        <f>SUMIFS(rl_daysafter,rl_key,$A$2668,rl_effmonth,$B2701,rl_first,1)</f>
        <v/>
      </c>
      <c r="M2701" s="209">
        <f>IF($K2701=0,0,MIN(1,$L2701/$D2701))</f>
        <v/>
      </c>
      <c r="N2701" s="208">
        <f>IF($K2701=0,$J2701,(1-$M2701)*$I2701+$M2701*$J2701)</f>
        <v/>
      </c>
      <c r="O2701" s="209">
        <f>IF($F2701&lt;$B$2669,$E$2669+$I$2669*($F2701-$A$2669),IF($F2701&lt;$C$2669,$F$2669+$J$2669*($F2701-$B$2669),$G$2669+$K$2669*($F2701-$C$2669)))</f>
        <v/>
      </c>
      <c r="P2701" s="208">
        <f>MIN(1,MAX(0,(nr_MEndPm1-$G2701+0.5)/$C$2668))-MIN(1,MAX(0,(nr_MStartPm1-1-$G2701+0.5)/$C$2668))</f>
        <v/>
      </c>
      <c r="Q2701" s="208">
        <f>MIN(1,MAX(0,(nr_MEndP-$G2701+0.5)/$C$2668))-MIN(1,MAX(0,(nr_MStartP-1-$G2701+0.5)/$C$2668))</f>
        <v/>
      </c>
      <c r="R2701" s="208">
        <f>MIN(1,MAX(0,(nr_MEndP1-$G2701+0.5)/$C$2668))-MIN(1,MAX(0,(nr_MStartP1-1-$G2701+0.5)/$C$2668))</f>
        <v/>
      </c>
      <c r="S2701" s="208">
        <f>IF($L$2668,$N2701*IF($O$2668=1,$O2701/$F$2668,1),"")</f>
        <v/>
      </c>
      <c r="T2701" s="208">
        <f>IF(NOT($L$2668),"",IF($G2701&lt;nr_MStartP,$S2701,$T2689*(1+IF($G2701&lt;nr_MStartP1,$M$2668,$N$2668))))</f>
        <v/>
      </c>
      <c r="U2701" s="208">
        <f>IF($L$2668,$T2701,$N2701)</f>
        <v/>
      </c>
    </row>
    <row r="2702">
      <c r="A2702" s="145" t="n">
        <v>32</v>
      </c>
      <c r="B2702" s="204">
        <f>EDATE($B2701,1)</f>
        <v/>
      </c>
      <c r="C2702" s="205">
        <f>EOMONTH($B2702,0)</f>
        <v/>
      </c>
      <c r="D2702" s="201">
        <f>$C2702-$B2702+1</f>
        <v/>
      </c>
      <c r="E2702" s="201">
        <f>MONTH($B2702)</f>
        <v/>
      </c>
      <c r="F2702" s="235">
        <f>($B2702+$C2702+1)/2</f>
        <v/>
      </c>
      <c r="G2702" s="201">
        <f>YEAR($B2702)*12+MONTH($B2702)-1</f>
        <v/>
      </c>
      <c r="H2702" s="207">
        <f>IF(OR(nr_SeasonOn="OFF",$D$2668=0,$E$2668=0),1,12*INDEX(se_block,$D$2668,$E2702)/$E$2668)</f>
        <v/>
      </c>
      <c r="I2702" s="208">
        <f>EXP(SUMPRODUCT((rl_eff&lt;$B2702)*(rl_key=$A$2668)*rl_ln1p))</f>
        <v/>
      </c>
      <c r="J2702" s="208">
        <f>EXP(SUMPRODUCT((rl_eff&lt;=$C2702)*(rl_key=$A$2668)*rl_ln1p))</f>
        <v/>
      </c>
      <c r="K2702" s="201">
        <f>COUNTIFS(rl_key,$A$2668,rl_eff,"&gt;="&amp;$B2702,rl_eff,"&lt;="&amp;$C2702)</f>
        <v/>
      </c>
      <c r="L2702" s="201">
        <f>SUMIFS(rl_daysafter,rl_key,$A$2668,rl_effmonth,$B2702,rl_first,1)</f>
        <v/>
      </c>
      <c r="M2702" s="209">
        <f>IF($K2702=0,0,MIN(1,$L2702/$D2702))</f>
        <v/>
      </c>
      <c r="N2702" s="208">
        <f>IF($K2702=0,$J2702,(1-$M2702)*$I2702+$M2702*$J2702)</f>
        <v/>
      </c>
      <c r="O2702" s="209">
        <f>IF($F2702&lt;$B$2669,$E$2669+$I$2669*($F2702-$A$2669),IF($F2702&lt;$C$2669,$F$2669+$J$2669*($F2702-$B$2669),$G$2669+$K$2669*($F2702-$C$2669)))</f>
        <v/>
      </c>
      <c r="P2702" s="208">
        <f>MIN(1,MAX(0,(nr_MEndPm1-$G2702+0.5)/$C$2668))-MIN(1,MAX(0,(nr_MStartPm1-1-$G2702+0.5)/$C$2668))</f>
        <v/>
      </c>
      <c r="Q2702" s="208">
        <f>MIN(1,MAX(0,(nr_MEndP-$G2702+0.5)/$C$2668))-MIN(1,MAX(0,(nr_MStartP-1-$G2702+0.5)/$C$2668))</f>
        <v/>
      </c>
      <c r="R2702" s="208">
        <f>MIN(1,MAX(0,(nr_MEndP1-$G2702+0.5)/$C$2668))-MIN(1,MAX(0,(nr_MStartP1-1-$G2702+0.5)/$C$2668))</f>
        <v/>
      </c>
      <c r="S2702" s="208">
        <f>IF($L$2668,$N2702*IF($O$2668=1,$O2702/$F$2668,1),"")</f>
        <v/>
      </c>
      <c r="T2702" s="208">
        <f>IF(NOT($L$2668),"",IF($G2702&lt;nr_MStartP,$S2702,$T2690*(1+IF($G2702&lt;nr_MStartP1,$M$2668,$N$2668))))</f>
        <v/>
      </c>
      <c r="U2702" s="208">
        <f>IF($L$2668,$T2702,$N2702)</f>
        <v/>
      </c>
    </row>
    <row r="2703">
      <c r="A2703" s="145" t="n">
        <v>33</v>
      </c>
      <c r="B2703" s="204">
        <f>EDATE($B2702,1)</f>
        <v/>
      </c>
      <c r="C2703" s="205">
        <f>EOMONTH($B2703,0)</f>
        <v/>
      </c>
      <c r="D2703" s="201">
        <f>$C2703-$B2703+1</f>
        <v/>
      </c>
      <c r="E2703" s="201">
        <f>MONTH($B2703)</f>
        <v/>
      </c>
      <c r="F2703" s="235">
        <f>($B2703+$C2703+1)/2</f>
        <v/>
      </c>
      <c r="G2703" s="201">
        <f>YEAR($B2703)*12+MONTH($B2703)-1</f>
        <v/>
      </c>
      <c r="H2703" s="207">
        <f>IF(OR(nr_SeasonOn="OFF",$D$2668=0,$E$2668=0),1,12*INDEX(se_block,$D$2668,$E2703)/$E$2668)</f>
        <v/>
      </c>
      <c r="I2703" s="208">
        <f>EXP(SUMPRODUCT((rl_eff&lt;$B2703)*(rl_key=$A$2668)*rl_ln1p))</f>
        <v/>
      </c>
      <c r="J2703" s="208">
        <f>EXP(SUMPRODUCT((rl_eff&lt;=$C2703)*(rl_key=$A$2668)*rl_ln1p))</f>
        <v/>
      </c>
      <c r="K2703" s="201">
        <f>COUNTIFS(rl_key,$A$2668,rl_eff,"&gt;="&amp;$B2703,rl_eff,"&lt;="&amp;$C2703)</f>
        <v/>
      </c>
      <c r="L2703" s="201">
        <f>SUMIFS(rl_daysafter,rl_key,$A$2668,rl_effmonth,$B2703,rl_first,1)</f>
        <v/>
      </c>
      <c r="M2703" s="209">
        <f>IF($K2703=0,0,MIN(1,$L2703/$D2703))</f>
        <v/>
      </c>
      <c r="N2703" s="208">
        <f>IF($K2703=0,$J2703,(1-$M2703)*$I2703+$M2703*$J2703)</f>
        <v/>
      </c>
      <c r="O2703" s="209">
        <f>IF($F2703&lt;$B$2669,$E$2669+$I$2669*($F2703-$A$2669),IF($F2703&lt;$C$2669,$F$2669+$J$2669*($F2703-$B$2669),$G$2669+$K$2669*($F2703-$C$2669)))</f>
        <v/>
      </c>
      <c r="P2703" s="208">
        <f>MIN(1,MAX(0,(nr_MEndPm1-$G2703+0.5)/$C$2668))-MIN(1,MAX(0,(nr_MStartPm1-1-$G2703+0.5)/$C$2668))</f>
        <v/>
      </c>
      <c r="Q2703" s="208">
        <f>MIN(1,MAX(0,(nr_MEndP-$G2703+0.5)/$C$2668))-MIN(1,MAX(0,(nr_MStartP-1-$G2703+0.5)/$C$2668))</f>
        <v/>
      </c>
      <c r="R2703" s="208">
        <f>MIN(1,MAX(0,(nr_MEndP1-$G2703+0.5)/$C$2668))-MIN(1,MAX(0,(nr_MStartP1-1-$G2703+0.5)/$C$2668))</f>
        <v/>
      </c>
      <c r="S2703" s="208">
        <f>IF($L$2668,$N2703*IF($O$2668=1,$O2703/$F$2668,1),"")</f>
        <v/>
      </c>
      <c r="T2703" s="208">
        <f>IF(NOT($L$2668),"",IF($G2703&lt;nr_MStartP,$S2703,$T2691*(1+IF($G2703&lt;nr_MStartP1,$M$2668,$N$2668))))</f>
        <v/>
      </c>
      <c r="U2703" s="208">
        <f>IF($L$2668,$T2703,$N2703)</f>
        <v/>
      </c>
    </row>
    <row r="2704">
      <c r="A2704" s="145" t="n">
        <v>34</v>
      </c>
      <c r="B2704" s="204">
        <f>EDATE($B2703,1)</f>
        <v/>
      </c>
      <c r="C2704" s="205">
        <f>EOMONTH($B2704,0)</f>
        <v/>
      </c>
      <c r="D2704" s="201">
        <f>$C2704-$B2704+1</f>
        <v/>
      </c>
      <c r="E2704" s="201">
        <f>MONTH($B2704)</f>
        <v/>
      </c>
      <c r="F2704" s="235">
        <f>($B2704+$C2704+1)/2</f>
        <v/>
      </c>
      <c r="G2704" s="201">
        <f>YEAR($B2704)*12+MONTH($B2704)-1</f>
        <v/>
      </c>
      <c r="H2704" s="207">
        <f>IF(OR(nr_SeasonOn="OFF",$D$2668=0,$E$2668=0),1,12*INDEX(se_block,$D$2668,$E2704)/$E$2668)</f>
        <v/>
      </c>
      <c r="I2704" s="208">
        <f>EXP(SUMPRODUCT((rl_eff&lt;$B2704)*(rl_key=$A$2668)*rl_ln1p))</f>
        <v/>
      </c>
      <c r="J2704" s="208">
        <f>EXP(SUMPRODUCT((rl_eff&lt;=$C2704)*(rl_key=$A$2668)*rl_ln1p))</f>
        <v/>
      </c>
      <c r="K2704" s="201">
        <f>COUNTIFS(rl_key,$A$2668,rl_eff,"&gt;="&amp;$B2704,rl_eff,"&lt;="&amp;$C2704)</f>
        <v/>
      </c>
      <c r="L2704" s="201">
        <f>SUMIFS(rl_daysafter,rl_key,$A$2668,rl_effmonth,$B2704,rl_first,1)</f>
        <v/>
      </c>
      <c r="M2704" s="209">
        <f>IF($K2704=0,0,MIN(1,$L2704/$D2704))</f>
        <v/>
      </c>
      <c r="N2704" s="208">
        <f>IF($K2704=0,$J2704,(1-$M2704)*$I2704+$M2704*$J2704)</f>
        <v/>
      </c>
      <c r="O2704" s="209">
        <f>IF($F2704&lt;$B$2669,$E$2669+$I$2669*($F2704-$A$2669),IF($F2704&lt;$C$2669,$F$2669+$J$2669*($F2704-$B$2669),$G$2669+$K$2669*($F2704-$C$2669)))</f>
        <v/>
      </c>
      <c r="P2704" s="208">
        <f>MIN(1,MAX(0,(nr_MEndPm1-$G2704+0.5)/$C$2668))-MIN(1,MAX(0,(nr_MStartPm1-1-$G2704+0.5)/$C$2668))</f>
        <v/>
      </c>
      <c r="Q2704" s="208">
        <f>MIN(1,MAX(0,(nr_MEndP-$G2704+0.5)/$C$2668))-MIN(1,MAX(0,(nr_MStartP-1-$G2704+0.5)/$C$2668))</f>
        <v/>
      </c>
      <c r="R2704" s="208">
        <f>MIN(1,MAX(0,(nr_MEndP1-$G2704+0.5)/$C$2668))-MIN(1,MAX(0,(nr_MStartP1-1-$G2704+0.5)/$C$2668))</f>
        <v/>
      </c>
      <c r="S2704" s="208">
        <f>IF($L$2668,$N2704*IF($O$2668=1,$O2704/$F$2668,1),"")</f>
        <v/>
      </c>
      <c r="T2704" s="208">
        <f>IF(NOT($L$2668),"",IF($G2704&lt;nr_MStartP,$S2704,$T2692*(1+IF($G2704&lt;nr_MStartP1,$M$2668,$N$2668))))</f>
        <v/>
      </c>
      <c r="U2704" s="208">
        <f>IF($L$2668,$T2704,$N2704)</f>
        <v/>
      </c>
    </row>
    <row r="2705">
      <c r="A2705" s="145" t="n">
        <v>35</v>
      </c>
      <c r="B2705" s="204">
        <f>EDATE($B2704,1)</f>
        <v/>
      </c>
      <c r="C2705" s="205">
        <f>EOMONTH($B2705,0)</f>
        <v/>
      </c>
      <c r="D2705" s="201">
        <f>$C2705-$B2705+1</f>
        <v/>
      </c>
      <c r="E2705" s="201">
        <f>MONTH($B2705)</f>
        <v/>
      </c>
      <c r="F2705" s="235">
        <f>($B2705+$C2705+1)/2</f>
        <v/>
      </c>
      <c r="G2705" s="201">
        <f>YEAR($B2705)*12+MONTH($B2705)-1</f>
        <v/>
      </c>
      <c r="H2705" s="207">
        <f>IF(OR(nr_SeasonOn="OFF",$D$2668=0,$E$2668=0),1,12*INDEX(se_block,$D$2668,$E2705)/$E$2668)</f>
        <v/>
      </c>
      <c r="I2705" s="208">
        <f>EXP(SUMPRODUCT((rl_eff&lt;$B2705)*(rl_key=$A$2668)*rl_ln1p))</f>
        <v/>
      </c>
      <c r="J2705" s="208">
        <f>EXP(SUMPRODUCT((rl_eff&lt;=$C2705)*(rl_key=$A$2668)*rl_ln1p))</f>
        <v/>
      </c>
      <c r="K2705" s="201">
        <f>COUNTIFS(rl_key,$A$2668,rl_eff,"&gt;="&amp;$B2705,rl_eff,"&lt;="&amp;$C2705)</f>
        <v/>
      </c>
      <c r="L2705" s="201">
        <f>SUMIFS(rl_daysafter,rl_key,$A$2668,rl_effmonth,$B2705,rl_first,1)</f>
        <v/>
      </c>
      <c r="M2705" s="209">
        <f>IF($K2705=0,0,MIN(1,$L2705/$D2705))</f>
        <v/>
      </c>
      <c r="N2705" s="208">
        <f>IF($K2705=0,$J2705,(1-$M2705)*$I2705+$M2705*$J2705)</f>
        <v/>
      </c>
      <c r="O2705" s="209">
        <f>IF($F2705&lt;$B$2669,$E$2669+$I$2669*($F2705-$A$2669),IF($F2705&lt;$C$2669,$F$2669+$J$2669*($F2705-$B$2669),$G$2669+$K$2669*($F2705-$C$2669)))</f>
        <v/>
      </c>
      <c r="P2705" s="208">
        <f>MIN(1,MAX(0,(nr_MEndPm1-$G2705+0.5)/$C$2668))-MIN(1,MAX(0,(nr_MStartPm1-1-$G2705+0.5)/$C$2668))</f>
        <v/>
      </c>
      <c r="Q2705" s="208">
        <f>MIN(1,MAX(0,(nr_MEndP-$G2705+0.5)/$C$2668))-MIN(1,MAX(0,(nr_MStartP-1-$G2705+0.5)/$C$2668))</f>
        <v/>
      </c>
      <c r="R2705" s="208">
        <f>MIN(1,MAX(0,(nr_MEndP1-$G2705+0.5)/$C$2668))-MIN(1,MAX(0,(nr_MStartP1-1-$G2705+0.5)/$C$2668))</f>
        <v/>
      </c>
      <c r="S2705" s="208">
        <f>IF($L$2668,$N2705*IF($O$2668=1,$O2705/$F$2668,1),"")</f>
        <v/>
      </c>
      <c r="T2705" s="208">
        <f>IF(NOT($L$2668),"",IF($G2705&lt;nr_MStartP,$S2705,$T2693*(1+IF($G2705&lt;nr_MStartP1,$M$2668,$N$2668))))</f>
        <v/>
      </c>
      <c r="U2705" s="208">
        <f>IF($L$2668,$T2705,$N2705)</f>
        <v/>
      </c>
    </row>
    <row r="2706">
      <c r="A2706" s="145" t="n">
        <v>36</v>
      </c>
      <c r="B2706" s="204">
        <f>EDATE($B2705,1)</f>
        <v/>
      </c>
      <c r="C2706" s="205">
        <f>EOMONTH($B2706,0)</f>
        <v/>
      </c>
      <c r="D2706" s="201">
        <f>$C2706-$B2706+1</f>
        <v/>
      </c>
      <c r="E2706" s="201">
        <f>MONTH($B2706)</f>
        <v/>
      </c>
      <c r="F2706" s="235">
        <f>($B2706+$C2706+1)/2</f>
        <v/>
      </c>
      <c r="G2706" s="201">
        <f>YEAR($B2706)*12+MONTH($B2706)-1</f>
        <v/>
      </c>
      <c r="H2706" s="207">
        <f>IF(OR(nr_SeasonOn="OFF",$D$2668=0,$E$2668=0),1,12*INDEX(se_block,$D$2668,$E2706)/$E$2668)</f>
        <v/>
      </c>
      <c r="I2706" s="208">
        <f>EXP(SUMPRODUCT((rl_eff&lt;$B2706)*(rl_key=$A$2668)*rl_ln1p))</f>
        <v/>
      </c>
      <c r="J2706" s="208">
        <f>EXP(SUMPRODUCT((rl_eff&lt;=$C2706)*(rl_key=$A$2668)*rl_ln1p))</f>
        <v/>
      </c>
      <c r="K2706" s="201">
        <f>COUNTIFS(rl_key,$A$2668,rl_eff,"&gt;="&amp;$B2706,rl_eff,"&lt;="&amp;$C2706)</f>
        <v/>
      </c>
      <c r="L2706" s="201">
        <f>SUMIFS(rl_daysafter,rl_key,$A$2668,rl_effmonth,$B2706,rl_first,1)</f>
        <v/>
      </c>
      <c r="M2706" s="209">
        <f>IF($K2706=0,0,MIN(1,$L2706/$D2706))</f>
        <v/>
      </c>
      <c r="N2706" s="208">
        <f>IF($K2706=0,$J2706,(1-$M2706)*$I2706+$M2706*$J2706)</f>
        <v/>
      </c>
      <c r="O2706" s="209">
        <f>IF($F2706&lt;$B$2669,$E$2669+$I$2669*($F2706-$A$2669),IF($F2706&lt;$C$2669,$F$2669+$J$2669*($F2706-$B$2669),$G$2669+$K$2669*($F2706-$C$2669)))</f>
        <v/>
      </c>
      <c r="P2706" s="208">
        <f>MIN(1,MAX(0,(nr_MEndPm1-$G2706+0.5)/$C$2668))-MIN(1,MAX(0,(nr_MStartPm1-1-$G2706+0.5)/$C$2668))</f>
        <v/>
      </c>
      <c r="Q2706" s="208">
        <f>MIN(1,MAX(0,(nr_MEndP-$G2706+0.5)/$C$2668))-MIN(1,MAX(0,(nr_MStartP-1-$G2706+0.5)/$C$2668))</f>
        <v/>
      </c>
      <c r="R2706" s="208">
        <f>MIN(1,MAX(0,(nr_MEndP1-$G2706+0.5)/$C$2668))-MIN(1,MAX(0,(nr_MStartP1-1-$G2706+0.5)/$C$2668))</f>
        <v/>
      </c>
      <c r="S2706" s="208">
        <f>IF($L$2668,$N2706*IF($O$2668=1,$O2706/$F$2668,1),"")</f>
        <v/>
      </c>
      <c r="T2706" s="208">
        <f>IF(NOT($L$2668),"",IF($G2706&lt;nr_MStartP,$S2706,$T2694*(1+IF($G2706&lt;nr_MStartP1,$M$2668,$N$2668))))</f>
        <v/>
      </c>
      <c r="U2706" s="208">
        <f>IF($L$2668,$T2706,$N2706)</f>
        <v/>
      </c>
    </row>
    <row r="2707">
      <c r="A2707" s="145" t="n">
        <v>37</v>
      </c>
      <c r="B2707" s="204">
        <f>EDATE($B2706,1)</f>
        <v/>
      </c>
      <c r="C2707" s="205">
        <f>EOMONTH($B2707,0)</f>
        <v/>
      </c>
      <c r="D2707" s="201">
        <f>$C2707-$B2707+1</f>
        <v/>
      </c>
      <c r="E2707" s="201">
        <f>MONTH($B2707)</f>
        <v/>
      </c>
      <c r="F2707" s="235">
        <f>($B2707+$C2707+1)/2</f>
        <v/>
      </c>
      <c r="G2707" s="201">
        <f>YEAR($B2707)*12+MONTH($B2707)-1</f>
        <v/>
      </c>
      <c r="H2707" s="207">
        <f>IF(OR(nr_SeasonOn="OFF",$D$2668=0,$E$2668=0),1,12*INDEX(se_block,$D$2668,$E2707)/$E$2668)</f>
        <v/>
      </c>
      <c r="I2707" s="208">
        <f>EXP(SUMPRODUCT((rl_eff&lt;$B2707)*(rl_key=$A$2668)*rl_ln1p))</f>
        <v/>
      </c>
      <c r="J2707" s="208">
        <f>EXP(SUMPRODUCT((rl_eff&lt;=$C2707)*(rl_key=$A$2668)*rl_ln1p))</f>
        <v/>
      </c>
      <c r="K2707" s="201">
        <f>COUNTIFS(rl_key,$A$2668,rl_eff,"&gt;="&amp;$B2707,rl_eff,"&lt;="&amp;$C2707)</f>
        <v/>
      </c>
      <c r="L2707" s="201">
        <f>SUMIFS(rl_daysafter,rl_key,$A$2668,rl_effmonth,$B2707,rl_first,1)</f>
        <v/>
      </c>
      <c r="M2707" s="209">
        <f>IF($K2707=0,0,MIN(1,$L2707/$D2707))</f>
        <v/>
      </c>
      <c r="N2707" s="208">
        <f>IF($K2707=0,$J2707,(1-$M2707)*$I2707+$M2707*$J2707)</f>
        <v/>
      </c>
      <c r="O2707" s="209">
        <f>IF($F2707&lt;$B$2669,$E$2669+$I$2669*($F2707-$A$2669),IF($F2707&lt;$C$2669,$F$2669+$J$2669*($F2707-$B$2669),$G$2669+$K$2669*($F2707-$C$2669)))</f>
        <v/>
      </c>
      <c r="P2707" s="208">
        <f>MIN(1,MAX(0,(nr_MEndPm1-$G2707+0.5)/$C$2668))-MIN(1,MAX(0,(nr_MStartPm1-1-$G2707+0.5)/$C$2668))</f>
        <v/>
      </c>
      <c r="Q2707" s="208">
        <f>MIN(1,MAX(0,(nr_MEndP-$G2707+0.5)/$C$2668))-MIN(1,MAX(0,(nr_MStartP-1-$G2707+0.5)/$C$2668))</f>
        <v/>
      </c>
      <c r="R2707" s="208">
        <f>MIN(1,MAX(0,(nr_MEndP1-$G2707+0.5)/$C$2668))-MIN(1,MAX(0,(nr_MStartP1-1-$G2707+0.5)/$C$2668))</f>
        <v/>
      </c>
      <c r="S2707" s="208">
        <f>IF($L$2668,$N2707*IF($O$2668=1,$O2707/$F$2668,1),"")</f>
        <v/>
      </c>
      <c r="T2707" s="208">
        <f>IF(NOT($L$2668),"",IF($G2707&lt;nr_MStartP,$S2707,$T2695*(1+IF($G2707&lt;nr_MStartP1,$M$2668,$N$2668))))</f>
        <v/>
      </c>
      <c r="U2707" s="208">
        <f>IF($L$2668,$T2707,$N2707)</f>
        <v/>
      </c>
    </row>
    <row r="2708">
      <c r="A2708" s="145" t="n">
        <v>38</v>
      </c>
      <c r="B2708" s="204">
        <f>EDATE($B2707,1)</f>
        <v/>
      </c>
      <c r="C2708" s="205">
        <f>EOMONTH($B2708,0)</f>
        <v/>
      </c>
      <c r="D2708" s="201">
        <f>$C2708-$B2708+1</f>
        <v/>
      </c>
      <c r="E2708" s="201">
        <f>MONTH($B2708)</f>
        <v/>
      </c>
      <c r="F2708" s="235">
        <f>($B2708+$C2708+1)/2</f>
        <v/>
      </c>
      <c r="G2708" s="201">
        <f>YEAR($B2708)*12+MONTH($B2708)-1</f>
        <v/>
      </c>
      <c r="H2708" s="207">
        <f>IF(OR(nr_SeasonOn="OFF",$D$2668=0,$E$2668=0),1,12*INDEX(se_block,$D$2668,$E2708)/$E$2668)</f>
        <v/>
      </c>
      <c r="I2708" s="208">
        <f>EXP(SUMPRODUCT((rl_eff&lt;$B2708)*(rl_key=$A$2668)*rl_ln1p))</f>
        <v/>
      </c>
      <c r="J2708" s="208">
        <f>EXP(SUMPRODUCT((rl_eff&lt;=$C2708)*(rl_key=$A$2668)*rl_ln1p))</f>
        <v/>
      </c>
      <c r="K2708" s="201">
        <f>COUNTIFS(rl_key,$A$2668,rl_eff,"&gt;="&amp;$B2708,rl_eff,"&lt;="&amp;$C2708)</f>
        <v/>
      </c>
      <c r="L2708" s="201">
        <f>SUMIFS(rl_daysafter,rl_key,$A$2668,rl_effmonth,$B2708,rl_first,1)</f>
        <v/>
      </c>
      <c r="M2708" s="209">
        <f>IF($K2708=0,0,MIN(1,$L2708/$D2708))</f>
        <v/>
      </c>
      <c r="N2708" s="208">
        <f>IF($K2708=0,$J2708,(1-$M2708)*$I2708+$M2708*$J2708)</f>
        <v/>
      </c>
      <c r="O2708" s="209">
        <f>IF($F2708&lt;$B$2669,$E$2669+$I$2669*($F2708-$A$2669),IF($F2708&lt;$C$2669,$F$2669+$J$2669*($F2708-$B$2669),$G$2669+$K$2669*($F2708-$C$2669)))</f>
        <v/>
      </c>
      <c r="P2708" s="208">
        <f>MIN(1,MAX(0,(nr_MEndPm1-$G2708+0.5)/$C$2668))-MIN(1,MAX(0,(nr_MStartPm1-1-$G2708+0.5)/$C$2668))</f>
        <v/>
      </c>
      <c r="Q2708" s="208">
        <f>MIN(1,MAX(0,(nr_MEndP-$G2708+0.5)/$C$2668))-MIN(1,MAX(0,(nr_MStartP-1-$G2708+0.5)/$C$2668))</f>
        <v/>
      </c>
      <c r="R2708" s="208">
        <f>MIN(1,MAX(0,(nr_MEndP1-$G2708+0.5)/$C$2668))-MIN(1,MAX(0,(nr_MStartP1-1-$G2708+0.5)/$C$2668))</f>
        <v/>
      </c>
      <c r="S2708" s="208">
        <f>IF($L$2668,$N2708*IF($O$2668=1,$O2708/$F$2668,1),"")</f>
        <v/>
      </c>
      <c r="T2708" s="208">
        <f>IF(NOT($L$2668),"",IF($G2708&lt;nr_MStartP,$S2708,$T2696*(1+IF($G2708&lt;nr_MStartP1,$M$2668,$N$2668))))</f>
        <v/>
      </c>
      <c r="U2708" s="208">
        <f>IF($L$2668,$T2708,$N2708)</f>
        <v/>
      </c>
    </row>
    <row r="2709">
      <c r="A2709" s="145" t="n">
        <v>39</v>
      </c>
      <c r="B2709" s="204">
        <f>EDATE($B2708,1)</f>
        <v/>
      </c>
      <c r="C2709" s="205">
        <f>EOMONTH($B2709,0)</f>
        <v/>
      </c>
      <c r="D2709" s="201">
        <f>$C2709-$B2709+1</f>
        <v/>
      </c>
      <c r="E2709" s="201">
        <f>MONTH($B2709)</f>
        <v/>
      </c>
      <c r="F2709" s="235">
        <f>($B2709+$C2709+1)/2</f>
        <v/>
      </c>
      <c r="G2709" s="201">
        <f>YEAR($B2709)*12+MONTH($B2709)-1</f>
        <v/>
      </c>
      <c r="H2709" s="207">
        <f>IF(OR(nr_SeasonOn="OFF",$D$2668=0,$E$2668=0),1,12*INDEX(se_block,$D$2668,$E2709)/$E$2668)</f>
        <v/>
      </c>
      <c r="I2709" s="208">
        <f>EXP(SUMPRODUCT((rl_eff&lt;$B2709)*(rl_key=$A$2668)*rl_ln1p))</f>
        <v/>
      </c>
      <c r="J2709" s="208">
        <f>EXP(SUMPRODUCT((rl_eff&lt;=$C2709)*(rl_key=$A$2668)*rl_ln1p))</f>
        <v/>
      </c>
      <c r="K2709" s="201">
        <f>COUNTIFS(rl_key,$A$2668,rl_eff,"&gt;="&amp;$B2709,rl_eff,"&lt;="&amp;$C2709)</f>
        <v/>
      </c>
      <c r="L2709" s="201">
        <f>SUMIFS(rl_daysafter,rl_key,$A$2668,rl_effmonth,$B2709,rl_first,1)</f>
        <v/>
      </c>
      <c r="M2709" s="209">
        <f>IF($K2709=0,0,MIN(1,$L2709/$D2709))</f>
        <v/>
      </c>
      <c r="N2709" s="208">
        <f>IF($K2709=0,$J2709,(1-$M2709)*$I2709+$M2709*$J2709)</f>
        <v/>
      </c>
      <c r="O2709" s="209">
        <f>IF($F2709&lt;$B$2669,$E$2669+$I$2669*($F2709-$A$2669),IF($F2709&lt;$C$2669,$F$2669+$J$2669*($F2709-$B$2669),$G$2669+$K$2669*($F2709-$C$2669)))</f>
        <v/>
      </c>
      <c r="P2709" s="208">
        <f>MIN(1,MAX(0,(nr_MEndPm1-$G2709+0.5)/$C$2668))-MIN(1,MAX(0,(nr_MStartPm1-1-$G2709+0.5)/$C$2668))</f>
        <v/>
      </c>
      <c r="Q2709" s="208">
        <f>MIN(1,MAX(0,(nr_MEndP-$G2709+0.5)/$C$2668))-MIN(1,MAX(0,(nr_MStartP-1-$G2709+0.5)/$C$2668))</f>
        <v/>
      </c>
      <c r="R2709" s="208">
        <f>MIN(1,MAX(0,(nr_MEndP1-$G2709+0.5)/$C$2668))-MIN(1,MAX(0,(nr_MStartP1-1-$G2709+0.5)/$C$2668))</f>
        <v/>
      </c>
      <c r="S2709" s="208">
        <f>IF($L$2668,$N2709*IF($O$2668=1,$O2709/$F$2668,1),"")</f>
        <v/>
      </c>
      <c r="T2709" s="208">
        <f>IF(NOT($L$2668),"",IF($G2709&lt;nr_MStartP,$S2709,$T2697*(1+IF($G2709&lt;nr_MStartP1,$M$2668,$N$2668))))</f>
        <v/>
      </c>
      <c r="U2709" s="208">
        <f>IF($L$2668,$T2709,$N2709)</f>
        <v/>
      </c>
    </row>
    <row r="2710">
      <c r="A2710" s="145" t="n">
        <v>40</v>
      </c>
      <c r="B2710" s="204">
        <f>EDATE($B2709,1)</f>
        <v/>
      </c>
      <c r="C2710" s="205">
        <f>EOMONTH($B2710,0)</f>
        <v/>
      </c>
      <c r="D2710" s="201">
        <f>$C2710-$B2710+1</f>
        <v/>
      </c>
      <c r="E2710" s="201">
        <f>MONTH($B2710)</f>
        <v/>
      </c>
      <c r="F2710" s="235">
        <f>($B2710+$C2710+1)/2</f>
        <v/>
      </c>
      <c r="G2710" s="201">
        <f>YEAR($B2710)*12+MONTH($B2710)-1</f>
        <v/>
      </c>
      <c r="H2710" s="207">
        <f>IF(OR(nr_SeasonOn="OFF",$D$2668=0,$E$2668=0),1,12*INDEX(se_block,$D$2668,$E2710)/$E$2668)</f>
        <v/>
      </c>
      <c r="I2710" s="208">
        <f>EXP(SUMPRODUCT((rl_eff&lt;$B2710)*(rl_key=$A$2668)*rl_ln1p))</f>
        <v/>
      </c>
      <c r="J2710" s="208">
        <f>EXP(SUMPRODUCT((rl_eff&lt;=$C2710)*(rl_key=$A$2668)*rl_ln1p))</f>
        <v/>
      </c>
      <c r="K2710" s="201">
        <f>COUNTIFS(rl_key,$A$2668,rl_eff,"&gt;="&amp;$B2710,rl_eff,"&lt;="&amp;$C2710)</f>
        <v/>
      </c>
      <c r="L2710" s="201">
        <f>SUMIFS(rl_daysafter,rl_key,$A$2668,rl_effmonth,$B2710,rl_first,1)</f>
        <v/>
      </c>
      <c r="M2710" s="209">
        <f>IF($K2710=0,0,MIN(1,$L2710/$D2710))</f>
        <v/>
      </c>
      <c r="N2710" s="208">
        <f>IF($K2710=0,$J2710,(1-$M2710)*$I2710+$M2710*$J2710)</f>
        <v/>
      </c>
      <c r="O2710" s="209">
        <f>IF($F2710&lt;$B$2669,$E$2669+$I$2669*($F2710-$A$2669),IF($F2710&lt;$C$2669,$F$2669+$J$2669*($F2710-$B$2669),$G$2669+$K$2669*($F2710-$C$2669)))</f>
        <v/>
      </c>
      <c r="P2710" s="208">
        <f>MIN(1,MAX(0,(nr_MEndPm1-$G2710+0.5)/$C$2668))-MIN(1,MAX(0,(nr_MStartPm1-1-$G2710+0.5)/$C$2668))</f>
        <v/>
      </c>
      <c r="Q2710" s="208">
        <f>MIN(1,MAX(0,(nr_MEndP-$G2710+0.5)/$C$2668))-MIN(1,MAX(0,(nr_MStartP-1-$G2710+0.5)/$C$2668))</f>
        <v/>
      </c>
      <c r="R2710" s="208">
        <f>MIN(1,MAX(0,(nr_MEndP1-$G2710+0.5)/$C$2668))-MIN(1,MAX(0,(nr_MStartP1-1-$G2710+0.5)/$C$2668))</f>
        <v/>
      </c>
      <c r="S2710" s="208">
        <f>IF($L$2668,$N2710*IF($O$2668=1,$O2710/$F$2668,1),"")</f>
        <v/>
      </c>
      <c r="T2710" s="208">
        <f>IF(NOT($L$2668),"",IF($G2710&lt;nr_MStartP,$S2710,$T2698*(1+IF($G2710&lt;nr_MStartP1,$M$2668,$N$2668))))</f>
        <v/>
      </c>
      <c r="U2710" s="208">
        <f>IF($L$2668,$T2710,$N2710)</f>
        <v/>
      </c>
    </row>
    <row r="2711">
      <c r="A2711" s="145" t="n">
        <v>41</v>
      </c>
      <c r="B2711" s="204">
        <f>EDATE($B2710,1)</f>
        <v/>
      </c>
      <c r="C2711" s="205">
        <f>EOMONTH($B2711,0)</f>
        <v/>
      </c>
      <c r="D2711" s="201">
        <f>$C2711-$B2711+1</f>
        <v/>
      </c>
      <c r="E2711" s="201">
        <f>MONTH($B2711)</f>
        <v/>
      </c>
      <c r="F2711" s="235">
        <f>($B2711+$C2711+1)/2</f>
        <v/>
      </c>
      <c r="G2711" s="201">
        <f>YEAR($B2711)*12+MONTH($B2711)-1</f>
        <v/>
      </c>
      <c r="H2711" s="207">
        <f>IF(OR(nr_SeasonOn="OFF",$D$2668=0,$E$2668=0),1,12*INDEX(se_block,$D$2668,$E2711)/$E$2668)</f>
        <v/>
      </c>
      <c r="I2711" s="208">
        <f>EXP(SUMPRODUCT((rl_eff&lt;$B2711)*(rl_key=$A$2668)*rl_ln1p))</f>
        <v/>
      </c>
      <c r="J2711" s="208">
        <f>EXP(SUMPRODUCT((rl_eff&lt;=$C2711)*(rl_key=$A$2668)*rl_ln1p))</f>
        <v/>
      </c>
      <c r="K2711" s="201">
        <f>COUNTIFS(rl_key,$A$2668,rl_eff,"&gt;="&amp;$B2711,rl_eff,"&lt;="&amp;$C2711)</f>
        <v/>
      </c>
      <c r="L2711" s="201">
        <f>SUMIFS(rl_daysafter,rl_key,$A$2668,rl_effmonth,$B2711,rl_first,1)</f>
        <v/>
      </c>
      <c r="M2711" s="209">
        <f>IF($K2711=0,0,MIN(1,$L2711/$D2711))</f>
        <v/>
      </c>
      <c r="N2711" s="208">
        <f>IF($K2711=0,$J2711,(1-$M2711)*$I2711+$M2711*$J2711)</f>
        <v/>
      </c>
      <c r="O2711" s="209">
        <f>IF($F2711&lt;$B$2669,$E$2669+$I$2669*($F2711-$A$2669),IF($F2711&lt;$C$2669,$F$2669+$J$2669*($F2711-$B$2669),$G$2669+$K$2669*($F2711-$C$2669)))</f>
        <v/>
      </c>
      <c r="P2711" s="208">
        <f>MIN(1,MAX(0,(nr_MEndPm1-$G2711+0.5)/$C$2668))-MIN(1,MAX(0,(nr_MStartPm1-1-$G2711+0.5)/$C$2668))</f>
        <v/>
      </c>
      <c r="Q2711" s="208">
        <f>MIN(1,MAX(0,(nr_MEndP-$G2711+0.5)/$C$2668))-MIN(1,MAX(0,(nr_MStartP-1-$G2711+0.5)/$C$2668))</f>
        <v/>
      </c>
      <c r="R2711" s="208">
        <f>MIN(1,MAX(0,(nr_MEndP1-$G2711+0.5)/$C$2668))-MIN(1,MAX(0,(nr_MStartP1-1-$G2711+0.5)/$C$2668))</f>
        <v/>
      </c>
      <c r="S2711" s="208">
        <f>IF($L$2668,$N2711*IF($O$2668=1,$O2711/$F$2668,1),"")</f>
        <v/>
      </c>
      <c r="T2711" s="208">
        <f>IF(NOT($L$2668),"",IF($G2711&lt;nr_MStartP,$S2711,$T2699*(1+IF($G2711&lt;nr_MStartP1,$M$2668,$N$2668))))</f>
        <v/>
      </c>
      <c r="U2711" s="208">
        <f>IF($L$2668,$T2711,$N2711)</f>
        <v/>
      </c>
    </row>
    <row r="2712">
      <c r="A2712" s="145" t="n">
        <v>42</v>
      </c>
      <c r="B2712" s="204">
        <f>EDATE($B2711,1)</f>
        <v/>
      </c>
      <c r="C2712" s="205">
        <f>EOMONTH($B2712,0)</f>
        <v/>
      </c>
      <c r="D2712" s="201">
        <f>$C2712-$B2712+1</f>
        <v/>
      </c>
      <c r="E2712" s="201">
        <f>MONTH($B2712)</f>
        <v/>
      </c>
      <c r="F2712" s="235">
        <f>($B2712+$C2712+1)/2</f>
        <v/>
      </c>
      <c r="G2712" s="201">
        <f>YEAR($B2712)*12+MONTH($B2712)-1</f>
        <v/>
      </c>
      <c r="H2712" s="207">
        <f>IF(OR(nr_SeasonOn="OFF",$D$2668=0,$E$2668=0),1,12*INDEX(se_block,$D$2668,$E2712)/$E$2668)</f>
        <v/>
      </c>
      <c r="I2712" s="208">
        <f>EXP(SUMPRODUCT((rl_eff&lt;$B2712)*(rl_key=$A$2668)*rl_ln1p))</f>
        <v/>
      </c>
      <c r="J2712" s="208">
        <f>EXP(SUMPRODUCT((rl_eff&lt;=$C2712)*(rl_key=$A$2668)*rl_ln1p))</f>
        <v/>
      </c>
      <c r="K2712" s="201">
        <f>COUNTIFS(rl_key,$A$2668,rl_eff,"&gt;="&amp;$B2712,rl_eff,"&lt;="&amp;$C2712)</f>
        <v/>
      </c>
      <c r="L2712" s="201">
        <f>SUMIFS(rl_daysafter,rl_key,$A$2668,rl_effmonth,$B2712,rl_first,1)</f>
        <v/>
      </c>
      <c r="M2712" s="209">
        <f>IF($K2712=0,0,MIN(1,$L2712/$D2712))</f>
        <v/>
      </c>
      <c r="N2712" s="208">
        <f>IF($K2712=0,$J2712,(1-$M2712)*$I2712+$M2712*$J2712)</f>
        <v/>
      </c>
      <c r="O2712" s="209">
        <f>IF($F2712&lt;$B$2669,$E$2669+$I$2669*($F2712-$A$2669),IF($F2712&lt;$C$2669,$F$2669+$J$2669*($F2712-$B$2669),$G$2669+$K$2669*($F2712-$C$2669)))</f>
        <v/>
      </c>
      <c r="P2712" s="208">
        <f>MIN(1,MAX(0,(nr_MEndPm1-$G2712+0.5)/$C$2668))-MIN(1,MAX(0,(nr_MStartPm1-1-$G2712+0.5)/$C$2668))</f>
        <v/>
      </c>
      <c r="Q2712" s="208">
        <f>MIN(1,MAX(0,(nr_MEndP-$G2712+0.5)/$C$2668))-MIN(1,MAX(0,(nr_MStartP-1-$G2712+0.5)/$C$2668))</f>
        <v/>
      </c>
      <c r="R2712" s="208">
        <f>MIN(1,MAX(0,(nr_MEndP1-$G2712+0.5)/$C$2668))-MIN(1,MAX(0,(nr_MStartP1-1-$G2712+0.5)/$C$2668))</f>
        <v/>
      </c>
      <c r="S2712" s="208">
        <f>IF($L$2668,$N2712*IF($O$2668=1,$O2712/$F$2668,1),"")</f>
        <v/>
      </c>
      <c r="T2712" s="208">
        <f>IF(NOT($L$2668),"",IF($G2712&lt;nr_MStartP,$S2712,$T2700*(1+IF($G2712&lt;nr_MStartP1,$M$2668,$N$2668))))</f>
        <v/>
      </c>
      <c r="U2712" s="208">
        <f>IF($L$2668,$T2712,$N2712)</f>
        <v/>
      </c>
    </row>
    <row r="2713">
      <c r="A2713" s="145" t="n">
        <v>43</v>
      </c>
      <c r="B2713" s="204">
        <f>EDATE($B2712,1)</f>
        <v/>
      </c>
      <c r="C2713" s="205">
        <f>EOMONTH($B2713,0)</f>
        <v/>
      </c>
      <c r="D2713" s="201">
        <f>$C2713-$B2713+1</f>
        <v/>
      </c>
      <c r="E2713" s="201">
        <f>MONTH($B2713)</f>
        <v/>
      </c>
      <c r="F2713" s="235">
        <f>($B2713+$C2713+1)/2</f>
        <v/>
      </c>
      <c r="G2713" s="201">
        <f>YEAR($B2713)*12+MONTH($B2713)-1</f>
        <v/>
      </c>
      <c r="H2713" s="207">
        <f>IF(OR(nr_SeasonOn="OFF",$D$2668=0,$E$2668=0),1,12*INDEX(se_block,$D$2668,$E2713)/$E$2668)</f>
        <v/>
      </c>
      <c r="I2713" s="208">
        <f>EXP(SUMPRODUCT((rl_eff&lt;$B2713)*(rl_key=$A$2668)*rl_ln1p))</f>
        <v/>
      </c>
      <c r="J2713" s="208">
        <f>EXP(SUMPRODUCT((rl_eff&lt;=$C2713)*(rl_key=$A$2668)*rl_ln1p))</f>
        <v/>
      </c>
      <c r="K2713" s="201">
        <f>COUNTIFS(rl_key,$A$2668,rl_eff,"&gt;="&amp;$B2713,rl_eff,"&lt;="&amp;$C2713)</f>
        <v/>
      </c>
      <c r="L2713" s="201">
        <f>SUMIFS(rl_daysafter,rl_key,$A$2668,rl_effmonth,$B2713,rl_first,1)</f>
        <v/>
      </c>
      <c r="M2713" s="209">
        <f>IF($K2713=0,0,MIN(1,$L2713/$D2713))</f>
        <v/>
      </c>
      <c r="N2713" s="208">
        <f>IF($K2713=0,$J2713,(1-$M2713)*$I2713+$M2713*$J2713)</f>
        <v/>
      </c>
      <c r="O2713" s="209">
        <f>IF($F2713&lt;$B$2669,$E$2669+$I$2669*($F2713-$A$2669),IF($F2713&lt;$C$2669,$F$2669+$J$2669*($F2713-$B$2669),$G$2669+$K$2669*($F2713-$C$2669)))</f>
        <v/>
      </c>
      <c r="P2713" s="208">
        <f>MIN(1,MAX(0,(nr_MEndPm1-$G2713+0.5)/$C$2668))-MIN(1,MAX(0,(nr_MStartPm1-1-$G2713+0.5)/$C$2668))</f>
        <v/>
      </c>
      <c r="Q2713" s="208">
        <f>MIN(1,MAX(0,(nr_MEndP-$G2713+0.5)/$C$2668))-MIN(1,MAX(0,(nr_MStartP-1-$G2713+0.5)/$C$2668))</f>
        <v/>
      </c>
      <c r="R2713" s="208">
        <f>MIN(1,MAX(0,(nr_MEndP1-$G2713+0.5)/$C$2668))-MIN(1,MAX(0,(nr_MStartP1-1-$G2713+0.5)/$C$2668))</f>
        <v/>
      </c>
      <c r="S2713" s="208">
        <f>IF($L$2668,$N2713*IF($O$2668=1,$O2713/$F$2668,1),"")</f>
        <v/>
      </c>
      <c r="T2713" s="208">
        <f>IF(NOT($L$2668),"",IF($G2713&lt;nr_MStartP,$S2713,$T2701*(1+IF($G2713&lt;nr_MStartP1,$M$2668,$N$2668))))</f>
        <v/>
      </c>
      <c r="U2713" s="208">
        <f>IF($L$2668,$T2713,$N2713)</f>
        <v/>
      </c>
    </row>
    <row r="2714">
      <c r="A2714" s="145" t="n">
        <v>44</v>
      </c>
      <c r="B2714" s="204">
        <f>EDATE($B2713,1)</f>
        <v/>
      </c>
      <c r="C2714" s="205">
        <f>EOMONTH($B2714,0)</f>
        <v/>
      </c>
      <c r="D2714" s="201">
        <f>$C2714-$B2714+1</f>
        <v/>
      </c>
      <c r="E2714" s="201">
        <f>MONTH($B2714)</f>
        <v/>
      </c>
      <c r="F2714" s="235">
        <f>($B2714+$C2714+1)/2</f>
        <v/>
      </c>
      <c r="G2714" s="201">
        <f>YEAR($B2714)*12+MONTH($B2714)-1</f>
        <v/>
      </c>
      <c r="H2714" s="207">
        <f>IF(OR(nr_SeasonOn="OFF",$D$2668=0,$E$2668=0),1,12*INDEX(se_block,$D$2668,$E2714)/$E$2668)</f>
        <v/>
      </c>
      <c r="I2714" s="208">
        <f>EXP(SUMPRODUCT((rl_eff&lt;$B2714)*(rl_key=$A$2668)*rl_ln1p))</f>
        <v/>
      </c>
      <c r="J2714" s="208">
        <f>EXP(SUMPRODUCT((rl_eff&lt;=$C2714)*(rl_key=$A$2668)*rl_ln1p))</f>
        <v/>
      </c>
      <c r="K2714" s="201">
        <f>COUNTIFS(rl_key,$A$2668,rl_eff,"&gt;="&amp;$B2714,rl_eff,"&lt;="&amp;$C2714)</f>
        <v/>
      </c>
      <c r="L2714" s="201">
        <f>SUMIFS(rl_daysafter,rl_key,$A$2668,rl_effmonth,$B2714,rl_first,1)</f>
        <v/>
      </c>
      <c r="M2714" s="209">
        <f>IF($K2714=0,0,MIN(1,$L2714/$D2714))</f>
        <v/>
      </c>
      <c r="N2714" s="208">
        <f>IF($K2714=0,$J2714,(1-$M2714)*$I2714+$M2714*$J2714)</f>
        <v/>
      </c>
      <c r="O2714" s="209">
        <f>IF($F2714&lt;$B$2669,$E$2669+$I$2669*($F2714-$A$2669),IF($F2714&lt;$C$2669,$F$2669+$J$2669*($F2714-$B$2669),$G$2669+$K$2669*($F2714-$C$2669)))</f>
        <v/>
      </c>
      <c r="P2714" s="208">
        <f>MIN(1,MAX(0,(nr_MEndPm1-$G2714+0.5)/$C$2668))-MIN(1,MAX(0,(nr_MStartPm1-1-$G2714+0.5)/$C$2668))</f>
        <v/>
      </c>
      <c r="Q2714" s="208">
        <f>MIN(1,MAX(0,(nr_MEndP-$G2714+0.5)/$C$2668))-MIN(1,MAX(0,(nr_MStartP-1-$G2714+0.5)/$C$2668))</f>
        <v/>
      </c>
      <c r="R2714" s="208">
        <f>MIN(1,MAX(0,(nr_MEndP1-$G2714+0.5)/$C$2668))-MIN(1,MAX(0,(nr_MStartP1-1-$G2714+0.5)/$C$2668))</f>
        <v/>
      </c>
      <c r="S2714" s="208">
        <f>IF($L$2668,$N2714*IF($O$2668=1,$O2714/$F$2668,1),"")</f>
        <v/>
      </c>
      <c r="T2714" s="208">
        <f>IF(NOT($L$2668),"",IF($G2714&lt;nr_MStartP,$S2714,$T2702*(1+IF($G2714&lt;nr_MStartP1,$M$2668,$N$2668))))</f>
        <v/>
      </c>
      <c r="U2714" s="208">
        <f>IF($L$2668,$T2714,$N2714)</f>
        <v/>
      </c>
    </row>
    <row r="2715">
      <c r="A2715" s="145" t="n">
        <v>45</v>
      </c>
      <c r="B2715" s="204">
        <f>EDATE($B2714,1)</f>
        <v/>
      </c>
      <c r="C2715" s="205">
        <f>EOMONTH($B2715,0)</f>
        <v/>
      </c>
      <c r="D2715" s="201">
        <f>$C2715-$B2715+1</f>
        <v/>
      </c>
      <c r="E2715" s="201">
        <f>MONTH($B2715)</f>
        <v/>
      </c>
      <c r="F2715" s="235">
        <f>($B2715+$C2715+1)/2</f>
        <v/>
      </c>
      <c r="G2715" s="201">
        <f>YEAR($B2715)*12+MONTH($B2715)-1</f>
        <v/>
      </c>
      <c r="H2715" s="207">
        <f>IF(OR(nr_SeasonOn="OFF",$D$2668=0,$E$2668=0),1,12*INDEX(se_block,$D$2668,$E2715)/$E$2668)</f>
        <v/>
      </c>
      <c r="I2715" s="208">
        <f>EXP(SUMPRODUCT((rl_eff&lt;$B2715)*(rl_key=$A$2668)*rl_ln1p))</f>
        <v/>
      </c>
      <c r="J2715" s="208">
        <f>EXP(SUMPRODUCT((rl_eff&lt;=$C2715)*(rl_key=$A$2668)*rl_ln1p))</f>
        <v/>
      </c>
      <c r="K2715" s="201">
        <f>COUNTIFS(rl_key,$A$2668,rl_eff,"&gt;="&amp;$B2715,rl_eff,"&lt;="&amp;$C2715)</f>
        <v/>
      </c>
      <c r="L2715" s="201">
        <f>SUMIFS(rl_daysafter,rl_key,$A$2668,rl_effmonth,$B2715,rl_first,1)</f>
        <v/>
      </c>
      <c r="M2715" s="209">
        <f>IF($K2715=0,0,MIN(1,$L2715/$D2715))</f>
        <v/>
      </c>
      <c r="N2715" s="208">
        <f>IF($K2715=0,$J2715,(1-$M2715)*$I2715+$M2715*$J2715)</f>
        <v/>
      </c>
      <c r="O2715" s="209">
        <f>IF($F2715&lt;$B$2669,$E$2669+$I$2669*($F2715-$A$2669),IF($F2715&lt;$C$2669,$F$2669+$J$2669*($F2715-$B$2669),$G$2669+$K$2669*($F2715-$C$2669)))</f>
        <v/>
      </c>
      <c r="P2715" s="208">
        <f>MIN(1,MAX(0,(nr_MEndPm1-$G2715+0.5)/$C$2668))-MIN(1,MAX(0,(nr_MStartPm1-1-$G2715+0.5)/$C$2668))</f>
        <v/>
      </c>
      <c r="Q2715" s="208">
        <f>MIN(1,MAX(0,(nr_MEndP-$G2715+0.5)/$C$2668))-MIN(1,MAX(0,(nr_MStartP-1-$G2715+0.5)/$C$2668))</f>
        <v/>
      </c>
      <c r="R2715" s="208">
        <f>MIN(1,MAX(0,(nr_MEndP1-$G2715+0.5)/$C$2668))-MIN(1,MAX(0,(nr_MStartP1-1-$G2715+0.5)/$C$2668))</f>
        <v/>
      </c>
      <c r="S2715" s="208">
        <f>IF($L$2668,$N2715*IF($O$2668=1,$O2715/$F$2668,1),"")</f>
        <v/>
      </c>
      <c r="T2715" s="208">
        <f>IF(NOT($L$2668),"",IF($G2715&lt;nr_MStartP,$S2715,$T2703*(1+IF($G2715&lt;nr_MStartP1,$M$2668,$N$2668))))</f>
        <v/>
      </c>
      <c r="U2715" s="208">
        <f>IF($L$2668,$T2715,$N2715)</f>
        <v/>
      </c>
    </row>
    <row r="2716">
      <c r="A2716" s="145" t="n">
        <v>46</v>
      </c>
      <c r="B2716" s="204">
        <f>EDATE($B2715,1)</f>
        <v/>
      </c>
      <c r="C2716" s="205">
        <f>EOMONTH($B2716,0)</f>
        <v/>
      </c>
      <c r="D2716" s="201">
        <f>$C2716-$B2716+1</f>
        <v/>
      </c>
      <c r="E2716" s="201">
        <f>MONTH($B2716)</f>
        <v/>
      </c>
      <c r="F2716" s="235">
        <f>($B2716+$C2716+1)/2</f>
        <v/>
      </c>
      <c r="G2716" s="201">
        <f>YEAR($B2716)*12+MONTH($B2716)-1</f>
        <v/>
      </c>
      <c r="H2716" s="207">
        <f>IF(OR(nr_SeasonOn="OFF",$D$2668=0,$E$2668=0),1,12*INDEX(se_block,$D$2668,$E2716)/$E$2668)</f>
        <v/>
      </c>
      <c r="I2716" s="208">
        <f>EXP(SUMPRODUCT((rl_eff&lt;$B2716)*(rl_key=$A$2668)*rl_ln1p))</f>
        <v/>
      </c>
      <c r="J2716" s="208">
        <f>EXP(SUMPRODUCT((rl_eff&lt;=$C2716)*(rl_key=$A$2668)*rl_ln1p))</f>
        <v/>
      </c>
      <c r="K2716" s="201">
        <f>COUNTIFS(rl_key,$A$2668,rl_eff,"&gt;="&amp;$B2716,rl_eff,"&lt;="&amp;$C2716)</f>
        <v/>
      </c>
      <c r="L2716" s="201">
        <f>SUMIFS(rl_daysafter,rl_key,$A$2668,rl_effmonth,$B2716,rl_first,1)</f>
        <v/>
      </c>
      <c r="M2716" s="209">
        <f>IF($K2716=0,0,MIN(1,$L2716/$D2716))</f>
        <v/>
      </c>
      <c r="N2716" s="208">
        <f>IF($K2716=0,$J2716,(1-$M2716)*$I2716+$M2716*$J2716)</f>
        <v/>
      </c>
      <c r="O2716" s="209">
        <f>IF($F2716&lt;$B$2669,$E$2669+$I$2669*($F2716-$A$2669),IF($F2716&lt;$C$2669,$F$2669+$J$2669*($F2716-$B$2669),$G$2669+$K$2669*($F2716-$C$2669)))</f>
        <v/>
      </c>
      <c r="P2716" s="208">
        <f>MIN(1,MAX(0,(nr_MEndPm1-$G2716+0.5)/$C$2668))-MIN(1,MAX(0,(nr_MStartPm1-1-$G2716+0.5)/$C$2668))</f>
        <v/>
      </c>
      <c r="Q2716" s="208">
        <f>MIN(1,MAX(0,(nr_MEndP-$G2716+0.5)/$C$2668))-MIN(1,MAX(0,(nr_MStartP-1-$G2716+0.5)/$C$2668))</f>
        <v/>
      </c>
      <c r="R2716" s="208">
        <f>MIN(1,MAX(0,(nr_MEndP1-$G2716+0.5)/$C$2668))-MIN(1,MAX(0,(nr_MStartP1-1-$G2716+0.5)/$C$2668))</f>
        <v/>
      </c>
      <c r="S2716" s="208">
        <f>IF($L$2668,$N2716*IF($O$2668=1,$O2716/$F$2668,1),"")</f>
        <v/>
      </c>
      <c r="T2716" s="208">
        <f>IF(NOT($L$2668),"",IF($G2716&lt;nr_MStartP,$S2716,$T2704*(1+IF($G2716&lt;nr_MStartP1,$M$2668,$N$2668))))</f>
        <v/>
      </c>
      <c r="U2716" s="208">
        <f>IF($L$2668,$T2716,$N2716)</f>
        <v/>
      </c>
    </row>
    <row r="2717">
      <c r="A2717" s="145" t="n">
        <v>47</v>
      </c>
      <c r="B2717" s="204">
        <f>EDATE($B2716,1)</f>
        <v/>
      </c>
      <c r="C2717" s="205">
        <f>EOMONTH($B2717,0)</f>
        <v/>
      </c>
      <c r="D2717" s="201">
        <f>$C2717-$B2717+1</f>
        <v/>
      </c>
      <c r="E2717" s="201">
        <f>MONTH($B2717)</f>
        <v/>
      </c>
      <c r="F2717" s="235">
        <f>($B2717+$C2717+1)/2</f>
        <v/>
      </c>
      <c r="G2717" s="201">
        <f>YEAR($B2717)*12+MONTH($B2717)-1</f>
        <v/>
      </c>
      <c r="H2717" s="207">
        <f>IF(OR(nr_SeasonOn="OFF",$D$2668=0,$E$2668=0),1,12*INDEX(se_block,$D$2668,$E2717)/$E$2668)</f>
        <v/>
      </c>
      <c r="I2717" s="208">
        <f>EXP(SUMPRODUCT((rl_eff&lt;$B2717)*(rl_key=$A$2668)*rl_ln1p))</f>
        <v/>
      </c>
      <c r="J2717" s="208">
        <f>EXP(SUMPRODUCT((rl_eff&lt;=$C2717)*(rl_key=$A$2668)*rl_ln1p))</f>
        <v/>
      </c>
      <c r="K2717" s="201">
        <f>COUNTIFS(rl_key,$A$2668,rl_eff,"&gt;="&amp;$B2717,rl_eff,"&lt;="&amp;$C2717)</f>
        <v/>
      </c>
      <c r="L2717" s="201">
        <f>SUMIFS(rl_daysafter,rl_key,$A$2668,rl_effmonth,$B2717,rl_first,1)</f>
        <v/>
      </c>
      <c r="M2717" s="209">
        <f>IF($K2717=0,0,MIN(1,$L2717/$D2717))</f>
        <v/>
      </c>
      <c r="N2717" s="208">
        <f>IF($K2717=0,$J2717,(1-$M2717)*$I2717+$M2717*$J2717)</f>
        <v/>
      </c>
      <c r="O2717" s="209">
        <f>IF($F2717&lt;$B$2669,$E$2669+$I$2669*($F2717-$A$2669),IF($F2717&lt;$C$2669,$F$2669+$J$2669*($F2717-$B$2669),$G$2669+$K$2669*($F2717-$C$2669)))</f>
        <v/>
      </c>
      <c r="P2717" s="208">
        <f>MIN(1,MAX(0,(nr_MEndPm1-$G2717+0.5)/$C$2668))-MIN(1,MAX(0,(nr_MStartPm1-1-$G2717+0.5)/$C$2668))</f>
        <v/>
      </c>
      <c r="Q2717" s="208">
        <f>MIN(1,MAX(0,(nr_MEndP-$G2717+0.5)/$C$2668))-MIN(1,MAX(0,(nr_MStartP-1-$G2717+0.5)/$C$2668))</f>
        <v/>
      </c>
      <c r="R2717" s="208">
        <f>MIN(1,MAX(0,(nr_MEndP1-$G2717+0.5)/$C$2668))-MIN(1,MAX(0,(nr_MStartP1-1-$G2717+0.5)/$C$2668))</f>
        <v/>
      </c>
      <c r="S2717" s="208">
        <f>IF($L$2668,$N2717*IF($O$2668=1,$O2717/$F$2668,1),"")</f>
        <v/>
      </c>
      <c r="T2717" s="208">
        <f>IF(NOT($L$2668),"",IF($G2717&lt;nr_MStartP,$S2717,$T2705*(1+IF($G2717&lt;nr_MStartP1,$M$2668,$N$2668))))</f>
        <v/>
      </c>
      <c r="U2717" s="208">
        <f>IF($L$2668,$T2717,$N2717)</f>
        <v/>
      </c>
    </row>
    <row r="2718">
      <c r="A2718" s="145" t="n">
        <v>48</v>
      </c>
      <c r="B2718" s="204">
        <f>EDATE($B2717,1)</f>
        <v/>
      </c>
      <c r="C2718" s="205">
        <f>EOMONTH($B2718,0)</f>
        <v/>
      </c>
      <c r="D2718" s="201">
        <f>$C2718-$B2718+1</f>
        <v/>
      </c>
      <c r="E2718" s="201">
        <f>MONTH($B2718)</f>
        <v/>
      </c>
      <c r="F2718" s="235">
        <f>($B2718+$C2718+1)/2</f>
        <v/>
      </c>
      <c r="G2718" s="201">
        <f>YEAR($B2718)*12+MONTH($B2718)-1</f>
        <v/>
      </c>
      <c r="H2718" s="207">
        <f>IF(OR(nr_SeasonOn="OFF",$D$2668=0,$E$2668=0),1,12*INDEX(se_block,$D$2668,$E2718)/$E$2668)</f>
        <v/>
      </c>
      <c r="I2718" s="208">
        <f>EXP(SUMPRODUCT((rl_eff&lt;$B2718)*(rl_key=$A$2668)*rl_ln1p))</f>
        <v/>
      </c>
      <c r="J2718" s="208">
        <f>EXP(SUMPRODUCT((rl_eff&lt;=$C2718)*(rl_key=$A$2668)*rl_ln1p))</f>
        <v/>
      </c>
      <c r="K2718" s="201">
        <f>COUNTIFS(rl_key,$A$2668,rl_eff,"&gt;="&amp;$B2718,rl_eff,"&lt;="&amp;$C2718)</f>
        <v/>
      </c>
      <c r="L2718" s="201">
        <f>SUMIFS(rl_daysafter,rl_key,$A$2668,rl_effmonth,$B2718,rl_first,1)</f>
        <v/>
      </c>
      <c r="M2718" s="209">
        <f>IF($K2718=0,0,MIN(1,$L2718/$D2718))</f>
        <v/>
      </c>
      <c r="N2718" s="208">
        <f>IF($K2718=0,$J2718,(1-$M2718)*$I2718+$M2718*$J2718)</f>
        <v/>
      </c>
      <c r="O2718" s="209">
        <f>IF($F2718&lt;$B$2669,$E$2669+$I$2669*($F2718-$A$2669),IF($F2718&lt;$C$2669,$F$2669+$J$2669*($F2718-$B$2669),$G$2669+$K$2669*($F2718-$C$2669)))</f>
        <v/>
      </c>
      <c r="P2718" s="208">
        <f>MIN(1,MAX(0,(nr_MEndPm1-$G2718+0.5)/$C$2668))-MIN(1,MAX(0,(nr_MStartPm1-1-$G2718+0.5)/$C$2668))</f>
        <v/>
      </c>
      <c r="Q2718" s="208">
        <f>MIN(1,MAX(0,(nr_MEndP-$G2718+0.5)/$C$2668))-MIN(1,MAX(0,(nr_MStartP-1-$G2718+0.5)/$C$2668))</f>
        <v/>
      </c>
      <c r="R2718" s="208">
        <f>MIN(1,MAX(0,(nr_MEndP1-$G2718+0.5)/$C$2668))-MIN(1,MAX(0,(nr_MStartP1-1-$G2718+0.5)/$C$2668))</f>
        <v/>
      </c>
      <c r="S2718" s="208">
        <f>IF($L$2668,$N2718*IF($O$2668=1,$O2718/$F$2668,1),"")</f>
        <v/>
      </c>
      <c r="T2718" s="208">
        <f>IF(NOT($L$2668),"",IF($G2718&lt;nr_MStartP,$S2718,$T2706*(1+IF($G2718&lt;nr_MStartP1,$M$2668,$N$2668))))</f>
        <v/>
      </c>
      <c r="U2718" s="208">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184">
        <f>SUMPRODUCT($H$2671:$H$2718,$Q$2671:$Q$2718,$O$2671:$O$2718)/SUMPRODUCT($H$2671:$H$2718,$Q$2671:$Q$2718)</f>
        <v/>
      </c>
      <c r="G2719" s="184">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184">
        <f>IF(N(INDEX(lr_mind,50))=0,1,INDEX(lr_mind,50))</f>
        <v/>
      </c>
      <c r="G2722" s="184">
        <f>IF(N(INDEX(lr_m0,50))=0,1,INDEX(lr_m0,50))</f>
        <v/>
      </c>
      <c r="H2722" s="73">
        <f>IF(N(INDEX(lr_m0asof,50))=0,DATE(nr_PlanYear-1,10,1),INDEX(lr_m0asof,50))</f>
        <v/>
      </c>
      <c r="I2722" s="184">
        <f>IF(N(INDEX(lr_m1,50))=0,1,INDEX(lr_m1,50))</f>
        <v/>
      </c>
      <c r="J2722" s="184">
        <f>INDEX(lr_mprior,50)</f>
        <v/>
      </c>
      <c r="K2722" s="184">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145" t="n">
        <v>1</v>
      </c>
      <c r="B2725" s="204">
        <f>DATE(nr_PlanYear-2,1,1)</f>
        <v/>
      </c>
      <c r="C2725" s="205">
        <f>EOMONTH($B2725,0)</f>
        <v/>
      </c>
      <c r="D2725" s="201">
        <f>$C2725-$B2725+1</f>
        <v/>
      </c>
      <c r="E2725" s="201">
        <f>MONTH($B2725)</f>
        <v/>
      </c>
      <c r="F2725" s="235">
        <f>($B2725+$C2725+1)/2</f>
        <v/>
      </c>
      <c r="G2725" s="201">
        <f>YEAR($B2725)*12+MONTH($B2725)-1</f>
        <v/>
      </c>
      <c r="H2725" s="207">
        <f>IF(OR(nr_SeasonOn="OFF",$D$2722=0,$E$2722=0),1,12*INDEX(se_block,$D$2722,$E2725)/$E$2722)</f>
        <v/>
      </c>
      <c r="I2725" s="208">
        <f>EXP(SUMPRODUCT((rl_eff&lt;$B2725)*(rl_key=$A$2722)*rl_ln1p))</f>
        <v/>
      </c>
      <c r="J2725" s="208">
        <f>EXP(SUMPRODUCT((rl_eff&lt;=$C2725)*(rl_key=$A$2722)*rl_ln1p))</f>
        <v/>
      </c>
      <c r="K2725" s="201">
        <f>COUNTIFS(rl_key,$A$2722,rl_eff,"&gt;="&amp;$B2725,rl_eff,"&lt;="&amp;$C2725)</f>
        <v/>
      </c>
      <c r="L2725" s="201">
        <f>SUMIFS(rl_daysafter,rl_key,$A$2722,rl_effmonth,$B2725,rl_first,1)</f>
        <v/>
      </c>
      <c r="M2725" s="209">
        <f>IF($K2725=0,0,MIN(1,$L2725/$D2725))</f>
        <v/>
      </c>
      <c r="N2725" s="208">
        <f>IF($K2725=0,$J2725,(1-$M2725)*$I2725+$M2725*$J2725)</f>
        <v/>
      </c>
      <c r="O2725" s="209">
        <f>IF($F2725&lt;$B$2723,$E$2723+$I$2723*($F2725-$A$2723),IF($F2725&lt;$C$2723,$F$2723+$J$2723*($F2725-$B$2723),$G$2723+$K$2723*($F2725-$C$2723)))</f>
        <v/>
      </c>
      <c r="P2725" s="208">
        <f>MIN(1,MAX(0,(nr_MEndPm1-$G2725+0.5)/$C$2722))-MIN(1,MAX(0,(nr_MStartPm1-1-$G2725+0.5)/$C$2722))</f>
        <v/>
      </c>
      <c r="Q2725" s="208">
        <f>MIN(1,MAX(0,(nr_MEndP-$G2725+0.5)/$C$2722))-MIN(1,MAX(0,(nr_MStartP-1-$G2725+0.5)/$C$2722))</f>
        <v/>
      </c>
      <c r="R2725" s="208">
        <f>MIN(1,MAX(0,(nr_MEndP1-$G2725+0.5)/$C$2722))-MIN(1,MAX(0,(nr_MStartP1-1-$G2725+0.5)/$C$2722))</f>
        <v/>
      </c>
      <c r="S2725" s="208">
        <f>IF($L$2722,$N2725*IF($O$2722=1,$O2725/$F$2722,1),"")</f>
        <v/>
      </c>
      <c r="T2725" s="208">
        <f>IF(NOT($L$2722),"",IF($G2725&lt;nr_MStartP,$S2725,$T2713*(1+IF($G2725&lt;nr_MStartP1,$M$2722,$N$2722))))</f>
        <v/>
      </c>
      <c r="U2725" s="208">
        <f>IF($L$2722,$T2725,$N2725)</f>
        <v/>
      </c>
    </row>
    <row r="2726">
      <c r="A2726" s="145" t="n">
        <v>2</v>
      </c>
      <c r="B2726" s="204">
        <f>EDATE($B2725,1)</f>
        <v/>
      </c>
      <c r="C2726" s="205">
        <f>EOMONTH($B2726,0)</f>
        <v/>
      </c>
      <c r="D2726" s="201">
        <f>$C2726-$B2726+1</f>
        <v/>
      </c>
      <c r="E2726" s="201">
        <f>MONTH($B2726)</f>
        <v/>
      </c>
      <c r="F2726" s="235">
        <f>($B2726+$C2726+1)/2</f>
        <v/>
      </c>
      <c r="G2726" s="201">
        <f>YEAR($B2726)*12+MONTH($B2726)-1</f>
        <v/>
      </c>
      <c r="H2726" s="207">
        <f>IF(OR(nr_SeasonOn="OFF",$D$2722=0,$E$2722=0),1,12*INDEX(se_block,$D$2722,$E2726)/$E$2722)</f>
        <v/>
      </c>
      <c r="I2726" s="208">
        <f>EXP(SUMPRODUCT((rl_eff&lt;$B2726)*(rl_key=$A$2722)*rl_ln1p))</f>
        <v/>
      </c>
      <c r="J2726" s="208">
        <f>EXP(SUMPRODUCT((rl_eff&lt;=$C2726)*(rl_key=$A$2722)*rl_ln1p))</f>
        <v/>
      </c>
      <c r="K2726" s="201">
        <f>COUNTIFS(rl_key,$A$2722,rl_eff,"&gt;="&amp;$B2726,rl_eff,"&lt;="&amp;$C2726)</f>
        <v/>
      </c>
      <c r="L2726" s="201">
        <f>SUMIFS(rl_daysafter,rl_key,$A$2722,rl_effmonth,$B2726,rl_first,1)</f>
        <v/>
      </c>
      <c r="M2726" s="209">
        <f>IF($K2726=0,0,MIN(1,$L2726/$D2726))</f>
        <v/>
      </c>
      <c r="N2726" s="208">
        <f>IF($K2726=0,$J2726,(1-$M2726)*$I2726+$M2726*$J2726)</f>
        <v/>
      </c>
      <c r="O2726" s="209">
        <f>IF($F2726&lt;$B$2723,$E$2723+$I$2723*($F2726-$A$2723),IF($F2726&lt;$C$2723,$F$2723+$J$2723*($F2726-$B$2723),$G$2723+$K$2723*($F2726-$C$2723)))</f>
        <v/>
      </c>
      <c r="P2726" s="208">
        <f>MIN(1,MAX(0,(nr_MEndPm1-$G2726+0.5)/$C$2722))-MIN(1,MAX(0,(nr_MStartPm1-1-$G2726+0.5)/$C$2722))</f>
        <v/>
      </c>
      <c r="Q2726" s="208">
        <f>MIN(1,MAX(0,(nr_MEndP-$G2726+0.5)/$C$2722))-MIN(1,MAX(0,(nr_MStartP-1-$G2726+0.5)/$C$2722))</f>
        <v/>
      </c>
      <c r="R2726" s="208">
        <f>MIN(1,MAX(0,(nr_MEndP1-$G2726+0.5)/$C$2722))-MIN(1,MAX(0,(nr_MStartP1-1-$G2726+0.5)/$C$2722))</f>
        <v/>
      </c>
      <c r="S2726" s="208">
        <f>IF($L$2722,$N2726*IF($O$2722=1,$O2726/$F$2722,1),"")</f>
        <v/>
      </c>
      <c r="T2726" s="208">
        <f>IF(NOT($L$2722),"",IF($G2726&lt;nr_MStartP,$S2726,$T2714*(1+IF($G2726&lt;nr_MStartP1,$M$2722,$N$2722))))</f>
        <v/>
      </c>
      <c r="U2726" s="208">
        <f>IF($L$2722,$T2726,$N2726)</f>
        <v/>
      </c>
    </row>
    <row r="2727">
      <c r="A2727" s="145" t="n">
        <v>3</v>
      </c>
      <c r="B2727" s="204">
        <f>EDATE($B2726,1)</f>
        <v/>
      </c>
      <c r="C2727" s="205">
        <f>EOMONTH($B2727,0)</f>
        <v/>
      </c>
      <c r="D2727" s="201">
        <f>$C2727-$B2727+1</f>
        <v/>
      </c>
      <c r="E2727" s="201">
        <f>MONTH($B2727)</f>
        <v/>
      </c>
      <c r="F2727" s="235">
        <f>($B2727+$C2727+1)/2</f>
        <v/>
      </c>
      <c r="G2727" s="201">
        <f>YEAR($B2727)*12+MONTH($B2727)-1</f>
        <v/>
      </c>
      <c r="H2727" s="207">
        <f>IF(OR(nr_SeasonOn="OFF",$D$2722=0,$E$2722=0),1,12*INDEX(se_block,$D$2722,$E2727)/$E$2722)</f>
        <v/>
      </c>
      <c r="I2727" s="208">
        <f>EXP(SUMPRODUCT((rl_eff&lt;$B2727)*(rl_key=$A$2722)*rl_ln1p))</f>
        <v/>
      </c>
      <c r="J2727" s="208">
        <f>EXP(SUMPRODUCT((rl_eff&lt;=$C2727)*(rl_key=$A$2722)*rl_ln1p))</f>
        <v/>
      </c>
      <c r="K2727" s="201">
        <f>COUNTIFS(rl_key,$A$2722,rl_eff,"&gt;="&amp;$B2727,rl_eff,"&lt;="&amp;$C2727)</f>
        <v/>
      </c>
      <c r="L2727" s="201">
        <f>SUMIFS(rl_daysafter,rl_key,$A$2722,rl_effmonth,$B2727,rl_first,1)</f>
        <v/>
      </c>
      <c r="M2727" s="209">
        <f>IF($K2727=0,0,MIN(1,$L2727/$D2727))</f>
        <v/>
      </c>
      <c r="N2727" s="208">
        <f>IF($K2727=0,$J2727,(1-$M2727)*$I2727+$M2727*$J2727)</f>
        <v/>
      </c>
      <c r="O2727" s="209">
        <f>IF($F2727&lt;$B$2723,$E$2723+$I$2723*($F2727-$A$2723),IF($F2727&lt;$C$2723,$F$2723+$J$2723*($F2727-$B$2723),$G$2723+$K$2723*($F2727-$C$2723)))</f>
        <v/>
      </c>
      <c r="P2727" s="208">
        <f>MIN(1,MAX(0,(nr_MEndPm1-$G2727+0.5)/$C$2722))-MIN(1,MAX(0,(nr_MStartPm1-1-$G2727+0.5)/$C$2722))</f>
        <v/>
      </c>
      <c r="Q2727" s="208">
        <f>MIN(1,MAX(0,(nr_MEndP-$G2727+0.5)/$C$2722))-MIN(1,MAX(0,(nr_MStartP-1-$G2727+0.5)/$C$2722))</f>
        <v/>
      </c>
      <c r="R2727" s="208">
        <f>MIN(1,MAX(0,(nr_MEndP1-$G2727+0.5)/$C$2722))-MIN(1,MAX(0,(nr_MStartP1-1-$G2727+0.5)/$C$2722))</f>
        <v/>
      </c>
      <c r="S2727" s="208">
        <f>IF($L$2722,$N2727*IF($O$2722=1,$O2727/$F$2722,1),"")</f>
        <v/>
      </c>
      <c r="T2727" s="208">
        <f>IF(NOT($L$2722),"",IF($G2727&lt;nr_MStartP,$S2727,$T2715*(1+IF($G2727&lt;nr_MStartP1,$M$2722,$N$2722))))</f>
        <v/>
      </c>
      <c r="U2727" s="208">
        <f>IF($L$2722,$T2727,$N2727)</f>
        <v/>
      </c>
    </row>
    <row r="2728">
      <c r="A2728" s="145" t="n">
        <v>4</v>
      </c>
      <c r="B2728" s="204">
        <f>EDATE($B2727,1)</f>
        <v/>
      </c>
      <c r="C2728" s="205">
        <f>EOMONTH($B2728,0)</f>
        <v/>
      </c>
      <c r="D2728" s="201">
        <f>$C2728-$B2728+1</f>
        <v/>
      </c>
      <c r="E2728" s="201">
        <f>MONTH($B2728)</f>
        <v/>
      </c>
      <c r="F2728" s="235">
        <f>($B2728+$C2728+1)/2</f>
        <v/>
      </c>
      <c r="G2728" s="201">
        <f>YEAR($B2728)*12+MONTH($B2728)-1</f>
        <v/>
      </c>
      <c r="H2728" s="207">
        <f>IF(OR(nr_SeasonOn="OFF",$D$2722=0,$E$2722=0),1,12*INDEX(se_block,$D$2722,$E2728)/$E$2722)</f>
        <v/>
      </c>
      <c r="I2728" s="208">
        <f>EXP(SUMPRODUCT((rl_eff&lt;$B2728)*(rl_key=$A$2722)*rl_ln1p))</f>
        <v/>
      </c>
      <c r="J2728" s="208">
        <f>EXP(SUMPRODUCT((rl_eff&lt;=$C2728)*(rl_key=$A$2722)*rl_ln1p))</f>
        <v/>
      </c>
      <c r="K2728" s="201">
        <f>COUNTIFS(rl_key,$A$2722,rl_eff,"&gt;="&amp;$B2728,rl_eff,"&lt;="&amp;$C2728)</f>
        <v/>
      </c>
      <c r="L2728" s="201">
        <f>SUMIFS(rl_daysafter,rl_key,$A$2722,rl_effmonth,$B2728,rl_first,1)</f>
        <v/>
      </c>
      <c r="M2728" s="209">
        <f>IF($K2728=0,0,MIN(1,$L2728/$D2728))</f>
        <v/>
      </c>
      <c r="N2728" s="208">
        <f>IF($K2728=0,$J2728,(1-$M2728)*$I2728+$M2728*$J2728)</f>
        <v/>
      </c>
      <c r="O2728" s="209">
        <f>IF($F2728&lt;$B$2723,$E$2723+$I$2723*($F2728-$A$2723),IF($F2728&lt;$C$2723,$F$2723+$J$2723*($F2728-$B$2723),$G$2723+$K$2723*($F2728-$C$2723)))</f>
        <v/>
      </c>
      <c r="P2728" s="208">
        <f>MIN(1,MAX(0,(nr_MEndPm1-$G2728+0.5)/$C$2722))-MIN(1,MAX(0,(nr_MStartPm1-1-$G2728+0.5)/$C$2722))</f>
        <v/>
      </c>
      <c r="Q2728" s="208">
        <f>MIN(1,MAX(0,(nr_MEndP-$G2728+0.5)/$C$2722))-MIN(1,MAX(0,(nr_MStartP-1-$G2728+0.5)/$C$2722))</f>
        <v/>
      </c>
      <c r="R2728" s="208">
        <f>MIN(1,MAX(0,(nr_MEndP1-$G2728+0.5)/$C$2722))-MIN(1,MAX(0,(nr_MStartP1-1-$G2728+0.5)/$C$2722))</f>
        <v/>
      </c>
      <c r="S2728" s="208">
        <f>IF($L$2722,$N2728*IF($O$2722=1,$O2728/$F$2722,1),"")</f>
        <v/>
      </c>
      <c r="T2728" s="208">
        <f>IF(NOT($L$2722),"",IF($G2728&lt;nr_MStartP,$S2728,$T2716*(1+IF($G2728&lt;nr_MStartP1,$M$2722,$N$2722))))</f>
        <v/>
      </c>
      <c r="U2728" s="208">
        <f>IF($L$2722,$T2728,$N2728)</f>
        <v/>
      </c>
    </row>
    <row r="2729">
      <c r="A2729" s="145" t="n">
        <v>5</v>
      </c>
      <c r="B2729" s="204">
        <f>EDATE($B2728,1)</f>
        <v/>
      </c>
      <c r="C2729" s="205">
        <f>EOMONTH($B2729,0)</f>
        <v/>
      </c>
      <c r="D2729" s="201">
        <f>$C2729-$B2729+1</f>
        <v/>
      </c>
      <c r="E2729" s="201">
        <f>MONTH($B2729)</f>
        <v/>
      </c>
      <c r="F2729" s="235">
        <f>($B2729+$C2729+1)/2</f>
        <v/>
      </c>
      <c r="G2729" s="201">
        <f>YEAR($B2729)*12+MONTH($B2729)-1</f>
        <v/>
      </c>
      <c r="H2729" s="207">
        <f>IF(OR(nr_SeasonOn="OFF",$D$2722=0,$E$2722=0),1,12*INDEX(se_block,$D$2722,$E2729)/$E$2722)</f>
        <v/>
      </c>
      <c r="I2729" s="208">
        <f>EXP(SUMPRODUCT((rl_eff&lt;$B2729)*(rl_key=$A$2722)*rl_ln1p))</f>
        <v/>
      </c>
      <c r="J2729" s="208">
        <f>EXP(SUMPRODUCT((rl_eff&lt;=$C2729)*(rl_key=$A$2722)*rl_ln1p))</f>
        <v/>
      </c>
      <c r="K2729" s="201">
        <f>COUNTIFS(rl_key,$A$2722,rl_eff,"&gt;="&amp;$B2729,rl_eff,"&lt;="&amp;$C2729)</f>
        <v/>
      </c>
      <c r="L2729" s="201">
        <f>SUMIFS(rl_daysafter,rl_key,$A$2722,rl_effmonth,$B2729,rl_first,1)</f>
        <v/>
      </c>
      <c r="M2729" s="209">
        <f>IF($K2729=0,0,MIN(1,$L2729/$D2729))</f>
        <v/>
      </c>
      <c r="N2729" s="208">
        <f>IF($K2729=0,$J2729,(1-$M2729)*$I2729+$M2729*$J2729)</f>
        <v/>
      </c>
      <c r="O2729" s="209">
        <f>IF($F2729&lt;$B$2723,$E$2723+$I$2723*($F2729-$A$2723),IF($F2729&lt;$C$2723,$F$2723+$J$2723*($F2729-$B$2723),$G$2723+$K$2723*($F2729-$C$2723)))</f>
        <v/>
      </c>
      <c r="P2729" s="208">
        <f>MIN(1,MAX(0,(nr_MEndPm1-$G2729+0.5)/$C$2722))-MIN(1,MAX(0,(nr_MStartPm1-1-$G2729+0.5)/$C$2722))</f>
        <v/>
      </c>
      <c r="Q2729" s="208">
        <f>MIN(1,MAX(0,(nr_MEndP-$G2729+0.5)/$C$2722))-MIN(1,MAX(0,(nr_MStartP-1-$G2729+0.5)/$C$2722))</f>
        <v/>
      </c>
      <c r="R2729" s="208">
        <f>MIN(1,MAX(0,(nr_MEndP1-$G2729+0.5)/$C$2722))-MIN(1,MAX(0,(nr_MStartP1-1-$G2729+0.5)/$C$2722))</f>
        <v/>
      </c>
      <c r="S2729" s="208">
        <f>IF($L$2722,$N2729*IF($O$2722=1,$O2729/$F$2722,1),"")</f>
        <v/>
      </c>
      <c r="T2729" s="208">
        <f>IF(NOT($L$2722),"",IF($G2729&lt;nr_MStartP,$S2729,$T2717*(1+IF($G2729&lt;nr_MStartP1,$M$2722,$N$2722))))</f>
        <v/>
      </c>
      <c r="U2729" s="208">
        <f>IF($L$2722,$T2729,$N2729)</f>
        <v/>
      </c>
    </row>
    <row r="2730">
      <c r="A2730" s="145" t="n">
        <v>6</v>
      </c>
      <c r="B2730" s="204">
        <f>EDATE($B2729,1)</f>
        <v/>
      </c>
      <c r="C2730" s="205">
        <f>EOMONTH($B2730,0)</f>
        <v/>
      </c>
      <c r="D2730" s="201">
        <f>$C2730-$B2730+1</f>
        <v/>
      </c>
      <c r="E2730" s="201">
        <f>MONTH($B2730)</f>
        <v/>
      </c>
      <c r="F2730" s="235">
        <f>($B2730+$C2730+1)/2</f>
        <v/>
      </c>
      <c r="G2730" s="201">
        <f>YEAR($B2730)*12+MONTH($B2730)-1</f>
        <v/>
      </c>
      <c r="H2730" s="207">
        <f>IF(OR(nr_SeasonOn="OFF",$D$2722=0,$E$2722=0),1,12*INDEX(se_block,$D$2722,$E2730)/$E$2722)</f>
        <v/>
      </c>
      <c r="I2730" s="208">
        <f>EXP(SUMPRODUCT((rl_eff&lt;$B2730)*(rl_key=$A$2722)*rl_ln1p))</f>
        <v/>
      </c>
      <c r="J2730" s="208">
        <f>EXP(SUMPRODUCT((rl_eff&lt;=$C2730)*(rl_key=$A$2722)*rl_ln1p))</f>
        <v/>
      </c>
      <c r="K2730" s="201">
        <f>COUNTIFS(rl_key,$A$2722,rl_eff,"&gt;="&amp;$B2730,rl_eff,"&lt;="&amp;$C2730)</f>
        <v/>
      </c>
      <c r="L2730" s="201">
        <f>SUMIFS(rl_daysafter,rl_key,$A$2722,rl_effmonth,$B2730,rl_first,1)</f>
        <v/>
      </c>
      <c r="M2730" s="209">
        <f>IF($K2730=0,0,MIN(1,$L2730/$D2730))</f>
        <v/>
      </c>
      <c r="N2730" s="208">
        <f>IF($K2730=0,$J2730,(1-$M2730)*$I2730+$M2730*$J2730)</f>
        <v/>
      </c>
      <c r="O2730" s="209">
        <f>IF($F2730&lt;$B$2723,$E$2723+$I$2723*($F2730-$A$2723),IF($F2730&lt;$C$2723,$F$2723+$J$2723*($F2730-$B$2723),$G$2723+$K$2723*($F2730-$C$2723)))</f>
        <v/>
      </c>
      <c r="P2730" s="208">
        <f>MIN(1,MAX(0,(nr_MEndPm1-$G2730+0.5)/$C$2722))-MIN(1,MAX(0,(nr_MStartPm1-1-$G2730+0.5)/$C$2722))</f>
        <v/>
      </c>
      <c r="Q2730" s="208">
        <f>MIN(1,MAX(0,(nr_MEndP-$G2730+0.5)/$C$2722))-MIN(1,MAX(0,(nr_MStartP-1-$G2730+0.5)/$C$2722))</f>
        <v/>
      </c>
      <c r="R2730" s="208">
        <f>MIN(1,MAX(0,(nr_MEndP1-$G2730+0.5)/$C$2722))-MIN(1,MAX(0,(nr_MStartP1-1-$G2730+0.5)/$C$2722))</f>
        <v/>
      </c>
      <c r="S2730" s="208">
        <f>IF($L$2722,$N2730*IF($O$2722=1,$O2730/$F$2722,1),"")</f>
        <v/>
      </c>
      <c r="T2730" s="208">
        <f>IF(NOT($L$2722),"",IF($G2730&lt;nr_MStartP,$S2730,$T2718*(1+IF($G2730&lt;nr_MStartP1,$M$2722,$N$2722))))</f>
        <v/>
      </c>
      <c r="U2730" s="208">
        <f>IF($L$2722,$T2730,$N2730)</f>
        <v/>
      </c>
    </row>
    <row r="2731">
      <c r="A2731" s="145" t="n">
        <v>7</v>
      </c>
      <c r="B2731" s="204">
        <f>EDATE($B2730,1)</f>
        <v/>
      </c>
      <c r="C2731" s="205">
        <f>EOMONTH($B2731,0)</f>
        <v/>
      </c>
      <c r="D2731" s="201">
        <f>$C2731-$B2731+1</f>
        <v/>
      </c>
      <c r="E2731" s="201">
        <f>MONTH($B2731)</f>
        <v/>
      </c>
      <c r="F2731" s="235">
        <f>($B2731+$C2731+1)/2</f>
        <v/>
      </c>
      <c r="G2731" s="201">
        <f>YEAR($B2731)*12+MONTH($B2731)-1</f>
        <v/>
      </c>
      <c r="H2731" s="207">
        <f>IF(OR(nr_SeasonOn="OFF",$D$2722=0,$E$2722=0),1,12*INDEX(se_block,$D$2722,$E2731)/$E$2722)</f>
        <v/>
      </c>
      <c r="I2731" s="208">
        <f>EXP(SUMPRODUCT((rl_eff&lt;$B2731)*(rl_key=$A$2722)*rl_ln1p))</f>
        <v/>
      </c>
      <c r="J2731" s="208">
        <f>EXP(SUMPRODUCT((rl_eff&lt;=$C2731)*(rl_key=$A$2722)*rl_ln1p))</f>
        <v/>
      </c>
      <c r="K2731" s="201">
        <f>COUNTIFS(rl_key,$A$2722,rl_eff,"&gt;="&amp;$B2731,rl_eff,"&lt;="&amp;$C2731)</f>
        <v/>
      </c>
      <c r="L2731" s="201">
        <f>SUMIFS(rl_daysafter,rl_key,$A$2722,rl_effmonth,$B2731,rl_first,1)</f>
        <v/>
      </c>
      <c r="M2731" s="209">
        <f>IF($K2731=0,0,MIN(1,$L2731/$D2731))</f>
        <v/>
      </c>
      <c r="N2731" s="208">
        <f>IF($K2731=0,$J2731,(1-$M2731)*$I2731+$M2731*$J2731)</f>
        <v/>
      </c>
      <c r="O2731" s="209">
        <f>IF($F2731&lt;$B$2723,$E$2723+$I$2723*($F2731-$A$2723),IF($F2731&lt;$C$2723,$F$2723+$J$2723*($F2731-$B$2723),$G$2723+$K$2723*($F2731-$C$2723)))</f>
        <v/>
      </c>
      <c r="P2731" s="208">
        <f>MIN(1,MAX(0,(nr_MEndPm1-$G2731+0.5)/$C$2722))-MIN(1,MAX(0,(nr_MStartPm1-1-$G2731+0.5)/$C$2722))</f>
        <v/>
      </c>
      <c r="Q2731" s="208">
        <f>MIN(1,MAX(0,(nr_MEndP-$G2731+0.5)/$C$2722))-MIN(1,MAX(0,(nr_MStartP-1-$G2731+0.5)/$C$2722))</f>
        <v/>
      </c>
      <c r="R2731" s="208">
        <f>MIN(1,MAX(0,(nr_MEndP1-$G2731+0.5)/$C$2722))-MIN(1,MAX(0,(nr_MStartP1-1-$G2731+0.5)/$C$2722))</f>
        <v/>
      </c>
      <c r="S2731" s="208">
        <f>IF($L$2722,$N2731*IF($O$2722=1,$O2731/$F$2722,1),"")</f>
        <v/>
      </c>
      <c r="T2731" s="208">
        <f>IF(NOT($L$2722),"",IF($G2731&lt;nr_MStartP,$S2731,$T2719*(1+IF($G2731&lt;nr_MStartP1,$M$2722,$N$2722))))</f>
        <v/>
      </c>
      <c r="U2731" s="208">
        <f>IF($L$2722,$T2731,$N2731)</f>
        <v/>
      </c>
    </row>
    <row r="2732">
      <c r="A2732" s="145" t="n">
        <v>8</v>
      </c>
      <c r="B2732" s="204">
        <f>EDATE($B2731,1)</f>
        <v/>
      </c>
      <c r="C2732" s="205">
        <f>EOMONTH($B2732,0)</f>
        <v/>
      </c>
      <c r="D2732" s="201">
        <f>$C2732-$B2732+1</f>
        <v/>
      </c>
      <c r="E2732" s="201">
        <f>MONTH($B2732)</f>
        <v/>
      </c>
      <c r="F2732" s="235">
        <f>($B2732+$C2732+1)/2</f>
        <v/>
      </c>
      <c r="G2732" s="201">
        <f>YEAR($B2732)*12+MONTH($B2732)-1</f>
        <v/>
      </c>
      <c r="H2732" s="207">
        <f>IF(OR(nr_SeasonOn="OFF",$D$2722=0,$E$2722=0),1,12*INDEX(se_block,$D$2722,$E2732)/$E$2722)</f>
        <v/>
      </c>
      <c r="I2732" s="208">
        <f>EXP(SUMPRODUCT((rl_eff&lt;$B2732)*(rl_key=$A$2722)*rl_ln1p))</f>
        <v/>
      </c>
      <c r="J2732" s="208">
        <f>EXP(SUMPRODUCT((rl_eff&lt;=$C2732)*(rl_key=$A$2722)*rl_ln1p))</f>
        <v/>
      </c>
      <c r="K2732" s="201">
        <f>COUNTIFS(rl_key,$A$2722,rl_eff,"&gt;="&amp;$B2732,rl_eff,"&lt;="&amp;$C2732)</f>
        <v/>
      </c>
      <c r="L2732" s="201">
        <f>SUMIFS(rl_daysafter,rl_key,$A$2722,rl_effmonth,$B2732,rl_first,1)</f>
        <v/>
      </c>
      <c r="M2732" s="209">
        <f>IF($K2732=0,0,MIN(1,$L2732/$D2732))</f>
        <v/>
      </c>
      <c r="N2732" s="208">
        <f>IF($K2732=0,$J2732,(1-$M2732)*$I2732+$M2732*$J2732)</f>
        <v/>
      </c>
      <c r="O2732" s="209">
        <f>IF($F2732&lt;$B$2723,$E$2723+$I$2723*($F2732-$A$2723),IF($F2732&lt;$C$2723,$F$2723+$J$2723*($F2732-$B$2723),$G$2723+$K$2723*($F2732-$C$2723)))</f>
        <v/>
      </c>
      <c r="P2732" s="208">
        <f>MIN(1,MAX(0,(nr_MEndPm1-$G2732+0.5)/$C$2722))-MIN(1,MAX(0,(nr_MStartPm1-1-$G2732+0.5)/$C$2722))</f>
        <v/>
      </c>
      <c r="Q2732" s="208">
        <f>MIN(1,MAX(0,(nr_MEndP-$G2732+0.5)/$C$2722))-MIN(1,MAX(0,(nr_MStartP-1-$G2732+0.5)/$C$2722))</f>
        <v/>
      </c>
      <c r="R2732" s="208">
        <f>MIN(1,MAX(0,(nr_MEndP1-$G2732+0.5)/$C$2722))-MIN(1,MAX(0,(nr_MStartP1-1-$G2732+0.5)/$C$2722))</f>
        <v/>
      </c>
      <c r="S2732" s="208">
        <f>IF($L$2722,$N2732*IF($O$2722=1,$O2732/$F$2722,1),"")</f>
        <v/>
      </c>
      <c r="T2732" s="208">
        <f>IF(NOT($L$2722),"",IF($G2732&lt;nr_MStartP,$S2732,$T2720*(1+IF($G2732&lt;nr_MStartP1,$M$2722,$N$2722))))</f>
        <v/>
      </c>
      <c r="U2732" s="208">
        <f>IF($L$2722,$T2732,$N2732)</f>
        <v/>
      </c>
    </row>
    <row r="2733">
      <c r="A2733" s="145" t="n">
        <v>9</v>
      </c>
      <c r="B2733" s="204">
        <f>EDATE($B2732,1)</f>
        <v/>
      </c>
      <c r="C2733" s="205">
        <f>EOMONTH($B2733,0)</f>
        <v/>
      </c>
      <c r="D2733" s="201">
        <f>$C2733-$B2733+1</f>
        <v/>
      </c>
      <c r="E2733" s="201">
        <f>MONTH($B2733)</f>
        <v/>
      </c>
      <c r="F2733" s="235">
        <f>($B2733+$C2733+1)/2</f>
        <v/>
      </c>
      <c r="G2733" s="201">
        <f>YEAR($B2733)*12+MONTH($B2733)-1</f>
        <v/>
      </c>
      <c r="H2733" s="207">
        <f>IF(OR(nr_SeasonOn="OFF",$D$2722=0,$E$2722=0),1,12*INDEX(se_block,$D$2722,$E2733)/$E$2722)</f>
        <v/>
      </c>
      <c r="I2733" s="208">
        <f>EXP(SUMPRODUCT((rl_eff&lt;$B2733)*(rl_key=$A$2722)*rl_ln1p))</f>
        <v/>
      </c>
      <c r="J2733" s="208">
        <f>EXP(SUMPRODUCT((rl_eff&lt;=$C2733)*(rl_key=$A$2722)*rl_ln1p))</f>
        <v/>
      </c>
      <c r="K2733" s="201">
        <f>COUNTIFS(rl_key,$A$2722,rl_eff,"&gt;="&amp;$B2733,rl_eff,"&lt;="&amp;$C2733)</f>
        <v/>
      </c>
      <c r="L2733" s="201">
        <f>SUMIFS(rl_daysafter,rl_key,$A$2722,rl_effmonth,$B2733,rl_first,1)</f>
        <v/>
      </c>
      <c r="M2733" s="209">
        <f>IF($K2733=0,0,MIN(1,$L2733/$D2733))</f>
        <v/>
      </c>
      <c r="N2733" s="208">
        <f>IF($K2733=0,$J2733,(1-$M2733)*$I2733+$M2733*$J2733)</f>
        <v/>
      </c>
      <c r="O2733" s="209">
        <f>IF($F2733&lt;$B$2723,$E$2723+$I$2723*($F2733-$A$2723),IF($F2733&lt;$C$2723,$F$2723+$J$2723*($F2733-$B$2723),$G$2723+$K$2723*($F2733-$C$2723)))</f>
        <v/>
      </c>
      <c r="P2733" s="208">
        <f>MIN(1,MAX(0,(nr_MEndPm1-$G2733+0.5)/$C$2722))-MIN(1,MAX(0,(nr_MStartPm1-1-$G2733+0.5)/$C$2722))</f>
        <v/>
      </c>
      <c r="Q2733" s="208">
        <f>MIN(1,MAX(0,(nr_MEndP-$G2733+0.5)/$C$2722))-MIN(1,MAX(0,(nr_MStartP-1-$G2733+0.5)/$C$2722))</f>
        <v/>
      </c>
      <c r="R2733" s="208">
        <f>MIN(1,MAX(0,(nr_MEndP1-$G2733+0.5)/$C$2722))-MIN(1,MAX(0,(nr_MStartP1-1-$G2733+0.5)/$C$2722))</f>
        <v/>
      </c>
      <c r="S2733" s="208">
        <f>IF($L$2722,$N2733*IF($O$2722=1,$O2733/$F$2722,1),"")</f>
        <v/>
      </c>
      <c r="T2733" s="208">
        <f>IF(NOT($L$2722),"",IF($G2733&lt;nr_MStartP,$S2733,$T2721*(1+IF($G2733&lt;nr_MStartP1,$M$2722,$N$2722))))</f>
        <v/>
      </c>
      <c r="U2733" s="208">
        <f>IF($L$2722,$T2733,$N2733)</f>
        <v/>
      </c>
    </row>
    <row r="2734">
      <c r="A2734" s="145" t="n">
        <v>10</v>
      </c>
      <c r="B2734" s="204">
        <f>EDATE($B2733,1)</f>
        <v/>
      </c>
      <c r="C2734" s="205">
        <f>EOMONTH($B2734,0)</f>
        <v/>
      </c>
      <c r="D2734" s="201">
        <f>$C2734-$B2734+1</f>
        <v/>
      </c>
      <c r="E2734" s="201">
        <f>MONTH($B2734)</f>
        <v/>
      </c>
      <c r="F2734" s="235">
        <f>($B2734+$C2734+1)/2</f>
        <v/>
      </c>
      <c r="G2734" s="201">
        <f>YEAR($B2734)*12+MONTH($B2734)-1</f>
        <v/>
      </c>
      <c r="H2734" s="207">
        <f>IF(OR(nr_SeasonOn="OFF",$D$2722=0,$E$2722=0),1,12*INDEX(se_block,$D$2722,$E2734)/$E$2722)</f>
        <v/>
      </c>
      <c r="I2734" s="208">
        <f>EXP(SUMPRODUCT((rl_eff&lt;$B2734)*(rl_key=$A$2722)*rl_ln1p))</f>
        <v/>
      </c>
      <c r="J2734" s="208">
        <f>EXP(SUMPRODUCT((rl_eff&lt;=$C2734)*(rl_key=$A$2722)*rl_ln1p))</f>
        <v/>
      </c>
      <c r="K2734" s="201">
        <f>COUNTIFS(rl_key,$A$2722,rl_eff,"&gt;="&amp;$B2734,rl_eff,"&lt;="&amp;$C2734)</f>
        <v/>
      </c>
      <c r="L2734" s="201">
        <f>SUMIFS(rl_daysafter,rl_key,$A$2722,rl_effmonth,$B2734,rl_first,1)</f>
        <v/>
      </c>
      <c r="M2734" s="209">
        <f>IF($K2734=0,0,MIN(1,$L2734/$D2734))</f>
        <v/>
      </c>
      <c r="N2734" s="208">
        <f>IF($K2734=0,$J2734,(1-$M2734)*$I2734+$M2734*$J2734)</f>
        <v/>
      </c>
      <c r="O2734" s="209">
        <f>IF($F2734&lt;$B$2723,$E$2723+$I$2723*($F2734-$A$2723),IF($F2734&lt;$C$2723,$F$2723+$J$2723*($F2734-$B$2723),$G$2723+$K$2723*($F2734-$C$2723)))</f>
        <v/>
      </c>
      <c r="P2734" s="208">
        <f>MIN(1,MAX(0,(nr_MEndPm1-$G2734+0.5)/$C$2722))-MIN(1,MAX(0,(nr_MStartPm1-1-$G2734+0.5)/$C$2722))</f>
        <v/>
      </c>
      <c r="Q2734" s="208">
        <f>MIN(1,MAX(0,(nr_MEndP-$G2734+0.5)/$C$2722))-MIN(1,MAX(0,(nr_MStartP-1-$G2734+0.5)/$C$2722))</f>
        <v/>
      </c>
      <c r="R2734" s="208">
        <f>MIN(1,MAX(0,(nr_MEndP1-$G2734+0.5)/$C$2722))-MIN(1,MAX(0,(nr_MStartP1-1-$G2734+0.5)/$C$2722))</f>
        <v/>
      </c>
      <c r="S2734" s="208">
        <f>IF($L$2722,$N2734*IF($O$2722=1,$O2734/$F$2722,1),"")</f>
        <v/>
      </c>
      <c r="T2734" s="208">
        <f>IF(NOT($L$2722),"",IF($G2734&lt;nr_MStartP,$S2734,$T2722*(1+IF($G2734&lt;nr_MStartP1,$M$2722,$N$2722))))</f>
        <v/>
      </c>
      <c r="U2734" s="208">
        <f>IF($L$2722,$T2734,$N2734)</f>
        <v/>
      </c>
    </row>
    <row r="2735">
      <c r="A2735" s="145" t="n">
        <v>11</v>
      </c>
      <c r="B2735" s="204">
        <f>EDATE($B2734,1)</f>
        <v/>
      </c>
      <c r="C2735" s="205">
        <f>EOMONTH($B2735,0)</f>
        <v/>
      </c>
      <c r="D2735" s="201">
        <f>$C2735-$B2735+1</f>
        <v/>
      </c>
      <c r="E2735" s="201">
        <f>MONTH($B2735)</f>
        <v/>
      </c>
      <c r="F2735" s="235">
        <f>($B2735+$C2735+1)/2</f>
        <v/>
      </c>
      <c r="G2735" s="201">
        <f>YEAR($B2735)*12+MONTH($B2735)-1</f>
        <v/>
      </c>
      <c r="H2735" s="207">
        <f>IF(OR(nr_SeasonOn="OFF",$D$2722=0,$E$2722=0),1,12*INDEX(se_block,$D$2722,$E2735)/$E$2722)</f>
        <v/>
      </c>
      <c r="I2735" s="208">
        <f>EXP(SUMPRODUCT((rl_eff&lt;$B2735)*(rl_key=$A$2722)*rl_ln1p))</f>
        <v/>
      </c>
      <c r="J2735" s="208">
        <f>EXP(SUMPRODUCT((rl_eff&lt;=$C2735)*(rl_key=$A$2722)*rl_ln1p))</f>
        <v/>
      </c>
      <c r="K2735" s="201">
        <f>COUNTIFS(rl_key,$A$2722,rl_eff,"&gt;="&amp;$B2735,rl_eff,"&lt;="&amp;$C2735)</f>
        <v/>
      </c>
      <c r="L2735" s="201">
        <f>SUMIFS(rl_daysafter,rl_key,$A$2722,rl_effmonth,$B2735,rl_first,1)</f>
        <v/>
      </c>
      <c r="M2735" s="209">
        <f>IF($K2735=0,0,MIN(1,$L2735/$D2735))</f>
        <v/>
      </c>
      <c r="N2735" s="208">
        <f>IF($K2735=0,$J2735,(1-$M2735)*$I2735+$M2735*$J2735)</f>
        <v/>
      </c>
      <c r="O2735" s="209">
        <f>IF($F2735&lt;$B$2723,$E$2723+$I$2723*($F2735-$A$2723),IF($F2735&lt;$C$2723,$F$2723+$J$2723*($F2735-$B$2723),$G$2723+$K$2723*($F2735-$C$2723)))</f>
        <v/>
      </c>
      <c r="P2735" s="208">
        <f>MIN(1,MAX(0,(nr_MEndPm1-$G2735+0.5)/$C$2722))-MIN(1,MAX(0,(nr_MStartPm1-1-$G2735+0.5)/$C$2722))</f>
        <v/>
      </c>
      <c r="Q2735" s="208">
        <f>MIN(1,MAX(0,(nr_MEndP-$G2735+0.5)/$C$2722))-MIN(1,MAX(0,(nr_MStartP-1-$G2735+0.5)/$C$2722))</f>
        <v/>
      </c>
      <c r="R2735" s="208">
        <f>MIN(1,MAX(0,(nr_MEndP1-$G2735+0.5)/$C$2722))-MIN(1,MAX(0,(nr_MStartP1-1-$G2735+0.5)/$C$2722))</f>
        <v/>
      </c>
      <c r="S2735" s="208">
        <f>IF($L$2722,$N2735*IF($O$2722=1,$O2735/$F$2722,1),"")</f>
        <v/>
      </c>
      <c r="T2735" s="208">
        <f>IF(NOT($L$2722),"",IF($G2735&lt;nr_MStartP,$S2735,$T2723*(1+IF($G2735&lt;nr_MStartP1,$M$2722,$N$2722))))</f>
        <v/>
      </c>
      <c r="U2735" s="208">
        <f>IF($L$2722,$T2735,$N2735)</f>
        <v/>
      </c>
    </row>
    <row r="2736">
      <c r="A2736" s="145" t="n">
        <v>12</v>
      </c>
      <c r="B2736" s="204">
        <f>EDATE($B2735,1)</f>
        <v/>
      </c>
      <c r="C2736" s="205">
        <f>EOMONTH($B2736,0)</f>
        <v/>
      </c>
      <c r="D2736" s="201">
        <f>$C2736-$B2736+1</f>
        <v/>
      </c>
      <c r="E2736" s="201">
        <f>MONTH($B2736)</f>
        <v/>
      </c>
      <c r="F2736" s="235">
        <f>($B2736+$C2736+1)/2</f>
        <v/>
      </c>
      <c r="G2736" s="201">
        <f>YEAR($B2736)*12+MONTH($B2736)-1</f>
        <v/>
      </c>
      <c r="H2736" s="207">
        <f>IF(OR(nr_SeasonOn="OFF",$D$2722=0,$E$2722=0),1,12*INDEX(se_block,$D$2722,$E2736)/$E$2722)</f>
        <v/>
      </c>
      <c r="I2736" s="208">
        <f>EXP(SUMPRODUCT((rl_eff&lt;$B2736)*(rl_key=$A$2722)*rl_ln1p))</f>
        <v/>
      </c>
      <c r="J2736" s="208">
        <f>EXP(SUMPRODUCT((rl_eff&lt;=$C2736)*(rl_key=$A$2722)*rl_ln1p))</f>
        <v/>
      </c>
      <c r="K2736" s="201">
        <f>COUNTIFS(rl_key,$A$2722,rl_eff,"&gt;="&amp;$B2736,rl_eff,"&lt;="&amp;$C2736)</f>
        <v/>
      </c>
      <c r="L2736" s="201">
        <f>SUMIFS(rl_daysafter,rl_key,$A$2722,rl_effmonth,$B2736,rl_first,1)</f>
        <v/>
      </c>
      <c r="M2736" s="209">
        <f>IF($K2736=0,0,MIN(1,$L2736/$D2736))</f>
        <v/>
      </c>
      <c r="N2736" s="208">
        <f>IF($K2736=0,$J2736,(1-$M2736)*$I2736+$M2736*$J2736)</f>
        <v/>
      </c>
      <c r="O2736" s="209">
        <f>IF($F2736&lt;$B$2723,$E$2723+$I$2723*($F2736-$A$2723),IF($F2736&lt;$C$2723,$F$2723+$J$2723*($F2736-$B$2723),$G$2723+$K$2723*($F2736-$C$2723)))</f>
        <v/>
      </c>
      <c r="P2736" s="208">
        <f>MIN(1,MAX(0,(nr_MEndPm1-$G2736+0.5)/$C$2722))-MIN(1,MAX(0,(nr_MStartPm1-1-$G2736+0.5)/$C$2722))</f>
        <v/>
      </c>
      <c r="Q2736" s="208">
        <f>MIN(1,MAX(0,(nr_MEndP-$G2736+0.5)/$C$2722))-MIN(1,MAX(0,(nr_MStartP-1-$G2736+0.5)/$C$2722))</f>
        <v/>
      </c>
      <c r="R2736" s="208">
        <f>MIN(1,MAX(0,(nr_MEndP1-$G2736+0.5)/$C$2722))-MIN(1,MAX(0,(nr_MStartP1-1-$G2736+0.5)/$C$2722))</f>
        <v/>
      </c>
      <c r="S2736" s="208">
        <f>IF($L$2722,$N2736*IF($O$2722=1,$O2736/$F$2722,1),"")</f>
        <v/>
      </c>
      <c r="T2736" s="208">
        <f>IF(NOT($L$2722),"",IF($G2736&lt;nr_MStartP,$S2736,$T2724*(1+IF($G2736&lt;nr_MStartP1,$M$2722,$N$2722))))</f>
        <v/>
      </c>
      <c r="U2736" s="208">
        <f>IF($L$2722,$T2736,$N2736)</f>
        <v/>
      </c>
    </row>
    <row r="2737">
      <c r="A2737" s="145" t="n">
        <v>13</v>
      </c>
      <c r="B2737" s="204">
        <f>EDATE($B2736,1)</f>
        <v/>
      </c>
      <c r="C2737" s="205">
        <f>EOMONTH($B2737,0)</f>
        <v/>
      </c>
      <c r="D2737" s="201">
        <f>$C2737-$B2737+1</f>
        <v/>
      </c>
      <c r="E2737" s="201">
        <f>MONTH($B2737)</f>
        <v/>
      </c>
      <c r="F2737" s="235">
        <f>($B2737+$C2737+1)/2</f>
        <v/>
      </c>
      <c r="G2737" s="201">
        <f>YEAR($B2737)*12+MONTH($B2737)-1</f>
        <v/>
      </c>
      <c r="H2737" s="207">
        <f>IF(OR(nr_SeasonOn="OFF",$D$2722=0,$E$2722=0),1,12*INDEX(se_block,$D$2722,$E2737)/$E$2722)</f>
        <v/>
      </c>
      <c r="I2737" s="208">
        <f>EXP(SUMPRODUCT((rl_eff&lt;$B2737)*(rl_key=$A$2722)*rl_ln1p))</f>
        <v/>
      </c>
      <c r="J2737" s="208">
        <f>EXP(SUMPRODUCT((rl_eff&lt;=$C2737)*(rl_key=$A$2722)*rl_ln1p))</f>
        <v/>
      </c>
      <c r="K2737" s="201">
        <f>COUNTIFS(rl_key,$A$2722,rl_eff,"&gt;="&amp;$B2737,rl_eff,"&lt;="&amp;$C2737)</f>
        <v/>
      </c>
      <c r="L2737" s="201">
        <f>SUMIFS(rl_daysafter,rl_key,$A$2722,rl_effmonth,$B2737,rl_first,1)</f>
        <v/>
      </c>
      <c r="M2737" s="209">
        <f>IF($K2737=0,0,MIN(1,$L2737/$D2737))</f>
        <v/>
      </c>
      <c r="N2737" s="208">
        <f>IF($K2737=0,$J2737,(1-$M2737)*$I2737+$M2737*$J2737)</f>
        <v/>
      </c>
      <c r="O2737" s="209">
        <f>IF($F2737&lt;$B$2723,$E$2723+$I$2723*($F2737-$A$2723),IF($F2737&lt;$C$2723,$F$2723+$J$2723*($F2737-$B$2723),$G$2723+$K$2723*($F2737-$C$2723)))</f>
        <v/>
      </c>
      <c r="P2737" s="208">
        <f>MIN(1,MAX(0,(nr_MEndPm1-$G2737+0.5)/$C$2722))-MIN(1,MAX(0,(nr_MStartPm1-1-$G2737+0.5)/$C$2722))</f>
        <v/>
      </c>
      <c r="Q2737" s="208">
        <f>MIN(1,MAX(0,(nr_MEndP-$G2737+0.5)/$C$2722))-MIN(1,MAX(0,(nr_MStartP-1-$G2737+0.5)/$C$2722))</f>
        <v/>
      </c>
      <c r="R2737" s="208">
        <f>MIN(1,MAX(0,(nr_MEndP1-$G2737+0.5)/$C$2722))-MIN(1,MAX(0,(nr_MStartP1-1-$G2737+0.5)/$C$2722))</f>
        <v/>
      </c>
      <c r="S2737" s="208">
        <f>IF($L$2722,$N2737*IF($O$2722=1,$O2737/$F$2722,1),"")</f>
        <v/>
      </c>
      <c r="T2737" s="208">
        <f>IF(NOT($L$2722),"",IF($G2737&lt;nr_MStartP,$S2737,$T2725*(1+IF($G2737&lt;nr_MStartP1,$M$2722,$N$2722))))</f>
        <v/>
      </c>
      <c r="U2737" s="208">
        <f>IF($L$2722,$T2737,$N2737)</f>
        <v/>
      </c>
    </row>
    <row r="2738">
      <c r="A2738" s="145" t="n">
        <v>14</v>
      </c>
      <c r="B2738" s="204">
        <f>EDATE($B2737,1)</f>
        <v/>
      </c>
      <c r="C2738" s="205">
        <f>EOMONTH($B2738,0)</f>
        <v/>
      </c>
      <c r="D2738" s="201">
        <f>$C2738-$B2738+1</f>
        <v/>
      </c>
      <c r="E2738" s="201">
        <f>MONTH($B2738)</f>
        <v/>
      </c>
      <c r="F2738" s="235">
        <f>($B2738+$C2738+1)/2</f>
        <v/>
      </c>
      <c r="G2738" s="201">
        <f>YEAR($B2738)*12+MONTH($B2738)-1</f>
        <v/>
      </c>
      <c r="H2738" s="207">
        <f>IF(OR(nr_SeasonOn="OFF",$D$2722=0,$E$2722=0),1,12*INDEX(se_block,$D$2722,$E2738)/$E$2722)</f>
        <v/>
      </c>
      <c r="I2738" s="208">
        <f>EXP(SUMPRODUCT((rl_eff&lt;$B2738)*(rl_key=$A$2722)*rl_ln1p))</f>
        <v/>
      </c>
      <c r="J2738" s="208">
        <f>EXP(SUMPRODUCT((rl_eff&lt;=$C2738)*(rl_key=$A$2722)*rl_ln1p))</f>
        <v/>
      </c>
      <c r="K2738" s="201">
        <f>COUNTIFS(rl_key,$A$2722,rl_eff,"&gt;="&amp;$B2738,rl_eff,"&lt;="&amp;$C2738)</f>
        <v/>
      </c>
      <c r="L2738" s="201">
        <f>SUMIFS(rl_daysafter,rl_key,$A$2722,rl_effmonth,$B2738,rl_first,1)</f>
        <v/>
      </c>
      <c r="M2738" s="209">
        <f>IF($K2738=0,0,MIN(1,$L2738/$D2738))</f>
        <v/>
      </c>
      <c r="N2738" s="208">
        <f>IF($K2738=0,$J2738,(1-$M2738)*$I2738+$M2738*$J2738)</f>
        <v/>
      </c>
      <c r="O2738" s="209">
        <f>IF($F2738&lt;$B$2723,$E$2723+$I$2723*($F2738-$A$2723),IF($F2738&lt;$C$2723,$F$2723+$J$2723*($F2738-$B$2723),$G$2723+$K$2723*($F2738-$C$2723)))</f>
        <v/>
      </c>
      <c r="P2738" s="208">
        <f>MIN(1,MAX(0,(nr_MEndPm1-$G2738+0.5)/$C$2722))-MIN(1,MAX(0,(nr_MStartPm1-1-$G2738+0.5)/$C$2722))</f>
        <v/>
      </c>
      <c r="Q2738" s="208">
        <f>MIN(1,MAX(0,(nr_MEndP-$G2738+0.5)/$C$2722))-MIN(1,MAX(0,(nr_MStartP-1-$G2738+0.5)/$C$2722))</f>
        <v/>
      </c>
      <c r="R2738" s="208">
        <f>MIN(1,MAX(0,(nr_MEndP1-$G2738+0.5)/$C$2722))-MIN(1,MAX(0,(nr_MStartP1-1-$G2738+0.5)/$C$2722))</f>
        <v/>
      </c>
      <c r="S2738" s="208">
        <f>IF($L$2722,$N2738*IF($O$2722=1,$O2738/$F$2722,1),"")</f>
        <v/>
      </c>
      <c r="T2738" s="208">
        <f>IF(NOT($L$2722),"",IF($G2738&lt;nr_MStartP,$S2738,$T2726*(1+IF($G2738&lt;nr_MStartP1,$M$2722,$N$2722))))</f>
        <v/>
      </c>
      <c r="U2738" s="208">
        <f>IF($L$2722,$T2738,$N2738)</f>
        <v/>
      </c>
    </row>
    <row r="2739">
      <c r="A2739" s="145" t="n">
        <v>15</v>
      </c>
      <c r="B2739" s="204">
        <f>EDATE($B2738,1)</f>
        <v/>
      </c>
      <c r="C2739" s="205">
        <f>EOMONTH($B2739,0)</f>
        <v/>
      </c>
      <c r="D2739" s="201">
        <f>$C2739-$B2739+1</f>
        <v/>
      </c>
      <c r="E2739" s="201">
        <f>MONTH($B2739)</f>
        <v/>
      </c>
      <c r="F2739" s="235">
        <f>($B2739+$C2739+1)/2</f>
        <v/>
      </c>
      <c r="G2739" s="201">
        <f>YEAR($B2739)*12+MONTH($B2739)-1</f>
        <v/>
      </c>
      <c r="H2739" s="207">
        <f>IF(OR(nr_SeasonOn="OFF",$D$2722=0,$E$2722=0),1,12*INDEX(se_block,$D$2722,$E2739)/$E$2722)</f>
        <v/>
      </c>
      <c r="I2739" s="208">
        <f>EXP(SUMPRODUCT((rl_eff&lt;$B2739)*(rl_key=$A$2722)*rl_ln1p))</f>
        <v/>
      </c>
      <c r="J2739" s="208">
        <f>EXP(SUMPRODUCT((rl_eff&lt;=$C2739)*(rl_key=$A$2722)*rl_ln1p))</f>
        <v/>
      </c>
      <c r="K2739" s="201">
        <f>COUNTIFS(rl_key,$A$2722,rl_eff,"&gt;="&amp;$B2739,rl_eff,"&lt;="&amp;$C2739)</f>
        <v/>
      </c>
      <c r="L2739" s="201">
        <f>SUMIFS(rl_daysafter,rl_key,$A$2722,rl_effmonth,$B2739,rl_first,1)</f>
        <v/>
      </c>
      <c r="M2739" s="209">
        <f>IF($K2739=0,0,MIN(1,$L2739/$D2739))</f>
        <v/>
      </c>
      <c r="N2739" s="208">
        <f>IF($K2739=0,$J2739,(1-$M2739)*$I2739+$M2739*$J2739)</f>
        <v/>
      </c>
      <c r="O2739" s="209">
        <f>IF($F2739&lt;$B$2723,$E$2723+$I$2723*($F2739-$A$2723),IF($F2739&lt;$C$2723,$F$2723+$J$2723*($F2739-$B$2723),$G$2723+$K$2723*($F2739-$C$2723)))</f>
        <v/>
      </c>
      <c r="P2739" s="208">
        <f>MIN(1,MAX(0,(nr_MEndPm1-$G2739+0.5)/$C$2722))-MIN(1,MAX(0,(nr_MStartPm1-1-$G2739+0.5)/$C$2722))</f>
        <v/>
      </c>
      <c r="Q2739" s="208">
        <f>MIN(1,MAX(0,(nr_MEndP-$G2739+0.5)/$C$2722))-MIN(1,MAX(0,(nr_MStartP-1-$G2739+0.5)/$C$2722))</f>
        <v/>
      </c>
      <c r="R2739" s="208">
        <f>MIN(1,MAX(0,(nr_MEndP1-$G2739+0.5)/$C$2722))-MIN(1,MAX(0,(nr_MStartP1-1-$G2739+0.5)/$C$2722))</f>
        <v/>
      </c>
      <c r="S2739" s="208">
        <f>IF($L$2722,$N2739*IF($O$2722=1,$O2739/$F$2722,1),"")</f>
        <v/>
      </c>
      <c r="T2739" s="208">
        <f>IF(NOT($L$2722),"",IF($G2739&lt;nr_MStartP,$S2739,$T2727*(1+IF($G2739&lt;nr_MStartP1,$M$2722,$N$2722))))</f>
        <v/>
      </c>
      <c r="U2739" s="208">
        <f>IF($L$2722,$T2739,$N2739)</f>
        <v/>
      </c>
    </row>
    <row r="2740">
      <c r="A2740" s="145" t="n">
        <v>16</v>
      </c>
      <c r="B2740" s="204">
        <f>EDATE($B2739,1)</f>
        <v/>
      </c>
      <c r="C2740" s="205">
        <f>EOMONTH($B2740,0)</f>
        <v/>
      </c>
      <c r="D2740" s="201">
        <f>$C2740-$B2740+1</f>
        <v/>
      </c>
      <c r="E2740" s="201">
        <f>MONTH($B2740)</f>
        <v/>
      </c>
      <c r="F2740" s="235">
        <f>($B2740+$C2740+1)/2</f>
        <v/>
      </c>
      <c r="G2740" s="201">
        <f>YEAR($B2740)*12+MONTH($B2740)-1</f>
        <v/>
      </c>
      <c r="H2740" s="207">
        <f>IF(OR(nr_SeasonOn="OFF",$D$2722=0,$E$2722=0),1,12*INDEX(se_block,$D$2722,$E2740)/$E$2722)</f>
        <v/>
      </c>
      <c r="I2740" s="208">
        <f>EXP(SUMPRODUCT((rl_eff&lt;$B2740)*(rl_key=$A$2722)*rl_ln1p))</f>
        <v/>
      </c>
      <c r="J2740" s="208">
        <f>EXP(SUMPRODUCT((rl_eff&lt;=$C2740)*(rl_key=$A$2722)*rl_ln1p))</f>
        <v/>
      </c>
      <c r="K2740" s="201">
        <f>COUNTIFS(rl_key,$A$2722,rl_eff,"&gt;="&amp;$B2740,rl_eff,"&lt;="&amp;$C2740)</f>
        <v/>
      </c>
      <c r="L2740" s="201">
        <f>SUMIFS(rl_daysafter,rl_key,$A$2722,rl_effmonth,$B2740,rl_first,1)</f>
        <v/>
      </c>
      <c r="M2740" s="209">
        <f>IF($K2740=0,0,MIN(1,$L2740/$D2740))</f>
        <v/>
      </c>
      <c r="N2740" s="208">
        <f>IF($K2740=0,$J2740,(1-$M2740)*$I2740+$M2740*$J2740)</f>
        <v/>
      </c>
      <c r="O2740" s="209">
        <f>IF($F2740&lt;$B$2723,$E$2723+$I$2723*($F2740-$A$2723),IF($F2740&lt;$C$2723,$F$2723+$J$2723*($F2740-$B$2723),$G$2723+$K$2723*($F2740-$C$2723)))</f>
        <v/>
      </c>
      <c r="P2740" s="208">
        <f>MIN(1,MAX(0,(nr_MEndPm1-$G2740+0.5)/$C$2722))-MIN(1,MAX(0,(nr_MStartPm1-1-$G2740+0.5)/$C$2722))</f>
        <v/>
      </c>
      <c r="Q2740" s="208">
        <f>MIN(1,MAX(0,(nr_MEndP-$G2740+0.5)/$C$2722))-MIN(1,MAX(0,(nr_MStartP-1-$G2740+0.5)/$C$2722))</f>
        <v/>
      </c>
      <c r="R2740" s="208">
        <f>MIN(1,MAX(0,(nr_MEndP1-$G2740+0.5)/$C$2722))-MIN(1,MAX(0,(nr_MStartP1-1-$G2740+0.5)/$C$2722))</f>
        <v/>
      </c>
      <c r="S2740" s="208">
        <f>IF($L$2722,$N2740*IF($O$2722=1,$O2740/$F$2722,1),"")</f>
        <v/>
      </c>
      <c r="T2740" s="208">
        <f>IF(NOT($L$2722),"",IF($G2740&lt;nr_MStartP,$S2740,$T2728*(1+IF($G2740&lt;nr_MStartP1,$M$2722,$N$2722))))</f>
        <v/>
      </c>
      <c r="U2740" s="208">
        <f>IF($L$2722,$T2740,$N2740)</f>
        <v/>
      </c>
    </row>
    <row r="2741">
      <c r="A2741" s="145" t="n">
        <v>17</v>
      </c>
      <c r="B2741" s="204">
        <f>EDATE($B2740,1)</f>
        <v/>
      </c>
      <c r="C2741" s="205">
        <f>EOMONTH($B2741,0)</f>
        <v/>
      </c>
      <c r="D2741" s="201">
        <f>$C2741-$B2741+1</f>
        <v/>
      </c>
      <c r="E2741" s="201">
        <f>MONTH($B2741)</f>
        <v/>
      </c>
      <c r="F2741" s="235">
        <f>($B2741+$C2741+1)/2</f>
        <v/>
      </c>
      <c r="G2741" s="201">
        <f>YEAR($B2741)*12+MONTH($B2741)-1</f>
        <v/>
      </c>
      <c r="H2741" s="207">
        <f>IF(OR(nr_SeasonOn="OFF",$D$2722=0,$E$2722=0),1,12*INDEX(se_block,$D$2722,$E2741)/$E$2722)</f>
        <v/>
      </c>
      <c r="I2741" s="208">
        <f>EXP(SUMPRODUCT((rl_eff&lt;$B2741)*(rl_key=$A$2722)*rl_ln1p))</f>
        <v/>
      </c>
      <c r="J2741" s="208">
        <f>EXP(SUMPRODUCT((rl_eff&lt;=$C2741)*(rl_key=$A$2722)*rl_ln1p))</f>
        <v/>
      </c>
      <c r="K2741" s="201">
        <f>COUNTIFS(rl_key,$A$2722,rl_eff,"&gt;="&amp;$B2741,rl_eff,"&lt;="&amp;$C2741)</f>
        <v/>
      </c>
      <c r="L2741" s="201">
        <f>SUMIFS(rl_daysafter,rl_key,$A$2722,rl_effmonth,$B2741,rl_first,1)</f>
        <v/>
      </c>
      <c r="M2741" s="209">
        <f>IF($K2741=0,0,MIN(1,$L2741/$D2741))</f>
        <v/>
      </c>
      <c r="N2741" s="208">
        <f>IF($K2741=0,$J2741,(1-$M2741)*$I2741+$M2741*$J2741)</f>
        <v/>
      </c>
      <c r="O2741" s="209">
        <f>IF($F2741&lt;$B$2723,$E$2723+$I$2723*($F2741-$A$2723),IF($F2741&lt;$C$2723,$F$2723+$J$2723*($F2741-$B$2723),$G$2723+$K$2723*($F2741-$C$2723)))</f>
        <v/>
      </c>
      <c r="P2741" s="208">
        <f>MIN(1,MAX(0,(nr_MEndPm1-$G2741+0.5)/$C$2722))-MIN(1,MAX(0,(nr_MStartPm1-1-$G2741+0.5)/$C$2722))</f>
        <v/>
      </c>
      <c r="Q2741" s="208">
        <f>MIN(1,MAX(0,(nr_MEndP-$G2741+0.5)/$C$2722))-MIN(1,MAX(0,(nr_MStartP-1-$G2741+0.5)/$C$2722))</f>
        <v/>
      </c>
      <c r="R2741" s="208">
        <f>MIN(1,MAX(0,(nr_MEndP1-$G2741+0.5)/$C$2722))-MIN(1,MAX(0,(nr_MStartP1-1-$G2741+0.5)/$C$2722))</f>
        <v/>
      </c>
      <c r="S2741" s="208">
        <f>IF($L$2722,$N2741*IF($O$2722=1,$O2741/$F$2722,1),"")</f>
        <v/>
      </c>
      <c r="T2741" s="208">
        <f>IF(NOT($L$2722),"",IF($G2741&lt;nr_MStartP,$S2741,$T2729*(1+IF($G2741&lt;nr_MStartP1,$M$2722,$N$2722))))</f>
        <v/>
      </c>
      <c r="U2741" s="208">
        <f>IF($L$2722,$T2741,$N2741)</f>
        <v/>
      </c>
    </row>
    <row r="2742">
      <c r="A2742" s="145" t="n">
        <v>18</v>
      </c>
      <c r="B2742" s="204">
        <f>EDATE($B2741,1)</f>
        <v/>
      </c>
      <c r="C2742" s="205">
        <f>EOMONTH($B2742,0)</f>
        <v/>
      </c>
      <c r="D2742" s="201">
        <f>$C2742-$B2742+1</f>
        <v/>
      </c>
      <c r="E2742" s="201">
        <f>MONTH($B2742)</f>
        <v/>
      </c>
      <c r="F2742" s="235">
        <f>($B2742+$C2742+1)/2</f>
        <v/>
      </c>
      <c r="G2742" s="201">
        <f>YEAR($B2742)*12+MONTH($B2742)-1</f>
        <v/>
      </c>
      <c r="H2742" s="207">
        <f>IF(OR(nr_SeasonOn="OFF",$D$2722=0,$E$2722=0),1,12*INDEX(se_block,$D$2722,$E2742)/$E$2722)</f>
        <v/>
      </c>
      <c r="I2742" s="208">
        <f>EXP(SUMPRODUCT((rl_eff&lt;$B2742)*(rl_key=$A$2722)*rl_ln1p))</f>
        <v/>
      </c>
      <c r="J2742" s="208">
        <f>EXP(SUMPRODUCT((rl_eff&lt;=$C2742)*(rl_key=$A$2722)*rl_ln1p))</f>
        <v/>
      </c>
      <c r="K2742" s="201">
        <f>COUNTIFS(rl_key,$A$2722,rl_eff,"&gt;="&amp;$B2742,rl_eff,"&lt;="&amp;$C2742)</f>
        <v/>
      </c>
      <c r="L2742" s="201">
        <f>SUMIFS(rl_daysafter,rl_key,$A$2722,rl_effmonth,$B2742,rl_first,1)</f>
        <v/>
      </c>
      <c r="M2742" s="209">
        <f>IF($K2742=0,0,MIN(1,$L2742/$D2742))</f>
        <v/>
      </c>
      <c r="N2742" s="208">
        <f>IF($K2742=0,$J2742,(1-$M2742)*$I2742+$M2742*$J2742)</f>
        <v/>
      </c>
      <c r="O2742" s="209">
        <f>IF($F2742&lt;$B$2723,$E$2723+$I$2723*($F2742-$A$2723),IF($F2742&lt;$C$2723,$F$2723+$J$2723*($F2742-$B$2723),$G$2723+$K$2723*($F2742-$C$2723)))</f>
        <v/>
      </c>
      <c r="P2742" s="208">
        <f>MIN(1,MAX(0,(nr_MEndPm1-$G2742+0.5)/$C$2722))-MIN(1,MAX(0,(nr_MStartPm1-1-$G2742+0.5)/$C$2722))</f>
        <v/>
      </c>
      <c r="Q2742" s="208">
        <f>MIN(1,MAX(0,(nr_MEndP-$G2742+0.5)/$C$2722))-MIN(1,MAX(0,(nr_MStartP-1-$G2742+0.5)/$C$2722))</f>
        <v/>
      </c>
      <c r="R2742" s="208">
        <f>MIN(1,MAX(0,(nr_MEndP1-$G2742+0.5)/$C$2722))-MIN(1,MAX(0,(nr_MStartP1-1-$G2742+0.5)/$C$2722))</f>
        <v/>
      </c>
      <c r="S2742" s="208">
        <f>IF($L$2722,$N2742*IF($O$2722=1,$O2742/$F$2722,1),"")</f>
        <v/>
      </c>
      <c r="T2742" s="208">
        <f>IF(NOT($L$2722),"",IF($G2742&lt;nr_MStartP,$S2742,$T2730*(1+IF($G2742&lt;nr_MStartP1,$M$2722,$N$2722))))</f>
        <v/>
      </c>
      <c r="U2742" s="208">
        <f>IF($L$2722,$T2742,$N2742)</f>
        <v/>
      </c>
    </row>
    <row r="2743">
      <c r="A2743" s="145" t="n">
        <v>19</v>
      </c>
      <c r="B2743" s="204">
        <f>EDATE($B2742,1)</f>
        <v/>
      </c>
      <c r="C2743" s="205">
        <f>EOMONTH($B2743,0)</f>
        <v/>
      </c>
      <c r="D2743" s="201">
        <f>$C2743-$B2743+1</f>
        <v/>
      </c>
      <c r="E2743" s="201">
        <f>MONTH($B2743)</f>
        <v/>
      </c>
      <c r="F2743" s="235">
        <f>($B2743+$C2743+1)/2</f>
        <v/>
      </c>
      <c r="G2743" s="201">
        <f>YEAR($B2743)*12+MONTH($B2743)-1</f>
        <v/>
      </c>
      <c r="H2743" s="207">
        <f>IF(OR(nr_SeasonOn="OFF",$D$2722=0,$E$2722=0),1,12*INDEX(se_block,$D$2722,$E2743)/$E$2722)</f>
        <v/>
      </c>
      <c r="I2743" s="208">
        <f>EXP(SUMPRODUCT((rl_eff&lt;$B2743)*(rl_key=$A$2722)*rl_ln1p))</f>
        <v/>
      </c>
      <c r="J2743" s="208">
        <f>EXP(SUMPRODUCT((rl_eff&lt;=$C2743)*(rl_key=$A$2722)*rl_ln1p))</f>
        <v/>
      </c>
      <c r="K2743" s="201">
        <f>COUNTIFS(rl_key,$A$2722,rl_eff,"&gt;="&amp;$B2743,rl_eff,"&lt;="&amp;$C2743)</f>
        <v/>
      </c>
      <c r="L2743" s="201">
        <f>SUMIFS(rl_daysafter,rl_key,$A$2722,rl_effmonth,$B2743,rl_first,1)</f>
        <v/>
      </c>
      <c r="M2743" s="209">
        <f>IF($K2743=0,0,MIN(1,$L2743/$D2743))</f>
        <v/>
      </c>
      <c r="N2743" s="208">
        <f>IF($K2743=0,$J2743,(1-$M2743)*$I2743+$M2743*$J2743)</f>
        <v/>
      </c>
      <c r="O2743" s="209">
        <f>IF($F2743&lt;$B$2723,$E$2723+$I$2723*($F2743-$A$2723),IF($F2743&lt;$C$2723,$F$2723+$J$2723*($F2743-$B$2723),$G$2723+$K$2723*($F2743-$C$2723)))</f>
        <v/>
      </c>
      <c r="P2743" s="208">
        <f>MIN(1,MAX(0,(nr_MEndPm1-$G2743+0.5)/$C$2722))-MIN(1,MAX(0,(nr_MStartPm1-1-$G2743+0.5)/$C$2722))</f>
        <v/>
      </c>
      <c r="Q2743" s="208">
        <f>MIN(1,MAX(0,(nr_MEndP-$G2743+0.5)/$C$2722))-MIN(1,MAX(0,(nr_MStartP-1-$G2743+0.5)/$C$2722))</f>
        <v/>
      </c>
      <c r="R2743" s="208">
        <f>MIN(1,MAX(0,(nr_MEndP1-$G2743+0.5)/$C$2722))-MIN(1,MAX(0,(nr_MStartP1-1-$G2743+0.5)/$C$2722))</f>
        <v/>
      </c>
      <c r="S2743" s="208">
        <f>IF($L$2722,$N2743*IF($O$2722=1,$O2743/$F$2722,1),"")</f>
        <v/>
      </c>
      <c r="T2743" s="208">
        <f>IF(NOT($L$2722),"",IF($G2743&lt;nr_MStartP,$S2743,$T2731*(1+IF($G2743&lt;nr_MStartP1,$M$2722,$N$2722))))</f>
        <v/>
      </c>
      <c r="U2743" s="208">
        <f>IF($L$2722,$T2743,$N2743)</f>
        <v/>
      </c>
    </row>
    <row r="2744">
      <c r="A2744" s="145" t="n">
        <v>20</v>
      </c>
      <c r="B2744" s="204">
        <f>EDATE($B2743,1)</f>
        <v/>
      </c>
      <c r="C2744" s="205">
        <f>EOMONTH($B2744,0)</f>
        <v/>
      </c>
      <c r="D2744" s="201">
        <f>$C2744-$B2744+1</f>
        <v/>
      </c>
      <c r="E2744" s="201">
        <f>MONTH($B2744)</f>
        <v/>
      </c>
      <c r="F2744" s="235">
        <f>($B2744+$C2744+1)/2</f>
        <v/>
      </c>
      <c r="G2744" s="201">
        <f>YEAR($B2744)*12+MONTH($B2744)-1</f>
        <v/>
      </c>
      <c r="H2744" s="207">
        <f>IF(OR(nr_SeasonOn="OFF",$D$2722=0,$E$2722=0),1,12*INDEX(se_block,$D$2722,$E2744)/$E$2722)</f>
        <v/>
      </c>
      <c r="I2744" s="208">
        <f>EXP(SUMPRODUCT((rl_eff&lt;$B2744)*(rl_key=$A$2722)*rl_ln1p))</f>
        <v/>
      </c>
      <c r="J2744" s="208">
        <f>EXP(SUMPRODUCT((rl_eff&lt;=$C2744)*(rl_key=$A$2722)*rl_ln1p))</f>
        <v/>
      </c>
      <c r="K2744" s="201">
        <f>COUNTIFS(rl_key,$A$2722,rl_eff,"&gt;="&amp;$B2744,rl_eff,"&lt;="&amp;$C2744)</f>
        <v/>
      </c>
      <c r="L2744" s="201">
        <f>SUMIFS(rl_daysafter,rl_key,$A$2722,rl_effmonth,$B2744,rl_first,1)</f>
        <v/>
      </c>
      <c r="M2744" s="209">
        <f>IF($K2744=0,0,MIN(1,$L2744/$D2744))</f>
        <v/>
      </c>
      <c r="N2744" s="208">
        <f>IF($K2744=0,$J2744,(1-$M2744)*$I2744+$M2744*$J2744)</f>
        <v/>
      </c>
      <c r="O2744" s="209">
        <f>IF($F2744&lt;$B$2723,$E$2723+$I$2723*($F2744-$A$2723),IF($F2744&lt;$C$2723,$F$2723+$J$2723*($F2744-$B$2723),$G$2723+$K$2723*($F2744-$C$2723)))</f>
        <v/>
      </c>
      <c r="P2744" s="208">
        <f>MIN(1,MAX(0,(nr_MEndPm1-$G2744+0.5)/$C$2722))-MIN(1,MAX(0,(nr_MStartPm1-1-$G2744+0.5)/$C$2722))</f>
        <v/>
      </c>
      <c r="Q2744" s="208">
        <f>MIN(1,MAX(0,(nr_MEndP-$G2744+0.5)/$C$2722))-MIN(1,MAX(0,(nr_MStartP-1-$G2744+0.5)/$C$2722))</f>
        <v/>
      </c>
      <c r="R2744" s="208">
        <f>MIN(1,MAX(0,(nr_MEndP1-$G2744+0.5)/$C$2722))-MIN(1,MAX(0,(nr_MStartP1-1-$G2744+0.5)/$C$2722))</f>
        <v/>
      </c>
      <c r="S2744" s="208">
        <f>IF($L$2722,$N2744*IF($O$2722=1,$O2744/$F$2722,1),"")</f>
        <v/>
      </c>
      <c r="T2744" s="208">
        <f>IF(NOT($L$2722),"",IF($G2744&lt;nr_MStartP,$S2744,$T2732*(1+IF($G2744&lt;nr_MStartP1,$M$2722,$N$2722))))</f>
        <v/>
      </c>
      <c r="U2744" s="208">
        <f>IF($L$2722,$T2744,$N2744)</f>
        <v/>
      </c>
    </row>
    <row r="2745">
      <c r="A2745" s="145" t="n">
        <v>21</v>
      </c>
      <c r="B2745" s="204">
        <f>EDATE($B2744,1)</f>
        <v/>
      </c>
      <c r="C2745" s="205">
        <f>EOMONTH($B2745,0)</f>
        <v/>
      </c>
      <c r="D2745" s="201">
        <f>$C2745-$B2745+1</f>
        <v/>
      </c>
      <c r="E2745" s="201">
        <f>MONTH($B2745)</f>
        <v/>
      </c>
      <c r="F2745" s="235">
        <f>($B2745+$C2745+1)/2</f>
        <v/>
      </c>
      <c r="G2745" s="201">
        <f>YEAR($B2745)*12+MONTH($B2745)-1</f>
        <v/>
      </c>
      <c r="H2745" s="207">
        <f>IF(OR(nr_SeasonOn="OFF",$D$2722=0,$E$2722=0),1,12*INDEX(se_block,$D$2722,$E2745)/$E$2722)</f>
        <v/>
      </c>
      <c r="I2745" s="208">
        <f>EXP(SUMPRODUCT((rl_eff&lt;$B2745)*(rl_key=$A$2722)*rl_ln1p))</f>
        <v/>
      </c>
      <c r="J2745" s="208">
        <f>EXP(SUMPRODUCT((rl_eff&lt;=$C2745)*(rl_key=$A$2722)*rl_ln1p))</f>
        <v/>
      </c>
      <c r="K2745" s="201">
        <f>COUNTIFS(rl_key,$A$2722,rl_eff,"&gt;="&amp;$B2745,rl_eff,"&lt;="&amp;$C2745)</f>
        <v/>
      </c>
      <c r="L2745" s="201">
        <f>SUMIFS(rl_daysafter,rl_key,$A$2722,rl_effmonth,$B2745,rl_first,1)</f>
        <v/>
      </c>
      <c r="M2745" s="209">
        <f>IF($K2745=0,0,MIN(1,$L2745/$D2745))</f>
        <v/>
      </c>
      <c r="N2745" s="208">
        <f>IF($K2745=0,$J2745,(1-$M2745)*$I2745+$M2745*$J2745)</f>
        <v/>
      </c>
      <c r="O2745" s="209">
        <f>IF($F2745&lt;$B$2723,$E$2723+$I$2723*($F2745-$A$2723),IF($F2745&lt;$C$2723,$F$2723+$J$2723*($F2745-$B$2723),$G$2723+$K$2723*($F2745-$C$2723)))</f>
        <v/>
      </c>
      <c r="P2745" s="208">
        <f>MIN(1,MAX(0,(nr_MEndPm1-$G2745+0.5)/$C$2722))-MIN(1,MAX(0,(nr_MStartPm1-1-$G2745+0.5)/$C$2722))</f>
        <v/>
      </c>
      <c r="Q2745" s="208">
        <f>MIN(1,MAX(0,(nr_MEndP-$G2745+0.5)/$C$2722))-MIN(1,MAX(0,(nr_MStartP-1-$G2745+0.5)/$C$2722))</f>
        <v/>
      </c>
      <c r="R2745" s="208">
        <f>MIN(1,MAX(0,(nr_MEndP1-$G2745+0.5)/$C$2722))-MIN(1,MAX(0,(nr_MStartP1-1-$G2745+0.5)/$C$2722))</f>
        <v/>
      </c>
      <c r="S2745" s="208">
        <f>IF($L$2722,$N2745*IF($O$2722=1,$O2745/$F$2722,1),"")</f>
        <v/>
      </c>
      <c r="T2745" s="208">
        <f>IF(NOT($L$2722),"",IF($G2745&lt;nr_MStartP,$S2745,$T2733*(1+IF($G2745&lt;nr_MStartP1,$M$2722,$N$2722))))</f>
        <v/>
      </c>
      <c r="U2745" s="208">
        <f>IF($L$2722,$T2745,$N2745)</f>
        <v/>
      </c>
    </row>
    <row r="2746">
      <c r="A2746" s="145" t="n">
        <v>22</v>
      </c>
      <c r="B2746" s="204">
        <f>EDATE($B2745,1)</f>
        <v/>
      </c>
      <c r="C2746" s="205">
        <f>EOMONTH($B2746,0)</f>
        <v/>
      </c>
      <c r="D2746" s="201">
        <f>$C2746-$B2746+1</f>
        <v/>
      </c>
      <c r="E2746" s="201">
        <f>MONTH($B2746)</f>
        <v/>
      </c>
      <c r="F2746" s="235">
        <f>($B2746+$C2746+1)/2</f>
        <v/>
      </c>
      <c r="G2746" s="201">
        <f>YEAR($B2746)*12+MONTH($B2746)-1</f>
        <v/>
      </c>
      <c r="H2746" s="207">
        <f>IF(OR(nr_SeasonOn="OFF",$D$2722=0,$E$2722=0),1,12*INDEX(se_block,$D$2722,$E2746)/$E$2722)</f>
        <v/>
      </c>
      <c r="I2746" s="208">
        <f>EXP(SUMPRODUCT((rl_eff&lt;$B2746)*(rl_key=$A$2722)*rl_ln1p))</f>
        <v/>
      </c>
      <c r="J2746" s="208">
        <f>EXP(SUMPRODUCT((rl_eff&lt;=$C2746)*(rl_key=$A$2722)*rl_ln1p))</f>
        <v/>
      </c>
      <c r="K2746" s="201">
        <f>COUNTIFS(rl_key,$A$2722,rl_eff,"&gt;="&amp;$B2746,rl_eff,"&lt;="&amp;$C2746)</f>
        <v/>
      </c>
      <c r="L2746" s="201">
        <f>SUMIFS(rl_daysafter,rl_key,$A$2722,rl_effmonth,$B2746,rl_first,1)</f>
        <v/>
      </c>
      <c r="M2746" s="209">
        <f>IF($K2746=0,0,MIN(1,$L2746/$D2746))</f>
        <v/>
      </c>
      <c r="N2746" s="208">
        <f>IF($K2746=0,$J2746,(1-$M2746)*$I2746+$M2746*$J2746)</f>
        <v/>
      </c>
      <c r="O2746" s="209">
        <f>IF($F2746&lt;$B$2723,$E$2723+$I$2723*($F2746-$A$2723),IF($F2746&lt;$C$2723,$F$2723+$J$2723*($F2746-$B$2723),$G$2723+$K$2723*($F2746-$C$2723)))</f>
        <v/>
      </c>
      <c r="P2746" s="208">
        <f>MIN(1,MAX(0,(nr_MEndPm1-$G2746+0.5)/$C$2722))-MIN(1,MAX(0,(nr_MStartPm1-1-$G2746+0.5)/$C$2722))</f>
        <v/>
      </c>
      <c r="Q2746" s="208">
        <f>MIN(1,MAX(0,(nr_MEndP-$G2746+0.5)/$C$2722))-MIN(1,MAX(0,(nr_MStartP-1-$G2746+0.5)/$C$2722))</f>
        <v/>
      </c>
      <c r="R2746" s="208">
        <f>MIN(1,MAX(0,(nr_MEndP1-$G2746+0.5)/$C$2722))-MIN(1,MAX(0,(nr_MStartP1-1-$G2746+0.5)/$C$2722))</f>
        <v/>
      </c>
      <c r="S2746" s="208">
        <f>IF($L$2722,$N2746*IF($O$2722=1,$O2746/$F$2722,1),"")</f>
        <v/>
      </c>
      <c r="T2746" s="208">
        <f>IF(NOT($L$2722),"",IF($G2746&lt;nr_MStartP,$S2746,$T2734*(1+IF($G2746&lt;nr_MStartP1,$M$2722,$N$2722))))</f>
        <v/>
      </c>
      <c r="U2746" s="208">
        <f>IF($L$2722,$T2746,$N2746)</f>
        <v/>
      </c>
    </row>
    <row r="2747">
      <c r="A2747" s="145" t="n">
        <v>23</v>
      </c>
      <c r="B2747" s="204">
        <f>EDATE($B2746,1)</f>
        <v/>
      </c>
      <c r="C2747" s="205">
        <f>EOMONTH($B2747,0)</f>
        <v/>
      </c>
      <c r="D2747" s="201">
        <f>$C2747-$B2747+1</f>
        <v/>
      </c>
      <c r="E2747" s="201">
        <f>MONTH($B2747)</f>
        <v/>
      </c>
      <c r="F2747" s="235">
        <f>($B2747+$C2747+1)/2</f>
        <v/>
      </c>
      <c r="G2747" s="201">
        <f>YEAR($B2747)*12+MONTH($B2747)-1</f>
        <v/>
      </c>
      <c r="H2747" s="207">
        <f>IF(OR(nr_SeasonOn="OFF",$D$2722=0,$E$2722=0),1,12*INDEX(se_block,$D$2722,$E2747)/$E$2722)</f>
        <v/>
      </c>
      <c r="I2747" s="208">
        <f>EXP(SUMPRODUCT((rl_eff&lt;$B2747)*(rl_key=$A$2722)*rl_ln1p))</f>
        <v/>
      </c>
      <c r="J2747" s="208">
        <f>EXP(SUMPRODUCT((rl_eff&lt;=$C2747)*(rl_key=$A$2722)*rl_ln1p))</f>
        <v/>
      </c>
      <c r="K2747" s="201">
        <f>COUNTIFS(rl_key,$A$2722,rl_eff,"&gt;="&amp;$B2747,rl_eff,"&lt;="&amp;$C2747)</f>
        <v/>
      </c>
      <c r="L2747" s="201">
        <f>SUMIFS(rl_daysafter,rl_key,$A$2722,rl_effmonth,$B2747,rl_first,1)</f>
        <v/>
      </c>
      <c r="M2747" s="209">
        <f>IF($K2747=0,0,MIN(1,$L2747/$D2747))</f>
        <v/>
      </c>
      <c r="N2747" s="208">
        <f>IF($K2747=0,$J2747,(1-$M2747)*$I2747+$M2747*$J2747)</f>
        <v/>
      </c>
      <c r="O2747" s="209">
        <f>IF($F2747&lt;$B$2723,$E$2723+$I$2723*($F2747-$A$2723),IF($F2747&lt;$C$2723,$F$2723+$J$2723*($F2747-$B$2723),$G$2723+$K$2723*($F2747-$C$2723)))</f>
        <v/>
      </c>
      <c r="P2747" s="208">
        <f>MIN(1,MAX(0,(nr_MEndPm1-$G2747+0.5)/$C$2722))-MIN(1,MAX(0,(nr_MStartPm1-1-$G2747+0.5)/$C$2722))</f>
        <v/>
      </c>
      <c r="Q2747" s="208">
        <f>MIN(1,MAX(0,(nr_MEndP-$G2747+0.5)/$C$2722))-MIN(1,MAX(0,(nr_MStartP-1-$G2747+0.5)/$C$2722))</f>
        <v/>
      </c>
      <c r="R2747" s="208">
        <f>MIN(1,MAX(0,(nr_MEndP1-$G2747+0.5)/$C$2722))-MIN(1,MAX(0,(nr_MStartP1-1-$G2747+0.5)/$C$2722))</f>
        <v/>
      </c>
      <c r="S2747" s="208">
        <f>IF($L$2722,$N2747*IF($O$2722=1,$O2747/$F$2722,1),"")</f>
        <v/>
      </c>
      <c r="T2747" s="208">
        <f>IF(NOT($L$2722),"",IF($G2747&lt;nr_MStartP,$S2747,$T2735*(1+IF($G2747&lt;nr_MStartP1,$M$2722,$N$2722))))</f>
        <v/>
      </c>
      <c r="U2747" s="208">
        <f>IF($L$2722,$T2747,$N2747)</f>
        <v/>
      </c>
    </row>
    <row r="2748">
      <c r="A2748" s="145" t="n">
        <v>24</v>
      </c>
      <c r="B2748" s="204">
        <f>EDATE($B2747,1)</f>
        <v/>
      </c>
      <c r="C2748" s="205">
        <f>EOMONTH($B2748,0)</f>
        <v/>
      </c>
      <c r="D2748" s="201">
        <f>$C2748-$B2748+1</f>
        <v/>
      </c>
      <c r="E2748" s="201">
        <f>MONTH($B2748)</f>
        <v/>
      </c>
      <c r="F2748" s="235">
        <f>($B2748+$C2748+1)/2</f>
        <v/>
      </c>
      <c r="G2748" s="201">
        <f>YEAR($B2748)*12+MONTH($B2748)-1</f>
        <v/>
      </c>
      <c r="H2748" s="207">
        <f>IF(OR(nr_SeasonOn="OFF",$D$2722=0,$E$2722=0),1,12*INDEX(se_block,$D$2722,$E2748)/$E$2722)</f>
        <v/>
      </c>
      <c r="I2748" s="208">
        <f>EXP(SUMPRODUCT((rl_eff&lt;$B2748)*(rl_key=$A$2722)*rl_ln1p))</f>
        <v/>
      </c>
      <c r="J2748" s="208">
        <f>EXP(SUMPRODUCT((rl_eff&lt;=$C2748)*(rl_key=$A$2722)*rl_ln1p))</f>
        <v/>
      </c>
      <c r="K2748" s="201">
        <f>COUNTIFS(rl_key,$A$2722,rl_eff,"&gt;="&amp;$B2748,rl_eff,"&lt;="&amp;$C2748)</f>
        <v/>
      </c>
      <c r="L2748" s="201">
        <f>SUMIFS(rl_daysafter,rl_key,$A$2722,rl_effmonth,$B2748,rl_first,1)</f>
        <v/>
      </c>
      <c r="M2748" s="209">
        <f>IF($K2748=0,0,MIN(1,$L2748/$D2748))</f>
        <v/>
      </c>
      <c r="N2748" s="208">
        <f>IF($K2748=0,$J2748,(1-$M2748)*$I2748+$M2748*$J2748)</f>
        <v/>
      </c>
      <c r="O2748" s="209">
        <f>IF($F2748&lt;$B$2723,$E$2723+$I$2723*($F2748-$A$2723),IF($F2748&lt;$C$2723,$F$2723+$J$2723*($F2748-$B$2723),$G$2723+$K$2723*($F2748-$C$2723)))</f>
        <v/>
      </c>
      <c r="P2748" s="208">
        <f>MIN(1,MAX(0,(nr_MEndPm1-$G2748+0.5)/$C$2722))-MIN(1,MAX(0,(nr_MStartPm1-1-$G2748+0.5)/$C$2722))</f>
        <v/>
      </c>
      <c r="Q2748" s="208">
        <f>MIN(1,MAX(0,(nr_MEndP-$G2748+0.5)/$C$2722))-MIN(1,MAX(0,(nr_MStartP-1-$G2748+0.5)/$C$2722))</f>
        <v/>
      </c>
      <c r="R2748" s="208">
        <f>MIN(1,MAX(0,(nr_MEndP1-$G2748+0.5)/$C$2722))-MIN(1,MAX(0,(nr_MStartP1-1-$G2748+0.5)/$C$2722))</f>
        <v/>
      </c>
      <c r="S2748" s="208">
        <f>IF($L$2722,$N2748*IF($O$2722=1,$O2748/$F$2722,1),"")</f>
        <v/>
      </c>
      <c r="T2748" s="208">
        <f>IF(NOT($L$2722),"",IF($G2748&lt;nr_MStartP,$S2748,$T2736*(1+IF($G2748&lt;nr_MStartP1,$M$2722,$N$2722))))</f>
        <v/>
      </c>
      <c r="U2748" s="208">
        <f>IF($L$2722,$T2748,$N2748)</f>
        <v/>
      </c>
    </row>
    <row r="2749">
      <c r="A2749" s="145" t="n">
        <v>25</v>
      </c>
      <c r="B2749" s="204">
        <f>EDATE($B2748,1)</f>
        <v/>
      </c>
      <c r="C2749" s="205">
        <f>EOMONTH($B2749,0)</f>
        <v/>
      </c>
      <c r="D2749" s="201">
        <f>$C2749-$B2749+1</f>
        <v/>
      </c>
      <c r="E2749" s="201">
        <f>MONTH($B2749)</f>
        <v/>
      </c>
      <c r="F2749" s="235">
        <f>($B2749+$C2749+1)/2</f>
        <v/>
      </c>
      <c r="G2749" s="201">
        <f>YEAR($B2749)*12+MONTH($B2749)-1</f>
        <v/>
      </c>
      <c r="H2749" s="207">
        <f>IF(OR(nr_SeasonOn="OFF",$D$2722=0,$E$2722=0),1,12*INDEX(se_block,$D$2722,$E2749)/$E$2722)</f>
        <v/>
      </c>
      <c r="I2749" s="208">
        <f>EXP(SUMPRODUCT((rl_eff&lt;$B2749)*(rl_key=$A$2722)*rl_ln1p))</f>
        <v/>
      </c>
      <c r="J2749" s="208">
        <f>EXP(SUMPRODUCT((rl_eff&lt;=$C2749)*(rl_key=$A$2722)*rl_ln1p))</f>
        <v/>
      </c>
      <c r="K2749" s="201">
        <f>COUNTIFS(rl_key,$A$2722,rl_eff,"&gt;="&amp;$B2749,rl_eff,"&lt;="&amp;$C2749)</f>
        <v/>
      </c>
      <c r="L2749" s="201">
        <f>SUMIFS(rl_daysafter,rl_key,$A$2722,rl_effmonth,$B2749,rl_first,1)</f>
        <v/>
      </c>
      <c r="M2749" s="209">
        <f>IF($K2749=0,0,MIN(1,$L2749/$D2749))</f>
        <v/>
      </c>
      <c r="N2749" s="208">
        <f>IF($K2749=0,$J2749,(1-$M2749)*$I2749+$M2749*$J2749)</f>
        <v/>
      </c>
      <c r="O2749" s="209">
        <f>IF($F2749&lt;$B$2723,$E$2723+$I$2723*($F2749-$A$2723),IF($F2749&lt;$C$2723,$F$2723+$J$2723*($F2749-$B$2723),$G$2723+$K$2723*($F2749-$C$2723)))</f>
        <v/>
      </c>
      <c r="P2749" s="208">
        <f>MIN(1,MAX(0,(nr_MEndPm1-$G2749+0.5)/$C$2722))-MIN(1,MAX(0,(nr_MStartPm1-1-$G2749+0.5)/$C$2722))</f>
        <v/>
      </c>
      <c r="Q2749" s="208">
        <f>MIN(1,MAX(0,(nr_MEndP-$G2749+0.5)/$C$2722))-MIN(1,MAX(0,(nr_MStartP-1-$G2749+0.5)/$C$2722))</f>
        <v/>
      </c>
      <c r="R2749" s="208">
        <f>MIN(1,MAX(0,(nr_MEndP1-$G2749+0.5)/$C$2722))-MIN(1,MAX(0,(nr_MStartP1-1-$G2749+0.5)/$C$2722))</f>
        <v/>
      </c>
      <c r="S2749" s="208">
        <f>IF($L$2722,$N2749*IF($O$2722=1,$O2749/$F$2722,1),"")</f>
        <v/>
      </c>
      <c r="T2749" s="208">
        <f>IF(NOT($L$2722),"",IF($G2749&lt;nr_MStartP,$S2749,$T2737*(1+IF($G2749&lt;nr_MStartP1,$M$2722,$N$2722))))</f>
        <v/>
      </c>
      <c r="U2749" s="208">
        <f>IF($L$2722,$T2749,$N2749)</f>
        <v/>
      </c>
    </row>
    <row r="2750">
      <c r="A2750" s="145" t="n">
        <v>26</v>
      </c>
      <c r="B2750" s="204">
        <f>EDATE($B2749,1)</f>
        <v/>
      </c>
      <c r="C2750" s="205">
        <f>EOMONTH($B2750,0)</f>
        <v/>
      </c>
      <c r="D2750" s="201">
        <f>$C2750-$B2750+1</f>
        <v/>
      </c>
      <c r="E2750" s="201">
        <f>MONTH($B2750)</f>
        <v/>
      </c>
      <c r="F2750" s="235">
        <f>($B2750+$C2750+1)/2</f>
        <v/>
      </c>
      <c r="G2750" s="201">
        <f>YEAR($B2750)*12+MONTH($B2750)-1</f>
        <v/>
      </c>
      <c r="H2750" s="207">
        <f>IF(OR(nr_SeasonOn="OFF",$D$2722=0,$E$2722=0),1,12*INDEX(se_block,$D$2722,$E2750)/$E$2722)</f>
        <v/>
      </c>
      <c r="I2750" s="208">
        <f>EXP(SUMPRODUCT((rl_eff&lt;$B2750)*(rl_key=$A$2722)*rl_ln1p))</f>
        <v/>
      </c>
      <c r="J2750" s="208">
        <f>EXP(SUMPRODUCT((rl_eff&lt;=$C2750)*(rl_key=$A$2722)*rl_ln1p))</f>
        <v/>
      </c>
      <c r="K2750" s="201">
        <f>COUNTIFS(rl_key,$A$2722,rl_eff,"&gt;="&amp;$B2750,rl_eff,"&lt;="&amp;$C2750)</f>
        <v/>
      </c>
      <c r="L2750" s="201">
        <f>SUMIFS(rl_daysafter,rl_key,$A$2722,rl_effmonth,$B2750,rl_first,1)</f>
        <v/>
      </c>
      <c r="M2750" s="209">
        <f>IF($K2750=0,0,MIN(1,$L2750/$D2750))</f>
        <v/>
      </c>
      <c r="N2750" s="208">
        <f>IF($K2750=0,$J2750,(1-$M2750)*$I2750+$M2750*$J2750)</f>
        <v/>
      </c>
      <c r="O2750" s="209">
        <f>IF($F2750&lt;$B$2723,$E$2723+$I$2723*($F2750-$A$2723),IF($F2750&lt;$C$2723,$F$2723+$J$2723*($F2750-$B$2723),$G$2723+$K$2723*($F2750-$C$2723)))</f>
        <v/>
      </c>
      <c r="P2750" s="208">
        <f>MIN(1,MAX(0,(nr_MEndPm1-$G2750+0.5)/$C$2722))-MIN(1,MAX(0,(nr_MStartPm1-1-$G2750+0.5)/$C$2722))</f>
        <v/>
      </c>
      <c r="Q2750" s="208">
        <f>MIN(1,MAX(0,(nr_MEndP-$G2750+0.5)/$C$2722))-MIN(1,MAX(0,(nr_MStartP-1-$G2750+0.5)/$C$2722))</f>
        <v/>
      </c>
      <c r="R2750" s="208">
        <f>MIN(1,MAX(0,(nr_MEndP1-$G2750+0.5)/$C$2722))-MIN(1,MAX(0,(nr_MStartP1-1-$G2750+0.5)/$C$2722))</f>
        <v/>
      </c>
      <c r="S2750" s="208">
        <f>IF($L$2722,$N2750*IF($O$2722=1,$O2750/$F$2722,1),"")</f>
        <v/>
      </c>
      <c r="T2750" s="208">
        <f>IF(NOT($L$2722),"",IF($G2750&lt;nr_MStartP,$S2750,$T2738*(1+IF($G2750&lt;nr_MStartP1,$M$2722,$N$2722))))</f>
        <v/>
      </c>
      <c r="U2750" s="208">
        <f>IF($L$2722,$T2750,$N2750)</f>
        <v/>
      </c>
    </row>
    <row r="2751">
      <c r="A2751" s="145" t="n">
        <v>27</v>
      </c>
      <c r="B2751" s="204">
        <f>EDATE($B2750,1)</f>
        <v/>
      </c>
      <c r="C2751" s="205">
        <f>EOMONTH($B2751,0)</f>
        <v/>
      </c>
      <c r="D2751" s="201">
        <f>$C2751-$B2751+1</f>
        <v/>
      </c>
      <c r="E2751" s="201">
        <f>MONTH($B2751)</f>
        <v/>
      </c>
      <c r="F2751" s="235">
        <f>($B2751+$C2751+1)/2</f>
        <v/>
      </c>
      <c r="G2751" s="201">
        <f>YEAR($B2751)*12+MONTH($B2751)-1</f>
        <v/>
      </c>
      <c r="H2751" s="207">
        <f>IF(OR(nr_SeasonOn="OFF",$D$2722=0,$E$2722=0),1,12*INDEX(se_block,$D$2722,$E2751)/$E$2722)</f>
        <v/>
      </c>
      <c r="I2751" s="208">
        <f>EXP(SUMPRODUCT((rl_eff&lt;$B2751)*(rl_key=$A$2722)*rl_ln1p))</f>
        <v/>
      </c>
      <c r="J2751" s="208">
        <f>EXP(SUMPRODUCT((rl_eff&lt;=$C2751)*(rl_key=$A$2722)*rl_ln1p))</f>
        <v/>
      </c>
      <c r="K2751" s="201">
        <f>COUNTIFS(rl_key,$A$2722,rl_eff,"&gt;="&amp;$B2751,rl_eff,"&lt;="&amp;$C2751)</f>
        <v/>
      </c>
      <c r="L2751" s="201">
        <f>SUMIFS(rl_daysafter,rl_key,$A$2722,rl_effmonth,$B2751,rl_first,1)</f>
        <v/>
      </c>
      <c r="M2751" s="209">
        <f>IF($K2751=0,0,MIN(1,$L2751/$D2751))</f>
        <v/>
      </c>
      <c r="N2751" s="208">
        <f>IF($K2751=0,$J2751,(1-$M2751)*$I2751+$M2751*$J2751)</f>
        <v/>
      </c>
      <c r="O2751" s="209">
        <f>IF($F2751&lt;$B$2723,$E$2723+$I$2723*($F2751-$A$2723),IF($F2751&lt;$C$2723,$F$2723+$J$2723*($F2751-$B$2723),$G$2723+$K$2723*($F2751-$C$2723)))</f>
        <v/>
      </c>
      <c r="P2751" s="208">
        <f>MIN(1,MAX(0,(nr_MEndPm1-$G2751+0.5)/$C$2722))-MIN(1,MAX(0,(nr_MStartPm1-1-$G2751+0.5)/$C$2722))</f>
        <v/>
      </c>
      <c r="Q2751" s="208">
        <f>MIN(1,MAX(0,(nr_MEndP-$G2751+0.5)/$C$2722))-MIN(1,MAX(0,(nr_MStartP-1-$G2751+0.5)/$C$2722))</f>
        <v/>
      </c>
      <c r="R2751" s="208">
        <f>MIN(1,MAX(0,(nr_MEndP1-$G2751+0.5)/$C$2722))-MIN(1,MAX(0,(nr_MStartP1-1-$G2751+0.5)/$C$2722))</f>
        <v/>
      </c>
      <c r="S2751" s="208">
        <f>IF($L$2722,$N2751*IF($O$2722=1,$O2751/$F$2722,1),"")</f>
        <v/>
      </c>
      <c r="T2751" s="208">
        <f>IF(NOT($L$2722),"",IF($G2751&lt;nr_MStartP,$S2751,$T2739*(1+IF($G2751&lt;nr_MStartP1,$M$2722,$N$2722))))</f>
        <v/>
      </c>
      <c r="U2751" s="208">
        <f>IF($L$2722,$T2751,$N2751)</f>
        <v/>
      </c>
    </row>
    <row r="2752">
      <c r="A2752" s="145" t="n">
        <v>28</v>
      </c>
      <c r="B2752" s="204">
        <f>EDATE($B2751,1)</f>
        <v/>
      </c>
      <c r="C2752" s="205">
        <f>EOMONTH($B2752,0)</f>
        <v/>
      </c>
      <c r="D2752" s="201">
        <f>$C2752-$B2752+1</f>
        <v/>
      </c>
      <c r="E2752" s="201">
        <f>MONTH($B2752)</f>
        <v/>
      </c>
      <c r="F2752" s="235">
        <f>($B2752+$C2752+1)/2</f>
        <v/>
      </c>
      <c r="G2752" s="201">
        <f>YEAR($B2752)*12+MONTH($B2752)-1</f>
        <v/>
      </c>
      <c r="H2752" s="207">
        <f>IF(OR(nr_SeasonOn="OFF",$D$2722=0,$E$2722=0),1,12*INDEX(se_block,$D$2722,$E2752)/$E$2722)</f>
        <v/>
      </c>
      <c r="I2752" s="208">
        <f>EXP(SUMPRODUCT((rl_eff&lt;$B2752)*(rl_key=$A$2722)*rl_ln1p))</f>
        <v/>
      </c>
      <c r="J2752" s="208">
        <f>EXP(SUMPRODUCT((rl_eff&lt;=$C2752)*(rl_key=$A$2722)*rl_ln1p))</f>
        <v/>
      </c>
      <c r="K2752" s="201">
        <f>COUNTIFS(rl_key,$A$2722,rl_eff,"&gt;="&amp;$B2752,rl_eff,"&lt;="&amp;$C2752)</f>
        <v/>
      </c>
      <c r="L2752" s="201">
        <f>SUMIFS(rl_daysafter,rl_key,$A$2722,rl_effmonth,$B2752,rl_first,1)</f>
        <v/>
      </c>
      <c r="M2752" s="209">
        <f>IF($K2752=0,0,MIN(1,$L2752/$D2752))</f>
        <v/>
      </c>
      <c r="N2752" s="208">
        <f>IF($K2752=0,$J2752,(1-$M2752)*$I2752+$M2752*$J2752)</f>
        <v/>
      </c>
      <c r="O2752" s="209">
        <f>IF($F2752&lt;$B$2723,$E$2723+$I$2723*($F2752-$A$2723),IF($F2752&lt;$C$2723,$F$2723+$J$2723*($F2752-$B$2723),$G$2723+$K$2723*($F2752-$C$2723)))</f>
        <v/>
      </c>
      <c r="P2752" s="208">
        <f>MIN(1,MAX(0,(nr_MEndPm1-$G2752+0.5)/$C$2722))-MIN(1,MAX(0,(nr_MStartPm1-1-$G2752+0.5)/$C$2722))</f>
        <v/>
      </c>
      <c r="Q2752" s="208">
        <f>MIN(1,MAX(0,(nr_MEndP-$G2752+0.5)/$C$2722))-MIN(1,MAX(0,(nr_MStartP-1-$G2752+0.5)/$C$2722))</f>
        <v/>
      </c>
      <c r="R2752" s="208">
        <f>MIN(1,MAX(0,(nr_MEndP1-$G2752+0.5)/$C$2722))-MIN(1,MAX(0,(nr_MStartP1-1-$G2752+0.5)/$C$2722))</f>
        <v/>
      </c>
      <c r="S2752" s="208">
        <f>IF($L$2722,$N2752*IF($O$2722=1,$O2752/$F$2722,1),"")</f>
        <v/>
      </c>
      <c r="T2752" s="208">
        <f>IF(NOT($L$2722),"",IF($G2752&lt;nr_MStartP,$S2752,$T2740*(1+IF($G2752&lt;nr_MStartP1,$M$2722,$N$2722))))</f>
        <v/>
      </c>
      <c r="U2752" s="208">
        <f>IF($L$2722,$T2752,$N2752)</f>
        <v/>
      </c>
    </row>
    <row r="2753">
      <c r="A2753" s="145" t="n">
        <v>29</v>
      </c>
      <c r="B2753" s="204">
        <f>EDATE($B2752,1)</f>
        <v/>
      </c>
      <c r="C2753" s="205">
        <f>EOMONTH($B2753,0)</f>
        <v/>
      </c>
      <c r="D2753" s="201">
        <f>$C2753-$B2753+1</f>
        <v/>
      </c>
      <c r="E2753" s="201">
        <f>MONTH($B2753)</f>
        <v/>
      </c>
      <c r="F2753" s="235">
        <f>($B2753+$C2753+1)/2</f>
        <v/>
      </c>
      <c r="G2753" s="201">
        <f>YEAR($B2753)*12+MONTH($B2753)-1</f>
        <v/>
      </c>
      <c r="H2753" s="207">
        <f>IF(OR(nr_SeasonOn="OFF",$D$2722=0,$E$2722=0),1,12*INDEX(se_block,$D$2722,$E2753)/$E$2722)</f>
        <v/>
      </c>
      <c r="I2753" s="208">
        <f>EXP(SUMPRODUCT((rl_eff&lt;$B2753)*(rl_key=$A$2722)*rl_ln1p))</f>
        <v/>
      </c>
      <c r="J2753" s="208">
        <f>EXP(SUMPRODUCT((rl_eff&lt;=$C2753)*(rl_key=$A$2722)*rl_ln1p))</f>
        <v/>
      </c>
      <c r="K2753" s="201">
        <f>COUNTIFS(rl_key,$A$2722,rl_eff,"&gt;="&amp;$B2753,rl_eff,"&lt;="&amp;$C2753)</f>
        <v/>
      </c>
      <c r="L2753" s="201">
        <f>SUMIFS(rl_daysafter,rl_key,$A$2722,rl_effmonth,$B2753,rl_first,1)</f>
        <v/>
      </c>
      <c r="M2753" s="209">
        <f>IF($K2753=0,0,MIN(1,$L2753/$D2753))</f>
        <v/>
      </c>
      <c r="N2753" s="208">
        <f>IF($K2753=0,$J2753,(1-$M2753)*$I2753+$M2753*$J2753)</f>
        <v/>
      </c>
      <c r="O2753" s="209">
        <f>IF($F2753&lt;$B$2723,$E$2723+$I$2723*($F2753-$A$2723),IF($F2753&lt;$C$2723,$F$2723+$J$2723*($F2753-$B$2723),$G$2723+$K$2723*($F2753-$C$2723)))</f>
        <v/>
      </c>
      <c r="P2753" s="208">
        <f>MIN(1,MAX(0,(nr_MEndPm1-$G2753+0.5)/$C$2722))-MIN(1,MAX(0,(nr_MStartPm1-1-$G2753+0.5)/$C$2722))</f>
        <v/>
      </c>
      <c r="Q2753" s="208">
        <f>MIN(1,MAX(0,(nr_MEndP-$G2753+0.5)/$C$2722))-MIN(1,MAX(0,(nr_MStartP-1-$G2753+0.5)/$C$2722))</f>
        <v/>
      </c>
      <c r="R2753" s="208">
        <f>MIN(1,MAX(0,(nr_MEndP1-$G2753+0.5)/$C$2722))-MIN(1,MAX(0,(nr_MStartP1-1-$G2753+0.5)/$C$2722))</f>
        <v/>
      </c>
      <c r="S2753" s="208">
        <f>IF($L$2722,$N2753*IF($O$2722=1,$O2753/$F$2722,1),"")</f>
        <v/>
      </c>
      <c r="T2753" s="208">
        <f>IF(NOT($L$2722),"",IF($G2753&lt;nr_MStartP,$S2753,$T2741*(1+IF($G2753&lt;nr_MStartP1,$M$2722,$N$2722))))</f>
        <v/>
      </c>
      <c r="U2753" s="208">
        <f>IF($L$2722,$T2753,$N2753)</f>
        <v/>
      </c>
    </row>
    <row r="2754">
      <c r="A2754" s="145" t="n">
        <v>30</v>
      </c>
      <c r="B2754" s="204">
        <f>EDATE($B2753,1)</f>
        <v/>
      </c>
      <c r="C2754" s="205">
        <f>EOMONTH($B2754,0)</f>
        <v/>
      </c>
      <c r="D2754" s="201">
        <f>$C2754-$B2754+1</f>
        <v/>
      </c>
      <c r="E2754" s="201">
        <f>MONTH($B2754)</f>
        <v/>
      </c>
      <c r="F2754" s="235">
        <f>($B2754+$C2754+1)/2</f>
        <v/>
      </c>
      <c r="G2754" s="201">
        <f>YEAR($B2754)*12+MONTH($B2754)-1</f>
        <v/>
      </c>
      <c r="H2754" s="207">
        <f>IF(OR(nr_SeasonOn="OFF",$D$2722=0,$E$2722=0),1,12*INDEX(se_block,$D$2722,$E2754)/$E$2722)</f>
        <v/>
      </c>
      <c r="I2754" s="208">
        <f>EXP(SUMPRODUCT((rl_eff&lt;$B2754)*(rl_key=$A$2722)*rl_ln1p))</f>
        <v/>
      </c>
      <c r="J2754" s="208">
        <f>EXP(SUMPRODUCT((rl_eff&lt;=$C2754)*(rl_key=$A$2722)*rl_ln1p))</f>
        <v/>
      </c>
      <c r="K2754" s="201">
        <f>COUNTIFS(rl_key,$A$2722,rl_eff,"&gt;="&amp;$B2754,rl_eff,"&lt;="&amp;$C2754)</f>
        <v/>
      </c>
      <c r="L2754" s="201">
        <f>SUMIFS(rl_daysafter,rl_key,$A$2722,rl_effmonth,$B2754,rl_first,1)</f>
        <v/>
      </c>
      <c r="M2754" s="209">
        <f>IF($K2754=0,0,MIN(1,$L2754/$D2754))</f>
        <v/>
      </c>
      <c r="N2754" s="208">
        <f>IF($K2754=0,$J2754,(1-$M2754)*$I2754+$M2754*$J2754)</f>
        <v/>
      </c>
      <c r="O2754" s="209">
        <f>IF($F2754&lt;$B$2723,$E$2723+$I$2723*($F2754-$A$2723),IF($F2754&lt;$C$2723,$F$2723+$J$2723*($F2754-$B$2723),$G$2723+$K$2723*($F2754-$C$2723)))</f>
        <v/>
      </c>
      <c r="P2754" s="208">
        <f>MIN(1,MAX(0,(nr_MEndPm1-$G2754+0.5)/$C$2722))-MIN(1,MAX(0,(nr_MStartPm1-1-$G2754+0.5)/$C$2722))</f>
        <v/>
      </c>
      <c r="Q2754" s="208">
        <f>MIN(1,MAX(0,(nr_MEndP-$G2754+0.5)/$C$2722))-MIN(1,MAX(0,(nr_MStartP-1-$G2754+0.5)/$C$2722))</f>
        <v/>
      </c>
      <c r="R2754" s="208">
        <f>MIN(1,MAX(0,(nr_MEndP1-$G2754+0.5)/$C$2722))-MIN(1,MAX(0,(nr_MStartP1-1-$G2754+0.5)/$C$2722))</f>
        <v/>
      </c>
      <c r="S2754" s="208">
        <f>IF($L$2722,$N2754*IF($O$2722=1,$O2754/$F$2722,1),"")</f>
        <v/>
      </c>
      <c r="T2754" s="208">
        <f>IF(NOT($L$2722),"",IF($G2754&lt;nr_MStartP,$S2754,$T2742*(1+IF($G2754&lt;nr_MStartP1,$M$2722,$N$2722))))</f>
        <v/>
      </c>
      <c r="U2754" s="208">
        <f>IF($L$2722,$T2754,$N2754)</f>
        <v/>
      </c>
    </row>
    <row r="2755">
      <c r="A2755" s="145" t="n">
        <v>31</v>
      </c>
      <c r="B2755" s="204">
        <f>EDATE($B2754,1)</f>
        <v/>
      </c>
      <c r="C2755" s="205">
        <f>EOMONTH($B2755,0)</f>
        <v/>
      </c>
      <c r="D2755" s="201">
        <f>$C2755-$B2755+1</f>
        <v/>
      </c>
      <c r="E2755" s="201">
        <f>MONTH($B2755)</f>
        <v/>
      </c>
      <c r="F2755" s="235">
        <f>($B2755+$C2755+1)/2</f>
        <v/>
      </c>
      <c r="G2755" s="201">
        <f>YEAR($B2755)*12+MONTH($B2755)-1</f>
        <v/>
      </c>
      <c r="H2755" s="207">
        <f>IF(OR(nr_SeasonOn="OFF",$D$2722=0,$E$2722=0),1,12*INDEX(se_block,$D$2722,$E2755)/$E$2722)</f>
        <v/>
      </c>
      <c r="I2755" s="208">
        <f>EXP(SUMPRODUCT((rl_eff&lt;$B2755)*(rl_key=$A$2722)*rl_ln1p))</f>
        <v/>
      </c>
      <c r="J2755" s="208">
        <f>EXP(SUMPRODUCT((rl_eff&lt;=$C2755)*(rl_key=$A$2722)*rl_ln1p))</f>
        <v/>
      </c>
      <c r="K2755" s="201">
        <f>COUNTIFS(rl_key,$A$2722,rl_eff,"&gt;="&amp;$B2755,rl_eff,"&lt;="&amp;$C2755)</f>
        <v/>
      </c>
      <c r="L2755" s="201">
        <f>SUMIFS(rl_daysafter,rl_key,$A$2722,rl_effmonth,$B2755,rl_first,1)</f>
        <v/>
      </c>
      <c r="M2755" s="209">
        <f>IF($K2755=0,0,MIN(1,$L2755/$D2755))</f>
        <v/>
      </c>
      <c r="N2755" s="208">
        <f>IF($K2755=0,$J2755,(1-$M2755)*$I2755+$M2755*$J2755)</f>
        <v/>
      </c>
      <c r="O2755" s="209">
        <f>IF($F2755&lt;$B$2723,$E$2723+$I$2723*($F2755-$A$2723),IF($F2755&lt;$C$2723,$F$2723+$J$2723*($F2755-$B$2723),$G$2723+$K$2723*($F2755-$C$2723)))</f>
        <v/>
      </c>
      <c r="P2755" s="208">
        <f>MIN(1,MAX(0,(nr_MEndPm1-$G2755+0.5)/$C$2722))-MIN(1,MAX(0,(nr_MStartPm1-1-$G2755+0.5)/$C$2722))</f>
        <v/>
      </c>
      <c r="Q2755" s="208">
        <f>MIN(1,MAX(0,(nr_MEndP-$G2755+0.5)/$C$2722))-MIN(1,MAX(0,(nr_MStartP-1-$G2755+0.5)/$C$2722))</f>
        <v/>
      </c>
      <c r="R2755" s="208">
        <f>MIN(1,MAX(0,(nr_MEndP1-$G2755+0.5)/$C$2722))-MIN(1,MAX(0,(nr_MStartP1-1-$G2755+0.5)/$C$2722))</f>
        <v/>
      </c>
      <c r="S2755" s="208">
        <f>IF($L$2722,$N2755*IF($O$2722=1,$O2755/$F$2722,1),"")</f>
        <v/>
      </c>
      <c r="T2755" s="208">
        <f>IF(NOT($L$2722),"",IF($G2755&lt;nr_MStartP,$S2755,$T2743*(1+IF($G2755&lt;nr_MStartP1,$M$2722,$N$2722))))</f>
        <v/>
      </c>
      <c r="U2755" s="208">
        <f>IF($L$2722,$T2755,$N2755)</f>
        <v/>
      </c>
    </row>
    <row r="2756">
      <c r="A2756" s="145" t="n">
        <v>32</v>
      </c>
      <c r="B2756" s="204">
        <f>EDATE($B2755,1)</f>
        <v/>
      </c>
      <c r="C2756" s="205">
        <f>EOMONTH($B2756,0)</f>
        <v/>
      </c>
      <c r="D2756" s="201">
        <f>$C2756-$B2756+1</f>
        <v/>
      </c>
      <c r="E2756" s="201">
        <f>MONTH($B2756)</f>
        <v/>
      </c>
      <c r="F2756" s="235">
        <f>($B2756+$C2756+1)/2</f>
        <v/>
      </c>
      <c r="G2756" s="201">
        <f>YEAR($B2756)*12+MONTH($B2756)-1</f>
        <v/>
      </c>
      <c r="H2756" s="207">
        <f>IF(OR(nr_SeasonOn="OFF",$D$2722=0,$E$2722=0),1,12*INDEX(se_block,$D$2722,$E2756)/$E$2722)</f>
        <v/>
      </c>
      <c r="I2756" s="208">
        <f>EXP(SUMPRODUCT((rl_eff&lt;$B2756)*(rl_key=$A$2722)*rl_ln1p))</f>
        <v/>
      </c>
      <c r="J2756" s="208">
        <f>EXP(SUMPRODUCT((rl_eff&lt;=$C2756)*(rl_key=$A$2722)*rl_ln1p))</f>
        <v/>
      </c>
      <c r="K2756" s="201">
        <f>COUNTIFS(rl_key,$A$2722,rl_eff,"&gt;="&amp;$B2756,rl_eff,"&lt;="&amp;$C2756)</f>
        <v/>
      </c>
      <c r="L2756" s="201">
        <f>SUMIFS(rl_daysafter,rl_key,$A$2722,rl_effmonth,$B2756,rl_first,1)</f>
        <v/>
      </c>
      <c r="M2756" s="209">
        <f>IF($K2756=0,0,MIN(1,$L2756/$D2756))</f>
        <v/>
      </c>
      <c r="N2756" s="208">
        <f>IF($K2756=0,$J2756,(1-$M2756)*$I2756+$M2756*$J2756)</f>
        <v/>
      </c>
      <c r="O2756" s="209">
        <f>IF($F2756&lt;$B$2723,$E$2723+$I$2723*($F2756-$A$2723),IF($F2756&lt;$C$2723,$F$2723+$J$2723*($F2756-$B$2723),$G$2723+$K$2723*($F2756-$C$2723)))</f>
        <v/>
      </c>
      <c r="P2756" s="208">
        <f>MIN(1,MAX(0,(nr_MEndPm1-$G2756+0.5)/$C$2722))-MIN(1,MAX(0,(nr_MStartPm1-1-$G2756+0.5)/$C$2722))</f>
        <v/>
      </c>
      <c r="Q2756" s="208">
        <f>MIN(1,MAX(0,(nr_MEndP-$G2756+0.5)/$C$2722))-MIN(1,MAX(0,(nr_MStartP-1-$G2756+0.5)/$C$2722))</f>
        <v/>
      </c>
      <c r="R2756" s="208">
        <f>MIN(1,MAX(0,(nr_MEndP1-$G2756+0.5)/$C$2722))-MIN(1,MAX(0,(nr_MStartP1-1-$G2756+0.5)/$C$2722))</f>
        <v/>
      </c>
      <c r="S2756" s="208">
        <f>IF($L$2722,$N2756*IF($O$2722=1,$O2756/$F$2722,1),"")</f>
        <v/>
      </c>
      <c r="T2756" s="208">
        <f>IF(NOT($L$2722),"",IF($G2756&lt;nr_MStartP,$S2756,$T2744*(1+IF($G2756&lt;nr_MStartP1,$M$2722,$N$2722))))</f>
        <v/>
      </c>
      <c r="U2756" s="208">
        <f>IF($L$2722,$T2756,$N2756)</f>
        <v/>
      </c>
    </row>
    <row r="2757">
      <c r="A2757" s="145" t="n">
        <v>33</v>
      </c>
      <c r="B2757" s="204">
        <f>EDATE($B2756,1)</f>
        <v/>
      </c>
      <c r="C2757" s="205">
        <f>EOMONTH($B2757,0)</f>
        <v/>
      </c>
      <c r="D2757" s="201">
        <f>$C2757-$B2757+1</f>
        <v/>
      </c>
      <c r="E2757" s="201">
        <f>MONTH($B2757)</f>
        <v/>
      </c>
      <c r="F2757" s="235">
        <f>($B2757+$C2757+1)/2</f>
        <v/>
      </c>
      <c r="G2757" s="201">
        <f>YEAR($B2757)*12+MONTH($B2757)-1</f>
        <v/>
      </c>
      <c r="H2757" s="207">
        <f>IF(OR(nr_SeasonOn="OFF",$D$2722=0,$E$2722=0),1,12*INDEX(se_block,$D$2722,$E2757)/$E$2722)</f>
        <v/>
      </c>
      <c r="I2757" s="208">
        <f>EXP(SUMPRODUCT((rl_eff&lt;$B2757)*(rl_key=$A$2722)*rl_ln1p))</f>
        <v/>
      </c>
      <c r="J2757" s="208">
        <f>EXP(SUMPRODUCT((rl_eff&lt;=$C2757)*(rl_key=$A$2722)*rl_ln1p))</f>
        <v/>
      </c>
      <c r="K2757" s="201">
        <f>COUNTIFS(rl_key,$A$2722,rl_eff,"&gt;="&amp;$B2757,rl_eff,"&lt;="&amp;$C2757)</f>
        <v/>
      </c>
      <c r="L2757" s="201">
        <f>SUMIFS(rl_daysafter,rl_key,$A$2722,rl_effmonth,$B2757,rl_first,1)</f>
        <v/>
      </c>
      <c r="M2757" s="209">
        <f>IF($K2757=0,0,MIN(1,$L2757/$D2757))</f>
        <v/>
      </c>
      <c r="N2757" s="208">
        <f>IF($K2757=0,$J2757,(1-$M2757)*$I2757+$M2757*$J2757)</f>
        <v/>
      </c>
      <c r="O2757" s="209">
        <f>IF($F2757&lt;$B$2723,$E$2723+$I$2723*($F2757-$A$2723),IF($F2757&lt;$C$2723,$F$2723+$J$2723*($F2757-$B$2723),$G$2723+$K$2723*($F2757-$C$2723)))</f>
        <v/>
      </c>
      <c r="P2757" s="208">
        <f>MIN(1,MAX(0,(nr_MEndPm1-$G2757+0.5)/$C$2722))-MIN(1,MAX(0,(nr_MStartPm1-1-$G2757+0.5)/$C$2722))</f>
        <v/>
      </c>
      <c r="Q2757" s="208">
        <f>MIN(1,MAX(0,(nr_MEndP-$G2757+0.5)/$C$2722))-MIN(1,MAX(0,(nr_MStartP-1-$G2757+0.5)/$C$2722))</f>
        <v/>
      </c>
      <c r="R2757" s="208">
        <f>MIN(1,MAX(0,(nr_MEndP1-$G2757+0.5)/$C$2722))-MIN(1,MAX(0,(nr_MStartP1-1-$G2757+0.5)/$C$2722))</f>
        <v/>
      </c>
      <c r="S2757" s="208">
        <f>IF($L$2722,$N2757*IF($O$2722=1,$O2757/$F$2722,1),"")</f>
        <v/>
      </c>
      <c r="T2757" s="208">
        <f>IF(NOT($L$2722),"",IF($G2757&lt;nr_MStartP,$S2757,$T2745*(1+IF($G2757&lt;nr_MStartP1,$M$2722,$N$2722))))</f>
        <v/>
      </c>
      <c r="U2757" s="208">
        <f>IF($L$2722,$T2757,$N2757)</f>
        <v/>
      </c>
    </row>
    <row r="2758">
      <c r="A2758" s="145" t="n">
        <v>34</v>
      </c>
      <c r="B2758" s="204">
        <f>EDATE($B2757,1)</f>
        <v/>
      </c>
      <c r="C2758" s="205">
        <f>EOMONTH($B2758,0)</f>
        <v/>
      </c>
      <c r="D2758" s="201">
        <f>$C2758-$B2758+1</f>
        <v/>
      </c>
      <c r="E2758" s="201">
        <f>MONTH($B2758)</f>
        <v/>
      </c>
      <c r="F2758" s="235">
        <f>($B2758+$C2758+1)/2</f>
        <v/>
      </c>
      <c r="G2758" s="201">
        <f>YEAR($B2758)*12+MONTH($B2758)-1</f>
        <v/>
      </c>
      <c r="H2758" s="207">
        <f>IF(OR(nr_SeasonOn="OFF",$D$2722=0,$E$2722=0),1,12*INDEX(se_block,$D$2722,$E2758)/$E$2722)</f>
        <v/>
      </c>
      <c r="I2758" s="208">
        <f>EXP(SUMPRODUCT((rl_eff&lt;$B2758)*(rl_key=$A$2722)*rl_ln1p))</f>
        <v/>
      </c>
      <c r="J2758" s="208">
        <f>EXP(SUMPRODUCT((rl_eff&lt;=$C2758)*(rl_key=$A$2722)*rl_ln1p))</f>
        <v/>
      </c>
      <c r="K2758" s="201">
        <f>COUNTIFS(rl_key,$A$2722,rl_eff,"&gt;="&amp;$B2758,rl_eff,"&lt;="&amp;$C2758)</f>
        <v/>
      </c>
      <c r="L2758" s="201">
        <f>SUMIFS(rl_daysafter,rl_key,$A$2722,rl_effmonth,$B2758,rl_first,1)</f>
        <v/>
      </c>
      <c r="M2758" s="209">
        <f>IF($K2758=0,0,MIN(1,$L2758/$D2758))</f>
        <v/>
      </c>
      <c r="N2758" s="208">
        <f>IF($K2758=0,$J2758,(1-$M2758)*$I2758+$M2758*$J2758)</f>
        <v/>
      </c>
      <c r="O2758" s="209">
        <f>IF($F2758&lt;$B$2723,$E$2723+$I$2723*($F2758-$A$2723),IF($F2758&lt;$C$2723,$F$2723+$J$2723*($F2758-$B$2723),$G$2723+$K$2723*($F2758-$C$2723)))</f>
        <v/>
      </c>
      <c r="P2758" s="208">
        <f>MIN(1,MAX(0,(nr_MEndPm1-$G2758+0.5)/$C$2722))-MIN(1,MAX(0,(nr_MStartPm1-1-$G2758+0.5)/$C$2722))</f>
        <v/>
      </c>
      <c r="Q2758" s="208">
        <f>MIN(1,MAX(0,(nr_MEndP-$G2758+0.5)/$C$2722))-MIN(1,MAX(0,(nr_MStartP-1-$G2758+0.5)/$C$2722))</f>
        <v/>
      </c>
      <c r="R2758" s="208">
        <f>MIN(1,MAX(0,(nr_MEndP1-$G2758+0.5)/$C$2722))-MIN(1,MAX(0,(nr_MStartP1-1-$G2758+0.5)/$C$2722))</f>
        <v/>
      </c>
      <c r="S2758" s="208">
        <f>IF($L$2722,$N2758*IF($O$2722=1,$O2758/$F$2722,1),"")</f>
        <v/>
      </c>
      <c r="T2758" s="208">
        <f>IF(NOT($L$2722),"",IF($G2758&lt;nr_MStartP,$S2758,$T2746*(1+IF($G2758&lt;nr_MStartP1,$M$2722,$N$2722))))</f>
        <v/>
      </c>
      <c r="U2758" s="208">
        <f>IF($L$2722,$T2758,$N2758)</f>
        <v/>
      </c>
    </row>
    <row r="2759">
      <c r="A2759" s="145" t="n">
        <v>35</v>
      </c>
      <c r="B2759" s="204">
        <f>EDATE($B2758,1)</f>
        <v/>
      </c>
      <c r="C2759" s="205">
        <f>EOMONTH($B2759,0)</f>
        <v/>
      </c>
      <c r="D2759" s="201">
        <f>$C2759-$B2759+1</f>
        <v/>
      </c>
      <c r="E2759" s="201">
        <f>MONTH($B2759)</f>
        <v/>
      </c>
      <c r="F2759" s="235">
        <f>($B2759+$C2759+1)/2</f>
        <v/>
      </c>
      <c r="G2759" s="201">
        <f>YEAR($B2759)*12+MONTH($B2759)-1</f>
        <v/>
      </c>
      <c r="H2759" s="207">
        <f>IF(OR(nr_SeasonOn="OFF",$D$2722=0,$E$2722=0),1,12*INDEX(se_block,$D$2722,$E2759)/$E$2722)</f>
        <v/>
      </c>
      <c r="I2759" s="208">
        <f>EXP(SUMPRODUCT((rl_eff&lt;$B2759)*(rl_key=$A$2722)*rl_ln1p))</f>
        <v/>
      </c>
      <c r="J2759" s="208">
        <f>EXP(SUMPRODUCT((rl_eff&lt;=$C2759)*(rl_key=$A$2722)*rl_ln1p))</f>
        <v/>
      </c>
      <c r="K2759" s="201">
        <f>COUNTIFS(rl_key,$A$2722,rl_eff,"&gt;="&amp;$B2759,rl_eff,"&lt;="&amp;$C2759)</f>
        <v/>
      </c>
      <c r="L2759" s="201">
        <f>SUMIFS(rl_daysafter,rl_key,$A$2722,rl_effmonth,$B2759,rl_first,1)</f>
        <v/>
      </c>
      <c r="M2759" s="209">
        <f>IF($K2759=0,0,MIN(1,$L2759/$D2759))</f>
        <v/>
      </c>
      <c r="N2759" s="208">
        <f>IF($K2759=0,$J2759,(1-$M2759)*$I2759+$M2759*$J2759)</f>
        <v/>
      </c>
      <c r="O2759" s="209">
        <f>IF($F2759&lt;$B$2723,$E$2723+$I$2723*($F2759-$A$2723),IF($F2759&lt;$C$2723,$F$2723+$J$2723*($F2759-$B$2723),$G$2723+$K$2723*($F2759-$C$2723)))</f>
        <v/>
      </c>
      <c r="P2759" s="208">
        <f>MIN(1,MAX(0,(nr_MEndPm1-$G2759+0.5)/$C$2722))-MIN(1,MAX(0,(nr_MStartPm1-1-$G2759+0.5)/$C$2722))</f>
        <v/>
      </c>
      <c r="Q2759" s="208">
        <f>MIN(1,MAX(0,(nr_MEndP-$G2759+0.5)/$C$2722))-MIN(1,MAX(0,(nr_MStartP-1-$G2759+0.5)/$C$2722))</f>
        <v/>
      </c>
      <c r="R2759" s="208">
        <f>MIN(1,MAX(0,(nr_MEndP1-$G2759+0.5)/$C$2722))-MIN(1,MAX(0,(nr_MStartP1-1-$G2759+0.5)/$C$2722))</f>
        <v/>
      </c>
      <c r="S2759" s="208">
        <f>IF($L$2722,$N2759*IF($O$2722=1,$O2759/$F$2722,1),"")</f>
        <v/>
      </c>
      <c r="T2759" s="208">
        <f>IF(NOT($L$2722),"",IF($G2759&lt;nr_MStartP,$S2759,$T2747*(1+IF($G2759&lt;nr_MStartP1,$M$2722,$N$2722))))</f>
        <v/>
      </c>
      <c r="U2759" s="208">
        <f>IF($L$2722,$T2759,$N2759)</f>
        <v/>
      </c>
    </row>
    <row r="2760">
      <c r="A2760" s="145" t="n">
        <v>36</v>
      </c>
      <c r="B2760" s="204">
        <f>EDATE($B2759,1)</f>
        <v/>
      </c>
      <c r="C2760" s="205">
        <f>EOMONTH($B2760,0)</f>
        <v/>
      </c>
      <c r="D2760" s="201">
        <f>$C2760-$B2760+1</f>
        <v/>
      </c>
      <c r="E2760" s="201">
        <f>MONTH($B2760)</f>
        <v/>
      </c>
      <c r="F2760" s="235">
        <f>($B2760+$C2760+1)/2</f>
        <v/>
      </c>
      <c r="G2760" s="201">
        <f>YEAR($B2760)*12+MONTH($B2760)-1</f>
        <v/>
      </c>
      <c r="H2760" s="207">
        <f>IF(OR(nr_SeasonOn="OFF",$D$2722=0,$E$2722=0),1,12*INDEX(se_block,$D$2722,$E2760)/$E$2722)</f>
        <v/>
      </c>
      <c r="I2760" s="208">
        <f>EXP(SUMPRODUCT((rl_eff&lt;$B2760)*(rl_key=$A$2722)*rl_ln1p))</f>
        <v/>
      </c>
      <c r="J2760" s="208">
        <f>EXP(SUMPRODUCT((rl_eff&lt;=$C2760)*(rl_key=$A$2722)*rl_ln1p))</f>
        <v/>
      </c>
      <c r="K2760" s="201">
        <f>COUNTIFS(rl_key,$A$2722,rl_eff,"&gt;="&amp;$B2760,rl_eff,"&lt;="&amp;$C2760)</f>
        <v/>
      </c>
      <c r="L2760" s="201">
        <f>SUMIFS(rl_daysafter,rl_key,$A$2722,rl_effmonth,$B2760,rl_first,1)</f>
        <v/>
      </c>
      <c r="M2760" s="209">
        <f>IF($K2760=0,0,MIN(1,$L2760/$D2760))</f>
        <v/>
      </c>
      <c r="N2760" s="208">
        <f>IF($K2760=0,$J2760,(1-$M2760)*$I2760+$M2760*$J2760)</f>
        <v/>
      </c>
      <c r="O2760" s="209">
        <f>IF($F2760&lt;$B$2723,$E$2723+$I$2723*($F2760-$A$2723),IF($F2760&lt;$C$2723,$F$2723+$J$2723*($F2760-$B$2723),$G$2723+$K$2723*($F2760-$C$2723)))</f>
        <v/>
      </c>
      <c r="P2760" s="208">
        <f>MIN(1,MAX(0,(nr_MEndPm1-$G2760+0.5)/$C$2722))-MIN(1,MAX(0,(nr_MStartPm1-1-$G2760+0.5)/$C$2722))</f>
        <v/>
      </c>
      <c r="Q2760" s="208">
        <f>MIN(1,MAX(0,(nr_MEndP-$G2760+0.5)/$C$2722))-MIN(1,MAX(0,(nr_MStartP-1-$G2760+0.5)/$C$2722))</f>
        <v/>
      </c>
      <c r="R2760" s="208">
        <f>MIN(1,MAX(0,(nr_MEndP1-$G2760+0.5)/$C$2722))-MIN(1,MAX(0,(nr_MStartP1-1-$G2760+0.5)/$C$2722))</f>
        <v/>
      </c>
      <c r="S2760" s="208">
        <f>IF($L$2722,$N2760*IF($O$2722=1,$O2760/$F$2722,1),"")</f>
        <v/>
      </c>
      <c r="T2760" s="208">
        <f>IF(NOT($L$2722),"",IF($G2760&lt;nr_MStartP,$S2760,$T2748*(1+IF($G2760&lt;nr_MStartP1,$M$2722,$N$2722))))</f>
        <v/>
      </c>
      <c r="U2760" s="208">
        <f>IF($L$2722,$T2760,$N2760)</f>
        <v/>
      </c>
    </row>
    <row r="2761">
      <c r="A2761" s="145" t="n">
        <v>37</v>
      </c>
      <c r="B2761" s="204">
        <f>EDATE($B2760,1)</f>
        <v/>
      </c>
      <c r="C2761" s="205">
        <f>EOMONTH($B2761,0)</f>
        <v/>
      </c>
      <c r="D2761" s="201">
        <f>$C2761-$B2761+1</f>
        <v/>
      </c>
      <c r="E2761" s="201">
        <f>MONTH($B2761)</f>
        <v/>
      </c>
      <c r="F2761" s="235">
        <f>($B2761+$C2761+1)/2</f>
        <v/>
      </c>
      <c r="G2761" s="201">
        <f>YEAR($B2761)*12+MONTH($B2761)-1</f>
        <v/>
      </c>
      <c r="H2761" s="207">
        <f>IF(OR(nr_SeasonOn="OFF",$D$2722=0,$E$2722=0),1,12*INDEX(se_block,$D$2722,$E2761)/$E$2722)</f>
        <v/>
      </c>
      <c r="I2761" s="208">
        <f>EXP(SUMPRODUCT((rl_eff&lt;$B2761)*(rl_key=$A$2722)*rl_ln1p))</f>
        <v/>
      </c>
      <c r="J2761" s="208">
        <f>EXP(SUMPRODUCT((rl_eff&lt;=$C2761)*(rl_key=$A$2722)*rl_ln1p))</f>
        <v/>
      </c>
      <c r="K2761" s="201">
        <f>COUNTIFS(rl_key,$A$2722,rl_eff,"&gt;="&amp;$B2761,rl_eff,"&lt;="&amp;$C2761)</f>
        <v/>
      </c>
      <c r="L2761" s="201">
        <f>SUMIFS(rl_daysafter,rl_key,$A$2722,rl_effmonth,$B2761,rl_first,1)</f>
        <v/>
      </c>
      <c r="M2761" s="209">
        <f>IF($K2761=0,0,MIN(1,$L2761/$D2761))</f>
        <v/>
      </c>
      <c r="N2761" s="208">
        <f>IF($K2761=0,$J2761,(1-$M2761)*$I2761+$M2761*$J2761)</f>
        <v/>
      </c>
      <c r="O2761" s="209">
        <f>IF($F2761&lt;$B$2723,$E$2723+$I$2723*($F2761-$A$2723),IF($F2761&lt;$C$2723,$F$2723+$J$2723*($F2761-$B$2723),$G$2723+$K$2723*($F2761-$C$2723)))</f>
        <v/>
      </c>
      <c r="P2761" s="208">
        <f>MIN(1,MAX(0,(nr_MEndPm1-$G2761+0.5)/$C$2722))-MIN(1,MAX(0,(nr_MStartPm1-1-$G2761+0.5)/$C$2722))</f>
        <v/>
      </c>
      <c r="Q2761" s="208">
        <f>MIN(1,MAX(0,(nr_MEndP-$G2761+0.5)/$C$2722))-MIN(1,MAX(0,(nr_MStartP-1-$G2761+0.5)/$C$2722))</f>
        <v/>
      </c>
      <c r="R2761" s="208">
        <f>MIN(1,MAX(0,(nr_MEndP1-$G2761+0.5)/$C$2722))-MIN(1,MAX(0,(nr_MStartP1-1-$G2761+0.5)/$C$2722))</f>
        <v/>
      </c>
      <c r="S2761" s="208">
        <f>IF($L$2722,$N2761*IF($O$2722=1,$O2761/$F$2722,1),"")</f>
        <v/>
      </c>
      <c r="T2761" s="208">
        <f>IF(NOT($L$2722),"",IF($G2761&lt;nr_MStartP,$S2761,$T2749*(1+IF($G2761&lt;nr_MStartP1,$M$2722,$N$2722))))</f>
        <v/>
      </c>
      <c r="U2761" s="208">
        <f>IF($L$2722,$T2761,$N2761)</f>
        <v/>
      </c>
    </row>
    <row r="2762">
      <c r="A2762" s="145" t="n">
        <v>38</v>
      </c>
      <c r="B2762" s="204">
        <f>EDATE($B2761,1)</f>
        <v/>
      </c>
      <c r="C2762" s="205">
        <f>EOMONTH($B2762,0)</f>
        <v/>
      </c>
      <c r="D2762" s="201">
        <f>$C2762-$B2762+1</f>
        <v/>
      </c>
      <c r="E2762" s="201">
        <f>MONTH($B2762)</f>
        <v/>
      </c>
      <c r="F2762" s="235">
        <f>($B2762+$C2762+1)/2</f>
        <v/>
      </c>
      <c r="G2762" s="201">
        <f>YEAR($B2762)*12+MONTH($B2762)-1</f>
        <v/>
      </c>
      <c r="H2762" s="207">
        <f>IF(OR(nr_SeasonOn="OFF",$D$2722=0,$E$2722=0),1,12*INDEX(se_block,$D$2722,$E2762)/$E$2722)</f>
        <v/>
      </c>
      <c r="I2762" s="208">
        <f>EXP(SUMPRODUCT((rl_eff&lt;$B2762)*(rl_key=$A$2722)*rl_ln1p))</f>
        <v/>
      </c>
      <c r="J2762" s="208">
        <f>EXP(SUMPRODUCT((rl_eff&lt;=$C2762)*(rl_key=$A$2722)*rl_ln1p))</f>
        <v/>
      </c>
      <c r="K2762" s="201">
        <f>COUNTIFS(rl_key,$A$2722,rl_eff,"&gt;="&amp;$B2762,rl_eff,"&lt;="&amp;$C2762)</f>
        <v/>
      </c>
      <c r="L2762" s="201">
        <f>SUMIFS(rl_daysafter,rl_key,$A$2722,rl_effmonth,$B2762,rl_first,1)</f>
        <v/>
      </c>
      <c r="M2762" s="209">
        <f>IF($K2762=0,0,MIN(1,$L2762/$D2762))</f>
        <v/>
      </c>
      <c r="N2762" s="208">
        <f>IF($K2762=0,$J2762,(1-$M2762)*$I2762+$M2762*$J2762)</f>
        <v/>
      </c>
      <c r="O2762" s="209">
        <f>IF($F2762&lt;$B$2723,$E$2723+$I$2723*($F2762-$A$2723),IF($F2762&lt;$C$2723,$F$2723+$J$2723*($F2762-$B$2723),$G$2723+$K$2723*($F2762-$C$2723)))</f>
        <v/>
      </c>
      <c r="P2762" s="208">
        <f>MIN(1,MAX(0,(nr_MEndPm1-$G2762+0.5)/$C$2722))-MIN(1,MAX(0,(nr_MStartPm1-1-$G2762+0.5)/$C$2722))</f>
        <v/>
      </c>
      <c r="Q2762" s="208">
        <f>MIN(1,MAX(0,(nr_MEndP-$G2762+0.5)/$C$2722))-MIN(1,MAX(0,(nr_MStartP-1-$G2762+0.5)/$C$2722))</f>
        <v/>
      </c>
      <c r="R2762" s="208">
        <f>MIN(1,MAX(0,(nr_MEndP1-$G2762+0.5)/$C$2722))-MIN(1,MAX(0,(nr_MStartP1-1-$G2762+0.5)/$C$2722))</f>
        <v/>
      </c>
      <c r="S2762" s="208">
        <f>IF($L$2722,$N2762*IF($O$2722=1,$O2762/$F$2722,1),"")</f>
        <v/>
      </c>
      <c r="T2762" s="208">
        <f>IF(NOT($L$2722),"",IF($G2762&lt;nr_MStartP,$S2762,$T2750*(1+IF($G2762&lt;nr_MStartP1,$M$2722,$N$2722))))</f>
        <v/>
      </c>
      <c r="U2762" s="208">
        <f>IF($L$2722,$T2762,$N2762)</f>
        <v/>
      </c>
    </row>
    <row r="2763">
      <c r="A2763" s="145" t="n">
        <v>39</v>
      </c>
      <c r="B2763" s="204">
        <f>EDATE($B2762,1)</f>
        <v/>
      </c>
      <c r="C2763" s="205">
        <f>EOMONTH($B2763,0)</f>
        <v/>
      </c>
      <c r="D2763" s="201">
        <f>$C2763-$B2763+1</f>
        <v/>
      </c>
      <c r="E2763" s="201">
        <f>MONTH($B2763)</f>
        <v/>
      </c>
      <c r="F2763" s="235">
        <f>($B2763+$C2763+1)/2</f>
        <v/>
      </c>
      <c r="G2763" s="201">
        <f>YEAR($B2763)*12+MONTH($B2763)-1</f>
        <v/>
      </c>
      <c r="H2763" s="207">
        <f>IF(OR(nr_SeasonOn="OFF",$D$2722=0,$E$2722=0),1,12*INDEX(se_block,$D$2722,$E2763)/$E$2722)</f>
        <v/>
      </c>
      <c r="I2763" s="208">
        <f>EXP(SUMPRODUCT((rl_eff&lt;$B2763)*(rl_key=$A$2722)*rl_ln1p))</f>
        <v/>
      </c>
      <c r="J2763" s="208">
        <f>EXP(SUMPRODUCT((rl_eff&lt;=$C2763)*(rl_key=$A$2722)*rl_ln1p))</f>
        <v/>
      </c>
      <c r="K2763" s="201">
        <f>COUNTIFS(rl_key,$A$2722,rl_eff,"&gt;="&amp;$B2763,rl_eff,"&lt;="&amp;$C2763)</f>
        <v/>
      </c>
      <c r="L2763" s="201">
        <f>SUMIFS(rl_daysafter,rl_key,$A$2722,rl_effmonth,$B2763,rl_first,1)</f>
        <v/>
      </c>
      <c r="M2763" s="209">
        <f>IF($K2763=0,0,MIN(1,$L2763/$D2763))</f>
        <v/>
      </c>
      <c r="N2763" s="208">
        <f>IF($K2763=0,$J2763,(1-$M2763)*$I2763+$M2763*$J2763)</f>
        <v/>
      </c>
      <c r="O2763" s="209">
        <f>IF($F2763&lt;$B$2723,$E$2723+$I$2723*($F2763-$A$2723),IF($F2763&lt;$C$2723,$F$2723+$J$2723*($F2763-$B$2723),$G$2723+$K$2723*($F2763-$C$2723)))</f>
        <v/>
      </c>
      <c r="P2763" s="208">
        <f>MIN(1,MAX(0,(nr_MEndPm1-$G2763+0.5)/$C$2722))-MIN(1,MAX(0,(nr_MStartPm1-1-$G2763+0.5)/$C$2722))</f>
        <v/>
      </c>
      <c r="Q2763" s="208">
        <f>MIN(1,MAX(0,(nr_MEndP-$G2763+0.5)/$C$2722))-MIN(1,MAX(0,(nr_MStartP-1-$G2763+0.5)/$C$2722))</f>
        <v/>
      </c>
      <c r="R2763" s="208">
        <f>MIN(1,MAX(0,(nr_MEndP1-$G2763+0.5)/$C$2722))-MIN(1,MAX(0,(nr_MStartP1-1-$G2763+0.5)/$C$2722))</f>
        <v/>
      </c>
      <c r="S2763" s="208">
        <f>IF($L$2722,$N2763*IF($O$2722=1,$O2763/$F$2722,1),"")</f>
        <v/>
      </c>
      <c r="T2763" s="208">
        <f>IF(NOT($L$2722),"",IF($G2763&lt;nr_MStartP,$S2763,$T2751*(1+IF($G2763&lt;nr_MStartP1,$M$2722,$N$2722))))</f>
        <v/>
      </c>
      <c r="U2763" s="208">
        <f>IF($L$2722,$T2763,$N2763)</f>
        <v/>
      </c>
    </row>
    <row r="2764">
      <c r="A2764" s="145" t="n">
        <v>40</v>
      </c>
      <c r="B2764" s="204">
        <f>EDATE($B2763,1)</f>
        <v/>
      </c>
      <c r="C2764" s="205">
        <f>EOMONTH($B2764,0)</f>
        <v/>
      </c>
      <c r="D2764" s="201">
        <f>$C2764-$B2764+1</f>
        <v/>
      </c>
      <c r="E2764" s="201">
        <f>MONTH($B2764)</f>
        <v/>
      </c>
      <c r="F2764" s="235">
        <f>($B2764+$C2764+1)/2</f>
        <v/>
      </c>
      <c r="G2764" s="201">
        <f>YEAR($B2764)*12+MONTH($B2764)-1</f>
        <v/>
      </c>
      <c r="H2764" s="207">
        <f>IF(OR(nr_SeasonOn="OFF",$D$2722=0,$E$2722=0),1,12*INDEX(se_block,$D$2722,$E2764)/$E$2722)</f>
        <v/>
      </c>
      <c r="I2764" s="208">
        <f>EXP(SUMPRODUCT((rl_eff&lt;$B2764)*(rl_key=$A$2722)*rl_ln1p))</f>
        <v/>
      </c>
      <c r="J2764" s="208">
        <f>EXP(SUMPRODUCT((rl_eff&lt;=$C2764)*(rl_key=$A$2722)*rl_ln1p))</f>
        <v/>
      </c>
      <c r="K2764" s="201">
        <f>COUNTIFS(rl_key,$A$2722,rl_eff,"&gt;="&amp;$B2764,rl_eff,"&lt;="&amp;$C2764)</f>
        <v/>
      </c>
      <c r="L2764" s="201">
        <f>SUMIFS(rl_daysafter,rl_key,$A$2722,rl_effmonth,$B2764,rl_first,1)</f>
        <v/>
      </c>
      <c r="M2764" s="209">
        <f>IF($K2764=0,0,MIN(1,$L2764/$D2764))</f>
        <v/>
      </c>
      <c r="N2764" s="208">
        <f>IF($K2764=0,$J2764,(1-$M2764)*$I2764+$M2764*$J2764)</f>
        <v/>
      </c>
      <c r="O2764" s="209">
        <f>IF($F2764&lt;$B$2723,$E$2723+$I$2723*($F2764-$A$2723),IF($F2764&lt;$C$2723,$F$2723+$J$2723*($F2764-$B$2723),$G$2723+$K$2723*($F2764-$C$2723)))</f>
        <v/>
      </c>
      <c r="P2764" s="208">
        <f>MIN(1,MAX(0,(nr_MEndPm1-$G2764+0.5)/$C$2722))-MIN(1,MAX(0,(nr_MStartPm1-1-$G2764+0.5)/$C$2722))</f>
        <v/>
      </c>
      <c r="Q2764" s="208">
        <f>MIN(1,MAX(0,(nr_MEndP-$G2764+0.5)/$C$2722))-MIN(1,MAX(0,(nr_MStartP-1-$G2764+0.5)/$C$2722))</f>
        <v/>
      </c>
      <c r="R2764" s="208">
        <f>MIN(1,MAX(0,(nr_MEndP1-$G2764+0.5)/$C$2722))-MIN(1,MAX(0,(nr_MStartP1-1-$G2764+0.5)/$C$2722))</f>
        <v/>
      </c>
      <c r="S2764" s="208">
        <f>IF($L$2722,$N2764*IF($O$2722=1,$O2764/$F$2722,1),"")</f>
        <v/>
      </c>
      <c r="T2764" s="208">
        <f>IF(NOT($L$2722),"",IF($G2764&lt;nr_MStartP,$S2764,$T2752*(1+IF($G2764&lt;nr_MStartP1,$M$2722,$N$2722))))</f>
        <v/>
      </c>
      <c r="U2764" s="208">
        <f>IF($L$2722,$T2764,$N2764)</f>
        <v/>
      </c>
    </row>
    <row r="2765">
      <c r="A2765" s="145" t="n">
        <v>41</v>
      </c>
      <c r="B2765" s="204">
        <f>EDATE($B2764,1)</f>
        <v/>
      </c>
      <c r="C2765" s="205">
        <f>EOMONTH($B2765,0)</f>
        <v/>
      </c>
      <c r="D2765" s="201">
        <f>$C2765-$B2765+1</f>
        <v/>
      </c>
      <c r="E2765" s="201">
        <f>MONTH($B2765)</f>
        <v/>
      </c>
      <c r="F2765" s="235">
        <f>($B2765+$C2765+1)/2</f>
        <v/>
      </c>
      <c r="G2765" s="201">
        <f>YEAR($B2765)*12+MONTH($B2765)-1</f>
        <v/>
      </c>
      <c r="H2765" s="207">
        <f>IF(OR(nr_SeasonOn="OFF",$D$2722=0,$E$2722=0),1,12*INDEX(se_block,$D$2722,$E2765)/$E$2722)</f>
        <v/>
      </c>
      <c r="I2765" s="208">
        <f>EXP(SUMPRODUCT((rl_eff&lt;$B2765)*(rl_key=$A$2722)*rl_ln1p))</f>
        <v/>
      </c>
      <c r="J2765" s="208">
        <f>EXP(SUMPRODUCT((rl_eff&lt;=$C2765)*(rl_key=$A$2722)*rl_ln1p))</f>
        <v/>
      </c>
      <c r="K2765" s="201">
        <f>COUNTIFS(rl_key,$A$2722,rl_eff,"&gt;="&amp;$B2765,rl_eff,"&lt;="&amp;$C2765)</f>
        <v/>
      </c>
      <c r="L2765" s="201">
        <f>SUMIFS(rl_daysafter,rl_key,$A$2722,rl_effmonth,$B2765,rl_first,1)</f>
        <v/>
      </c>
      <c r="M2765" s="209">
        <f>IF($K2765=0,0,MIN(1,$L2765/$D2765))</f>
        <v/>
      </c>
      <c r="N2765" s="208">
        <f>IF($K2765=0,$J2765,(1-$M2765)*$I2765+$M2765*$J2765)</f>
        <v/>
      </c>
      <c r="O2765" s="209">
        <f>IF($F2765&lt;$B$2723,$E$2723+$I$2723*($F2765-$A$2723),IF($F2765&lt;$C$2723,$F$2723+$J$2723*($F2765-$B$2723),$G$2723+$K$2723*($F2765-$C$2723)))</f>
        <v/>
      </c>
      <c r="P2765" s="208">
        <f>MIN(1,MAX(0,(nr_MEndPm1-$G2765+0.5)/$C$2722))-MIN(1,MAX(0,(nr_MStartPm1-1-$G2765+0.5)/$C$2722))</f>
        <v/>
      </c>
      <c r="Q2765" s="208">
        <f>MIN(1,MAX(0,(nr_MEndP-$G2765+0.5)/$C$2722))-MIN(1,MAX(0,(nr_MStartP-1-$G2765+0.5)/$C$2722))</f>
        <v/>
      </c>
      <c r="R2765" s="208">
        <f>MIN(1,MAX(0,(nr_MEndP1-$G2765+0.5)/$C$2722))-MIN(1,MAX(0,(nr_MStartP1-1-$G2765+0.5)/$C$2722))</f>
        <v/>
      </c>
      <c r="S2765" s="208">
        <f>IF($L$2722,$N2765*IF($O$2722=1,$O2765/$F$2722,1),"")</f>
        <v/>
      </c>
      <c r="T2765" s="208">
        <f>IF(NOT($L$2722),"",IF($G2765&lt;nr_MStartP,$S2765,$T2753*(1+IF($G2765&lt;nr_MStartP1,$M$2722,$N$2722))))</f>
        <v/>
      </c>
      <c r="U2765" s="208">
        <f>IF($L$2722,$T2765,$N2765)</f>
        <v/>
      </c>
    </row>
    <row r="2766">
      <c r="A2766" s="145" t="n">
        <v>42</v>
      </c>
      <c r="B2766" s="204">
        <f>EDATE($B2765,1)</f>
        <v/>
      </c>
      <c r="C2766" s="205">
        <f>EOMONTH($B2766,0)</f>
        <v/>
      </c>
      <c r="D2766" s="201">
        <f>$C2766-$B2766+1</f>
        <v/>
      </c>
      <c r="E2766" s="201">
        <f>MONTH($B2766)</f>
        <v/>
      </c>
      <c r="F2766" s="235">
        <f>($B2766+$C2766+1)/2</f>
        <v/>
      </c>
      <c r="G2766" s="201">
        <f>YEAR($B2766)*12+MONTH($B2766)-1</f>
        <v/>
      </c>
      <c r="H2766" s="207">
        <f>IF(OR(nr_SeasonOn="OFF",$D$2722=0,$E$2722=0),1,12*INDEX(se_block,$D$2722,$E2766)/$E$2722)</f>
        <v/>
      </c>
      <c r="I2766" s="208">
        <f>EXP(SUMPRODUCT((rl_eff&lt;$B2766)*(rl_key=$A$2722)*rl_ln1p))</f>
        <v/>
      </c>
      <c r="J2766" s="208">
        <f>EXP(SUMPRODUCT((rl_eff&lt;=$C2766)*(rl_key=$A$2722)*rl_ln1p))</f>
        <v/>
      </c>
      <c r="K2766" s="201">
        <f>COUNTIFS(rl_key,$A$2722,rl_eff,"&gt;="&amp;$B2766,rl_eff,"&lt;="&amp;$C2766)</f>
        <v/>
      </c>
      <c r="L2766" s="201">
        <f>SUMIFS(rl_daysafter,rl_key,$A$2722,rl_effmonth,$B2766,rl_first,1)</f>
        <v/>
      </c>
      <c r="M2766" s="209">
        <f>IF($K2766=0,0,MIN(1,$L2766/$D2766))</f>
        <v/>
      </c>
      <c r="N2766" s="208">
        <f>IF($K2766=0,$J2766,(1-$M2766)*$I2766+$M2766*$J2766)</f>
        <v/>
      </c>
      <c r="O2766" s="209">
        <f>IF($F2766&lt;$B$2723,$E$2723+$I$2723*($F2766-$A$2723),IF($F2766&lt;$C$2723,$F$2723+$J$2723*($F2766-$B$2723),$G$2723+$K$2723*($F2766-$C$2723)))</f>
        <v/>
      </c>
      <c r="P2766" s="208">
        <f>MIN(1,MAX(0,(nr_MEndPm1-$G2766+0.5)/$C$2722))-MIN(1,MAX(0,(nr_MStartPm1-1-$G2766+0.5)/$C$2722))</f>
        <v/>
      </c>
      <c r="Q2766" s="208">
        <f>MIN(1,MAX(0,(nr_MEndP-$G2766+0.5)/$C$2722))-MIN(1,MAX(0,(nr_MStartP-1-$G2766+0.5)/$C$2722))</f>
        <v/>
      </c>
      <c r="R2766" s="208">
        <f>MIN(1,MAX(0,(nr_MEndP1-$G2766+0.5)/$C$2722))-MIN(1,MAX(0,(nr_MStartP1-1-$G2766+0.5)/$C$2722))</f>
        <v/>
      </c>
      <c r="S2766" s="208">
        <f>IF($L$2722,$N2766*IF($O$2722=1,$O2766/$F$2722,1),"")</f>
        <v/>
      </c>
      <c r="T2766" s="208">
        <f>IF(NOT($L$2722),"",IF($G2766&lt;nr_MStartP,$S2766,$T2754*(1+IF($G2766&lt;nr_MStartP1,$M$2722,$N$2722))))</f>
        <v/>
      </c>
      <c r="U2766" s="208">
        <f>IF($L$2722,$T2766,$N2766)</f>
        <v/>
      </c>
    </row>
    <row r="2767">
      <c r="A2767" s="145" t="n">
        <v>43</v>
      </c>
      <c r="B2767" s="204">
        <f>EDATE($B2766,1)</f>
        <v/>
      </c>
      <c r="C2767" s="205">
        <f>EOMONTH($B2767,0)</f>
        <v/>
      </c>
      <c r="D2767" s="201">
        <f>$C2767-$B2767+1</f>
        <v/>
      </c>
      <c r="E2767" s="201">
        <f>MONTH($B2767)</f>
        <v/>
      </c>
      <c r="F2767" s="235">
        <f>($B2767+$C2767+1)/2</f>
        <v/>
      </c>
      <c r="G2767" s="201">
        <f>YEAR($B2767)*12+MONTH($B2767)-1</f>
        <v/>
      </c>
      <c r="H2767" s="207">
        <f>IF(OR(nr_SeasonOn="OFF",$D$2722=0,$E$2722=0),1,12*INDEX(se_block,$D$2722,$E2767)/$E$2722)</f>
        <v/>
      </c>
      <c r="I2767" s="208">
        <f>EXP(SUMPRODUCT((rl_eff&lt;$B2767)*(rl_key=$A$2722)*rl_ln1p))</f>
        <v/>
      </c>
      <c r="J2767" s="208">
        <f>EXP(SUMPRODUCT((rl_eff&lt;=$C2767)*(rl_key=$A$2722)*rl_ln1p))</f>
        <v/>
      </c>
      <c r="K2767" s="201">
        <f>COUNTIFS(rl_key,$A$2722,rl_eff,"&gt;="&amp;$B2767,rl_eff,"&lt;="&amp;$C2767)</f>
        <v/>
      </c>
      <c r="L2767" s="201">
        <f>SUMIFS(rl_daysafter,rl_key,$A$2722,rl_effmonth,$B2767,rl_first,1)</f>
        <v/>
      </c>
      <c r="M2767" s="209">
        <f>IF($K2767=0,0,MIN(1,$L2767/$D2767))</f>
        <v/>
      </c>
      <c r="N2767" s="208">
        <f>IF($K2767=0,$J2767,(1-$M2767)*$I2767+$M2767*$J2767)</f>
        <v/>
      </c>
      <c r="O2767" s="209">
        <f>IF($F2767&lt;$B$2723,$E$2723+$I$2723*($F2767-$A$2723),IF($F2767&lt;$C$2723,$F$2723+$J$2723*($F2767-$B$2723),$G$2723+$K$2723*($F2767-$C$2723)))</f>
        <v/>
      </c>
      <c r="P2767" s="208">
        <f>MIN(1,MAX(0,(nr_MEndPm1-$G2767+0.5)/$C$2722))-MIN(1,MAX(0,(nr_MStartPm1-1-$G2767+0.5)/$C$2722))</f>
        <v/>
      </c>
      <c r="Q2767" s="208">
        <f>MIN(1,MAX(0,(nr_MEndP-$G2767+0.5)/$C$2722))-MIN(1,MAX(0,(nr_MStartP-1-$G2767+0.5)/$C$2722))</f>
        <v/>
      </c>
      <c r="R2767" s="208">
        <f>MIN(1,MAX(0,(nr_MEndP1-$G2767+0.5)/$C$2722))-MIN(1,MAX(0,(nr_MStartP1-1-$G2767+0.5)/$C$2722))</f>
        <v/>
      </c>
      <c r="S2767" s="208">
        <f>IF($L$2722,$N2767*IF($O$2722=1,$O2767/$F$2722,1),"")</f>
        <v/>
      </c>
      <c r="T2767" s="208">
        <f>IF(NOT($L$2722),"",IF($G2767&lt;nr_MStartP,$S2767,$T2755*(1+IF($G2767&lt;nr_MStartP1,$M$2722,$N$2722))))</f>
        <v/>
      </c>
      <c r="U2767" s="208">
        <f>IF($L$2722,$T2767,$N2767)</f>
        <v/>
      </c>
    </row>
    <row r="2768">
      <c r="A2768" s="145" t="n">
        <v>44</v>
      </c>
      <c r="B2768" s="204">
        <f>EDATE($B2767,1)</f>
        <v/>
      </c>
      <c r="C2768" s="205">
        <f>EOMONTH($B2768,0)</f>
        <v/>
      </c>
      <c r="D2768" s="201">
        <f>$C2768-$B2768+1</f>
        <v/>
      </c>
      <c r="E2768" s="201">
        <f>MONTH($B2768)</f>
        <v/>
      </c>
      <c r="F2768" s="235">
        <f>($B2768+$C2768+1)/2</f>
        <v/>
      </c>
      <c r="G2768" s="201">
        <f>YEAR($B2768)*12+MONTH($B2768)-1</f>
        <v/>
      </c>
      <c r="H2768" s="207">
        <f>IF(OR(nr_SeasonOn="OFF",$D$2722=0,$E$2722=0),1,12*INDEX(se_block,$D$2722,$E2768)/$E$2722)</f>
        <v/>
      </c>
      <c r="I2768" s="208">
        <f>EXP(SUMPRODUCT((rl_eff&lt;$B2768)*(rl_key=$A$2722)*rl_ln1p))</f>
        <v/>
      </c>
      <c r="J2768" s="208">
        <f>EXP(SUMPRODUCT((rl_eff&lt;=$C2768)*(rl_key=$A$2722)*rl_ln1p))</f>
        <v/>
      </c>
      <c r="K2768" s="201">
        <f>COUNTIFS(rl_key,$A$2722,rl_eff,"&gt;="&amp;$B2768,rl_eff,"&lt;="&amp;$C2768)</f>
        <v/>
      </c>
      <c r="L2768" s="201">
        <f>SUMIFS(rl_daysafter,rl_key,$A$2722,rl_effmonth,$B2768,rl_first,1)</f>
        <v/>
      </c>
      <c r="M2768" s="209">
        <f>IF($K2768=0,0,MIN(1,$L2768/$D2768))</f>
        <v/>
      </c>
      <c r="N2768" s="208">
        <f>IF($K2768=0,$J2768,(1-$M2768)*$I2768+$M2768*$J2768)</f>
        <v/>
      </c>
      <c r="O2768" s="209">
        <f>IF($F2768&lt;$B$2723,$E$2723+$I$2723*($F2768-$A$2723),IF($F2768&lt;$C$2723,$F$2723+$J$2723*($F2768-$B$2723),$G$2723+$K$2723*($F2768-$C$2723)))</f>
        <v/>
      </c>
      <c r="P2768" s="208">
        <f>MIN(1,MAX(0,(nr_MEndPm1-$G2768+0.5)/$C$2722))-MIN(1,MAX(0,(nr_MStartPm1-1-$G2768+0.5)/$C$2722))</f>
        <v/>
      </c>
      <c r="Q2768" s="208">
        <f>MIN(1,MAX(0,(nr_MEndP-$G2768+0.5)/$C$2722))-MIN(1,MAX(0,(nr_MStartP-1-$G2768+0.5)/$C$2722))</f>
        <v/>
      </c>
      <c r="R2768" s="208">
        <f>MIN(1,MAX(0,(nr_MEndP1-$G2768+0.5)/$C$2722))-MIN(1,MAX(0,(nr_MStartP1-1-$G2768+0.5)/$C$2722))</f>
        <v/>
      </c>
      <c r="S2768" s="208">
        <f>IF($L$2722,$N2768*IF($O$2722=1,$O2768/$F$2722,1),"")</f>
        <v/>
      </c>
      <c r="T2768" s="208">
        <f>IF(NOT($L$2722),"",IF($G2768&lt;nr_MStartP,$S2768,$T2756*(1+IF($G2768&lt;nr_MStartP1,$M$2722,$N$2722))))</f>
        <v/>
      </c>
      <c r="U2768" s="208">
        <f>IF($L$2722,$T2768,$N2768)</f>
        <v/>
      </c>
    </row>
    <row r="2769">
      <c r="A2769" s="145" t="n">
        <v>45</v>
      </c>
      <c r="B2769" s="204">
        <f>EDATE($B2768,1)</f>
        <v/>
      </c>
      <c r="C2769" s="205">
        <f>EOMONTH($B2769,0)</f>
        <v/>
      </c>
      <c r="D2769" s="201">
        <f>$C2769-$B2769+1</f>
        <v/>
      </c>
      <c r="E2769" s="201">
        <f>MONTH($B2769)</f>
        <v/>
      </c>
      <c r="F2769" s="235">
        <f>($B2769+$C2769+1)/2</f>
        <v/>
      </c>
      <c r="G2769" s="201">
        <f>YEAR($B2769)*12+MONTH($B2769)-1</f>
        <v/>
      </c>
      <c r="H2769" s="207">
        <f>IF(OR(nr_SeasonOn="OFF",$D$2722=0,$E$2722=0),1,12*INDEX(se_block,$D$2722,$E2769)/$E$2722)</f>
        <v/>
      </c>
      <c r="I2769" s="208">
        <f>EXP(SUMPRODUCT((rl_eff&lt;$B2769)*(rl_key=$A$2722)*rl_ln1p))</f>
        <v/>
      </c>
      <c r="J2769" s="208">
        <f>EXP(SUMPRODUCT((rl_eff&lt;=$C2769)*(rl_key=$A$2722)*rl_ln1p))</f>
        <v/>
      </c>
      <c r="K2769" s="201">
        <f>COUNTIFS(rl_key,$A$2722,rl_eff,"&gt;="&amp;$B2769,rl_eff,"&lt;="&amp;$C2769)</f>
        <v/>
      </c>
      <c r="L2769" s="201">
        <f>SUMIFS(rl_daysafter,rl_key,$A$2722,rl_effmonth,$B2769,rl_first,1)</f>
        <v/>
      </c>
      <c r="M2769" s="209">
        <f>IF($K2769=0,0,MIN(1,$L2769/$D2769))</f>
        <v/>
      </c>
      <c r="N2769" s="208">
        <f>IF($K2769=0,$J2769,(1-$M2769)*$I2769+$M2769*$J2769)</f>
        <v/>
      </c>
      <c r="O2769" s="209">
        <f>IF($F2769&lt;$B$2723,$E$2723+$I$2723*($F2769-$A$2723),IF($F2769&lt;$C$2723,$F$2723+$J$2723*($F2769-$B$2723),$G$2723+$K$2723*($F2769-$C$2723)))</f>
        <v/>
      </c>
      <c r="P2769" s="208">
        <f>MIN(1,MAX(0,(nr_MEndPm1-$G2769+0.5)/$C$2722))-MIN(1,MAX(0,(nr_MStartPm1-1-$G2769+0.5)/$C$2722))</f>
        <v/>
      </c>
      <c r="Q2769" s="208">
        <f>MIN(1,MAX(0,(nr_MEndP-$G2769+0.5)/$C$2722))-MIN(1,MAX(0,(nr_MStartP-1-$G2769+0.5)/$C$2722))</f>
        <v/>
      </c>
      <c r="R2769" s="208">
        <f>MIN(1,MAX(0,(nr_MEndP1-$G2769+0.5)/$C$2722))-MIN(1,MAX(0,(nr_MStartP1-1-$G2769+0.5)/$C$2722))</f>
        <v/>
      </c>
      <c r="S2769" s="208">
        <f>IF($L$2722,$N2769*IF($O$2722=1,$O2769/$F$2722,1),"")</f>
        <v/>
      </c>
      <c r="T2769" s="208">
        <f>IF(NOT($L$2722),"",IF($G2769&lt;nr_MStartP,$S2769,$T2757*(1+IF($G2769&lt;nr_MStartP1,$M$2722,$N$2722))))</f>
        <v/>
      </c>
      <c r="U2769" s="208">
        <f>IF($L$2722,$T2769,$N2769)</f>
        <v/>
      </c>
    </row>
    <row r="2770">
      <c r="A2770" s="145" t="n">
        <v>46</v>
      </c>
      <c r="B2770" s="204">
        <f>EDATE($B2769,1)</f>
        <v/>
      </c>
      <c r="C2770" s="205">
        <f>EOMONTH($B2770,0)</f>
        <v/>
      </c>
      <c r="D2770" s="201">
        <f>$C2770-$B2770+1</f>
        <v/>
      </c>
      <c r="E2770" s="201">
        <f>MONTH($B2770)</f>
        <v/>
      </c>
      <c r="F2770" s="235">
        <f>($B2770+$C2770+1)/2</f>
        <v/>
      </c>
      <c r="G2770" s="201">
        <f>YEAR($B2770)*12+MONTH($B2770)-1</f>
        <v/>
      </c>
      <c r="H2770" s="207">
        <f>IF(OR(nr_SeasonOn="OFF",$D$2722=0,$E$2722=0),1,12*INDEX(se_block,$D$2722,$E2770)/$E$2722)</f>
        <v/>
      </c>
      <c r="I2770" s="208">
        <f>EXP(SUMPRODUCT((rl_eff&lt;$B2770)*(rl_key=$A$2722)*rl_ln1p))</f>
        <v/>
      </c>
      <c r="J2770" s="208">
        <f>EXP(SUMPRODUCT((rl_eff&lt;=$C2770)*(rl_key=$A$2722)*rl_ln1p))</f>
        <v/>
      </c>
      <c r="K2770" s="201">
        <f>COUNTIFS(rl_key,$A$2722,rl_eff,"&gt;="&amp;$B2770,rl_eff,"&lt;="&amp;$C2770)</f>
        <v/>
      </c>
      <c r="L2770" s="201">
        <f>SUMIFS(rl_daysafter,rl_key,$A$2722,rl_effmonth,$B2770,rl_first,1)</f>
        <v/>
      </c>
      <c r="M2770" s="209">
        <f>IF($K2770=0,0,MIN(1,$L2770/$D2770))</f>
        <v/>
      </c>
      <c r="N2770" s="208">
        <f>IF($K2770=0,$J2770,(1-$M2770)*$I2770+$M2770*$J2770)</f>
        <v/>
      </c>
      <c r="O2770" s="209">
        <f>IF($F2770&lt;$B$2723,$E$2723+$I$2723*($F2770-$A$2723),IF($F2770&lt;$C$2723,$F$2723+$J$2723*($F2770-$B$2723),$G$2723+$K$2723*($F2770-$C$2723)))</f>
        <v/>
      </c>
      <c r="P2770" s="208">
        <f>MIN(1,MAX(0,(nr_MEndPm1-$G2770+0.5)/$C$2722))-MIN(1,MAX(0,(nr_MStartPm1-1-$G2770+0.5)/$C$2722))</f>
        <v/>
      </c>
      <c r="Q2770" s="208">
        <f>MIN(1,MAX(0,(nr_MEndP-$G2770+0.5)/$C$2722))-MIN(1,MAX(0,(nr_MStartP-1-$G2770+0.5)/$C$2722))</f>
        <v/>
      </c>
      <c r="R2770" s="208">
        <f>MIN(1,MAX(0,(nr_MEndP1-$G2770+0.5)/$C$2722))-MIN(1,MAX(0,(nr_MStartP1-1-$G2770+0.5)/$C$2722))</f>
        <v/>
      </c>
      <c r="S2770" s="208">
        <f>IF($L$2722,$N2770*IF($O$2722=1,$O2770/$F$2722,1),"")</f>
        <v/>
      </c>
      <c r="T2770" s="208">
        <f>IF(NOT($L$2722),"",IF($G2770&lt;nr_MStartP,$S2770,$T2758*(1+IF($G2770&lt;nr_MStartP1,$M$2722,$N$2722))))</f>
        <v/>
      </c>
      <c r="U2770" s="208">
        <f>IF($L$2722,$T2770,$N2770)</f>
        <v/>
      </c>
    </row>
    <row r="2771">
      <c r="A2771" s="145" t="n">
        <v>47</v>
      </c>
      <c r="B2771" s="204">
        <f>EDATE($B2770,1)</f>
        <v/>
      </c>
      <c r="C2771" s="205">
        <f>EOMONTH($B2771,0)</f>
        <v/>
      </c>
      <c r="D2771" s="201">
        <f>$C2771-$B2771+1</f>
        <v/>
      </c>
      <c r="E2771" s="201">
        <f>MONTH($B2771)</f>
        <v/>
      </c>
      <c r="F2771" s="235">
        <f>($B2771+$C2771+1)/2</f>
        <v/>
      </c>
      <c r="G2771" s="201">
        <f>YEAR($B2771)*12+MONTH($B2771)-1</f>
        <v/>
      </c>
      <c r="H2771" s="207">
        <f>IF(OR(nr_SeasonOn="OFF",$D$2722=0,$E$2722=0),1,12*INDEX(se_block,$D$2722,$E2771)/$E$2722)</f>
        <v/>
      </c>
      <c r="I2771" s="208">
        <f>EXP(SUMPRODUCT((rl_eff&lt;$B2771)*(rl_key=$A$2722)*rl_ln1p))</f>
        <v/>
      </c>
      <c r="J2771" s="208">
        <f>EXP(SUMPRODUCT((rl_eff&lt;=$C2771)*(rl_key=$A$2722)*rl_ln1p))</f>
        <v/>
      </c>
      <c r="K2771" s="201">
        <f>COUNTIFS(rl_key,$A$2722,rl_eff,"&gt;="&amp;$B2771,rl_eff,"&lt;="&amp;$C2771)</f>
        <v/>
      </c>
      <c r="L2771" s="201">
        <f>SUMIFS(rl_daysafter,rl_key,$A$2722,rl_effmonth,$B2771,rl_first,1)</f>
        <v/>
      </c>
      <c r="M2771" s="209">
        <f>IF($K2771=0,0,MIN(1,$L2771/$D2771))</f>
        <v/>
      </c>
      <c r="N2771" s="208">
        <f>IF($K2771=0,$J2771,(1-$M2771)*$I2771+$M2771*$J2771)</f>
        <v/>
      </c>
      <c r="O2771" s="209">
        <f>IF($F2771&lt;$B$2723,$E$2723+$I$2723*($F2771-$A$2723),IF($F2771&lt;$C$2723,$F$2723+$J$2723*($F2771-$B$2723),$G$2723+$K$2723*($F2771-$C$2723)))</f>
        <v/>
      </c>
      <c r="P2771" s="208">
        <f>MIN(1,MAX(0,(nr_MEndPm1-$G2771+0.5)/$C$2722))-MIN(1,MAX(0,(nr_MStartPm1-1-$G2771+0.5)/$C$2722))</f>
        <v/>
      </c>
      <c r="Q2771" s="208">
        <f>MIN(1,MAX(0,(nr_MEndP-$G2771+0.5)/$C$2722))-MIN(1,MAX(0,(nr_MStartP-1-$G2771+0.5)/$C$2722))</f>
        <v/>
      </c>
      <c r="R2771" s="208">
        <f>MIN(1,MAX(0,(nr_MEndP1-$G2771+0.5)/$C$2722))-MIN(1,MAX(0,(nr_MStartP1-1-$G2771+0.5)/$C$2722))</f>
        <v/>
      </c>
      <c r="S2771" s="208">
        <f>IF($L$2722,$N2771*IF($O$2722=1,$O2771/$F$2722,1),"")</f>
        <v/>
      </c>
      <c r="T2771" s="208">
        <f>IF(NOT($L$2722),"",IF($G2771&lt;nr_MStartP,$S2771,$T2759*(1+IF($G2771&lt;nr_MStartP1,$M$2722,$N$2722))))</f>
        <v/>
      </c>
      <c r="U2771" s="208">
        <f>IF($L$2722,$T2771,$N2771)</f>
        <v/>
      </c>
    </row>
    <row r="2772">
      <c r="A2772" s="145" t="n">
        <v>48</v>
      </c>
      <c r="B2772" s="204">
        <f>EDATE($B2771,1)</f>
        <v/>
      </c>
      <c r="C2772" s="205">
        <f>EOMONTH($B2772,0)</f>
        <v/>
      </c>
      <c r="D2772" s="201">
        <f>$C2772-$B2772+1</f>
        <v/>
      </c>
      <c r="E2772" s="201">
        <f>MONTH($B2772)</f>
        <v/>
      </c>
      <c r="F2772" s="235">
        <f>($B2772+$C2772+1)/2</f>
        <v/>
      </c>
      <c r="G2772" s="201">
        <f>YEAR($B2772)*12+MONTH($B2772)-1</f>
        <v/>
      </c>
      <c r="H2772" s="207">
        <f>IF(OR(nr_SeasonOn="OFF",$D$2722=0,$E$2722=0),1,12*INDEX(se_block,$D$2722,$E2772)/$E$2722)</f>
        <v/>
      </c>
      <c r="I2772" s="208">
        <f>EXP(SUMPRODUCT((rl_eff&lt;$B2772)*(rl_key=$A$2722)*rl_ln1p))</f>
        <v/>
      </c>
      <c r="J2772" s="208">
        <f>EXP(SUMPRODUCT((rl_eff&lt;=$C2772)*(rl_key=$A$2722)*rl_ln1p))</f>
        <v/>
      </c>
      <c r="K2772" s="201">
        <f>COUNTIFS(rl_key,$A$2722,rl_eff,"&gt;="&amp;$B2772,rl_eff,"&lt;="&amp;$C2772)</f>
        <v/>
      </c>
      <c r="L2772" s="201">
        <f>SUMIFS(rl_daysafter,rl_key,$A$2722,rl_effmonth,$B2772,rl_first,1)</f>
        <v/>
      </c>
      <c r="M2772" s="209">
        <f>IF($K2772=0,0,MIN(1,$L2772/$D2772))</f>
        <v/>
      </c>
      <c r="N2772" s="208">
        <f>IF($K2772=0,$J2772,(1-$M2772)*$I2772+$M2772*$J2772)</f>
        <v/>
      </c>
      <c r="O2772" s="209">
        <f>IF($F2772&lt;$B$2723,$E$2723+$I$2723*($F2772-$A$2723),IF($F2772&lt;$C$2723,$F$2723+$J$2723*($F2772-$B$2723),$G$2723+$K$2723*($F2772-$C$2723)))</f>
        <v/>
      </c>
      <c r="P2772" s="208">
        <f>MIN(1,MAX(0,(nr_MEndPm1-$G2772+0.5)/$C$2722))-MIN(1,MAX(0,(nr_MStartPm1-1-$G2772+0.5)/$C$2722))</f>
        <v/>
      </c>
      <c r="Q2772" s="208">
        <f>MIN(1,MAX(0,(nr_MEndP-$G2772+0.5)/$C$2722))-MIN(1,MAX(0,(nr_MStartP-1-$G2772+0.5)/$C$2722))</f>
        <v/>
      </c>
      <c r="R2772" s="208">
        <f>MIN(1,MAX(0,(nr_MEndP1-$G2772+0.5)/$C$2722))-MIN(1,MAX(0,(nr_MStartP1-1-$G2772+0.5)/$C$2722))</f>
        <v/>
      </c>
      <c r="S2772" s="208">
        <f>IF($L$2722,$N2772*IF($O$2722=1,$O2772/$F$2722,1),"")</f>
        <v/>
      </c>
      <c r="T2772" s="208">
        <f>IF(NOT($L$2722),"",IF($G2772&lt;nr_MStartP,$S2772,$T2760*(1+IF($G2772&lt;nr_MStartP1,$M$2722,$N$2722))))</f>
        <v/>
      </c>
      <c r="U2772" s="208">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184">
        <f>SUMPRODUCT($H$2725:$H$2772,$Q$2725:$Q$2772,$O$2725:$O$2772)/SUMPRODUCT($H$2725:$H$2772,$Q$2725:$Q$2772)</f>
        <v/>
      </c>
      <c r="G2773" s="184">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184">
        <f>IF(N(INDEX(lr_mind,51))=0,1,INDEX(lr_mind,51))</f>
        <v/>
      </c>
      <c r="G2776" s="184">
        <f>IF(N(INDEX(lr_m0,51))=0,1,INDEX(lr_m0,51))</f>
        <v/>
      </c>
      <c r="H2776" s="73">
        <f>IF(N(INDEX(lr_m0asof,51))=0,DATE(nr_PlanYear-1,10,1),INDEX(lr_m0asof,51))</f>
        <v/>
      </c>
      <c r="I2776" s="184">
        <f>IF(N(INDEX(lr_m1,51))=0,1,INDEX(lr_m1,51))</f>
        <v/>
      </c>
      <c r="J2776" s="184">
        <f>INDEX(lr_mprior,51)</f>
        <v/>
      </c>
      <c r="K2776" s="184">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145" t="n">
        <v>1</v>
      </c>
      <c r="B2779" s="204">
        <f>DATE(nr_PlanYear-2,1,1)</f>
        <v/>
      </c>
      <c r="C2779" s="205">
        <f>EOMONTH($B2779,0)</f>
        <v/>
      </c>
      <c r="D2779" s="201">
        <f>$C2779-$B2779+1</f>
        <v/>
      </c>
      <c r="E2779" s="201">
        <f>MONTH($B2779)</f>
        <v/>
      </c>
      <c r="F2779" s="235">
        <f>($B2779+$C2779+1)/2</f>
        <v/>
      </c>
      <c r="G2779" s="201">
        <f>YEAR($B2779)*12+MONTH($B2779)-1</f>
        <v/>
      </c>
      <c r="H2779" s="207">
        <f>IF(OR(nr_SeasonOn="OFF",$D$2776=0,$E$2776=0),1,12*INDEX(se_block,$D$2776,$E2779)/$E$2776)</f>
        <v/>
      </c>
      <c r="I2779" s="208">
        <f>EXP(SUMPRODUCT((rl_eff&lt;$B2779)*(rl_key=$A$2776)*rl_ln1p))</f>
        <v/>
      </c>
      <c r="J2779" s="208">
        <f>EXP(SUMPRODUCT((rl_eff&lt;=$C2779)*(rl_key=$A$2776)*rl_ln1p))</f>
        <v/>
      </c>
      <c r="K2779" s="201">
        <f>COUNTIFS(rl_key,$A$2776,rl_eff,"&gt;="&amp;$B2779,rl_eff,"&lt;="&amp;$C2779)</f>
        <v/>
      </c>
      <c r="L2779" s="201">
        <f>SUMIFS(rl_daysafter,rl_key,$A$2776,rl_effmonth,$B2779,rl_first,1)</f>
        <v/>
      </c>
      <c r="M2779" s="209">
        <f>IF($K2779=0,0,MIN(1,$L2779/$D2779))</f>
        <v/>
      </c>
      <c r="N2779" s="208">
        <f>IF($K2779=0,$J2779,(1-$M2779)*$I2779+$M2779*$J2779)</f>
        <v/>
      </c>
      <c r="O2779" s="209">
        <f>IF($F2779&lt;$B$2777,$E$2777+$I$2777*($F2779-$A$2777),IF($F2779&lt;$C$2777,$F$2777+$J$2777*($F2779-$B$2777),$G$2777+$K$2777*($F2779-$C$2777)))</f>
        <v/>
      </c>
      <c r="P2779" s="208">
        <f>MIN(1,MAX(0,(nr_MEndPm1-$G2779+0.5)/$C$2776))-MIN(1,MAX(0,(nr_MStartPm1-1-$G2779+0.5)/$C$2776))</f>
        <v/>
      </c>
      <c r="Q2779" s="208">
        <f>MIN(1,MAX(0,(nr_MEndP-$G2779+0.5)/$C$2776))-MIN(1,MAX(0,(nr_MStartP-1-$G2779+0.5)/$C$2776))</f>
        <v/>
      </c>
      <c r="R2779" s="208">
        <f>MIN(1,MAX(0,(nr_MEndP1-$G2779+0.5)/$C$2776))-MIN(1,MAX(0,(nr_MStartP1-1-$G2779+0.5)/$C$2776))</f>
        <v/>
      </c>
      <c r="S2779" s="208">
        <f>IF($L$2776,$N2779*IF($O$2776=1,$O2779/$F$2776,1),"")</f>
        <v/>
      </c>
      <c r="T2779" s="208">
        <f>IF(NOT($L$2776),"",IF($G2779&lt;nr_MStartP,$S2779,$T2767*(1+IF($G2779&lt;nr_MStartP1,$M$2776,$N$2776))))</f>
        <v/>
      </c>
      <c r="U2779" s="208">
        <f>IF($L$2776,$T2779,$N2779)</f>
        <v/>
      </c>
    </row>
    <row r="2780">
      <c r="A2780" s="145" t="n">
        <v>2</v>
      </c>
      <c r="B2780" s="204">
        <f>EDATE($B2779,1)</f>
        <v/>
      </c>
      <c r="C2780" s="205">
        <f>EOMONTH($B2780,0)</f>
        <v/>
      </c>
      <c r="D2780" s="201">
        <f>$C2780-$B2780+1</f>
        <v/>
      </c>
      <c r="E2780" s="201">
        <f>MONTH($B2780)</f>
        <v/>
      </c>
      <c r="F2780" s="235">
        <f>($B2780+$C2780+1)/2</f>
        <v/>
      </c>
      <c r="G2780" s="201">
        <f>YEAR($B2780)*12+MONTH($B2780)-1</f>
        <v/>
      </c>
      <c r="H2780" s="207">
        <f>IF(OR(nr_SeasonOn="OFF",$D$2776=0,$E$2776=0),1,12*INDEX(se_block,$D$2776,$E2780)/$E$2776)</f>
        <v/>
      </c>
      <c r="I2780" s="208">
        <f>EXP(SUMPRODUCT((rl_eff&lt;$B2780)*(rl_key=$A$2776)*rl_ln1p))</f>
        <v/>
      </c>
      <c r="J2780" s="208">
        <f>EXP(SUMPRODUCT((rl_eff&lt;=$C2780)*(rl_key=$A$2776)*rl_ln1p))</f>
        <v/>
      </c>
      <c r="K2780" s="201">
        <f>COUNTIFS(rl_key,$A$2776,rl_eff,"&gt;="&amp;$B2780,rl_eff,"&lt;="&amp;$C2780)</f>
        <v/>
      </c>
      <c r="L2780" s="201">
        <f>SUMIFS(rl_daysafter,rl_key,$A$2776,rl_effmonth,$B2780,rl_first,1)</f>
        <v/>
      </c>
      <c r="M2780" s="209">
        <f>IF($K2780=0,0,MIN(1,$L2780/$D2780))</f>
        <v/>
      </c>
      <c r="N2780" s="208">
        <f>IF($K2780=0,$J2780,(1-$M2780)*$I2780+$M2780*$J2780)</f>
        <v/>
      </c>
      <c r="O2780" s="209">
        <f>IF($F2780&lt;$B$2777,$E$2777+$I$2777*($F2780-$A$2777),IF($F2780&lt;$C$2777,$F$2777+$J$2777*($F2780-$B$2777),$G$2777+$K$2777*($F2780-$C$2777)))</f>
        <v/>
      </c>
      <c r="P2780" s="208">
        <f>MIN(1,MAX(0,(nr_MEndPm1-$G2780+0.5)/$C$2776))-MIN(1,MAX(0,(nr_MStartPm1-1-$G2780+0.5)/$C$2776))</f>
        <v/>
      </c>
      <c r="Q2780" s="208">
        <f>MIN(1,MAX(0,(nr_MEndP-$G2780+0.5)/$C$2776))-MIN(1,MAX(0,(nr_MStartP-1-$G2780+0.5)/$C$2776))</f>
        <v/>
      </c>
      <c r="R2780" s="208">
        <f>MIN(1,MAX(0,(nr_MEndP1-$G2780+0.5)/$C$2776))-MIN(1,MAX(0,(nr_MStartP1-1-$G2780+0.5)/$C$2776))</f>
        <v/>
      </c>
      <c r="S2780" s="208">
        <f>IF($L$2776,$N2780*IF($O$2776=1,$O2780/$F$2776,1),"")</f>
        <v/>
      </c>
      <c r="T2780" s="208">
        <f>IF(NOT($L$2776),"",IF($G2780&lt;nr_MStartP,$S2780,$T2768*(1+IF($G2780&lt;nr_MStartP1,$M$2776,$N$2776))))</f>
        <v/>
      </c>
      <c r="U2780" s="208">
        <f>IF($L$2776,$T2780,$N2780)</f>
        <v/>
      </c>
    </row>
    <row r="2781">
      <c r="A2781" s="145" t="n">
        <v>3</v>
      </c>
      <c r="B2781" s="204">
        <f>EDATE($B2780,1)</f>
        <v/>
      </c>
      <c r="C2781" s="205">
        <f>EOMONTH($B2781,0)</f>
        <v/>
      </c>
      <c r="D2781" s="201">
        <f>$C2781-$B2781+1</f>
        <v/>
      </c>
      <c r="E2781" s="201">
        <f>MONTH($B2781)</f>
        <v/>
      </c>
      <c r="F2781" s="235">
        <f>($B2781+$C2781+1)/2</f>
        <v/>
      </c>
      <c r="G2781" s="201">
        <f>YEAR($B2781)*12+MONTH($B2781)-1</f>
        <v/>
      </c>
      <c r="H2781" s="207">
        <f>IF(OR(nr_SeasonOn="OFF",$D$2776=0,$E$2776=0),1,12*INDEX(se_block,$D$2776,$E2781)/$E$2776)</f>
        <v/>
      </c>
      <c r="I2781" s="208">
        <f>EXP(SUMPRODUCT((rl_eff&lt;$B2781)*(rl_key=$A$2776)*rl_ln1p))</f>
        <v/>
      </c>
      <c r="J2781" s="208">
        <f>EXP(SUMPRODUCT((rl_eff&lt;=$C2781)*(rl_key=$A$2776)*rl_ln1p))</f>
        <v/>
      </c>
      <c r="K2781" s="201">
        <f>COUNTIFS(rl_key,$A$2776,rl_eff,"&gt;="&amp;$B2781,rl_eff,"&lt;="&amp;$C2781)</f>
        <v/>
      </c>
      <c r="L2781" s="201">
        <f>SUMIFS(rl_daysafter,rl_key,$A$2776,rl_effmonth,$B2781,rl_first,1)</f>
        <v/>
      </c>
      <c r="M2781" s="209">
        <f>IF($K2781=0,0,MIN(1,$L2781/$D2781))</f>
        <v/>
      </c>
      <c r="N2781" s="208">
        <f>IF($K2781=0,$J2781,(1-$M2781)*$I2781+$M2781*$J2781)</f>
        <v/>
      </c>
      <c r="O2781" s="209">
        <f>IF($F2781&lt;$B$2777,$E$2777+$I$2777*($F2781-$A$2777),IF($F2781&lt;$C$2777,$F$2777+$J$2777*($F2781-$B$2777),$G$2777+$K$2777*($F2781-$C$2777)))</f>
        <v/>
      </c>
      <c r="P2781" s="208">
        <f>MIN(1,MAX(0,(nr_MEndPm1-$G2781+0.5)/$C$2776))-MIN(1,MAX(0,(nr_MStartPm1-1-$G2781+0.5)/$C$2776))</f>
        <v/>
      </c>
      <c r="Q2781" s="208">
        <f>MIN(1,MAX(0,(nr_MEndP-$G2781+0.5)/$C$2776))-MIN(1,MAX(0,(nr_MStartP-1-$G2781+0.5)/$C$2776))</f>
        <v/>
      </c>
      <c r="R2781" s="208">
        <f>MIN(1,MAX(0,(nr_MEndP1-$G2781+0.5)/$C$2776))-MIN(1,MAX(0,(nr_MStartP1-1-$G2781+0.5)/$C$2776))</f>
        <v/>
      </c>
      <c r="S2781" s="208">
        <f>IF($L$2776,$N2781*IF($O$2776=1,$O2781/$F$2776,1),"")</f>
        <v/>
      </c>
      <c r="T2781" s="208">
        <f>IF(NOT($L$2776),"",IF($G2781&lt;nr_MStartP,$S2781,$T2769*(1+IF($G2781&lt;nr_MStartP1,$M$2776,$N$2776))))</f>
        <v/>
      </c>
      <c r="U2781" s="208">
        <f>IF($L$2776,$T2781,$N2781)</f>
        <v/>
      </c>
    </row>
    <row r="2782">
      <c r="A2782" s="145" t="n">
        <v>4</v>
      </c>
      <c r="B2782" s="204">
        <f>EDATE($B2781,1)</f>
        <v/>
      </c>
      <c r="C2782" s="205">
        <f>EOMONTH($B2782,0)</f>
        <v/>
      </c>
      <c r="D2782" s="201">
        <f>$C2782-$B2782+1</f>
        <v/>
      </c>
      <c r="E2782" s="201">
        <f>MONTH($B2782)</f>
        <v/>
      </c>
      <c r="F2782" s="235">
        <f>($B2782+$C2782+1)/2</f>
        <v/>
      </c>
      <c r="G2782" s="201">
        <f>YEAR($B2782)*12+MONTH($B2782)-1</f>
        <v/>
      </c>
      <c r="H2782" s="207">
        <f>IF(OR(nr_SeasonOn="OFF",$D$2776=0,$E$2776=0),1,12*INDEX(se_block,$D$2776,$E2782)/$E$2776)</f>
        <v/>
      </c>
      <c r="I2782" s="208">
        <f>EXP(SUMPRODUCT((rl_eff&lt;$B2782)*(rl_key=$A$2776)*rl_ln1p))</f>
        <v/>
      </c>
      <c r="J2782" s="208">
        <f>EXP(SUMPRODUCT((rl_eff&lt;=$C2782)*(rl_key=$A$2776)*rl_ln1p))</f>
        <v/>
      </c>
      <c r="K2782" s="201">
        <f>COUNTIFS(rl_key,$A$2776,rl_eff,"&gt;="&amp;$B2782,rl_eff,"&lt;="&amp;$C2782)</f>
        <v/>
      </c>
      <c r="L2782" s="201">
        <f>SUMIFS(rl_daysafter,rl_key,$A$2776,rl_effmonth,$B2782,rl_first,1)</f>
        <v/>
      </c>
      <c r="M2782" s="209">
        <f>IF($K2782=0,0,MIN(1,$L2782/$D2782))</f>
        <v/>
      </c>
      <c r="N2782" s="208">
        <f>IF($K2782=0,$J2782,(1-$M2782)*$I2782+$M2782*$J2782)</f>
        <v/>
      </c>
      <c r="O2782" s="209">
        <f>IF($F2782&lt;$B$2777,$E$2777+$I$2777*($F2782-$A$2777),IF($F2782&lt;$C$2777,$F$2777+$J$2777*($F2782-$B$2777),$G$2777+$K$2777*($F2782-$C$2777)))</f>
        <v/>
      </c>
      <c r="P2782" s="208">
        <f>MIN(1,MAX(0,(nr_MEndPm1-$G2782+0.5)/$C$2776))-MIN(1,MAX(0,(nr_MStartPm1-1-$G2782+0.5)/$C$2776))</f>
        <v/>
      </c>
      <c r="Q2782" s="208">
        <f>MIN(1,MAX(0,(nr_MEndP-$G2782+0.5)/$C$2776))-MIN(1,MAX(0,(nr_MStartP-1-$G2782+0.5)/$C$2776))</f>
        <v/>
      </c>
      <c r="R2782" s="208">
        <f>MIN(1,MAX(0,(nr_MEndP1-$G2782+0.5)/$C$2776))-MIN(1,MAX(0,(nr_MStartP1-1-$G2782+0.5)/$C$2776))</f>
        <v/>
      </c>
      <c r="S2782" s="208">
        <f>IF($L$2776,$N2782*IF($O$2776=1,$O2782/$F$2776,1),"")</f>
        <v/>
      </c>
      <c r="T2782" s="208">
        <f>IF(NOT($L$2776),"",IF($G2782&lt;nr_MStartP,$S2782,$T2770*(1+IF($G2782&lt;nr_MStartP1,$M$2776,$N$2776))))</f>
        <v/>
      </c>
      <c r="U2782" s="208">
        <f>IF($L$2776,$T2782,$N2782)</f>
        <v/>
      </c>
    </row>
    <row r="2783">
      <c r="A2783" s="145" t="n">
        <v>5</v>
      </c>
      <c r="B2783" s="204">
        <f>EDATE($B2782,1)</f>
        <v/>
      </c>
      <c r="C2783" s="205">
        <f>EOMONTH($B2783,0)</f>
        <v/>
      </c>
      <c r="D2783" s="201">
        <f>$C2783-$B2783+1</f>
        <v/>
      </c>
      <c r="E2783" s="201">
        <f>MONTH($B2783)</f>
        <v/>
      </c>
      <c r="F2783" s="235">
        <f>($B2783+$C2783+1)/2</f>
        <v/>
      </c>
      <c r="G2783" s="201">
        <f>YEAR($B2783)*12+MONTH($B2783)-1</f>
        <v/>
      </c>
      <c r="H2783" s="207">
        <f>IF(OR(nr_SeasonOn="OFF",$D$2776=0,$E$2776=0),1,12*INDEX(se_block,$D$2776,$E2783)/$E$2776)</f>
        <v/>
      </c>
      <c r="I2783" s="208">
        <f>EXP(SUMPRODUCT((rl_eff&lt;$B2783)*(rl_key=$A$2776)*rl_ln1p))</f>
        <v/>
      </c>
      <c r="J2783" s="208">
        <f>EXP(SUMPRODUCT((rl_eff&lt;=$C2783)*(rl_key=$A$2776)*rl_ln1p))</f>
        <v/>
      </c>
      <c r="K2783" s="201">
        <f>COUNTIFS(rl_key,$A$2776,rl_eff,"&gt;="&amp;$B2783,rl_eff,"&lt;="&amp;$C2783)</f>
        <v/>
      </c>
      <c r="L2783" s="201">
        <f>SUMIFS(rl_daysafter,rl_key,$A$2776,rl_effmonth,$B2783,rl_first,1)</f>
        <v/>
      </c>
      <c r="M2783" s="209">
        <f>IF($K2783=0,0,MIN(1,$L2783/$D2783))</f>
        <v/>
      </c>
      <c r="N2783" s="208">
        <f>IF($K2783=0,$J2783,(1-$M2783)*$I2783+$M2783*$J2783)</f>
        <v/>
      </c>
      <c r="O2783" s="209">
        <f>IF($F2783&lt;$B$2777,$E$2777+$I$2777*($F2783-$A$2777),IF($F2783&lt;$C$2777,$F$2777+$J$2777*($F2783-$B$2777),$G$2777+$K$2777*($F2783-$C$2777)))</f>
        <v/>
      </c>
      <c r="P2783" s="208">
        <f>MIN(1,MAX(0,(nr_MEndPm1-$G2783+0.5)/$C$2776))-MIN(1,MAX(0,(nr_MStartPm1-1-$G2783+0.5)/$C$2776))</f>
        <v/>
      </c>
      <c r="Q2783" s="208">
        <f>MIN(1,MAX(0,(nr_MEndP-$G2783+0.5)/$C$2776))-MIN(1,MAX(0,(nr_MStartP-1-$G2783+0.5)/$C$2776))</f>
        <v/>
      </c>
      <c r="R2783" s="208">
        <f>MIN(1,MAX(0,(nr_MEndP1-$G2783+0.5)/$C$2776))-MIN(1,MAX(0,(nr_MStartP1-1-$G2783+0.5)/$C$2776))</f>
        <v/>
      </c>
      <c r="S2783" s="208">
        <f>IF($L$2776,$N2783*IF($O$2776=1,$O2783/$F$2776,1),"")</f>
        <v/>
      </c>
      <c r="T2783" s="208">
        <f>IF(NOT($L$2776),"",IF($G2783&lt;nr_MStartP,$S2783,$T2771*(1+IF($G2783&lt;nr_MStartP1,$M$2776,$N$2776))))</f>
        <v/>
      </c>
      <c r="U2783" s="208">
        <f>IF($L$2776,$T2783,$N2783)</f>
        <v/>
      </c>
    </row>
    <row r="2784">
      <c r="A2784" s="145" t="n">
        <v>6</v>
      </c>
      <c r="B2784" s="204">
        <f>EDATE($B2783,1)</f>
        <v/>
      </c>
      <c r="C2784" s="205">
        <f>EOMONTH($B2784,0)</f>
        <v/>
      </c>
      <c r="D2784" s="201">
        <f>$C2784-$B2784+1</f>
        <v/>
      </c>
      <c r="E2784" s="201">
        <f>MONTH($B2784)</f>
        <v/>
      </c>
      <c r="F2784" s="235">
        <f>($B2784+$C2784+1)/2</f>
        <v/>
      </c>
      <c r="G2784" s="201">
        <f>YEAR($B2784)*12+MONTH($B2784)-1</f>
        <v/>
      </c>
      <c r="H2784" s="207">
        <f>IF(OR(nr_SeasonOn="OFF",$D$2776=0,$E$2776=0),1,12*INDEX(se_block,$D$2776,$E2784)/$E$2776)</f>
        <v/>
      </c>
      <c r="I2784" s="208">
        <f>EXP(SUMPRODUCT((rl_eff&lt;$B2784)*(rl_key=$A$2776)*rl_ln1p))</f>
        <v/>
      </c>
      <c r="J2784" s="208">
        <f>EXP(SUMPRODUCT((rl_eff&lt;=$C2784)*(rl_key=$A$2776)*rl_ln1p))</f>
        <v/>
      </c>
      <c r="K2784" s="201">
        <f>COUNTIFS(rl_key,$A$2776,rl_eff,"&gt;="&amp;$B2784,rl_eff,"&lt;="&amp;$C2784)</f>
        <v/>
      </c>
      <c r="L2784" s="201">
        <f>SUMIFS(rl_daysafter,rl_key,$A$2776,rl_effmonth,$B2784,rl_first,1)</f>
        <v/>
      </c>
      <c r="M2784" s="209">
        <f>IF($K2784=0,0,MIN(1,$L2784/$D2784))</f>
        <v/>
      </c>
      <c r="N2784" s="208">
        <f>IF($K2784=0,$J2784,(1-$M2784)*$I2784+$M2784*$J2784)</f>
        <v/>
      </c>
      <c r="O2784" s="209">
        <f>IF($F2784&lt;$B$2777,$E$2777+$I$2777*($F2784-$A$2777),IF($F2784&lt;$C$2777,$F$2777+$J$2777*($F2784-$B$2777),$G$2777+$K$2777*($F2784-$C$2777)))</f>
        <v/>
      </c>
      <c r="P2784" s="208">
        <f>MIN(1,MAX(0,(nr_MEndPm1-$G2784+0.5)/$C$2776))-MIN(1,MAX(0,(nr_MStartPm1-1-$G2784+0.5)/$C$2776))</f>
        <v/>
      </c>
      <c r="Q2784" s="208">
        <f>MIN(1,MAX(0,(nr_MEndP-$G2784+0.5)/$C$2776))-MIN(1,MAX(0,(nr_MStartP-1-$G2784+0.5)/$C$2776))</f>
        <v/>
      </c>
      <c r="R2784" s="208">
        <f>MIN(1,MAX(0,(nr_MEndP1-$G2784+0.5)/$C$2776))-MIN(1,MAX(0,(nr_MStartP1-1-$G2784+0.5)/$C$2776))</f>
        <v/>
      </c>
      <c r="S2784" s="208">
        <f>IF($L$2776,$N2784*IF($O$2776=1,$O2784/$F$2776,1),"")</f>
        <v/>
      </c>
      <c r="T2784" s="208">
        <f>IF(NOT($L$2776),"",IF($G2784&lt;nr_MStartP,$S2784,$T2772*(1+IF($G2784&lt;nr_MStartP1,$M$2776,$N$2776))))</f>
        <v/>
      </c>
      <c r="U2784" s="208">
        <f>IF($L$2776,$T2784,$N2784)</f>
        <v/>
      </c>
    </row>
    <row r="2785">
      <c r="A2785" s="145" t="n">
        <v>7</v>
      </c>
      <c r="B2785" s="204">
        <f>EDATE($B2784,1)</f>
        <v/>
      </c>
      <c r="C2785" s="205">
        <f>EOMONTH($B2785,0)</f>
        <v/>
      </c>
      <c r="D2785" s="201">
        <f>$C2785-$B2785+1</f>
        <v/>
      </c>
      <c r="E2785" s="201">
        <f>MONTH($B2785)</f>
        <v/>
      </c>
      <c r="F2785" s="235">
        <f>($B2785+$C2785+1)/2</f>
        <v/>
      </c>
      <c r="G2785" s="201">
        <f>YEAR($B2785)*12+MONTH($B2785)-1</f>
        <v/>
      </c>
      <c r="H2785" s="207">
        <f>IF(OR(nr_SeasonOn="OFF",$D$2776=0,$E$2776=0),1,12*INDEX(se_block,$D$2776,$E2785)/$E$2776)</f>
        <v/>
      </c>
      <c r="I2785" s="208">
        <f>EXP(SUMPRODUCT((rl_eff&lt;$B2785)*(rl_key=$A$2776)*rl_ln1p))</f>
        <v/>
      </c>
      <c r="J2785" s="208">
        <f>EXP(SUMPRODUCT((rl_eff&lt;=$C2785)*(rl_key=$A$2776)*rl_ln1p))</f>
        <v/>
      </c>
      <c r="K2785" s="201">
        <f>COUNTIFS(rl_key,$A$2776,rl_eff,"&gt;="&amp;$B2785,rl_eff,"&lt;="&amp;$C2785)</f>
        <v/>
      </c>
      <c r="L2785" s="201">
        <f>SUMIFS(rl_daysafter,rl_key,$A$2776,rl_effmonth,$B2785,rl_first,1)</f>
        <v/>
      </c>
      <c r="M2785" s="209">
        <f>IF($K2785=0,0,MIN(1,$L2785/$D2785))</f>
        <v/>
      </c>
      <c r="N2785" s="208">
        <f>IF($K2785=0,$J2785,(1-$M2785)*$I2785+$M2785*$J2785)</f>
        <v/>
      </c>
      <c r="O2785" s="209">
        <f>IF($F2785&lt;$B$2777,$E$2777+$I$2777*($F2785-$A$2777),IF($F2785&lt;$C$2777,$F$2777+$J$2777*($F2785-$B$2777),$G$2777+$K$2777*($F2785-$C$2777)))</f>
        <v/>
      </c>
      <c r="P2785" s="208">
        <f>MIN(1,MAX(0,(nr_MEndPm1-$G2785+0.5)/$C$2776))-MIN(1,MAX(0,(nr_MStartPm1-1-$G2785+0.5)/$C$2776))</f>
        <v/>
      </c>
      <c r="Q2785" s="208">
        <f>MIN(1,MAX(0,(nr_MEndP-$G2785+0.5)/$C$2776))-MIN(1,MAX(0,(nr_MStartP-1-$G2785+0.5)/$C$2776))</f>
        <v/>
      </c>
      <c r="R2785" s="208">
        <f>MIN(1,MAX(0,(nr_MEndP1-$G2785+0.5)/$C$2776))-MIN(1,MAX(0,(nr_MStartP1-1-$G2785+0.5)/$C$2776))</f>
        <v/>
      </c>
      <c r="S2785" s="208">
        <f>IF($L$2776,$N2785*IF($O$2776=1,$O2785/$F$2776,1),"")</f>
        <v/>
      </c>
      <c r="T2785" s="208">
        <f>IF(NOT($L$2776),"",IF($G2785&lt;nr_MStartP,$S2785,$T2773*(1+IF($G2785&lt;nr_MStartP1,$M$2776,$N$2776))))</f>
        <v/>
      </c>
      <c r="U2785" s="208">
        <f>IF($L$2776,$T2785,$N2785)</f>
        <v/>
      </c>
    </row>
    <row r="2786">
      <c r="A2786" s="145" t="n">
        <v>8</v>
      </c>
      <c r="B2786" s="204">
        <f>EDATE($B2785,1)</f>
        <v/>
      </c>
      <c r="C2786" s="205">
        <f>EOMONTH($B2786,0)</f>
        <v/>
      </c>
      <c r="D2786" s="201">
        <f>$C2786-$B2786+1</f>
        <v/>
      </c>
      <c r="E2786" s="201">
        <f>MONTH($B2786)</f>
        <v/>
      </c>
      <c r="F2786" s="235">
        <f>($B2786+$C2786+1)/2</f>
        <v/>
      </c>
      <c r="G2786" s="201">
        <f>YEAR($B2786)*12+MONTH($B2786)-1</f>
        <v/>
      </c>
      <c r="H2786" s="207">
        <f>IF(OR(nr_SeasonOn="OFF",$D$2776=0,$E$2776=0),1,12*INDEX(se_block,$D$2776,$E2786)/$E$2776)</f>
        <v/>
      </c>
      <c r="I2786" s="208">
        <f>EXP(SUMPRODUCT((rl_eff&lt;$B2786)*(rl_key=$A$2776)*rl_ln1p))</f>
        <v/>
      </c>
      <c r="J2786" s="208">
        <f>EXP(SUMPRODUCT((rl_eff&lt;=$C2786)*(rl_key=$A$2776)*rl_ln1p))</f>
        <v/>
      </c>
      <c r="K2786" s="201">
        <f>COUNTIFS(rl_key,$A$2776,rl_eff,"&gt;="&amp;$B2786,rl_eff,"&lt;="&amp;$C2786)</f>
        <v/>
      </c>
      <c r="L2786" s="201">
        <f>SUMIFS(rl_daysafter,rl_key,$A$2776,rl_effmonth,$B2786,rl_first,1)</f>
        <v/>
      </c>
      <c r="M2786" s="209">
        <f>IF($K2786=0,0,MIN(1,$L2786/$D2786))</f>
        <v/>
      </c>
      <c r="N2786" s="208">
        <f>IF($K2786=0,$J2786,(1-$M2786)*$I2786+$M2786*$J2786)</f>
        <v/>
      </c>
      <c r="O2786" s="209">
        <f>IF($F2786&lt;$B$2777,$E$2777+$I$2777*($F2786-$A$2777),IF($F2786&lt;$C$2777,$F$2777+$J$2777*($F2786-$B$2777),$G$2777+$K$2777*($F2786-$C$2777)))</f>
        <v/>
      </c>
      <c r="P2786" s="208">
        <f>MIN(1,MAX(0,(nr_MEndPm1-$G2786+0.5)/$C$2776))-MIN(1,MAX(0,(nr_MStartPm1-1-$G2786+0.5)/$C$2776))</f>
        <v/>
      </c>
      <c r="Q2786" s="208">
        <f>MIN(1,MAX(0,(nr_MEndP-$G2786+0.5)/$C$2776))-MIN(1,MAX(0,(nr_MStartP-1-$G2786+0.5)/$C$2776))</f>
        <v/>
      </c>
      <c r="R2786" s="208">
        <f>MIN(1,MAX(0,(nr_MEndP1-$G2786+0.5)/$C$2776))-MIN(1,MAX(0,(nr_MStartP1-1-$G2786+0.5)/$C$2776))</f>
        <v/>
      </c>
      <c r="S2786" s="208">
        <f>IF($L$2776,$N2786*IF($O$2776=1,$O2786/$F$2776,1),"")</f>
        <v/>
      </c>
      <c r="T2786" s="208">
        <f>IF(NOT($L$2776),"",IF($G2786&lt;nr_MStartP,$S2786,$T2774*(1+IF($G2786&lt;nr_MStartP1,$M$2776,$N$2776))))</f>
        <v/>
      </c>
      <c r="U2786" s="208">
        <f>IF($L$2776,$T2786,$N2786)</f>
        <v/>
      </c>
    </row>
    <row r="2787">
      <c r="A2787" s="145" t="n">
        <v>9</v>
      </c>
      <c r="B2787" s="204">
        <f>EDATE($B2786,1)</f>
        <v/>
      </c>
      <c r="C2787" s="205">
        <f>EOMONTH($B2787,0)</f>
        <v/>
      </c>
      <c r="D2787" s="201">
        <f>$C2787-$B2787+1</f>
        <v/>
      </c>
      <c r="E2787" s="201">
        <f>MONTH($B2787)</f>
        <v/>
      </c>
      <c r="F2787" s="235">
        <f>($B2787+$C2787+1)/2</f>
        <v/>
      </c>
      <c r="G2787" s="201">
        <f>YEAR($B2787)*12+MONTH($B2787)-1</f>
        <v/>
      </c>
      <c r="H2787" s="207">
        <f>IF(OR(nr_SeasonOn="OFF",$D$2776=0,$E$2776=0),1,12*INDEX(se_block,$D$2776,$E2787)/$E$2776)</f>
        <v/>
      </c>
      <c r="I2787" s="208">
        <f>EXP(SUMPRODUCT((rl_eff&lt;$B2787)*(rl_key=$A$2776)*rl_ln1p))</f>
        <v/>
      </c>
      <c r="J2787" s="208">
        <f>EXP(SUMPRODUCT((rl_eff&lt;=$C2787)*(rl_key=$A$2776)*rl_ln1p))</f>
        <v/>
      </c>
      <c r="K2787" s="201">
        <f>COUNTIFS(rl_key,$A$2776,rl_eff,"&gt;="&amp;$B2787,rl_eff,"&lt;="&amp;$C2787)</f>
        <v/>
      </c>
      <c r="L2787" s="201">
        <f>SUMIFS(rl_daysafter,rl_key,$A$2776,rl_effmonth,$B2787,rl_first,1)</f>
        <v/>
      </c>
      <c r="M2787" s="209">
        <f>IF($K2787=0,0,MIN(1,$L2787/$D2787))</f>
        <v/>
      </c>
      <c r="N2787" s="208">
        <f>IF($K2787=0,$J2787,(1-$M2787)*$I2787+$M2787*$J2787)</f>
        <v/>
      </c>
      <c r="O2787" s="209">
        <f>IF($F2787&lt;$B$2777,$E$2777+$I$2777*($F2787-$A$2777),IF($F2787&lt;$C$2777,$F$2777+$J$2777*($F2787-$B$2777),$G$2777+$K$2777*($F2787-$C$2777)))</f>
        <v/>
      </c>
      <c r="P2787" s="208">
        <f>MIN(1,MAX(0,(nr_MEndPm1-$G2787+0.5)/$C$2776))-MIN(1,MAX(0,(nr_MStartPm1-1-$G2787+0.5)/$C$2776))</f>
        <v/>
      </c>
      <c r="Q2787" s="208">
        <f>MIN(1,MAX(0,(nr_MEndP-$G2787+0.5)/$C$2776))-MIN(1,MAX(0,(nr_MStartP-1-$G2787+0.5)/$C$2776))</f>
        <v/>
      </c>
      <c r="R2787" s="208">
        <f>MIN(1,MAX(0,(nr_MEndP1-$G2787+0.5)/$C$2776))-MIN(1,MAX(0,(nr_MStartP1-1-$G2787+0.5)/$C$2776))</f>
        <v/>
      </c>
      <c r="S2787" s="208">
        <f>IF($L$2776,$N2787*IF($O$2776=1,$O2787/$F$2776,1),"")</f>
        <v/>
      </c>
      <c r="T2787" s="208">
        <f>IF(NOT($L$2776),"",IF($G2787&lt;nr_MStartP,$S2787,$T2775*(1+IF($G2787&lt;nr_MStartP1,$M$2776,$N$2776))))</f>
        <v/>
      </c>
      <c r="U2787" s="208">
        <f>IF($L$2776,$T2787,$N2787)</f>
        <v/>
      </c>
    </row>
    <row r="2788">
      <c r="A2788" s="145" t="n">
        <v>10</v>
      </c>
      <c r="B2788" s="204">
        <f>EDATE($B2787,1)</f>
        <v/>
      </c>
      <c r="C2788" s="205">
        <f>EOMONTH($B2788,0)</f>
        <v/>
      </c>
      <c r="D2788" s="201">
        <f>$C2788-$B2788+1</f>
        <v/>
      </c>
      <c r="E2788" s="201">
        <f>MONTH($B2788)</f>
        <v/>
      </c>
      <c r="F2788" s="235">
        <f>($B2788+$C2788+1)/2</f>
        <v/>
      </c>
      <c r="G2788" s="201">
        <f>YEAR($B2788)*12+MONTH($B2788)-1</f>
        <v/>
      </c>
      <c r="H2788" s="207">
        <f>IF(OR(nr_SeasonOn="OFF",$D$2776=0,$E$2776=0),1,12*INDEX(se_block,$D$2776,$E2788)/$E$2776)</f>
        <v/>
      </c>
      <c r="I2788" s="208">
        <f>EXP(SUMPRODUCT((rl_eff&lt;$B2788)*(rl_key=$A$2776)*rl_ln1p))</f>
        <v/>
      </c>
      <c r="J2788" s="208">
        <f>EXP(SUMPRODUCT((rl_eff&lt;=$C2788)*(rl_key=$A$2776)*rl_ln1p))</f>
        <v/>
      </c>
      <c r="K2788" s="201">
        <f>COUNTIFS(rl_key,$A$2776,rl_eff,"&gt;="&amp;$B2788,rl_eff,"&lt;="&amp;$C2788)</f>
        <v/>
      </c>
      <c r="L2788" s="201">
        <f>SUMIFS(rl_daysafter,rl_key,$A$2776,rl_effmonth,$B2788,rl_first,1)</f>
        <v/>
      </c>
      <c r="M2788" s="209">
        <f>IF($K2788=0,0,MIN(1,$L2788/$D2788))</f>
        <v/>
      </c>
      <c r="N2788" s="208">
        <f>IF($K2788=0,$J2788,(1-$M2788)*$I2788+$M2788*$J2788)</f>
        <v/>
      </c>
      <c r="O2788" s="209">
        <f>IF($F2788&lt;$B$2777,$E$2777+$I$2777*($F2788-$A$2777),IF($F2788&lt;$C$2777,$F$2777+$J$2777*($F2788-$B$2777),$G$2777+$K$2777*($F2788-$C$2777)))</f>
        <v/>
      </c>
      <c r="P2788" s="208">
        <f>MIN(1,MAX(0,(nr_MEndPm1-$G2788+0.5)/$C$2776))-MIN(1,MAX(0,(nr_MStartPm1-1-$G2788+0.5)/$C$2776))</f>
        <v/>
      </c>
      <c r="Q2788" s="208">
        <f>MIN(1,MAX(0,(nr_MEndP-$G2788+0.5)/$C$2776))-MIN(1,MAX(0,(nr_MStartP-1-$G2788+0.5)/$C$2776))</f>
        <v/>
      </c>
      <c r="R2788" s="208">
        <f>MIN(1,MAX(0,(nr_MEndP1-$G2788+0.5)/$C$2776))-MIN(1,MAX(0,(nr_MStartP1-1-$G2788+0.5)/$C$2776))</f>
        <v/>
      </c>
      <c r="S2788" s="208">
        <f>IF($L$2776,$N2788*IF($O$2776=1,$O2788/$F$2776,1),"")</f>
        <v/>
      </c>
      <c r="T2788" s="208">
        <f>IF(NOT($L$2776),"",IF($G2788&lt;nr_MStartP,$S2788,$T2776*(1+IF($G2788&lt;nr_MStartP1,$M$2776,$N$2776))))</f>
        <v/>
      </c>
      <c r="U2788" s="208">
        <f>IF($L$2776,$T2788,$N2788)</f>
        <v/>
      </c>
    </row>
    <row r="2789">
      <c r="A2789" s="145" t="n">
        <v>11</v>
      </c>
      <c r="B2789" s="204">
        <f>EDATE($B2788,1)</f>
        <v/>
      </c>
      <c r="C2789" s="205">
        <f>EOMONTH($B2789,0)</f>
        <v/>
      </c>
      <c r="D2789" s="201">
        <f>$C2789-$B2789+1</f>
        <v/>
      </c>
      <c r="E2789" s="201">
        <f>MONTH($B2789)</f>
        <v/>
      </c>
      <c r="F2789" s="235">
        <f>($B2789+$C2789+1)/2</f>
        <v/>
      </c>
      <c r="G2789" s="201">
        <f>YEAR($B2789)*12+MONTH($B2789)-1</f>
        <v/>
      </c>
      <c r="H2789" s="207">
        <f>IF(OR(nr_SeasonOn="OFF",$D$2776=0,$E$2776=0),1,12*INDEX(se_block,$D$2776,$E2789)/$E$2776)</f>
        <v/>
      </c>
      <c r="I2789" s="208">
        <f>EXP(SUMPRODUCT((rl_eff&lt;$B2789)*(rl_key=$A$2776)*rl_ln1p))</f>
        <v/>
      </c>
      <c r="J2789" s="208">
        <f>EXP(SUMPRODUCT((rl_eff&lt;=$C2789)*(rl_key=$A$2776)*rl_ln1p))</f>
        <v/>
      </c>
      <c r="K2789" s="201">
        <f>COUNTIFS(rl_key,$A$2776,rl_eff,"&gt;="&amp;$B2789,rl_eff,"&lt;="&amp;$C2789)</f>
        <v/>
      </c>
      <c r="L2789" s="201">
        <f>SUMIFS(rl_daysafter,rl_key,$A$2776,rl_effmonth,$B2789,rl_first,1)</f>
        <v/>
      </c>
      <c r="M2789" s="209">
        <f>IF($K2789=0,0,MIN(1,$L2789/$D2789))</f>
        <v/>
      </c>
      <c r="N2789" s="208">
        <f>IF($K2789=0,$J2789,(1-$M2789)*$I2789+$M2789*$J2789)</f>
        <v/>
      </c>
      <c r="O2789" s="209">
        <f>IF($F2789&lt;$B$2777,$E$2777+$I$2777*($F2789-$A$2777),IF($F2789&lt;$C$2777,$F$2777+$J$2777*($F2789-$B$2777),$G$2777+$K$2777*($F2789-$C$2777)))</f>
        <v/>
      </c>
      <c r="P2789" s="208">
        <f>MIN(1,MAX(0,(nr_MEndPm1-$G2789+0.5)/$C$2776))-MIN(1,MAX(0,(nr_MStartPm1-1-$G2789+0.5)/$C$2776))</f>
        <v/>
      </c>
      <c r="Q2789" s="208">
        <f>MIN(1,MAX(0,(nr_MEndP-$G2789+0.5)/$C$2776))-MIN(1,MAX(0,(nr_MStartP-1-$G2789+0.5)/$C$2776))</f>
        <v/>
      </c>
      <c r="R2789" s="208">
        <f>MIN(1,MAX(0,(nr_MEndP1-$G2789+0.5)/$C$2776))-MIN(1,MAX(0,(nr_MStartP1-1-$G2789+0.5)/$C$2776))</f>
        <v/>
      </c>
      <c r="S2789" s="208">
        <f>IF($L$2776,$N2789*IF($O$2776=1,$O2789/$F$2776,1),"")</f>
        <v/>
      </c>
      <c r="T2789" s="208">
        <f>IF(NOT($L$2776),"",IF($G2789&lt;nr_MStartP,$S2789,$T2777*(1+IF($G2789&lt;nr_MStartP1,$M$2776,$N$2776))))</f>
        <v/>
      </c>
      <c r="U2789" s="208">
        <f>IF($L$2776,$T2789,$N2789)</f>
        <v/>
      </c>
    </row>
    <row r="2790">
      <c r="A2790" s="145" t="n">
        <v>12</v>
      </c>
      <c r="B2790" s="204">
        <f>EDATE($B2789,1)</f>
        <v/>
      </c>
      <c r="C2790" s="205">
        <f>EOMONTH($B2790,0)</f>
        <v/>
      </c>
      <c r="D2790" s="201">
        <f>$C2790-$B2790+1</f>
        <v/>
      </c>
      <c r="E2790" s="201">
        <f>MONTH($B2790)</f>
        <v/>
      </c>
      <c r="F2790" s="235">
        <f>($B2790+$C2790+1)/2</f>
        <v/>
      </c>
      <c r="G2790" s="201">
        <f>YEAR($B2790)*12+MONTH($B2790)-1</f>
        <v/>
      </c>
      <c r="H2790" s="207">
        <f>IF(OR(nr_SeasonOn="OFF",$D$2776=0,$E$2776=0),1,12*INDEX(se_block,$D$2776,$E2790)/$E$2776)</f>
        <v/>
      </c>
      <c r="I2790" s="208">
        <f>EXP(SUMPRODUCT((rl_eff&lt;$B2790)*(rl_key=$A$2776)*rl_ln1p))</f>
        <v/>
      </c>
      <c r="J2790" s="208">
        <f>EXP(SUMPRODUCT((rl_eff&lt;=$C2790)*(rl_key=$A$2776)*rl_ln1p))</f>
        <v/>
      </c>
      <c r="K2790" s="201">
        <f>COUNTIFS(rl_key,$A$2776,rl_eff,"&gt;="&amp;$B2790,rl_eff,"&lt;="&amp;$C2790)</f>
        <v/>
      </c>
      <c r="L2790" s="201">
        <f>SUMIFS(rl_daysafter,rl_key,$A$2776,rl_effmonth,$B2790,rl_first,1)</f>
        <v/>
      </c>
      <c r="M2790" s="209">
        <f>IF($K2790=0,0,MIN(1,$L2790/$D2790))</f>
        <v/>
      </c>
      <c r="N2790" s="208">
        <f>IF($K2790=0,$J2790,(1-$M2790)*$I2790+$M2790*$J2790)</f>
        <v/>
      </c>
      <c r="O2790" s="209">
        <f>IF($F2790&lt;$B$2777,$E$2777+$I$2777*($F2790-$A$2777),IF($F2790&lt;$C$2777,$F$2777+$J$2777*($F2790-$B$2777),$G$2777+$K$2777*($F2790-$C$2777)))</f>
        <v/>
      </c>
      <c r="P2790" s="208">
        <f>MIN(1,MAX(0,(nr_MEndPm1-$G2790+0.5)/$C$2776))-MIN(1,MAX(0,(nr_MStartPm1-1-$G2790+0.5)/$C$2776))</f>
        <v/>
      </c>
      <c r="Q2790" s="208">
        <f>MIN(1,MAX(0,(nr_MEndP-$G2790+0.5)/$C$2776))-MIN(1,MAX(0,(nr_MStartP-1-$G2790+0.5)/$C$2776))</f>
        <v/>
      </c>
      <c r="R2790" s="208">
        <f>MIN(1,MAX(0,(nr_MEndP1-$G2790+0.5)/$C$2776))-MIN(1,MAX(0,(nr_MStartP1-1-$G2790+0.5)/$C$2776))</f>
        <v/>
      </c>
      <c r="S2790" s="208">
        <f>IF($L$2776,$N2790*IF($O$2776=1,$O2790/$F$2776,1),"")</f>
        <v/>
      </c>
      <c r="T2790" s="208">
        <f>IF(NOT($L$2776),"",IF($G2790&lt;nr_MStartP,$S2790,$T2778*(1+IF($G2790&lt;nr_MStartP1,$M$2776,$N$2776))))</f>
        <v/>
      </c>
      <c r="U2790" s="208">
        <f>IF($L$2776,$T2790,$N2790)</f>
        <v/>
      </c>
    </row>
    <row r="2791">
      <c r="A2791" s="145" t="n">
        <v>13</v>
      </c>
      <c r="B2791" s="204">
        <f>EDATE($B2790,1)</f>
        <v/>
      </c>
      <c r="C2791" s="205">
        <f>EOMONTH($B2791,0)</f>
        <v/>
      </c>
      <c r="D2791" s="201">
        <f>$C2791-$B2791+1</f>
        <v/>
      </c>
      <c r="E2791" s="201">
        <f>MONTH($B2791)</f>
        <v/>
      </c>
      <c r="F2791" s="235">
        <f>($B2791+$C2791+1)/2</f>
        <v/>
      </c>
      <c r="G2791" s="201">
        <f>YEAR($B2791)*12+MONTH($B2791)-1</f>
        <v/>
      </c>
      <c r="H2791" s="207">
        <f>IF(OR(nr_SeasonOn="OFF",$D$2776=0,$E$2776=0),1,12*INDEX(se_block,$D$2776,$E2791)/$E$2776)</f>
        <v/>
      </c>
      <c r="I2791" s="208">
        <f>EXP(SUMPRODUCT((rl_eff&lt;$B2791)*(rl_key=$A$2776)*rl_ln1p))</f>
        <v/>
      </c>
      <c r="J2791" s="208">
        <f>EXP(SUMPRODUCT((rl_eff&lt;=$C2791)*(rl_key=$A$2776)*rl_ln1p))</f>
        <v/>
      </c>
      <c r="K2791" s="201">
        <f>COUNTIFS(rl_key,$A$2776,rl_eff,"&gt;="&amp;$B2791,rl_eff,"&lt;="&amp;$C2791)</f>
        <v/>
      </c>
      <c r="L2791" s="201">
        <f>SUMIFS(rl_daysafter,rl_key,$A$2776,rl_effmonth,$B2791,rl_first,1)</f>
        <v/>
      </c>
      <c r="M2791" s="209">
        <f>IF($K2791=0,0,MIN(1,$L2791/$D2791))</f>
        <v/>
      </c>
      <c r="N2791" s="208">
        <f>IF($K2791=0,$J2791,(1-$M2791)*$I2791+$M2791*$J2791)</f>
        <v/>
      </c>
      <c r="O2791" s="209">
        <f>IF($F2791&lt;$B$2777,$E$2777+$I$2777*($F2791-$A$2777),IF($F2791&lt;$C$2777,$F$2777+$J$2777*($F2791-$B$2777),$G$2777+$K$2777*($F2791-$C$2777)))</f>
        <v/>
      </c>
      <c r="P2791" s="208">
        <f>MIN(1,MAX(0,(nr_MEndPm1-$G2791+0.5)/$C$2776))-MIN(1,MAX(0,(nr_MStartPm1-1-$G2791+0.5)/$C$2776))</f>
        <v/>
      </c>
      <c r="Q2791" s="208">
        <f>MIN(1,MAX(0,(nr_MEndP-$G2791+0.5)/$C$2776))-MIN(1,MAX(0,(nr_MStartP-1-$G2791+0.5)/$C$2776))</f>
        <v/>
      </c>
      <c r="R2791" s="208">
        <f>MIN(1,MAX(0,(nr_MEndP1-$G2791+0.5)/$C$2776))-MIN(1,MAX(0,(nr_MStartP1-1-$G2791+0.5)/$C$2776))</f>
        <v/>
      </c>
      <c r="S2791" s="208">
        <f>IF($L$2776,$N2791*IF($O$2776=1,$O2791/$F$2776,1),"")</f>
        <v/>
      </c>
      <c r="T2791" s="208">
        <f>IF(NOT($L$2776),"",IF($G2791&lt;nr_MStartP,$S2791,$T2779*(1+IF($G2791&lt;nr_MStartP1,$M$2776,$N$2776))))</f>
        <v/>
      </c>
      <c r="U2791" s="208">
        <f>IF($L$2776,$T2791,$N2791)</f>
        <v/>
      </c>
    </row>
    <row r="2792">
      <c r="A2792" s="145" t="n">
        <v>14</v>
      </c>
      <c r="B2792" s="204">
        <f>EDATE($B2791,1)</f>
        <v/>
      </c>
      <c r="C2792" s="205">
        <f>EOMONTH($B2792,0)</f>
        <v/>
      </c>
      <c r="D2792" s="201">
        <f>$C2792-$B2792+1</f>
        <v/>
      </c>
      <c r="E2792" s="201">
        <f>MONTH($B2792)</f>
        <v/>
      </c>
      <c r="F2792" s="235">
        <f>($B2792+$C2792+1)/2</f>
        <v/>
      </c>
      <c r="G2792" s="201">
        <f>YEAR($B2792)*12+MONTH($B2792)-1</f>
        <v/>
      </c>
      <c r="H2792" s="207">
        <f>IF(OR(nr_SeasonOn="OFF",$D$2776=0,$E$2776=0),1,12*INDEX(se_block,$D$2776,$E2792)/$E$2776)</f>
        <v/>
      </c>
      <c r="I2792" s="208">
        <f>EXP(SUMPRODUCT((rl_eff&lt;$B2792)*(rl_key=$A$2776)*rl_ln1p))</f>
        <v/>
      </c>
      <c r="J2792" s="208">
        <f>EXP(SUMPRODUCT((rl_eff&lt;=$C2792)*(rl_key=$A$2776)*rl_ln1p))</f>
        <v/>
      </c>
      <c r="K2792" s="201">
        <f>COUNTIFS(rl_key,$A$2776,rl_eff,"&gt;="&amp;$B2792,rl_eff,"&lt;="&amp;$C2792)</f>
        <v/>
      </c>
      <c r="L2792" s="201">
        <f>SUMIFS(rl_daysafter,rl_key,$A$2776,rl_effmonth,$B2792,rl_first,1)</f>
        <v/>
      </c>
      <c r="M2792" s="209">
        <f>IF($K2792=0,0,MIN(1,$L2792/$D2792))</f>
        <v/>
      </c>
      <c r="N2792" s="208">
        <f>IF($K2792=0,$J2792,(1-$M2792)*$I2792+$M2792*$J2792)</f>
        <v/>
      </c>
      <c r="O2792" s="209">
        <f>IF($F2792&lt;$B$2777,$E$2777+$I$2777*($F2792-$A$2777),IF($F2792&lt;$C$2777,$F$2777+$J$2777*($F2792-$B$2777),$G$2777+$K$2777*($F2792-$C$2777)))</f>
        <v/>
      </c>
      <c r="P2792" s="208">
        <f>MIN(1,MAX(0,(nr_MEndPm1-$G2792+0.5)/$C$2776))-MIN(1,MAX(0,(nr_MStartPm1-1-$G2792+0.5)/$C$2776))</f>
        <v/>
      </c>
      <c r="Q2792" s="208">
        <f>MIN(1,MAX(0,(nr_MEndP-$G2792+0.5)/$C$2776))-MIN(1,MAX(0,(nr_MStartP-1-$G2792+0.5)/$C$2776))</f>
        <v/>
      </c>
      <c r="R2792" s="208">
        <f>MIN(1,MAX(0,(nr_MEndP1-$G2792+0.5)/$C$2776))-MIN(1,MAX(0,(nr_MStartP1-1-$G2792+0.5)/$C$2776))</f>
        <v/>
      </c>
      <c r="S2792" s="208">
        <f>IF($L$2776,$N2792*IF($O$2776=1,$O2792/$F$2776,1),"")</f>
        <v/>
      </c>
      <c r="T2792" s="208">
        <f>IF(NOT($L$2776),"",IF($G2792&lt;nr_MStartP,$S2792,$T2780*(1+IF($G2792&lt;nr_MStartP1,$M$2776,$N$2776))))</f>
        <v/>
      </c>
      <c r="U2792" s="208">
        <f>IF($L$2776,$T2792,$N2792)</f>
        <v/>
      </c>
    </row>
    <row r="2793">
      <c r="A2793" s="145" t="n">
        <v>15</v>
      </c>
      <c r="B2793" s="204">
        <f>EDATE($B2792,1)</f>
        <v/>
      </c>
      <c r="C2793" s="205">
        <f>EOMONTH($B2793,0)</f>
        <v/>
      </c>
      <c r="D2793" s="201">
        <f>$C2793-$B2793+1</f>
        <v/>
      </c>
      <c r="E2793" s="201">
        <f>MONTH($B2793)</f>
        <v/>
      </c>
      <c r="F2793" s="235">
        <f>($B2793+$C2793+1)/2</f>
        <v/>
      </c>
      <c r="G2793" s="201">
        <f>YEAR($B2793)*12+MONTH($B2793)-1</f>
        <v/>
      </c>
      <c r="H2793" s="207">
        <f>IF(OR(nr_SeasonOn="OFF",$D$2776=0,$E$2776=0),1,12*INDEX(se_block,$D$2776,$E2793)/$E$2776)</f>
        <v/>
      </c>
      <c r="I2793" s="208">
        <f>EXP(SUMPRODUCT((rl_eff&lt;$B2793)*(rl_key=$A$2776)*rl_ln1p))</f>
        <v/>
      </c>
      <c r="J2793" s="208">
        <f>EXP(SUMPRODUCT((rl_eff&lt;=$C2793)*(rl_key=$A$2776)*rl_ln1p))</f>
        <v/>
      </c>
      <c r="K2793" s="201">
        <f>COUNTIFS(rl_key,$A$2776,rl_eff,"&gt;="&amp;$B2793,rl_eff,"&lt;="&amp;$C2793)</f>
        <v/>
      </c>
      <c r="L2793" s="201">
        <f>SUMIFS(rl_daysafter,rl_key,$A$2776,rl_effmonth,$B2793,rl_first,1)</f>
        <v/>
      </c>
      <c r="M2793" s="209">
        <f>IF($K2793=0,0,MIN(1,$L2793/$D2793))</f>
        <v/>
      </c>
      <c r="N2793" s="208">
        <f>IF($K2793=0,$J2793,(1-$M2793)*$I2793+$M2793*$J2793)</f>
        <v/>
      </c>
      <c r="O2793" s="209">
        <f>IF($F2793&lt;$B$2777,$E$2777+$I$2777*($F2793-$A$2777),IF($F2793&lt;$C$2777,$F$2777+$J$2777*($F2793-$B$2777),$G$2777+$K$2777*($F2793-$C$2777)))</f>
        <v/>
      </c>
      <c r="P2793" s="208">
        <f>MIN(1,MAX(0,(nr_MEndPm1-$G2793+0.5)/$C$2776))-MIN(1,MAX(0,(nr_MStartPm1-1-$G2793+0.5)/$C$2776))</f>
        <v/>
      </c>
      <c r="Q2793" s="208">
        <f>MIN(1,MAX(0,(nr_MEndP-$G2793+0.5)/$C$2776))-MIN(1,MAX(0,(nr_MStartP-1-$G2793+0.5)/$C$2776))</f>
        <v/>
      </c>
      <c r="R2793" s="208">
        <f>MIN(1,MAX(0,(nr_MEndP1-$G2793+0.5)/$C$2776))-MIN(1,MAX(0,(nr_MStartP1-1-$G2793+0.5)/$C$2776))</f>
        <v/>
      </c>
      <c r="S2793" s="208">
        <f>IF($L$2776,$N2793*IF($O$2776=1,$O2793/$F$2776,1),"")</f>
        <v/>
      </c>
      <c r="T2793" s="208">
        <f>IF(NOT($L$2776),"",IF($G2793&lt;nr_MStartP,$S2793,$T2781*(1+IF($G2793&lt;nr_MStartP1,$M$2776,$N$2776))))</f>
        <v/>
      </c>
      <c r="U2793" s="208">
        <f>IF($L$2776,$T2793,$N2793)</f>
        <v/>
      </c>
    </row>
    <row r="2794">
      <c r="A2794" s="145" t="n">
        <v>16</v>
      </c>
      <c r="B2794" s="204">
        <f>EDATE($B2793,1)</f>
        <v/>
      </c>
      <c r="C2794" s="205">
        <f>EOMONTH($B2794,0)</f>
        <v/>
      </c>
      <c r="D2794" s="201">
        <f>$C2794-$B2794+1</f>
        <v/>
      </c>
      <c r="E2794" s="201">
        <f>MONTH($B2794)</f>
        <v/>
      </c>
      <c r="F2794" s="235">
        <f>($B2794+$C2794+1)/2</f>
        <v/>
      </c>
      <c r="G2794" s="201">
        <f>YEAR($B2794)*12+MONTH($B2794)-1</f>
        <v/>
      </c>
      <c r="H2794" s="207">
        <f>IF(OR(nr_SeasonOn="OFF",$D$2776=0,$E$2776=0),1,12*INDEX(se_block,$D$2776,$E2794)/$E$2776)</f>
        <v/>
      </c>
      <c r="I2794" s="208">
        <f>EXP(SUMPRODUCT((rl_eff&lt;$B2794)*(rl_key=$A$2776)*rl_ln1p))</f>
        <v/>
      </c>
      <c r="J2794" s="208">
        <f>EXP(SUMPRODUCT((rl_eff&lt;=$C2794)*(rl_key=$A$2776)*rl_ln1p))</f>
        <v/>
      </c>
      <c r="K2794" s="201">
        <f>COUNTIFS(rl_key,$A$2776,rl_eff,"&gt;="&amp;$B2794,rl_eff,"&lt;="&amp;$C2794)</f>
        <v/>
      </c>
      <c r="L2794" s="201">
        <f>SUMIFS(rl_daysafter,rl_key,$A$2776,rl_effmonth,$B2794,rl_first,1)</f>
        <v/>
      </c>
      <c r="M2794" s="209">
        <f>IF($K2794=0,0,MIN(1,$L2794/$D2794))</f>
        <v/>
      </c>
      <c r="N2794" s="208">
        <f>IF($K2794=0,$J2794,(1-$M2794)*$I2794+$M2794*$J2794)</f>
        <v/>
      </c>
      <c r="O2794" s="209">
        <f>IF($F2794&lt;$B$2777,$E$2777+$I$2777*($F2794-$A$2777),IF($F2794&lt;$C$2777,$F$2777+$J$2777*($F2794-$B$2777),$G$2777+$K$2777*($F2794-$C$2777)))</f>
        <v/>
      </c>
      <c r="P2794" s="208">
        <f>MIN(1,MAX(0,(nr_MEndPm1-$G2794+0.5)/$C$2776))-MIN(1,MAX(0,(nr_MStartPm1-1-$G2794+0.5)/$C$2776))</f>
        <v/>
      </c>
      <c r="Q2794" s="208">
        <f>MIN(1,MAX(0,(nr_MEndP-$G2794+0.5)/$C$2776))-MIN(1,MAX(0,(nr_MStartP-1-$G2794+0.5)/$C$2776))</f>
        <v/>
      </c>
      <c r="R2794" s="208">
        <f>MIN(1,MAX(0,(nr_MEndP1-$G2794+0.5)/$C$2776))-MIN(1,MAX(0,(nr_MStartP1-1-$G2794+0.5)/$C$2776))</f>
        <v/>
      </c>
      <c r="S2794" s="208">
        <f>IF($L$2776,$N2794*IF($O$2776=1,$O2794/$F$2776,1),"")</f>
        <v/>
      </c>
      <c r="T2794" s="208">
        <f>IF(NOT($L$2776),"",IF($G2794&lt;nr_MStartP,$S2794,$T2782*(1+IF($G2794&lt;nr_MStartP1,$M$2776,$N$2776))))</f>
        <v/>
      </c>
      <c r="U2794" s="208">
        <f>IF($L$2776,$T2794,$N2794)</f>
        <v/>
      </c>
    </row>
    <row r="2795">
      <c r="A2795" s="145" t="n">
        <v>17</v>
      </c>
      <c r="B2795" s="204">
        <f>EDATE($B2794,1)</f>
        <v/>
      </c>
      <c r="C2795" s="205">
        <f>EOMONTH($B2795,0)</f>
        <v/>
      </c>
      <c r="D2795" s="201">
        <f>$C2795-$B2795+1</f>
        <v/>
      </c>
      <c r="E2795" s="201">
        <f>MONTH($B2795)</f>
        <v/>
      </c>
      <c r="F2795" s="235">
        <f>($B2795+$C2795+1)/2</f>
        <v/>
      </c>
      <c r="G2795" s="201">
        <f>YEAR($B2795)*12+MONTH($B2795)-1</f>
        <v/>
      </c>
      <c r="H2795" s="207">
        <f>IF(OR(nr_SeasonOn="OFF",$D$2776=0,$E$2776=0),1,12*INDEX(se_block,$D$2776,$E2795)/$E$2776)</f>
        <v/>
      </c>
      <c r="I2795" s="208">
        <f>EXP(SUMPRODUCT((rl_eff&lt;$B2795)*(rl_key=$A$2776)*rl_ln1p))</f>
        <v/>
      </c>
      <c r="J2795" s="208">
        <f>EXP(SUMPRODUCT((rl_eff&lt;=$C2795)*(rl_key=$A$2776)*rl_ln1p))</f>
        <v/>
      </c>
      <c r="K2795" s="201">
        <f>COUNTIFS(rl_key,$A$2776,rl_eff,"&gt;="&amp;$B2795,rl_eff,"&lt;="&amp;$C2795)</f>
        <v/>
      </c>
      <c r="L2795" s="201">
        <f>SUMIFS(rl_daysafter,rl_key,$A$2776,rl_effmonth,$B2795,rl_first,1)</f>
        <v/>
      </c>
      <c r="M2795" s="209">
        <f>IF($K2795=0,0,MIN(1,$L2795/$D2795))</f>
        <v/>
      </c>
      <c r="N2795" s="208">
        <f>IF($K2795=0,$J2795,(1-$M2795)*$I2795+$M2795*$J2795)</f>
        <v/>
      </c>
      <c r="O2795" s="209">
        <f>IF($F2795&lt;$B$2777,$E$2777+$I$2777*($F2795-$A$2777),IF($F2795&lt;$C$2777,$F$2777+$J$2777*($F2795-$B$2777),$G$2777+$K$2777*($F2795-$C$2777)))</f>
        <v/>
      </c>
      <c r="P2795" s="208">
        <f>MIN(1,MAX(0,(nr_MEndPm1-$G2795+0.5)/$C$2776))-MIN(1,MAX(0,(nr_MStartPm1-1-$G2795+0.5)/$C$2776))</f>
        <v/>
      </c>
      <c r="Q2795" s="208">
        <f>MIN(1,MAX(0,(nr_MEndP-$G2795+0.5)/$C$2776))-MIN(1,MAX(0,(nr_MStartP-1-$G2795+0.5)/$C$2776))</f>
        <v/>
      </c>
      <c r="R2795" s="208">
        <f>MIN(1,MAX(0,(nr_MEndP1-$G2795+0.5)/$C$2776))-MIN(1,MAX(0,(nr_MStartP1-1-$G2795+0.5)/$C$2776))</f>
        <v/>
      </c>
      <c r="S2795" s="208">
        <f>IF($L$2776,$N2795*IF($O$2776=1,$O2795/$F$2776,1),"")</f>
        <v/>
      </c>
      <c r="T2795" s="208">
        <f>IF(NOT($L$2776),"",IF($G2795&lt;nr_MStartP,$S2795,$T2783*(1+IF($G2795&lt;nr_MStartP1,$M$2776,$N$2776))))</f>
        <v/>
      </c>
      <c r="U2795" s="208">
        <f>IF($L$2776,$T2795,$N2795)</f>
        <v/>
      </c>
    </row>
    <row r="2796">
      <c r="A2796" s="145" t="n">
        <v>18</v>
      </c>
      <c r="B2796" s="204">
        <f>EDATE($B2795,1)</f>
        <v/>
      </c>
      <c r="C2796" s="205">
        <f>EOMONTH($B2796,0)</f>
        <v/>
      </c>
      <c r="D2796" s="201">
        <f>$C2796-$B2796+1</f>
        <v/>
      </c>
      <c r="E2796" s="201">
        <f>MONTH($B2796)</f>
        <v/>
      </c>
      <c r="F2796" s="235">
        <f>($B2796+$C2796+1)/2</f>
        <v/>
      </c>
      <c r="G2796" s="201">
        <f>YEAR($B2796)*12+MONTH($B2796)-1</f>
        <v/>
      </c>
      <c r="H2796" s="207">
        <f>IF(OR(nr_SeasonOn="OFF",$D$2776=0,$E$2776=0),1,12*INDEX(se_block,$D$2776,$E2796)/$E$2776)</f>
        <v/>
      </c>
      <c r="I2796" s="208">
        <f>EXP(SUMPRODUCT((rl_eff&lt;$B2796)*(rl_key=$A$2776)*rl_ln1p))</f>
        <v/>
      </c>
      <c r="J2796" s="208">
        <f>EXP(SUMPRODUCT((rl_eff&lt;=$C2796)*(rl_key=$A$2776)*rl_ln1p))</f>
        <v/>
      </c>
      <c r="K2796" s="201">
        <f>COUNTIFS(rl_key,$A$2776,rl_eff,"&gt;="&amp;$B2796,rl_eff,"&lt;="&amp;$C2796)</f>
        <v/>
      </c>
      <c r="L2796" s="201">
        <f>SUMIFS(rl_daysafter,rl_key,$A$2776,rl_effmonth,$B2796,rl_first,1)</f>
        <v/>
      </c>
      <c r="M2796" s="209">
        <f>IF($K2796=0,0,MIN(1,$L2796/$D2796))</f>
        <v/>
      </c>
      <c r="N2796" s="208">
        <f>IF($K2796=0,$J2796,(1-$M2796)*$I2796+$M2796*$J2796)</f>
        <v/>
      </c>
      <c r="O2796" s="209">
        <f>IF($F2796&lt;$B$2777,$E$2777+$I$2777*($F2796-$A$2777),IF($F2796&lt;$C$2777,$F$2777+$J$2777*($F2796-$B$2777),$G$2777+$K$2777*($F2796-$C$2777)))</f>
        <v/>
      </c>
      <c r="P2796" s="208">
        <f>MIN(1,MAX(0,(nr_MEndPm1-$G2796+0.5)/$C$2776))-MIN(1,MAX(0,(nr_MStartPm1-1-$G2796+0.5)/$C$2776))</f>
        <v/>
      </c>
      <c r="Q2796" s="208">
        <f>MIN(1,MAX(0,(nr_MEndP-$G2796+0.5)/$C$2776))-MIN(1,MAX(0,(nr_MStartP-1-$G2796+0.5)/$C$2776))</f>
        <v/>
      </c>
      <c r="R2796" s="208">
        <f>MIN(1,MAX(0,(nr_MEndP1-$G2796+0.5)/$C$2776))-MIN(1,MAX(0,(nr_MStartP1-1-$G2796+0.5)/$C$2776))</f>
        <v/>
      </c>
      <c r="S2796" s="208">
        <f>IF($L$2776,$N2796*IF($O$2776=1,$O2796/$F$2776,1),"")</f>
        <v/>
      </c>
      <c r="T2796" s="208">
        <f>IF(NOT($L$2776),"",IF($G2796&lt;nr_MStartP,$S2796,$T2784*(1+IF($G2796&lt;nr_MStartP1,$M$2776,$N$2776))))</f>
        <v/>
      </c>
      <c r="U2796" s="208">
        <f>IF($L$2776,$T2796,$N2796)</f>
        <v/>
      </c>
    </row>
    <row r="2797">
      <c r="A2797" s="145" t="n">
        <v>19</v>
      </c>
      <c r="B2797" s="204">
        <f>EDATE($B2796,1)</f>
        <v/>
      </c>
      <c r="C2797" s="205">
        <f>EOMONTH($B2797,0)</f>
        <v/>
      </c>
      <c r="D2797" s="201">
        <f>$C2797-$B2797+1</f>
        <v/>
      </c>
      <c r="E2797" s="201">
        <f>MONTH($B2797)</f>
        <v/>
      </c>
      <c r="F2797" s="235">
        <f>($B2797+$C2797+1)/2</f>
        <v/>
      </c>
      <c r="G2797" s="201">
        <f>YEAR($B2797)*12+MONTH($B2797)-1</f>
        <v/>
      </c>
      <c r="H2797" s="207">
        <f>IF(OR(nr_SeasonOn="OFF",$D$2776=0,$E$2776=0),1,12*INDEX(se_block,$D$2776,$E2797)/$E$2776)</f>
        <v/>
      </c>
      <c r="I2797" s="208">
        <f>EXP(SUMPRODUCT((rl_eff&lt;$B2797)*(rl_key=$A$2776)*rl_ln1p))</f>
        <v/>
      </c>
      <c r="J2797" s="208">
        <f>EXP(SUMPRODUCT((rl_eff&lt;=$C2797)*(rl_key=$A$2776)*rl_ln1p))</f>
        <v/>
      </c>
      <c r="K2797" s="201">
        <f>COUNTIFS(rl_key,$A$2776,rl_eff,"&gt;="&amp;$B2797,rl_eff,"&lt;="&amp;$C2797)</f>
        <v/>
      </c>
      <c r="L2797" s="201">
        <f>SUMIFS(rl_daysafter,rl_key,$A$2776,rl_effmonth,$B2797,rl_first,1)</f>
        <v/>
      </c>
      <c r="M2797" s="209">
        <f>IF($K2797=0,0,MIN(1,$L2797/$D2797))</f>
        <v/>
      </c>
      <c r="N2797" s="208">
        <f>IF($K2797=0,$J2797,(1-$M2797)*$I2797+$M2797*$J2797)</f>
        <v/>
      </c>
      <c r="O2797" s="209">
        <f>IF($F2797&lt;$B$2777,$E$2777+$I$2777*($F2797-$A$2777),IF($F2797&lt;$C$2777,$F$2777+$J$2777*($F2797-$B$2777),$G$2777+$K$2777*($F2797-$C$2777)))</f>
        <v/>
      </c>
      <c r="P2797" s="208">
        <f>MIN(1,MAX(0,(nr_MEndPm1-$G2797+0.5)/$C$2776))-MIN(1,MAX(0,(nr_MStartPm1-1-$G2797+0.5)/$C$2776))</f>
        <v/>
      </c>
      <c r="Q2797" s="208">
        <f>MIN(1,MAX(0,(nr_MEndP-$G2797+0.5)/$C$2776))-MIN(1,MAX(0,(nr_MStartP-1-$G2797+0.5)/$C$2776))</f>
        <v/>
      </c>
      <c r="R2797" s="208">
        <f>MIN(1,MAX(0,(nr_MEndP1-$G2797+0.5)/$C$2776))-MIN(1,MAX(0,(nr_MStartP1-1-$G2797+0.5)/$C$2776))</f>
        <v/>
      </c>
      <c r="S2797" s="208">
        <f>IF($L$2776,$N2797*IF($O$2776=1,$O2797/$F$2776,1),"")</f>
        <v/>
      </c>
      <c r="T2797" s="208">
        <f>IF(NOT($L$2776),"",IF($G2797&lt;nr_MStartP,$S2797,$T2785*(1+IF($G2797&lt;nr_MStartP1,$M$2776,$N$2776))))</f>
        <v/>
      </c>
      <c r="U2797" s="208">
        <f>IF($L$2776,$T2797,$N2797)</f>
        <v/>
      </c>
    </row>
    <row r="2798">
      <c r="A2798" s="145" t="n">
        <v>20</v>
      </c>
      <c r="B2798" s="204">
        <f>EDATE($B2797,1)</f>
        <v/>
      </c>
      <c r="C2798" s="205">
        <f>EOMONTH($B2798,0)</f>
        <v/>
      </c>
      <c r="D2798" s="201">
        <f>$C2798-$B2798+1</f>
        <v/>
      </c>
      <c r="E2798" s="201">
        <f>MONTH($B2798)</f>
        <v/>
      </c>
      <c r="F2798" s="235">
        <f>($B2798+$C2798+1)/2</f>
        <v/>
      </c>
      <c r="G2798" s="201">
        <f>YEAR($B2798)*12+MONTH($B2798)-1</f>
        <v/>
      </c>
      <c r="H2798" s="207">
        <f>IF(OR(nr_SeasonOn="OFF",$D$2776=0,$E$2776=0),1,12*INDEX(se_block,$D$2776,$E2798)/$E$2776)</f>
        <v/>
      </c>
      <c r="I2798" s="208">
        <f>EXP(SUMPRODUCT((rl_eff&lt;$B2798)*(rl_key=$A$2776)*rl_ln1p))</f>
        <v/>
      </c>
      <c r="J2798" s="208">
        <f>EXP(SUMPRODUCT((rl_eff&lt;=$C2798)*(rl_key=$A$2776)*rl_ln1p))</f>
        <v/>
      </c>
      <c r="K2798" s="201">
        <f>COUNTIFS(rl_key,$A$2776,rl_eff,"&gt;="&amp;$B2798,rl_eff,"&lt;="&amp;$C2798)</f>
        <v/>
      </c>
      <c r="L2798" s="201">
        <f>SUMIFS(rl_daysafter,rl_key,$A$2776,rl_effmonth,$B2798,rl_first,1)</f>
        <v/>
      </c>
      <c r="M2798" s="209">
        <f>IF($K2798=0,0,MIN(1,$L2798/$D2798))</f>
        <v/>
      </c>
      <c r="N2798" s="208">
        <f>IF($K2798=0,$J2798,(1-$M2798)*$I2798+$M2798*$J2798)</f>
        <v/>
      </c>
      <c r="O2798" s="209">
        <f>IF($F2798&lt;$B$2777,$E$2777+$I$2777*($F2798-$A$2777),IF($F2798&lt;$C$2777,$F$2777+$J$2777*($F2798-$B$2777),$G$2777+$K$2777*($F2798-$C$2777)))</f>
        <v/>
      </c>
      <c r="P2798" s="208">
        <f>MIN(1,MAX(0,(nr_MEndPm1-$G2798+0.5)/$C$2776))-MIN(1,MAX(0,(nr_MStartPm1-1-$G2798+0.5)/$C$2776))</f>
        <v/>
      </c>
      <c r="Q2798" s="208">
        <f>MIN(1,MAX(0,(nr_MEndP-$G2798+0.5)/$C$2776))-MIN(1,MAX(0,(nr_MStartP-1-$G2798+0.5)/$C$2776))</f>
        <v/>
      </c>
      <c r="R2798" s="208">
        <f>MIN(1,MAX(0,(nr_MEndP1-$G2798+0.5)/$C$2776))-MIN(1,MAX(0,(nr_MStartP1-1-$G2798+0.5)/$C$2776))</f>
        <v/>
      </c>
      <c r="S2798" s="208">
        <f>IF($L$2776,$N2798*IF($O$2776=1,$O2798/$F$2776,1),"")</f>
        <v/>
      </c>
      <c r="T2798" s="208">
        <f>IF(NOT($L$2776),"",IF($G2798&lt;nr_MStartP,$S2798,$T2786*(1+IF($G2798&lt;nr_MStartP1,$M$2776,$N$2776))))</f>
        <v/>
      </c>
      <c r="U2798" s="208">
        <f>IF($L$2776,$T2798,$N2798)</f>
        <v/>
      </c>
    </row>
    <row r="2799">
      <c r="A2799" s="145" t="n">
        <v>21</v>
      </c>
      <c r="B2799" s="204">
        <f>EDATE($B2798,1)</f>
        <v/>
      </c>
      <c r="C2799" s="205">
        <f>EOMONTH($B2799,0)</f>
        <v/>
      </c>
      <c r="D2799" s="201">
        <f>$C2799-$B2799+1</f>
        <v/>
      </c>
      <c r="E2799" s="201">
        <f>MONTH($B2799)</f>
        <v/>
      </c>
      <c r="F2799" s="235">
        <f>($B2799+$C2799+1)/2</f>
        <v/>
      </c>
      <c r="G2799" s="201">
        <f>YEAR($B2799)*12+MONTH($B2799)-1</f>
        <v/>
      </c>
      <c r="H2799" s="207">
        <f>IF(OR(nr_SeasonOn="OFF",$D$2776=0,$E$2776=0),1,12*INDEX(se_block,$D$2776,$E2799)/$E$2776)</f>
        <v/>
      </c>
      <c r="I2799" s="208">
        <f>EXP(SUMPRODUCT((rl_eff&lt;$B2799)*(rl_key=$A$2776)*rl_ln1p))</f>
        <v/>
      </c>
      <c r="J2799" s="208">
        <f>EXP(SUMPRODUCT((rl_eff&lt;=$C2799)*(rl_key=$A$2776)*rl_ln1p))</f>
        <v/>
      </c>
      <c r="K2799" s="201">
        <f>COUNTIFS(rl_key,$A$2776,rl_eff,"&gt;="&amp;$B2799,rl_eff,"&lt;="&amp;$C2799)</f>
        <v/>
      </c>
      <c r="L2799" s="201">
        <f>SUMIFS(rl_daysafter,rl_key,$A$2776,rl_effmonth,$B2799,rl_first,1)</f>
        <v/>
      </c>
      <c r="M2799" s="209">
        <f>IF($K2799=0,0,MIN(1,$L2799/$D2799))</f>
        <v/>
      </c>
      <c r="N2799" s="208">
        <f>IF($K2799=0,$J2799,(1-$M2799)*$I2799+$M2799*$J2799)</f>
        <v/>
      </c>
      <c r="O2799" s="209">
        <f>IF($F2799&lt;$B$2777,$E$2777+$I$2777*($F2799-$A$2777),IF($F2799&lt;$C$2777,$F$2777+$J$2777*($F2799-$B$2777),$G$2777+$K$2777*($F2799-$C$2777)))</f>
        <v/>
      </c>
      <c r="P2799" s="208">
        <f>MIN(1,MAX(0,(nr_MEndPm1-$G2799+0.5)/$C$2776))-MIN(1,MAX(0,(nr_MStartPm1-1-$G2799+0.5)/$C$2776))</f>
        <v/>
      </c>
      <c r="Q2799" s="208">
        <f>MIN(1,MAX(0,(nr_MEndP-$G2799+0.5)/$C$2776))-MIN(1,MAX(0,(nr_MStartP-1-$G2799+0.5)/$C$2776))</f>
        <v/>
      </c>
      <c r="R2799" s="208">
        <f>MIN(1,MAX(0,(nr_MEndP1-$G2799+0.5)/$C$2776))-MIN(1,MAX(0,(nr_MStartP1-1-$G2799+0.5)/$C$2776))</f>
        <v/>
      </c>
      <c r="S2799" s="208">
        <f>IF($L$2776,$N2799*IF($O$2776=1,$O2799/$F$2776,1),"")</f>
        <v/>
      </c>
      <c r="T2799" s="208">
        <f>IF(NOT($L$2776),"",IF($G2799&lt;nr_MStartP,$S2799,$T2787*(1+IF($G2799&lt;nr_MStartP1,$M$2776,$N$2776))))</f>
        <v/>
      </c>
      <c r="U2799" s="208">
        <f>IF($L$2776,$T2799,$N2799)</f>
        <v/>
      </c>
    </row>
    <row r="2800">
      <c r="A2800" s="145" t="n">
        <v>22</v>
      </c>
      <c r="B2800" s="204">
        <f>EDATE($B2799,1)</f>
        <v/>
      </c>
      <c r="C2800" s="205">
        <f>EOMONTH($B2800,0)</f>
        <v/>
      </c>
      <c r="D2800" s="201">
        <f>$C2800-$B2800+1</f>
        <v/>
      </c>
      <c r="E2800" s="201">
        <f>MONTH($B2800)</f>
        <v/>
      </c>
      <c r="F2800" s="235">
        <f>($B2800+$C2800+1)/2</f>
        <v/>
      </c>
      <c r="G2800" s="201">
        <f>YEAR($B2800)*12+MONTH($B2800)-1</f>
        <v/>
      </c>
      <c r="H2800" s="207">
        <f>IF(OR(nr_SeasonOn="OFF",$D$2776=0,$E$2776=0),1,12*INDEX(se_block,$D$2776,$E2800)/$E$2776)</f>
        <v/>
      </c>
      <c r="I2800" s="208">
        <f>EXP(SUMPRODUCT((rl_eff&lt;$B2800)*(rl_key=$A$2776)*rl_ln1p))</f>
        <v/>
      </c>
      <c r="J2800" s="208">
        <f>EXP(SUMPRODUCT((rl_eff&lt;=$C2800)*(rl_key=$A$2776)*rl_ln1p))</f>
        <v/>
      </c>
      <c r="K2800" s="201">
        <f>COUNTIFS(rl_key,$A$2776,rl_eff,"&gt;="&amp;$B2800,rl_eff,"&lt;="&amp;$C2800)</f>
        <v/>
      </c>
      <c r="L2800" s="201">
        <f>SUMIFS(rl_daysafter,rl_key,$A$2776,rl_effmonth,$B2800,rl_first,1)</f>
        <v/>
      </c>
      <c r="M2800" s="209">
        <f>IF($K2800=0,0,MIN(1,$L2800/$D2800))</f>
        <v/>
      </c>
      <c r="N2800" s="208">
        <f>IF($K2800=0,$J2800,(1-$M2800)*$I2800+$M2800*$J2800)</f>
        <v/>
      </c>
      <c r="O2800" s="209">
        <f>IF($F2800&lt;$B$2777,$E$2777+$I$2777*($F2800-$A$2777),IF($F2800&lt;$C$2777,$F$2777+$J$2777*($F2800-$B$2777),$G$2777+$K$2777*($F2800-$C$2777)))</f>
        <v/>
      </c>
      <c r="P2800" s="208">
        <f>MIN(1,MAX(0,(nr_MEndPm1-$G2800+0.5)/$C$2776))-MIN(1,MAX(0,(nr_MStartPm1-1-$G2800+0.5)/$C$2776))</f>
        <v/>
      </c>
      <c r="Q2800" s="208">
        <f>MIN(1,MAX(0,(nr_MEndP-$G2800+0.5)/$C$2776))-MIN(1,MAX(0,(nr_MStartP-1-$G2800+0.5)/$C$2776))</f>
        <v/>
      </c>
      <c r="R2800" s="208">
        <f>MIN(1,MAX(0,(nr_MEndP1-$G2800+0.5)/$C$2776))-MIN(1,MAX(0,(nr_MStartP1-1-$G2800+0.5)/$C$2776))</f>
        <v/>
      </c>
      <c r="S2800" s="208">
        <f>IF($L$2776,$N2800*IF($O$2776=1,$O2800/$F$2776,1),"")</f>
        <v/>
      </c>
      <c r="T2800" s="208">
        <f>IF(NOT($L$2776),"",IF($G2800&lt;nr_MStartP,$S2800,$T2788*(1+IF($G2800&lt;nr_MStartP1,$M$2776,$N$2776))))</f>
        <v/>
      </c>
      <c r="U2800" s="208">
        <f>IF($L$2776,$T2800,$N2800)</f>
        <v/>
      </c>
    </row>
    <row r="2801">
      <c r="A2801" s="145" t="n">
        <v>23</v>
      </c>
      <c r="B2801" s="204">
        <f>EDATE($B2800,1)</f>
        <v/>
      </c>
      <c r="C2801" s="205">
        <f>EOMONTH($B2801,0)</f>
        <v/>
      </c>
      <c r="D2801" s="201">
        <f>$C2801-$B2801+1</f>
        <v/>
      </c>
      <c r="E2801" s="201">
        <f>MONTH($B2801)</f>
        <v/>
      </c>
      <c r="F2801" s="235">
        <f>($B2801+$C2801+1)/2</f>
        <v/>
      </c>
      <c r="G2801" s="201">
        <f>YEAR($B2801)*12+MONTH($B2801)-1</f>
        <v/>
      </c>
      <c r="H2801" s="207">
        <f>IF(OR(nr_SeasonOn="OFF",$D$2776=0,$E$2776=0),1,12*INDEX(se_block,$D$2776,$E2801)/$E$2776)</f>
        <v/>
      </c>
      <c r="I2801" s="208">
        <f>EXP(SUMPRODUCT((rl_eff&lt;$B2801)*(rl_key=$A$2776)*rl_ln1p))</f>
        <v/>
      </c>
      <c r="J2801" s="208">
        <f>EXP(SUMPRODUCT((rl_eff&lt;=$C2801)*(rl_key=$A$2776)*rl_ln1p))</f>
        <v/>
      </c>
      <c r="K2801" s="201">
        <f>COUNTIFS(rl_key,$A$2776,rl_eff,"&gt;="&amp;$B2801,rl_eff,"&lt;="&amp;$C2801)</f>
        <v/>
      </c>
      <c r="L2801" s="201">
        <f>SUMIFS(rl_daysafter,rl_key,$A$2776,rl_effmonth,$B2801,rl_first,1)</f>
        <v/>
      </c>
      <c r="M2801" s="209">
        <f>IF($K2801=0,0,MIN(1,$L2801/$D2801))</f>
        <v/>
      </c>
      <c r="N2801" s="208">
        <f>IF($K2801=0,$J2801,(1-$M2801)*$I2801+$M2801*$J2801)</f>
        <v/>
      </c>
      <c r="O2801" s="209">
        <f>IF($F2801&lt;$B$2777,$E$2777+$I$2777*($F2801-$A$2777),IF($F2801&lt;$C$2777,$F$2777+$J$2777*($F2801-$B$2777),$G$2777+$K$2777*($F2801-$C$2777)))</f>
        <v/>
      </c>
      <c r="P2801" s="208">
        <f>MIN(1,MAX(0,(nr_MEndPm1-$G2801+0.5)/$C$2776))-MIN(1,MAX(0,(nr_MStartPm1-1-$G2801+0.5)/$C$2776))</f>
        <v/>
      </c>
      <c r="Q2801" s="208">
        <f>MIN(1,MAX(0,(nr_MEndP-$G2801+0.5)/$C$2776))-MIN(1,MAX(0,(nr_MStartP-1-$G2801+0.5)/$C$2776))</f>
        <v/>
      </c>
      <c r="R2801" s="208">
        <f>MIN(1,MAX(0,(nr_MEndP1-$G2801+0.5)/$C$2776))-MIN(1,MAX(0,(nr_MStartP1-1-$G2801+0.5)/$C$2776))</f>
        <v/>
      </c>
      <c r="S2801" s="208">
        <f>IF($L$2776,$N2801*IF($O$2776=1,$O2801/$F$2776,1),"")</f>
        <v/>
      </c>
      <c r="T2801" s="208">
        <f>IF(NOT($L$2776),"",IF($G2801&lt;nr_MStartP,$S2801,$T2789*(1+IF($G2801&lt;nr_MStartP1,$M$2776,$N$2776))))</f>
        <v/>
      </c>
      <c r="U2801" s="208">
        <f>IF($L$2776,$T2801,$N2801)</f>
        <v/>
      </c>
    </row>
    <row r="2802">
      <c r="A2802" s="145" t="n">
        <v>24</v>
      </c>
      <c r="B2802" s="204">
        <f>EDATE($B2801,1)</f>
        <v/>
      </c>
      <c r="C2802" s="205">
        <f>EOMONTH($B2802,0)</f>
        <v/>
      </c>
      <c r="D2802" s="201">
        <f>$C2802-$B2802+1</f>
        <v/>
      </c>
      <c r="E2802" s="201">
        <f>MONTH($B2802)</f>
        <v/>
      </c>
      <c r="F2802" s="235">
        <f>($B2802+$C2802+1)/2</f>
        <v/>
      </c>
      <c r="G2802" s="201">
        <f>YEAR($B2802)*12+MONTH($B2802)-1</f>
        <v/>
      </c>
      <c r="H2802" s="207">
        <f>IF(OR(nr_SeasonOn="OFF",$D$2776=0,$E$2776=0),1,12*INDEX(se_block,$D$2776,$E2802)/$E$2776)</f>
        <v/>
      </c>
      <c r="I2802" s="208">
        <f>EXP(SUMPRODUCT((rl_eff&lt;$B2802)*(rl_key=$A$2776)*rl_ln1p))</f>
        <v/>
      </c>
      <c r="J2802" s="208">
        <f>EXP(SUMPRODUCT((rl_eff&lt;=$C2802)*(rl_key=$A$2776)*rl_ln1p))</f>
        <v/>
      </c>
      <c r="K2802" s="201">
        <f>COUNTIFS(rl_key,$A$2776,rl_eff,"&gt;="&amp;$B2802,rl_eff,"&lt;="&amp;$C2802)</f>
        <v/>
      </c>
      <c r="L2802" s="201">
        <f>SUMIFS(rl_daysafter,rl_key,$A$2776,rl_effmonth,$B2802,rl_first,1)</f>
        <v/>
      </c>
      <c r="M2802" s="209">
        <f>IF($K2802=0,0,MIN(1,$L2802/$D2802))</f>
        <v/>
      </c>
      <c r="N2802" s="208">
        <f>IF($K2802=0,$J2802,(1-$M2802)*$I2802+$M2802*$J2802)</f>
        <v/>
      </c>
      <c r="O2802" s="209">
        <f>IF($F2802&lt;$B$2777,$E$2777+$I$2777*($F2802-$A$2777),IF($F2802&lt;$C$2777,$F$2777+$J$2777*($F2802-$B$2777),$G$2777+$K$2777*($F2802-$C$2777)))</f>
        <v/>
      </c>
      <c r="P2802" s="208">
        <f>MIN(1,MAX(0,(nr_MEndPm1-$G2802+0.5)/$C$2776))-MIN(1,MAX(0,(nr_MStartPm1-1-$G2802+0.5)/$C$2776))</f>
        <v/>
      </c>
      <c r="Q2802" s="208">
        <f>MIN(1,MAX(0,(nr_MEndP-$G2802+0.5)/$C$2776))-MIN(1,MAX(0,(nr_MStartP-1-$G2802+0.5)/$C$2776))</f>
        <v/>
      </c>
      <c r="R2802" s="208">
        <f>MIN(1,MAX(0,(nr_MEndP1-$G2802+0.5)/$C$2776))-MIN(1,MAX(0,(nr_MStartP1-1-$G2802+0.5)/$C$2776))</f>
        <v/>
      </c>
      <c r="S2802" s="208">
        <f>IF($L$2776,$N2802*IF($O$2776=1,$O2802/$F$2776,1),"")</f>
        <v/>
      </c>
      <c r="T2802" s="208">
        <f>IF(NOT($L$2776),"",IF($G2802&lt;nr_MStartP,$S2802,$T2790*(1+IF($G2802&lt;nr_MStartP1,$M$2776,$N$2776))))</f>
        <v/>
      </c>
      <c r="U2802" s="208">
        <f>IF($L$2776,$T2802,$N2802)</f>
        <v/>
      </c>
    </row>
    <row r="2803">
      <c r="A2803" s="145" t="n">
        <v>25</v>
      </c>
      <c r="B2803" s="204">
        <f>EDATE($B2802,1)</f>
        <v/>
      </c>
      <c r="C2803" s="205">
        <f>EOMONTH($B2803,0)</f>
        <v/>
      </c>
      <c r="D2803" s="201">
        <f>$C2803-$B2803+1</f>
        <v/>
      </c>
      <c r="E2803" s="201">
        <f>MONTH($B2803)</f>
        <v/>
      </c>
      <c r="F2803" s="235">
        <f>($B2803+$C2803+1)/2</f>
        <v/>
      </c>
      <c r="G2803" s="201">
        <f>YEAR($B2803)*12+MONTH($B2803)-1</f>
        <v/>
      </c>
      <c r="H2803" s="207">
        <f>IF(OR(nr_SeasonOn="OFF",$D$2776=0,$E$2776=0),1,12*INDEX(se_block,$D$2776,$E2803)/$E$2776)</f>
        <v/>
      </c>
      <c r="I2803" s="208">
        <f>EXP(SUMPRODUCT((rl_eff&lt;$B2803)*(rl_key=$A$2776)*rl_ln1p))</f>
        <v/>
      </c>
      <c r="J2803" s="208">
        <f>EXP(SUMPRODUCT((rl_eff&lt;=$C2803)*(rl_key=$A$2776)*rl_ln1p))</f>
        <v/>
      </c>
      <c r="K2803" s="201">
        <f>COUNTIFS(rl_key,$A$2776,rl_eff,"&gt;="&amp;$B2803,rl_eff,"&lt;="&amp;$C2803)</f>
        <v/>
      </c>
      <c r="L2803" s="201">
        <f>SUMIFS(rl_daysafter,rl_key,$A$2776,rl_effmonth,$B2803,rl_first,1)</f>
        <v/>
      </c>
      <c r="M2803" s="209">
        <f>IF($K2803=0,0,MIN(1,$L2803/$D2803))</f>
        <v/>
      </c>
      <c r="N2803" s="208">
        <f>IF($K2803=0,$J2803,(1-$M2803)*$I2803+$M2803*$J2803)</f>
        <v/>
      </c>
      <c r="O2803" s="209">
        <f>IF($F2803&lt;$B$2777,$E$2777+$I$2777*($F2803-$A$2777),IF($F2803&lt;$C$2777,$F$2777+$J$2777*($F2803-$B$2777),$G$2777+$K$2777*($F2803-$C$2777)))</f>
        <v/>
      </c>
      <c r="P2803" s="208">
        <f>MIN(1,MAX(0,(nr_MEndPm1-$G2803+0.5)/$C$2776))-MIN(1,MAX(0,(nr_MStartPm1-1-$G2803+0.5)/$C$2776))</f>
        <v/>
      </c>
      <c r="Q2803" s="208">
        <f>MIN(1,MAX(0,(nr_MEndP-$G2803+0.5)/$C$2776))-MIN(1,MAX(0,(nr_MStartP-1-$G2803+0.5)/$C$2776))</f>
        <v/>
      </c>
      <c r="R2803" s="208">
        <f>MIN(1,MAX(0,(nr_MEndP1-$G2803+0.5)/$C$2776))-MIN(1,MAX(0,(nr_MStartP1-1-$G2803+0.5)/$C$2776))</f>
        <v/>
      </c>
      <c r="S2803" s="208">
        <f>IF($L$2776,$N2803*IF($O$2776=1,$O2803/$F$2776,1),"")</f>
        <v/>
      </c>
      <c r="T2803" s="208">
        <f>IF(NOT($L$2776),"",IF($G2803&lt;nr_MStartP,$S2803,$T2791*(1+IF($G2803&lt;nr_MStartP1,$M$2776,$N$2776))))</f>
        <v/>
      </c>
      <c r="U2803" s="208">
        <f>IF($L$2776,$T2803,$N2803)</f>
        <v/>
      </c>
    </row>
    <row r="2804">
      <c r="A2804" s="145" t="n">
        <v>26</v>
      </c>
      <c r="B2804" s="204">
        <f>EDATE($B2803,1)</f>
        <v/>
      </c>
      <c r="C2804" s="205">
        <f>EOMONTH($B2804,0)</f>
        <v/>
      </c>
      <c r="D2804" s="201">
        <f>$C2804-$B2804+1</f>
        <v/>
      </c>
      <c r="E2804" s="201">
        <f>MONTH($B2804)</f>
        <v/>
      </c>
      <c r="F2804" s="235">
        <f>($B2804+$C2804+1)/2</f>
        <v/>
      </c>
      <c r="G2804" s="201">
        <f>YEAR($B2804)*12+MONTH($B2804)-1</f>
        <v/>
      </c>
      <c r="H2804" s="207">
        <f>IF(OR(nr_SeasonOn="OFF",$D$2776=0,$E$2776=0),1,12*INDEX(se_block,$D$2776,$E2804)/$E$2776)</f>
        <v/>
      </c>
      <c r="I2804" s="208">
        <f>EXP(SUMPRODUCT((rl_eff&lt;$B2804)*(rl_key=$A$2776)*rl_ln1p))</f>
        <v/>
      </c>
      <c r="J2804" s="208">
        <f>EXP(SUMPRODUCT((rl_eff&lt;=$C2804)*(rl_key=$A$2776)*rl_ln1p))</f>
        <v/>
      </c>
      <c r="K2804" s="201">
        <f>COUNTIFS(rl_key,$A$2776,rl_eff,"&gt;="&amp;$B2804,rl_eff,"&lt;="&amp;$C2804)</f>
        <v/>
      </c>
      <c r="L2804" s="201">
        <f>SUMIFS(rl_daysafter,rl_key,$A$2776,rl_effmonth,$B2804,rl_first,1)</f>
        <v/>
      </c>
      <c r="M2804" s="209">
        <f>IF($K2804=0,0,MIN(1,$L2804/$D2804))</f>
        <v/>
      </c>
      <c r="N2804" s="208">
        <f>IF($K2804=0,$J2804,(1-$M2804)*$I2804+$M2804*$J2804)</f>
        <v/>
      </c>
      <c r="O2804" s="209">
        <f>IF($F2804&lt;$B$2777,$E$2777+$I$2777*($F2804-$A$2777),IF($F2804&lt;$C$2777,$F$2777+$J$2777*($F2804-$B$2777),$G$2777+$K$2777*($F2804-$C$2777)))</f>
        <v/>
      </c>
      <c r="P2804" s="208">
        <f>MIN(1,MAX(0,(nr_MEndPm1-$G2804+0.5)/$C$2776))-MIN(1,MAX(0,(nr_MStartPm1-1-$G2804+0.5)/$C$2776))</f>
        <v/>
      </c>
      <c r="Q2804" s="208">
        <f>MIN(1,MAX(0,(nr_MEndP-$G2804+0.5)/$C$2776))-MIN(1,MAX(0,(nr_MStartP-1-$G2804+0.5)/$C$2776))</f>
        <v/>
      </c>
      <c r="R2804" s="208">
        <f>MIN(1,MAX(0,(nr_MEndP1-$G2804+0.5)/$C$2776))-MIN(1,MAX(0,(nr_MStartP1-1-$G2804+0.5)/$C$2776))</f>
        <v/>
      </c>
      <c r="S2804" s="208">
        <f>IF($L$2776,$N2804*IF($O$2776=1,$O2804/$F$2776,1),"")</f>
        <v/>
      </c>
      <c r="T2804" s="208">
        <f>IF(NOT($L$2776),"",IF($G2804&lt;nr_MStartP,$S2804,$T2792*(1+IF($G2804&lt;nr_MStartP1,$M$2776,$N$2776))))</f>
        <v/>
      </c>
      <c r="U2804" s="208">
        <f>IF($L$2776,$T2804,$N2804)</f>
        <v/>
      </c>
    </row>
    <row r="2805">
      <c r="A2805" s="145" t="n">
        <v>27</v>
      </c>
      <c r="B2805" s="204">
        <f>EDATE($B2804,1)</f>
        <v/>
      </c>
      <c r="C2805" s="205">
        <f>EOMONTH($B2805,0)</f>
        <v/>
      </c>
      <c r="D2805" s="201">
        <f>$C2805-$B2805+1</f>
        <v/>
      </c>
      <c r="E2805" s="201">
        <f>MONTH($B2805)</f>
        <v/>
      </c>
      <c r="F2805" s="235">
        <f>($B2805+$C2805+1)/2</f>
        <v/>
      </c>
      <c r="G2805" s="201">
        <f>YEAR($B2805)*12+MONTH($B2805)-1</f>
        <v/>
      </c>
      <c r="H2805" s="207">
        <f>IF(OR(nr_SeasonOn="OFF",$D$2776=0,$E$2776=0),1,12*INDEX(se_block,$D$2776,$E2805)/$E$2776)</f>
        <v/>
      </c>
      <c r="I2805" s="208">
        <f>EXP(SUMPRODUCT((rl_eff&lt;$B2805)*(rl_key=$A$2776)*rl_ln1p))</f>
        <v/>
      </c>
      <c r="J2805" s="208">
        <f>EXP(SUMPRODUCT((rl_eff&lt;=$C2805)*(rl_key=$A$2776)*rl_ln1p))</f>
        <v/>
      </c>
      <c r="K2805" s="201">
        <f>COUNTIFS(rl_key,$A$2776,rl_eff,"&gt;="&amp;$B2805,rl_eff,"&lt;="&amp;$C2805)</f>
        <v/>
      </c>
      <c r="L2805" s="201">
        <f>SUMIFS(rl_daysafter,rl_key,$A$2776,rl_effmonth,$B2805,rl_first,1)</f>
        <v/>
      </c>
      <c r="M2805" s="209">
        <f>IF($K2805=0,0,MIN(1,$L2805/$D2805))</f>
        <v/>
      </c>
      <c r="N2805" s="208">
        <f>IF($K2805=0,$J2805,(1-$M2805)*$I2805+$M2805*$J2805)</f>
        <v/>
      </c>
      <c r="O2805" s="209">
        <f>IF($F2805&lt;$B$2777,$E$2777+$I$2777*($F2805-$A$2777),IF($F2805&lt;$C$2777,$F$2777+$J$2777*($F2805-$B$2777),$G$2777+$K$2777*($F2805-$C$2777)))</f>
        <v/>
      </c>
      <c r="P2805" s="208">
        <f>MIN(1,MAX(0,(nr_MEndPm1-$G2805+0.5)/$C$2776))-MIN(1,MAX(0,(nr_MStartPm1-1-$G2805+0.5)/$C$2776))</f>
        <v/>
      </c>
      <c r="Q2805" s="208">
        <f>MIN(1,MAX(0,(nr_MEndP-$G2805+0.5)/$C$2776))-MIN(1,MAX(0,(nr_MStartP-1-$G2805+0.5)/$C$2776))</f>
        <v/>
      </c>
      <c r="R2805" s="208">
        <f>MIN(1,MAX(0,(nr_MEndP1-$G2805+0.5)/$C$2776))-MIN(1,MAX(0,(nr_MStartP1-1-$G2805+0.5)/$C$2776))</f>
        <v/>
      </c>
      <c r="S2805" s="208">
        <f>IF($L$2776,$N2805*IF($O$2776=1,$O2805/$F$2776,1),"")</f>
        <v/>
      </c>
      <c r="T2805" s="208">
        <f>IF(NOT($L$2776),"",IF($G2805&lt;nr_MStartP,$S2805,$T2793*(1+IF($G2805&lt;nr_MStartP1,$M$2776,$N$2776))))</f>
        <v/>
      </c>
      <c r="U2805" s="208">
        <f>IF($L$2776,$T2805,$N2805)</f>
        <v/>
      </c>
    </row>
    <row r="2806">
      <c r="A2806" s="145" t="n">
        <v>28</v>
      </c>
      <c r="B2806" s="204">
        <f>EDATE($B2805,1)</f>
        <v/>
      </c>
      <c r="C2806" s="205">
        <f>EOMONTH($B2806,0)</f>
        <v/>
      </c>
      <c r="D2806" s="201">
        <f>$C2806-$B2806+1</f>
        <v/>
      </c>
      <c r="E2806" s="201">
        <f>MONTH($B2806)</f>
        <v/>
      </c>
      <c r="F2806" s="235">
        <f>($B2806+$C2806+1)/2</f>
        <v/>
      </c>
      <c r="G2806" s="201">
        <f>YEAR($B2806)*12+MONTH($B2806)-1</f>
        <v/>
      </c>
      <c r="H2806" s="207">
        <f>IF(OR(nr_SeasonOn="OFF",$D$2776=0,$E$2776=0),1,12*INDEX(se_block,$D$2776,$E2806)/$E$2776)</f>
        <v/>
      </c>
      <c r="I2806" s="208">
        <f>EXP(SUMPRODUCT((rl_eff&lt;$B2806)*(rl_key=$A$2776)*rl_ln1p))</f>
        <v/>
      </c>
      <c r="J2806" s="208">
        <f>EXP(SUMPRODUCT((rl_eff&lt;=$C2806)*(rl_key=$A$2776)*rl_ln1p))</f>
        <v/>
      </c>
      <c r="K2806" s="201">
        <f>COUNTIFS(rl_key,$A$2776,rl_eff,"&gt;="&amp;$B2806,rl_eff,"&lt;="&amp;$C2806)</f>
        <v/>
      </c>
      <c r="L2806" s="201">
        <f>SUMIFS(rl_daysafter,rl_key,$A$2776,rl_effmonth,$B2806,rl_first,1)</f>
        <v/>
      </c>
      <c r="M2806" s="209">
        <f>IF($K2806=0,0,MIN(1,$L2806/$D2806))</f>
        <v/>
      </c>
      <c r="N2806" s="208">
        <f>IF($K2806=0,$J2806,(1-$M2806)*$I2806+$M2806*$J2806)</f>
        <v/>
      </c>
      <c r="O2806" s="209">
        <f>IF($F2806&lt;$B$2777,$E$2777+$I$2777*($F2806-$A$2777),IF($F2806&lt;$C$2777,$F$2777+$J$2777*($F2806-$B$2777),$G$2777+$K$2777*($F2806-$C$2777)))</f>
        <v/>
      </c>
      <c r="P2806" s="208">
        <f>MIN(1,MAX(0,(nr_MEndPm1-$G2806+0.5)/$C$2776))-MIN(1,MAX(0,(nr_MStartPm1-1-$G2806+0.5)/$C$2776))</f>
        <v/>
      </c>
      <c r="Q2806" s="208">
        <f>MIN(1,MAX(0,(nr_MEndP-$G2806+0.5)/$C$2776))-MIN(1,MAX(0,(nr_MStartP-1-$G2806+0.5)/$C$2776))</f>
        <v/>
      </c>
      <c r="R2806" s="208">
        <f>MIN(1,MAX(0,(nr_MEndP1-$G2806+0.5)/$C$2776))-MIN(1,MAX(0,(nr_MStartP1-1-$G2806+0.5)/$C$2776))</f>
        <v/>
      </c>
      <c r="S2806" s="208">
        <f>IF($L$2776,$N2806*IF($O$2776=1,$O2806/$F$2776,1),"")</f>
        <v/>
      </c>
      <c r="T2806" s="208">
        <f>IF(NOT($L$2776),"",IF($G2806&lt;nr_MStartP,$S2806,$T2794*(1+IF($G2806&lt;nr_MStartP1,$M$2776,$N$2776))))</f>
        <v/>
      </c>
      <c r="U2806" s="208">
        <f>IF($L$2776,$T2806,$N2806)</f>
        <v/>
      </c>
    </row>
    <row r="2807">
      <c r="A2807" s="145" t="n">
        <v>29</v>
      </c>
      <c r="B2807" s="204">
        <f>EDATE($B2806,1)</f>
        <v/>
      </c>
      <c r="C2807" s="205">
        <f>EOMONTH($B2807,0)</f>
        <v/>
      </c>
      <c r="D2807" s="201">
        <f>$C2807-$B2807+1</f>
        <v/>
      </c>
      <c r="E2807" s="201">
        <f>MONTH($B2807)</f>
        <v/>
      </c>
      <c r="F2807" s="235">
        <f>($B2807+$C2807+1)/2</f>
        <v/>
      </c>
      <c r="G2807" s="201">
        <f>YEAR($B2807)*12+MONTH($B2807)-1</f>
        <v/>
      </c>
      <c r="H2807" s="207">
        <f>IF(OR(nr_SeasonOn="OFF",$D$2776=0,$E$2776=0),1,12*INDEX(se_block,$D$2776,$E2807)/$E$2776)</f>
        <v/>
      </c>
      <c r="I2807" s="208">
        <f>EXP(SUMPRODUCT((rl_eff&lt;$B2807)*(rl_key=$A$2776)*rl_ln1p))</f>
        <v/>
      </c>
      <c r="J2807" s="208">
        <f>EXP(SUMPRODUCT((rl_eff&lt;=$C2807)*(rl_key=$A$2776)*rl_ln1p))</f>
        <v/>
      </c>
      <c r="K2807" s="201">
        <f>COUNTIFS(rl_key,$A$2776,rl_eff,"&gt;="&amp;$B2807,rl_eff,"&lt;="&amp;$C2807)</f>
        <v/>
      </c>
      <c r="L2807" s="201">
        <f>SUMIFS(rl_daysafter,rl_key,$A$2776,rl_effmonth,$B2807,rl_first,1)</f>
        <v/>
      </c>
      <c r="M2807" s="209">
        <f>IF($K2807=0,0,MIN(1,$L2807/$D2807))</f>
        <v/>
      </c>
      <c r="N2807" s="208">
        <f>IF($K2807=0,$J2807,(1-$M2807)*$I2807+$M2807*$J2807)</f>
        <v/>
      </c>
      <c r="O2807" s="209">
        <f>IF($F2807&lt;$B$2777,$E$2777+$I$2777*($F2807-$A$2777),IF($F2807&lt;$C$2777,$F$2777+$J$2777*($F2807-$B$2777),$G$2777+$K$2777*($F2807-$C$2777)))</f>
        <v/>
      </c>
      <c r="P2807" s="208">
        <f>MIN(1,MAX(0,(nr_MEndPm1-$G2807+0.5)/$C$2776))-MIN(1,MAX(0,(nr_MStartPm1-1-$G2807+0.5)/$C$2776))</f>
        <v/>
      </c>
      <c r="Q2807" s="208">
        <f>MIN(1,MAX(0,(nr_MEndP-$G2807+0.5)/$C$2776))-MIN(1,MAX(0,(nr_MStartP-1-$G2807+0.5)/$C$2776))</f>
        <v/>
      </c>
      <c r="R2807" s="208">
        <f>MIN(1,MAX(0,(nr_MEndP1-$G2807+0.5)/$C$2776))-MIN(1,MAX(0,(nr_MStartP1-1-$G2807+0.5)/$C$2776))</f>
        <v/>
      </c>
      <c r="S2807" s="208">
        <f>IF($L$2776,$N2807*IF($O$2776=1,$O2807/$F$2776,1),"")</f>
        <v/>
      </c>
      <c r="T2807" s="208">
        <f>IF(NOT($L$2776),"",IF($G2807&lt;nr_MStartP,$S2807,$T2795*(1+IF($G2807&lt;nr_MStartP1,$M$2776,$N$2776))))</f>
        <v/>
      </c>
      <c r="U2807" s="208">
        <f>IF($L$2776,$T2807,$N2807)</f>
        <v/>
      </c>
    </row>
    <row r="2808">
      <c r="A2808" s="145" t="n">
        <v>30</v>
      </c>
      <c r="B2808" s="204">
        <f>EDATE($B2807,1)</f>
        <v/>
      </c>
      <c r="C2808" s="205">
        <f>EOMONTH($B2808,0)</f>
        <v/>
      </c>
      <c r="D2808" s="201">
        <f>$C2808-$B2808+1</f>
        <v/>
      </c>
      <c r="E2808" s="201">
        <f>MONTH($B2808)</f>
        <v/>
      </c>
      <c r="F2808" s="235">
        <f>($B2808+$C2808+1)/2</f>
        <v/>
      </c>
      <c r="G2808" s="201">
        <f>YEAR($B2808)*12+MONTH($B2808)-1</f>
        <v/>
      </c>
      <c r="H2808" s="207">
        <f>IF(OR(nr_SeasonOn="OFF",$D$2776=0,$E$2776=0),1,12*INDEX(se_block,$D$2776,$E2808)/$E$2776)</f>
        <v/>
      </c>
      <c r="I2808" s="208">
        <f>EXP(SUMPRODUCT((rl_eff&lt;$B2808)*(rl_key=$A$2776)*rl_ln1p))</f>
        <v/>
      </c>
      <c r="J2808" s="208">
        <f>EXP(SUMPRODUCT((rl_eff&lt;=$C2808)*(rl_key=$A$2776)*rl_ln1p))</f>
        <v/>
      </c>
      <c r="K2808" s="201">
        <f>COUNTIFS(rl_key,$A$2776,rl_eff,"&gt;="&amp;$B2808,rl_eff,"&lt;="&amp;$C2808)</f>
        <v/>
      </c>
      <c r="L2808" s="201">
        <f>SUMIFS(rl_daysafter,rl_key,$A$2776,rl_effmonth,$B2808,rl_first,1)</f>
        <v/>
      </c>
      <c r="M2808" s="209">
        <f>IF($K2808=0,0,MIN(1,$L2808/$D2808))</f>
        <v/>
      </c>
      <c r="N2808" s="208">
        <f>IF($K2808=0,$J2808,(1-$M2808)*$I2808+$M2808*$J2808)</f>
        <v/>
      </c>
      <c r="O2808" s="209">
        <f>IF($F2808&lt;$B$2777,$E$2777+$I$2777*($F2808-$A$2777),IF($F2808&lt;$C$2777,$F$2777+$J$2777*($F2808-$B$2777),$G$2777+$K$2777*($F2808-$C$2777)))</f>
        <v/>
      </c>
      <c r="P2808" s="208">
        <f>MIN(1,MAX(0,(nr_MEndPm1-$G2808+0.5)/$C$2776))-MIN(1,MAX(0,(nr_MStartPm1-1-$G2808+0.5)/$C$2776))</f>
        <v/>
      </c>
      <c r="Q2808" s="208">
        <f>MIN(1,MAX(0,(nr_MEndP-$G2808+0.5)/$C$2776))-MIN(1,MAX(0,(nr_MStartP-1-$G2808+0.5)/$C$2776))</f>
        <v/>
      </c>
      <c r="R2808" s="208">
        <f>MIN(1,MAX(0,(nr_MEndP1-$G2808+0.5)/$C$2776))-MIN(1,MAX(0,(nr_MStartP1-1-$G2808+0.5)/$C$2776))</f>
        <v/>
      </c>
      <c r="S2808" s="208">
        <f>IF($L$2776,$N2808*IF($O$2776=1,$O2808/$F$2776,1),"")</f>
        <v/>
      </c>
      <c r="T2808" s="208">
        <f>IF(NOT($L$2776),"",IF($G2808&lt;nr_MStartP,$S2808,$T2796*(1+IF($G2808&lt;nr_MStartP1,$M$2776,$N$2776))))</f>
        <v/>
      </c>
      <c r="U2808" s="208">
        <f>IF($L$2776,$T2808,$N2808)</f>
        <v/>
      </c>
    </row>
    <row r="2809">
      <c r="A2809" s="145" t="n">
        <v>31</v>
      </c>
      <c r="B2809" s="204">
        <f>EDATE($B2808,1)</f>
        <v/>
      </c>
      <c r="C2809" s="205">
        <f>EOMONTH($B2809,0)</f>
        <v/>
      </c>
      <c r="D2809" s="201">
        <f>$C2809-$B2809+1</f>
        <v/>
      </c>
      <c r="E2809" s="201">
        <f>MONTH($B2809)</f>
        <v/>
      </c>
      <c r="F2809" s="235">
        <f>($B2809+$C2809+1)/2</f>
        <v/>
      </c>
      <c r="G2809" s="201">
        <f>YEAR($B2809)*12+MONTH($B2809)-1</f>
        <v/>
      </c>
      <c r="H2809" s="207">
        <f>IF(OR(nr_SeasonOn="OFF",$D$2776=0,$E$2776=0),1,12*INDEX(se_block,$D$2776,$E2809)/$E$2776)</f>
        <v/>
      </c>
      <c r="I2809" s="208">
        <f>EXP(SUMPRODUCT((rl_eff&lt;$B2809)*(rl_key=$A$2776)*rl_ln1p))</f>
        <v/>
      </c>
      <c r="J2809" s="208">
        <f>EXP(SUMPRODUCT((rl_eff&lt;=$C2809)*(rl_key=$A$2776)*rl_ln1p))</f>
        <v/>
      </c>
      <c r="K2809" s="201">
        <f>COUNTIFS(rl_key,$A$2776,rl_eff,"&gt;="&amp;$B2809,rl_eff,"&lt;="&amp;$C2809)</f>
        <v/>
      </c>
      <c r="L2809" s="201">
        <f>SUMIFS(rl_daysafter,rl_key,$A$2776,rl_effmonth,$B2809,rl_first,1)</f>
        <v/>
      </c>
      <c r="M2809" s="209">
        <f>IF($K2809=0,0,MIN(1,$L2809/$D2809))</f>
        <v/>
      </c>
      <c r="N2809" s="208">
        <f>IF($K2809=0,$J2809,(1-$M2809)*$I2809+$M2809*$J2809)</f>
        <v/>
      </c>
      <c r="O2809" s="209">
        <f>IF($F2809&lt;$B$2777,$E$2777+$I$2777*($F2809-$A$2777),IF($F2809&lt;$C$2777,$F$2777+$J$2777*($F2809-$B$2777),$G$2777+$K$2777*($F2809-$C$2777)))</f>
        <v/>
      </c>
      <c r="P2809" s="208">
        <f>MIN(1,MAX(0,(nr_MEndPm1-$G2809+0.5)/$C$2776))-MIN(1,MAX(0,(nr_MStartPm1-1-$G2809+0.5)/$C$2776))</f>
        <v/>
      </c>
      <c r="Q2809" s="208">
        <f>MIN(1,MAX(0,(nr_MEndP-$G2809+0.5)/$C$2776))-MIN(1,MAX(0,(nr_MStartP-1-$G2809+0.5)/$C$2776))</f>
        <v/>
      </c>
      <c r="R2809" s="208">
        <f>MIN(1,MAX(0,(nr_MEndP1-$G2809+0.5)/$C$2776))-MIN(1,MAX(0,(nr_MStartP1-1-$G2809+0.5)/$C$2776))</f>
        <v/>
      </c>
      <c r="S2809" s="208">
        <f>IF($L$2776,$N2809*IF($O$2776=1,$O2809/$F$2776,1),"")</f>
        <v/>
      </c>
      <c r="T2809" s="208">
        <f>IF(NOT($L$2776),"",IF($G2809&lt;nr_MStartP,$S2809,$T2797*(1+IF($G2809&lt;nr_MStartP1,$M$2776,$N$2776))))</f>
        <v/>
      </c>
      <c r="U2809" s="208">
        <f>IF($L$2776,$T2809,$N2809)</f>
        <v/>
      </c>
    </row>
    <row r="2810">
      <c r="A2810" s="145" t="n">
        <v>32</v>
      </c>
      <c r="B2810" s="204">
        <f>EDATE($B2809,1)</f>
        <v/>
      </c>
      <c r="C2810" s="205">
        <f>EOMONTH($B2810,0)</f>
        <v/>
      </c>
      <c r="D2810" s="201">
        <f>$C2810-$B2810+1</f>
        <v/>
      </c>
      <c r="E2810" s="201">
        <f>MONTH($B2810)</f>
        <v/>
      </c>
      <c r="F2810" s="235">
        <f>($B2810+$C2810+1)/2</f>
        <v/>
      </c>
      <c r="G2810" s="201">
        <f>YEAR($B2810)*12+MONTH($B2810)-1</f>
        <v/>
      </c>
      <c r="H2810" s="207">
        <f>IF(OR(nr_SeasonOn="OFF",$D$2776=0,$E$2776=0),1,12*INDEX(se_block,$D$2776,$E2810)/$E$2776)</f>
        <v/>
      </c>
      <c r="I2810" s="208">
        <f>EXP(SUMPRODUCT((rl_eff&lt;$B2810)*(rl_key=$A$2776)*rl_ln1p))</f>
        <v/>
      </c>
      <c r="J2810" s="208">
        <f>EXP(SUMPRODUCT((rl_eff&lt;=$C2810)*(rl_key=$A$2776)*rl_ln1p))</f>
        <v/>
      </c>
      <c r="K2810" s="201">
        <f>COUNTIFS(rl_key,$A$2776,rl_eff,"&gt;="&amp;$B2810,rl_eff,"&lt;="&amp;$C2810)</f>
        <v/>
      </c>
      <c r="L2810" s="201">
        <f>SUMIFS(rl_daysafter,rl_key,$A$2776,rl_effmonth,$B2810,rl_first,1)</f>
        <v/>
      </c>
      <c r="M2810" s="209">
        <f>IF($K2810=0,0,MIN(1,$L2810/$D2810))</f>
        <v/>
      </c>
      <c r="N2810" s="208">
        <f>IF($K2810=0,$J2810,(1-$M2810)*$I2810+$M2810*$J2810)</f>
        <v/>
      </c>
      <c r="O2810" s="209">
        <f>IF($F2810&lt;$B$2777,$E$2777+$I$2777*($F2810-$A$2777),IF($F2810&lt;$C$2777,$F$2777+$J$2777*($F2810-$B$2777),$G$2777+$K$2777*($F2810-$C$2777)))</f>
        <v/>
      </c>
      <c r="P2810" s="208">
        <f>MIN(1,MAX(0,(nr_MEndPm1-$G2810+0.5)/$C$2776))-MIN(1,MAX(0,(nr_MStartPm1-1-$G2810+0.5)/$C$2776))</f>
        <v/>
      </c>
      <c r="Q2810" s="208">
        <f>MIN(1,MAX(0,(nr_MEndP-$G2810+0.5)/$C$2776))-MIN(1,MAX(0,(nr_MStartP-1-$G2810+0.5)/$C$2776))</f>
        <v/>
      </c>
      <c r="R2810" s="208">
        <f>MIN(1,MAX(0,(nr_MEndP1-$G2810+0.5)/$C$2776))-MIN(1,MAX(0,(nr_MStartP1-1-$G2810+0.5)/$C$2776))</f>
        <v/>
      </c>
      <c r="S2810" s="208">
        <f>IF($L$2776,$N2810*IF($O$2776=1,$O2810/$F$2776,1),"")</f>
        <v/>
      </c>
      <c r="T2810" s="208">
        <f>IF(NOT($L$2776),"",IF($G2810&lt;nr_MStartP,$S2810,$T2798*(1+IF($G2810&lt;nr_MStartP1,$M$2776,$N$2776))))</f>
        <v/>
      </c>
      <c r="U2810" s="208">
        <f>IF($L$2776,$T2810,$N2810)</f>
        <v/>
      </c>
    </row>
    <row r="2811">
      <c r="A2811" s="145" t="n">
        <v>33</v>
      </c>
      <c r="B2811" s="204">
        <f>EDATE($B2810,1)</f>
        <v/>
      </c>
      <c r="C2811" s="205">
        <f>EOMONTH($B2811,0)</f>
        <v/>
      </c>
      <c r="D2811" s="201">
        <f>$C2811-$B2811+1</f>
        <v/>
      </c>
      <c r="E2811" s="201">
        <f>MONTH($B2811)</f>
        <v/>
      </c>
      <c r="F2811" s="235">
        <f>($B2811+$C2811+1)/2</f>
        <v/>
      </c>
      <c r="G2811" s="201">
        <f>YEAR($B2811)*12+MONTH($B2811)-1</f>
        <v/>
      </c>
      <c r="H2811" s="207">
        <f>IF(OR(nr_SeasonOn="OFF",$D$2776=0,$E$2776=0),1,12*INDEX(se_block,$D$2776,$E2811)/$E$2776)</f>
        <v/>
      </c>
      <c r="I2811" s="208">
        <f>EXP(SUMPRODUCT((rl_eff&lt;$B2811)*(rl_key=$A$2776)*rl_ln1p))</f>
        <v/>
      </c>
      <c r="J2811" s="208">
        <f>EXP(SUMPRODUCT((rl_eff&lt;=$C2811)*(rl_key=$A$2776)*rl_ln1p))</f>
        <v/>
      </c>
      <c r="K2811" s="201">
        <f>COUNTIFS(rl_key,$A$2776,rl_eff,"&gt;="&amp;$B2811,rl_eff,"&lt;="&amp;$C2811)</f>
        <v/>
      </c>
      <c r="L2811" s="201">
        <f>SUMIFS(rl_daysafter,rl_key,$A$2776,rl_effmonth,$B2811,rl_first,1)</f>
        <v/>
      </c>
      <c r="M2811" s="209">
        <f>IF($K2811=0,0,MIN(1,$L2811/$D2811))</f>
        <v/>
      </c>
      <c r="N2811" s="208">
        <f>IF($K2811=0,$J2811,(1-$M2811)*$I2811+$M2811*$J2811)</f>
        <v/>
      </c>
      <c r="O2811" s="209">
        <f>IF($F2811&lt;$B$2777,$E$2777+$I$2777*($F2811-$A$2777),IF($F2811&lt;$C$2777,$F$2777+$J$2777*($F2811-$B$2777),$G$2777+$K$2777*($F2811-$C$2777)))</f>
        <v/>
      </c>
      <c r="P2811" s="208">
        <f>MIN(1,MAX(0,(nr_MEndPm1-$G2811+0.5)/$C$2776))-MIN(1,MAX(0,(nr_MStartPm1-1-$G2811+0.5)/$C$2776))</f>
        <v/>
      </c>
      <c r="Q2811" s="208">
        <f>MIN(1,MAX(0,(nr_MEndP-$G2811+0.5)/$C$2776))-MIN(1,MAX(0,(nr_MStartP-1-$G2811+0.5)/$C$2776))</f>
        <v/>
      </c>
      <c r="R2811" s="208">
        <f>MIN(1,MAX(0,(nr_MEndP1-$G2811+0.5)/$C$2776))-MIN(1,MAX(0,(nr_MStartP1-1-$G2811+0.5)/$C$2776))</f>
        <v/>
      </c>
      <c r="S2811" s="208">
        <f>IF($L$2776,$N2811*IF($O$2776=1,$O2811/$F$2776,1),"")</f>
        <v/>
      </c>
      <c r="T2811" s="208">
        <f>IF(NOT($L$2776),"",IF($G2811&lt;nr_MStartP,$S2811,$T2799*(1+IF($G2811&lt;nr_MStartP1,$M$2776,$N$2776))))</f>
        <v/>
      </c>
      <c r="U2811" s="208">
        <f>IF($L$2776,$T2811,$N2811)</f>
        <v/>
      </c>
    </row>
    <row r="2812">
      <c r="A2812" s="145" t="n">
        <v>34</v>
      </c>
      <c r="B2812" s="204">
        <f>EDATE($B2811,1)</f>
        <v/>
      </c>
      <c r="C2812" s="205">
        <f>EOMONTH($B2812,0)</f>
        <v/>
      </c>
      <c r="D2812" s="201">
        <f>$C2812-$B2812+1</f>
        <v/>
      </c>
      <c r="E2812" s="201">
        <f>MONTH($B2812)</f>
        <v/>
      </c>
      <c r="F2812" s="235">
        <f>($B2812+$C2812+1)/2</f>
        <v/>
      </c>
      <c r="G2812" s="201">
        <f>YEAR($B2812)*12+MONTH($B2812)-1</f>
        <v/>
      </c>
      <c r="H2812" s="207">
        <f>IF(OR(nr_SeasonOn="OFF",$D$2776=0,$E$2776=0),1,12*INDEX(se_block,$D$2776,$E2812)/$E$2776)</f>
        <v/>
      </c>
      <c r="I2812" s="208">
        <f>EXP(SUMPRODUCT((rl_eff&lt;$B2812)*(rl_key=$A$2776)*rl_ln1p))</f>
        <v/>
      </c>
      <c r="J2812" s="208">
        <f>EXP(SUMPRODUCT((rl_eff&lt;=$C2812)*(rl_key=$A$2776)*rl_ln1p))</f>
        <v/>
      </c>
      <c r="K2812" s="201">
        <f>COUNTIFS(rl_key,$A$2776,rl_eff,"&gt;="&amp;$B2812,rl_eff,"&lt;="&amp;$C2812)</f>
        <v/>
      </c>
      <c r="L2812" s="201">
        <f>SUMIFS(rl_daysafter,rl_key,$A$2776,rl_effmonth,$B2812,rl_first,1)</f>
        <v/>
      </c>
      <c r="M2812" s="209">
        <f>IF($K2812=0,0,MIN(1,$L2812/$D2812))</f>
        <v/>
      </c>
      <c r="N2812" s="208">
        <f>IF($K2812=0,$J2812,(1-$M2812)*$I2812+$M2812*$J2812)</f>
        <v/>
      </c>
      <c r="O2812" s="209">
        <f>IF($F2812&lt;$B$2777,$E$2777+$I$2777*($F2812-$A$2777),IF($F2812&lt;$C$2777,$F$2777+$J$2777*($F2812-$B$2777),$G$2777+$K$2777*($F2812-$C$2777)))</f>
        <v/>
      </c>
      <c r="P2812" s="208">
        <f>MIN(1,MAX(0,(nr_MEndPm1-$G2812+0.5)/$C$2776))-MIN(1,MAX(0,(nr_MStartPm1-1-$G2812+0.5)/$C$2776))</f>
        <v/>
      </c>
      <c r="Q2812" s="208">
        <f>MIN(1,MAX(0,(nr_MEndP-$G2812+0.5)/$C$2776))-MIN(1,MAX(0,(nr_MStartP-1-$G2812+0.5)/$C$2776))</f>
        <v/>
      </c>
      <c r="R2812" s="208">
        <f>MIN(1,MAX(0,(nr_MEndP1-$G2812+0.5)/$C$2776))-MIN(1,MAX(0,(nr_MStartP1-1-$G2812+0.5)/$C$2776))</f>
        <v/>
      </c>
      <c r="S2812" s="208">
        <f>IF($L$2776,$N2812*IF($O$2776=1,$O2812/$F$2776,1),"")</f>
        <v/>
      </c>
      <c r="T2812" s="208">
        <f>IF(NOT($L$2776),"",IF($G2812&lt;nr_MStartP,$S2812,$T2800*(1+IF($G2812&lt;nr_MStartP1,$M$2776,$N$2776))))</f>
        <v/>
      </c>
      <c r="U2812" s="208">
        <f>IF($L$2776,$T2812,$N2812)</f>
        <v/>
      </c>
    </row>
    <row r="2813">
      <c r="A2813" s="145" t="n">
        <v>35</v>
      </c>
      <c r="B2813" s="204">
        <f>EDATE($B2812,1)</f>
        <v/>
      </c>
      <c r="C2813" s="205">
        <f>EOMONTH($B2813,0)</f>
        <v/>
      </c>
      <c r="D2813" s="201">
        <f>$C2813-$B2813+1</f>
        <v/>
      </c>
      <c r="E2813" s="201">
        <f>MONTH($B2813)</f>
        <v/>
      </c>
      <c r="F2813" s="235">
        <f>($B2813+$C2813+1)/2</f>
        <v/>
      </c>
      <c r="G2813" s="201">
        <f>YEAR($B2813)*12+MONTH($B2813)-1</f>
        <v/>
      </c>
      <c r="H2813" s="207">
        <f>IF(OR(nr_SeasonOn="OFF",$D$2776=0,$E$2776=0),1,12*INDEX(se_block,$D$2776,$E2813)/$E$2776)</f>
        <v/>
      </c>
      <c r="I2813" s="208">
        <f>EXP(SUMPRODUCT((rl_eff&lt;$B2813)*(rl_key=$A$2776)*rl_ln1p))</f>
        <v/>
      </c>
      <c r="J2813" s="208">
        <f>EXP(SUMPRODUCT((rl_eff&lt;=$C2813)*(rl_key=$A$2776)*rl_ln1p))</f>
        <v/>
      </c>
      <c r="K2813" s="201">
        <f>COUNTIFS(rl_key,$A$2776,rl_eff,"&gt;="&amp;$B2813,rl_eff,"&lt;="&amp;$C2813)</f>
        <v/>
      </c>
      <c r="L2813" s="201">
        <f>SUMIFS(rl_daysafter,rl_key,$A$2776,rl_effmonth,$B2813,rl_first,1)</f>
        <v/>
      </c>
      <c r="M2813" s="209">
        <f>IF($K2813=0,0,MIN(1,$L2813/$D2813))</f>
        <v/>
      </c>
      <c r="N2813" s="208">
        <f>IF($K2813=0,$J2813,(1-$M2813)*$I2813+$M2813*$J2813)</f>
        <v/>
      </c>
      <c r="O2813" s="209">
        <f>IF($F2813&lt;$B$2777,$E$2777+$I$2777*($F2813-$A$2777),IF($F2813&lt;$C$2777,$F$2777+$J$2777*($F2813-$B$2777),$G$2777+$K$2777*($F2813-$C$2777)))</f>
        <v/>
      </c>
      <c r="P2813" s="208">
        <f>MIN(1,MAX(0,(nr_MEndPm1-$G2813+0.5)/$C$2776))-MIN(1,MAX(0,(nr_MStartPm1-1-$G2813+0.5)/$C$2776))</f>
        <v/>
      </c>
      <c r="Q2813" s="208">
        <f>MIN(1,MAX(0,(nr_MEndP-$G2813+0.5)/$C$2776))-MIN(1,MAX(0,(nr_MStartP-1-$G2813+0.5)/$C$2776))</f>
        <v/>
      </c>
      <c r="R2813" s="208">
        <f>MIN(1,MAX(0,(nr_MEndP1-$G2813+0.5)/$C$2776))-MIN(1,MAX(0,(nr_MStartP1-1-$G2813+0.5)/$C$2776))</f>
        <v/>
      </c>
      <c r="S2813" s="208">
        <f>IF($L$2776,$N2813*IF($O$2776=1,$O2813/$F$2776,1),"")</f>
        <v/>
      </c>
      <c r="T2813" s="208">
        <f>IF(NOT($L$2776),"",IF($G2813&lt;nr_MStartP,$S2813,$T2801*(1+IF($G2813&lt;nr_MStartP1,$M$2776,$N$2776))))</f>
        <v/>
      </c>
      <c r="U2813" s="208">
        <f>IF($L$2776,$T2813,$N2813)</f>
        <v/>
      </c>
    </row>
    <row r="2814">
      <c r="A2814" s="145" t="n">
        <v>36</v>
      </c>
      <c r="B2814" s="204">
        <f>EDATE($B2813,1)</f>
        <v/>
      </c>
      <c r="C2814" s="205">
        <f>EOMONTH($B2814,0)</f>
        <v/>
      </c>
      <c r="D2814" s="201">
        <f>$C2814-$B2814+1</f>
        <v/>
      </c>
      <c r="E2814" s="201">
        <f>MONTH($B2814)</f>
        <v/>
      </c>
      <c r="F2814" s="235">
        <f>($B2814+$C2814+1)/2</f>
        <v/>
      </c>
      <c r="G2814" s="201">
        <f>YEAR($B2814)*12+MONTH($B2814)-1</f>
        <v/>
      </c>
      <c r="H2814" s="207">
        <f>IF(OR(nr_SeasonOn="OFF",$D$2776=0,$E$2776=0),1,12*INDEX(se_block,$D$2776,$E2814)/$E$2776)</f>
        <v/>
      </c>
      <c r="I2814" s="208">
        <f>EXP(SUMPRODUCT((rl_eff&lt;$B2814)*(rl_key=$A$2776)*rl_ln1p))</f>
        <v/>
      </c>
      <c r="J2814" s="208">
        <f>EXP(SUMPRODUCT((rl_eff&lt;=$C2814)*(rl_key=$A$2776)*rl_ln1p))</f>
        <v/>
      </c>
      <c r="K2814" s="201">
        <f>COUNTIFS(rl_key,$A$2776,rl_eff,"&gt;="&amp;$B2814,rl_eff,"&lt;="&amp;$C2814)</f>
        <v/>
      </c>
      <c r="L2814" s="201">
        <f>SUMIFS(rl_daysafter,rl_key,$A$2776,rl_effmonth,$B2814,rl_first,1)</f>
        <v/>
      </c>
      <c r="M2814" s="209">
        <f>IF($K2814=0,0,MIN(1,$L2814/$D2814))</f>
        <v/>
      </c>
      <c r="N2814" s="208">
        <f>IF($K2814=0,$J2814,(1-$M2814)*$I2814+$M2814*$J2814)</f>
        <v/>
      </c>
      <c r="O2814" s="209">
        <f>IF($F2814&lt;$B$2777,$E$2777+$I$2777*($F2814-$A$2777),IF($F2814&lt;$C$2777,$F$2777+$J$2777*($F2814-$B$2777),$G$2777+$K$2777*($F2814-$C$2777)))</f>
        <v/>
      </c>
      <c r="P2814" s="208">
        <f>MIN(1,MAX(0,(nr_MEndPm1-$G2814+0.5)/$C$2776))-MIN(1,MAX(0,(nr_MStartPm1-1-$G2814+0.5)/$C$2776))</f>
        <v/>
      </c>
      <c r="Q2814" s="208">
        <f>MIN(1,MAX(0,(nr_MEndP-$G2814+0.5)/$C$2776))-MIN(1,MAX(0,(nr_MStartP-1-$G2814+0.5)/$C$2776))</f>
        <v/>
      </c>
      <c r="R2814" s="208">
        <f>MIN(1,MAX(0,(nr_MEndP1-$G2814+0.5)/$C$2776))-MIN(1,MAX(0,(nr_MStartP1-1-$G2814+0.5)/$C$2776))</f>
        <v/>
      </c>
      <c r="S2814" s="208">
        <f>IF($L$2776,$N2814*IF($O$2776=1,$O2814/$F$2776,1),"")</f>
        <v/>
      </c>
      <c r="T2814" s="208">
        <f>IF(NOT($L$2776),"",IF($G2814&lt;nr_MStartP,$S2814,$T2802*(1+IF($G2814&lt;nr_MStartP1,$M$2776,$N$2776))))</f>
        <v/>
      </c>
      <c r="U2814" s="208">
        <f>IF($L$2776,$T2814,$N2814)</f>
        <v/>
      </c>
    </row>
    <row r="2815">
      <c r="A2815" s="145" t="n">
        <v>37</v>
      </c>
      <c r="B2815" s="204">
        <f>EDATE($B2814,1)</f>
        <v/>
      </c>
      <c r="C2815" s="205">
        <f>EOMONTH($B2815,0)</f>
        <v/>
      </c>
      <c r="D2815" s="201">
        <f>$C2815-$B2815+1</f>
        <v/>
      </c>
      <c r="E2815" s="201">
        <f>MONTH($B2815)</f>
        <v/>
      </c>
      <c r="F2815" s="235">
        <f>($B2815+$C2815+1)/2</f>
        <v/>
      </c>
      <c r="G2815" s="201">
        <f>YEAR($B2815)*12+MONTH($B2815)-1</f>
        <v/>
      </c>
      <c r="H2815" s="207">
        <f>IF(OR(nr_SeasonOn="OFF",$D$2776=0,$E$2776=0),1,12*INDEX(se_block,$D$2776,$E2815)/$E$2776)</f>
        <v/>
      </c>
      <c r="I2815" s="208">
        <f>EXP(SUMPRODUCT((rl_eff&lt;$B2815)*(rl_key=$A$2776)*rl_ln1p))</f>
        <v/>
      </c>
      <c r="J2815" s="208">
        <f>EXP(SUMPRODUCT((rl_eff&lt;=$C2815)*(rl_key=$A$2776)*rl_ln1p))</f>
        <v/>
      </c>
      <c r="K2815" s="201">
        <f>COUNTIFS(rl_key,$A$2776,rl_eff,"&gt;="&amp;$B2815,rl_eff,"&lt;="&amp;$C2815)</f>
        <v/>
      </c>
      <c r="L2815" s="201">
        <f>SUMIFS(rl_daysafter,rl_key,$A$2776,rl_effmonth,$B2815,rl_first,1)</f>
        <v/>
      </c>
      <c r="M2815" s="209">
        <f>IF($K2815=0,0,MIN(1,$L2815/$D2815))</f>
        <v/>
      </c>
      <c r="N2815" s="208">
        <f>IF($K2815=0,$J2815,(1-$M2815)*$I2815+$M2815*$J2815)</f>
        <v/>
      </c>
      <c r="O2815" s="209">
        <f>IF($F2815&lt;$B$2777,$E$2777+$I$2777*($F2815-$A$2777),IF($F2815&lt;$C$2777,$F$2777+$J$2777*($F2815-$B$2777),$G$2777+$K$2777*($F2815-$C$2777)))</f>
        <v/>
      </c>
      <c r="P2815" s="208">
        <f>MIN(1,MAX(0,(nr_MEndPm1-$G2815+0.5)/$C$2776))-MIN(1,MAX(0,(nr_MStartPm1-1-$G2815+0.5)/$C$2776))</f>
        <v/>
      </c>
      <c r="Q2815" s="208">
        <f>MIN(1,MAX(0,(nr_MEndP-$G2815+0.5)/$C$2776))-MIN(1,MAX(0,(nr_MStartP-1-$G2815+0.5)/$C$2776))</f>
        <v/>
      </c>
      <c r="R2815" s="208">
        <f>MIN(1,MAX(0,(nr_MEndP1-$G2815+0.5)/$C$2776))-MIN(1,MAX(0,(nr_MStartP1-1-$G2815+0.5)/$C$2776))</f>
        <v/>
      </c>
      <c r="S2815" s="208">
        <f>IF($L$2776,$N2815*IF($O$2776=1,$O2815/$F$2776,1),"")</f>
        <v/>
      </c>
      <c r="T2815" s="208">
        <f>IF(NOT($L$2776),"",IF($G2815&lt;nr_MStartP,$S2815,$T2803*(1+IF($G2815&lt;nr_MStartP1,$M$2776,$N$2776))))</f>
        <v/>
      </c>
      <c r="U2815" s="208">
        <f>IF($L$2776,$T2815,$N2815)</f>
        <v/>
      </c>
    </row>
    <row r="2816">
      <c r="A2816" s="145" t="n">
        <v>38</v>
      </c>
      <c r="B2816" s="204">
        <f>EDATE($B2815,1)</f>
        <v/>
      </c>
      <c r="C2816" s="205">
        <f>EOMONTH($B2816,0)</f>
        <v/>
      </c>
      <c r="D2816" s="201">
        <f>$C2816-$B2816+1</f>
        <v/>
      </c>
      <c r="E2816" s="201">
        <f>MONTH($B2816)</f>
        <v/>
      </c>
      <c r="F2816" s="235">
        <f>($B2816+$C2816+1)/2</f>
        <v/>
      </c>
      <c r="G2816" s="201">
        <f>YEAR($B2816)*12+MONTH($B2816)-1</f>
        <v/>
      </c>
      <c r="H2816" s="207">
        <f>IF(OR(nr_SeasonOn="OFF",$D$2776=0,$E$2776=0),1,12*INDEX(se_block,$D$2776,$E2816)/$E$2776)</f>
        <v/>
      </c>
      <c r="I2816" s="208">
        <f>EXP(SUMPRODUCT((rl_eff&lt;$B2816)*(rl_key=$A$2776)*rl_ln1p))</f>
        <v/>
      </c>
      <c r="J2816" s="208">
        <f>EXP(SUMPRODUCT((rl_eff&lt;=$C2816)*(rl_key=$A$2776)*rl_ln1p))</f>
        <v/>
      </c>
      <c r="K2816" s="201">
        <f>COUNTIFS(rl_key,$A$2776,rl_eff,"&gt;="&amp;$B2816,rl_eff,"&lt;="&amp;$C2816)</f>
        <v/>
      </c>
      <c r="L2816" s="201">
        <f>SUMIFS(rl_daysafter,rl_key,$A$2776,rl_effmonth,$B2816,rl_first,1)</f>
        <v/>
      </c>
      <c r="M2816" s="209">
        <f>IF($K2816=0,0,MIN(1,$L2816/$D2816))</f>
        <v/>
      </c>
      <c r="N2816" s="208">
        <f>IF($K2816=0,$J2816,(1-$M2816)*$I2816+$M2816*$J2816)</f>
        <v/>
      </c>
      <c r="O2816" s="209">
        <f>IF($F2816&lt;$B$2777,$E$2777+$I$2777*($F2816-$A$2777),IF($F2816&lt;$C$2777,$F$2777+$J$2777*($F2816-$B$2777),$G$2777+$K$2777*($F2816-$C$2777)))</f>
        <v/>
      </c>
      <c r="P2816" s="208">
        <f>MIN(1,MAX(0,(nr_MEndPm1-$G2816+0.5)/$C$2776))-MIN(1,MAX(0,(nr_MStartPm1-1-$G2816+0.5)/$C$2776))</f>
        <v/>
      </c>
      <c r="Q2816" s="208">
        <f>MIN(1,MAX(0,(nr_MEndP-$G2816+0.5)/$C$2776))-MIN(1,MAX(0,(nr_MStartP-1-$G2816+0.5)/$C$2776))</f>
        <v/>
      </c>
      <c r="R2816" s="208">
        <f>MIN(1,MAX(0,(nr_MEndP1-$G2816+0.5)/$C$2776))-MIN(1,MAX(0,(nr_MStartP1-1-$G2816+0.5)/$C$2776))</f>
        <v/>
      </c>
      <c r="S2816" s="208">
        <f>IF($L$2776,$N2816*IF($O$2776=1,$O2816/$F$2776,1),"")</f>
        <v/>
      </c>
      <c r="T2816" s="208">
        <f>IF(NOT($L$2776),"",IF($G2816&lt;nr_MStartP,$S2816,$T2804*(1+IF($G2816&lt;nr_MStartP1,$M$2776,$N$2776))))</f>
        <v/>
      </c>
      <c r="U2816" s="208">
        <f>IF($L$2776,$T2816,$N2816)</f>
        <v/>
      </c>
    </row>
    <row r="2817">
      <c r="A2817" s="145" t="n">
        <v>39</v>
      </c>
      <c r="B2817" s="204">
        <f>EDATE($B2816,1)</f>
        <v/>
      </c>
      <c r="C2817" s="205">
        <f>EOMONTH($B2817,0)</f>
        <v/>
      </c>
      <c r="D2817" s="201">
        <f>$C2817-$B2817+1</f>
        <v/>
      </c>
      <c r="E2817" s="201">
        <f>MONTH($B2817)</f>
        <v/>
      </c>
      <c r="F2817" s="235">
        <f>($B2817+$C2817+1)/2</f>
        <v/>
      </c>
      <c r="G2817" s="201">
        <f>YEAR($B2817)*12+MONTH($B2817)-1</f>
        <v/>
      </c>
      <c r="H2817" s="207">
        <f>IF(OR(nr_SeasonOn="OFF",$D$2776=0,$E$2776=0),1,12*INDEX(se_block,$D$2776,$E2817)/$E$2776)</f>
        <v/>
      </c>
      <c r="I2817" s="208">
        <f>EXP(SUMPRODUCT((rl_eff&lt;$B2817)*(rl_key=$A$2776)*rl_ln1p))</f>
        <v/>
      </c>
      <c r="J2817" s="208">
        <f>EXP(SUMPRODUCT((rl_eff&lt;=$C2817)*(rl_key=$A$2776)*rl_ln1p))</f>
        <v/>
      </c>
      <c r="K2817" s="201">
        <f>COUNTIFS(rl_key,$A$2776,rl_eff,"&gt;="&amp;$B2817,rl_eff,"&lt;="&amp;$C2817)</f>
        <v/>
      </c>
      <c r="L2817" s="201">
        <f>SUMIFS(rl_daysafter,rl_key,$A$2776,rl_effmonth,$B2817,rl_first,1)</f>
        <v/>
      </c>
      <c r="M2817" s="209">
        <f>IF($K2817=0,0,MIN(1,$L2817/$D2817))</f>
        <v/>
      </c>
      <c r="N2817" s="208">
        <f>IF($K2817=0,$J2817,(1-$M2817)*$I2817+$M2817*$J2817)</f>
        <v/>
      </c>
      <c r="O2817" s="209">
        <f>IF($F2817&lt;$B$2777,$E$2777+$I$2777*($F2817-$A$2777),IF($F2817&lt;$C$2777,$F$2777+$J$2777*($F2817-$B$2777),$G$2777+$K$2777*($F2817-$C$2777)))</f>
        <v/>
      </c>
      <c r="P2817" s="208">
        <f>MIN(1,MAX(0,(nr_MEndPm1-$G2817+0.5)/$C$2776))-MIN(1,MAX(0,(nr_MStartPm1-1-$G2817+0.5)/$C$2776))</f>
        <v/>
      </c>
      <c r="Q2817" s="208">
        <f>MIN(1,MAX(0,(nr_MEndP-$G2817+0.5)/$C$2776))-MIN(1,MAX(0,(nr_MStartP-1-$G2817+0.5)/$C$2776))</f>
        <v/>
      </c>
      <c r="R2817" s="208">
        <f>MIN(1,MAX(0,(nr_MEndP1-$G2817+0.5)/$C$2776))-MIN(1,MAX(0,(nr_MStartP1-1-$G2817+0.5)/$C$2776))</f>
        <v/>
      </c>
      <c r="S2817" s="208">
        <f>IF($L$2776,$N2817*IF($O$2776=1,$O2817/$F$2776,1),"")</f>
        <v/>
      </c>
      <c r="T2817" s="208">
        <f>IF(NOT($L$2776),"",IF($G2817&lt;nr_MStartP,$S2817,$T2805*(1+IF($G2817&lt;nr_MStartP1,$M$2776,$N$2776))))</f>
        <v/>
      </c>
      <c r="U2817" s="208">
        <f>IF($L$2776,$T2817,$N2817)</f>
        <v/>
      </c>
    </row>
    <row r="2818">
      <c r="A2818" s="145" t="n">
        <v>40</v>
      </c>
      <c r="B2818" s="204">
        <f>EDATE($B2817,1)</f>
        <v/>
      </c>
      <c r="C2818" s="205">
        <f>EOMONTH($B2818,0)</f>
        <v/>
      </c>
      <c r="D2818" s="201">
        <f>$C2818-$B2818+1</f>
        <v/>
      </c>
      <c r="E2818" s="201">
        <f>MONTH($B2818)</f>
        <v/>
      </c>
      <c r="F2818" s="235">
        <f>($B2818+$C2818+1)/2</f>
        <v/>
      </c>
      <c r="G2818" s="201">
        <f>YEAR($B2818)*12+MONTH($B2818)-1</f>
        <v/>
      </c>
      <c r="H2818" s="207">
        <f>IF(OR(nr_SeasonOn="OFF",$D$2776=0,$E$2776=0),1,12*INDEX(se_block,$D$2776,$E2818)/$E$2776)</f>
        <v/>
      </c>
      <c r="I2818" s="208">
        <f>EXP(SUMPRODUCT((rl_eff&lt;$B2818)*(rl_key=$A$2776)*rl_ln1p))</f>
        <v/>
      </c>
      <c r="J2818" s="208">
        <f>EXP(SUMPRODUCT((rl_eff&lt;=$C2818)*(rl_key=$A$2776)*rl_ln1p))</f>
        <v/>
      </c>
      <c r="K2818" s="201">
        <f>COUNTIFS(rl_key,$A$2776,rl_eff,"&gt;="&amp;$B2818,rl_eff,"&lt;="&amp;$C2818)</f>
        <v/>
      </c>
      <c r="L2818" s="201">
        <f>SUMIFS(rl_daysafter,rl_key,$A$2776,rl_effmonth,$B2818,rl_first,1)</f>
        <v/>
      </c>
      <c r="M2818" s="209">
        <f>IF($K2818=0,0,MIN(1,$L2818/$D2818))</f>
        <v/>
      </c>
      <c r="N2818" s="208">
        <f>IF($K2818=0,$J2818,(1-$M2818)*$I2818+$M2818*$J2818)</f>
        <v/>
      </c>
      <c r="O2818" s="209">
        <f>IF($F2818&lt;$B$2777,$E$2777+$I$2777*($F2818-$A$2777),IF($F2818&lt;$C$2777,$F$2777+$J$2777*($F2818-$B$2777),$G$2777+$K$2777*($F2818-$C$2777)))</f>
        <v/>
      </c>
      <c r="P2818" s="208">
        <f>MIN(1,MAX(0,(nr_MEndPm1-$G2818+0.5)/$C$2776))-MIN(1,MAX(0,(nr_MStartPm1-1-$G2818+0.5)/$C$2776))</f>
        <v/>
      </c>
      <c r="Q2818" s="208">
        <f>MIN(1,MAX(0,(nr_MEndP-$G2818+0.5)/$C$2776))-MIN(1,MAX(0,(nr_MStartP-1-$G2818+0.5)/$C$2776))</f>
        <v/>
      </c>
      <c r="R2818" s="208">
        <f>MIN(1,MAX(0,(nr_MEndP1-$G2818+0.5)/$C$2776))-MIN(1,MAX(0,(nr_MStartP1-1-$G2818+0.5)/$C$2776))</f>
        <v/>
      </c>
      <c r="S2818" s="208">
        <f>IF($L$2776,$N2818*IF($O$2776=1,$O2818/$F$2776,1),"")</f>
        <v/>
      </c>
      <c r="T2818" s="208">
        <f>IF(NOT($L$2776),"",IF($G2818&lt;nr_MStartP,$S2818,$T2806*(1+IF($G2818&lt;nr_MStartP1,$M$2776,$N$2776))))</f>
        <v/>
      </c>
      <c r="U2818" s="208">
        <f>IF($L$2776,$T2818,$N2818)</f>
        <v/>
      </c>
    </row>
    <row r="2819">
      <c r="A2819" s="145" t="n">
        <v>41</v>
      </c>
      <c r="B2819" s="204">
        <f>EDATE($B2818,1)</f>
        <v/>
      </c>
      <c r="C2819" s="205">
        <f>EOMONTH($B2819,0)</f>
        <v/>
      </c>
      <c r="D2819" s="201">
        <f>$C2819-$B2819+1</f>
        <v/>
      </c>
      <c r="E2819" s="201">
        <f>MONTH($B2819)</f>
        <v/>
      </c>
      <c r="F2819" s="235">
        <f>($B2819+$C2819+1)/2</f>
        <v/>
      </c>
      <c r="G2819" s="201">
        <f>YEAR($B2819)*12+MONTH($B2819)-1</f>
        <v/>
      </c>
      <c r="H2819" s="207">
        <f>IF(OR(nr_SeasonOn="OFF",$D$2776=0,$E$2776=0),1,12*INDEX(se_block,$D$2776,$E2819)/$E$2776)</f>
        <v/>
      </c>
      <c r="I2819" s="208">
        <f>EXP(SUMPRODUCT((rl_eff&lt;$B2819)*(rl_key=$A$2776)*rl_ln1p))</f>
        <v/>
      </c>
      <c r="J2819" s="208">
        <f>EXP(SUMPRODUCT((rl_eff&lt;=$C2819)*(rl_key=$A$2776)*rl_ln1p))</f>
        <v/>
      </c>
      <c r="K2819" s="201">
        <f>COUNTIFS(rl_key,$A$2776,rl_eff,"&gt;="&amp;$B2819,rl_eff,"&lt;="&amp;$C2819)</f>
        <v/>
      </c>
      <c r="L2819" s="201">
        <f>SUMIFS(rl_daysafter,rl_key,$A$2776,rl_effmonth,$B2819,rl_first,1)</f>
        <v/>
      </c>
      <c r="M2819" s="209">
        <f>IF($K2819=0,0,MIN(1,$L2819/$D2819))</f>
        <v/>
      </c>
      <c r="N2819" s="208">
        <f>IF($K2819=0,$J2819,(1-$M2819)*$I2819+$M2819*$J2819)</f>
        <v/>
      </c>
      <c r="O2819" s="209">
        <f>IF($F2819&lt;$B$2777,$E$2777+$I$2777*($F2819-$A$2777),IF($F2819&lt;$C$2777,$F$2777+$J$2777*($F2819-$B$2777),$G$2777+$K$2777*($F2819-$C$2777)))</f>
        <v/>
      </c>
      <c r="P2819" s="208">
        <f>MIN(1,MAX(0,(nr_MEndPm1-$G2819+0.5)/$C$2776))-MIN(1,MAX(0,(nr_MStartPm1-1-$G2819+0.5)/$C$2776))</f>
        <v/>
      </c>
      <c r="Q2819" s="208">
        <f>MIN(1,MAX(0,(nr_MEndP-$G2819+0.5)/$C$2776))-MIN(1,MAX(0,(nr_MStartP-1-$G2819+0.5)/$C$2776))</f>
        <v/>
      </c>
      <c r="R2819" s="208">
        <f>MIN(1,MAX(0,(nr_MEndP1-$G2819+0.5)/$C$2776))-MIN(1,MAX(0,(nr_MStartP1-1-$G2819+0.5)/$C$2776))</f>
        <v/>
      </c>
      <c r="S2819" s="208">
        <f>IF($L$2776,$N2819*IF($O$2776=1,$O2819/$F$2776,1),"")</f>
        <v/>
      </c>
      <c r="T2819" s="208">
        <f>IF(NOT($L$2776),"",IF($G2819&lt;nr_MStartP,$S2819,$T2807*(1+IF($G2819&lt;nr_MStartP1,$M$2776,$N$2776))))</f>
        <v/>
      </c>
      <c r="U2819" s="208">
        <f>IF($L$2776,$T2819,$N2819)</f>
        <v/>
      </c>
    </row>
    <row r="2820">
      <c r="A2820" s="145" t="n">
        <v>42</v>
      </c>
      <c r="B2820" s="204">
        <f>EDATE($B2819,1)</f>
        <v/>
      </c>
      <c r="C2820" s="205">
        <f>EOMONTH($B2820,0)</f>
        <v/>
      </c>
      <c r="D2820" s="201">
        <f>$C2820-$B2820+1</f>
        <v/>
      </c>
      <c r="E2820" s="201">
        <f>MONTH($B2820)</f>
        <v/>
      </c>
      <c r="F2820" s="235">
        <f>($B2820+$C2820+1)/2</f>
        <v/>
      </c>
      <c r="G2820" s="201">
        <f>YEAR($B2820)*12+MONTH($B2820)-1</f>
        <v/>
      </c>
      <c r="H2820" s="207">
        <f>IF(OR(nr_SeasonOn="OFF",$D$2776=0,$E$2776=0),1,12*INDEX(se_block,$D$2776,$E2820)/$E$2776)</f>
        <v/>
      </c>
      <c r="I2820" s="208">
        <f>EXP(SUMPRODUCT((rl_eff&lt;$B2820)*(rl_key=$A$2776)*rl_ln1p))</f>
        <v/>
      </c>
      <c r="J2820" s="208">
        <f>EXP(SUMPRODUCT((rl_eff&lt;=$C2820)*(rl_key=$A$2776)*rl_ln1p))</f>
        <v/>
      </c>
      <c r="K2820" s="201">
        <f>COUNTIFS(rl_key,$A$2776,rl_eff,"&gt;="&amp;$B2820,rl_eff,"&lt;="&amp;$C2820)</f>
        <v/>
      </c>
      <c r="L2820" s="201">
        <f>SUMIFS(rl_daysafter,rl_key,$A$2776,rl_effmonth,$B2820,rl_first,1)</f>
        <v/>
      </c>
      <c r="M2820" s="209">
        <f>IF($K2820=0,0,MIN(1,$L2820/$D2820))</f>
        <v/>
      </c>
      <c r="N2820" s="208">
        <f>IF($K2820=0,$J2820,(1-$M2820)*$I2820+$M2820*$J2820)</f>
        <v/>
      </c>
      <c r="O2820" s="209">
        <f>IF($F2820&lt;$B$2777,$E$2777+$I$2777*($F2820-$A$2777),IF($F2820&lt;$C$2777,$F$2777+$J$2777*($F2820-$B$2777),$G$2777+$K$2777*($F2820-$C$2777)))</f>
        <v/>
      </c>
      <c r="P2820" s="208">
        <f>MIN(1,MAX(0,(nr_MEndPm1-$G2820+0.5)/$C$2776))-MIN(1,MAX(0,(nr_MStartPm1-1-$G2820+0.5)/$C$2776))</f>
        <v/>
      </c>
      <c r="Q2820" s="208">
        <f>MIN(1,MAX(0,(nr_MEndP-$G2820+0.5)/$C$2776))-MIN(1,MAX(0,(nr_MStartP-1-$G2820+0.5)/$C$2776))</f>
        <v/>
      </c>
      <c r="R2820" s="208">
        <f>MIN(1,MAX(0,(nr_MEndP1-$G2820+0.5)/$C$2776))-MIN(1,MAX(0,(nr_MStartP1-1-$G2820+0.5)/$C$2776))</f>
        <v/>
      </c>
      <c r="S2820" s="208">
        <f>IF($L$2776,$N2820*IF($O$2776=1,$O2820/$F$2776,1),"")</f>
        <v/>
      </c>
      <c r="T2820" s="208">
        <f>IF(NOT($L$2776),"",IF($G2820&lt;nr_MStartP,$S2820,$T2808*(1+IF($G2820&lt;nr_MStartP1,$M$2776,$N$2776))))</f>
        <v/>
      </c>
      <c r="U2820" s="208">
        <f>IF($L$2776,$T2820,$N2820)</f>
        <v/>
      </c>
    </row>
    <row r="2821">
      <c r="A2821" s="145" t="n">
        <v>43</v>
      </c>
      <c r="B2821" s="204">
        <f>EDATE($B2820,1)</f>
        <v/>
      </c>
      <c r="C2821" s="205">
        <f>EOMONTH($B2821,0)</f>
        <v/>
      </c>
      <c r="D2821" s="201">
        <f>$C2821-$B2821+1</f>
        <v/>
      </c>
      <c r="E2821" s="201">
        <f>MONTH($B2821)</f>
        <v/>
      </c>
      <c r="F2821" s="235">
        <f>($B2821+$C2821+1)/2</f>
        <v/>
      </c>
      <c r="G2821" s="201">
        <f>YEAR($B2821)*12+MONTH($B2821)-1</f>
        <v/>
      </c>
      <c r="H2821" s="207">
        <f>IF(OR(nr_SeasonOn="OFF",$D$2776=0,$E$2776=0),1,12*INDEX(se_block,$D$2776,$E2821)/$E$2776)</f>
        <v/>
      </c>
      <c r="I2821" s="208">
        <f>EXP(SUMPRODUCT((rl_eff&lt;$B2821)*(rl_key=$A$2776)*rl_ln1p))</f>
        <v/>
      </c>
      <c r="J2821" s="208">
        <f>EXP(SUMPRODUCT((rl_eff&lt;=$C2821)*(rl_key=$A$2776)*rl_ln1p))</f>
        <v/>
      </c>
      <c r="K2821" s="201">
        <f>COUNTIFS(rl_key,$A$2776,rl_eff,"&gt;="&amp;$B2821,rl_eff,"&lt;="&amp;$C2821)</f>
        <v/>
      </c>
      <c r="L2821" s="201">
        <f>SUMIFS(rl_daysafter,rl_key,$A$2776,rl_effmonth,$B2821,rl_first,1)</f>
        <v/>
      </c>
      <c r="M2821" s="209">
        <f>IF($K2821=0,0,MIN(1,$L2821/$D2821))</f>
        <v/>
      </c>
      <c r="N2821" s="208">
        <f>IF($K2821=0,$J2821,(1-$M2821)*$I2821+$M2821*$J2821)</f>
        <v/>
      </c>
      <c r="O2821" s="209">
        <f>IF($F2821&lt;$B$2777,$E$2777+$I$2777*($F2821-$A$2777),IF($F2821&lt;$C$2777,$F$2777+$J$2777*($F2821-$B$2777),$G$2777+$K$2777*($F2821-$C$2777)))</f>
        <v/>
      </c>
      <c r="P2821" s="208">
        <f>MIN(1,MAX(0,(nr_MEndPm1-$G2821+0.5)/$C$2776))-MIN(1,MAX(0,(nr_MStartPm1-1-$G2821+0.5)/$C$2776))</f>
        <v/>
      </c>
      <c r="Q2821" s="208">
        <f>MIN(1,MAX(0,(nr_MEndP-$G2821+0.5)/$C$2776))-MIN(1,MAX(0,(nr_MStartP-1-$G2821+0.5)/$C$2776))</f>
        <v/>
      </c>
      <c r="R2821" s="208">
        <f>MIN(1,MAX(0,(nr_MEndP1-$G2821+0.5)/$C$2776))-MIN(1,MAX(0,(nr_MStartP1-1-$G2821+0.5)/$C$2776))</f>
        <v/>
      </c>
      <c r="S2821" s="208">
        <f>IF($L$2776,$N2821*IF($O$2776=1,$O2821/$F$2776,1),"")</f>
        <v/>
      </c>
      <c r="T2821" s="208">
        <f>IF(NOT($L$2776),"",IF($G2821&lt;nr_MStartP,$S2821,$T2809*(1+IF($G2821&lt;nr_MStartP1,$M$2776,$N$2776))))</f>
        <v/>
      </c>
      <c r="U2821" s="208">
        <f>IF($L$2776,$T2821,$N2821)</f>
        <v/>
      </c>
    </row>
    <row r="2822">
      <c r="A2822" s="145" t="n">
        <v>44</v>
      </c>
      <c r="B2822" s="204">
        <f>EDATE($B2821,1)</f>
        <v/>
      </c>
      <c r="C2822" s="205">
        <f>EOMONTH($B2822,0)</f>
        <v/>
      </c>
      <c r="D2822" s="201">
        <f>$C2822-$B2822+1</f>
        <v/>
      </c>
      <c r="E2822" s="201">
        <f>MONTH($B2822)</f>
        <v/>
      </c>
      <c r="F2822" s="235">
        <f>($B2822+$C2822+1)/2</f>
        <v/>
      </c>
      <c r="G2822" s="201">
        <f>YEAR($B2822)*12+MONTH($B2822)-1</f>
        <v/>
      </c>
      <c r="H2822" s="207">
        <f>IF(OR(nr_SeasonOn="OFF",$D$2776=0,$E$2776=0),1,12*INDEX(se_block,$D$2776,$E2822)/$E$2776)</f>
        <v/>
      </c>
      <c r="I2822" s="208">
        <f>EXP(SUMPRODUCT((rl_eff&lt;$B2822)*(rl_key=$A$2776)*rl_ln1p))</f>
        <v/>
      </c>
      <c r="J2822" s="208">
        <f>EXP(SUMPRODUCT((rl_eff&lt;=$C2822)*(rl_key=$A$2776)*rl_ln1p))</f>
        <v/>
      </c>
      <c r="K2822" s="201">
        <f>COUNTIFS(rl_key,$A$2776,rl_eff,"&gt;="&amp;$B2822,rl_eff,"&lt;="&amp;$C2822)</f>
        <v/>
      </c>
      <c r="L2822" s="201">
        <f>SUMIFS(rl_daysafter,rl_key,$A$2776,rl_effmonth,$B2822,rl_first,1)</f>
        <v/>
      </c>
      <c r="M2822" s="209">
        <f>IF($K2822=0,0,MIN(1,$L2822/$D2822))</f>
        <v/>
      </c>
      <c r="N2822" s="208">
        <f>IF($K2822=0,$J2822,(1-$M2822)*$I2822+$M2822*$J2822)</f>
        <v/>
      </c>
      <c r="O2822" s="209">
        <f>IF($F2822&lt;$B$2777,$E$2777+$I$2777*($F2822-$A$2777),IF($F2822&lt;$C$2777,$F$2777+$J$2777*($F2822-$B$2777),$G$2777+$K$2777*($F2822-$C$2777)))</f>
        <v/>
      </c>
      <c r="P2822" s="208">
        <f>MIN(1,MAX(0,(nr_MEndPm1-$G2822+0.5)/$C$2776))-MIN(1,MAX(0,(nr_MStartPm1-1-$G2822+0.5)/$C$2776))</f>
        <v/>
      </c>
      <c r="Q2822" s="208">
        <f>MIN(1,MAX(0,(nr_MEndP-$G2822+0.5)/$C$2776))-MIN(1,MAX(0,(nr_MStartP-1-$G2822+0.5)/$C$2776))</f>
        <v/>
      </c>
      <c r="R2822" s="208">
        <f>MIN(1,MAX(0,(nr_MEndP1-$G2822+0.5)/$C$2776))-MIN(1,MAX(0,(nr_MStartP1-1-$G2822+0.5)/$C$2776))</f>
        <v/>
      </c>
      <c r="S2822" s="208">
        <f>IF($L$2776,$N2822*IF($O$2776=1,$O2822/$F$2776,1),"")</f>
        <v/>
      </c>
      <c r="T2822" s="208">
        <f>IF(NOT($L$2776),"",IF($G2822&lt;nr_MStartP,$S2822,$T2810*(1+IF($G2822&lt;nr_MStartP1,$M$2776,$N$2776))))</f>
        <v/>
      </c>
      <c r="U2822" s="208">
        <f>IF($L$2776,$T2822,$N2822)</f>
        <v/>
      </c>
    </row>
    <row r="2823">
      <c r="A2823" s="145" t="n">
        <v>45</v>
      </c>
      <c r="B2823" s="204">
        <f>EDATE($B2822,1)</f>
        <v/>
      </c>
      <c r="C2823" s="205">
        <f>EOMONTH($B2823,0)</f>
        <v/>
      </c>
      <c r="D2823" s="201">
        <f>$C2823-$B2823+1</f>
        <v/>
      </c>
      <c r="E2823" s="201">
        <f>MONTH($B2823)</f>
        <v/>
      </c>
      <c r="F2823" s="235">
        <f>($B2823+$C2823+1)/2</f>
        <v/>
      </c>
      <c r="G2823" s="201">
        <f>YEAR($B2823)*12+MONTH($B2823)-1</f>
        <v/>
      </c>
      <c r="H2823" s="207">
        <f>IF(OR(nr_SeasonOn="OFF",$D$2776=0,$E$2776=0),1,12*INDEX(se_block,$D$2776,$E2823)/$E$2776)</f>
        <v/>
      </c>
      <c r="I2823" s="208">
        <f>EXP(SUMPRODUCT((rl_eff&lt;$B2823)*(rl_key=$A$2776)*rl_ln1p))</f>
        <v/>
      </c>
      <c r="J2823" s="208">
        <f>EXP(SUMPRODUCT((rl_eff&lt;=$C2823)*(rl_key=$A$2776)*rl_ln1p))</f>
        <v/>
      </c>
      <c r="K2823" s="201">
        <f>COUNTIFS(rl_key,$A$2776,rl_eff,"&gt;="&amp;$B2823,rl_eff,"&lt;="&amp;$C2823)</f>
        <v/>
      </c>
      <c r="L2823" s="201">
        <f>SUMIFS(rl_daysafter,rl_key,$A$2776,rl_effmonth,$B2823,rl_first,1)</f>
        <v/>
      </c>
      <c r="M2823" s="209">
        <f>IF($K2823=0,0,MIN(1,$L2823/$D2823))</f>
        <v/>
      </c>
      <c r="N2823" s="208">
        <f>IF($K2823=0,$J2823,(1-$M2823)*$I2823+$M2823*$J2823)</f>
        <v/>
      </c>
      <c r="O2823" s="209">
        <f>IF($F2823&lt;$B$2777,$E$2777+$I$2777*($F2823-$A$2777),IF($F2823&lt;$C$2777,$F$2777+$J$2777*($F2823-$B$2777),$G$2777+$K$2777*($F2823-$C$2777)))</f>
        <v/>
      </c>
      <c r="P2823" s="208">
        <f>MIN(1,MAX(0,(nr_MEndPm1-$G2823+0.5)/$C$2776))-MIN(1,MAX(0,(nr_MStartPm1-1-$G2823+0.5)/$C$2776))</f>
        <v/>
      </c>
      <c r="Q2823" s="208">
        <f>MIN(1,MAX(0,(nr_MEndP-$G2823+0.5)/$C$2776))-MIN(1,MAX(0,(nr_MStartP-1-$G2823+0.5)/$C$2776))</f>
        <v/>
      </c>
      <c r="R2823" s="208">
        <f>MIN(1,MAX(0,(nr_MEndP1-$G2823+0.5)/$C$2776))-MIN(1,MAX(0,(nr_MStartP1-1-$G2823+0.5)/$C$2776))</f>
        <v/>
      </c>
      <c r="S2823" s="208">
        <f>IF($L$2776,$N2823*IF($O$2776=1,$O2823/$F$2776,1),"")</f>
        <v/>
      </c>
      <c r="T2823" s="208">
        <f>IF(NOT($L$2776),"",IF($G2823&lt;nr_MStartP,$S2823,$T2811*(1+IF($G2823&lt;nr_MStartP1,$M$2776,$N$2776))))</f>
        <v/>
      </c>
      <c r="U2823" s="208">
        <f>IF($L$2776,$T2823,$N2823)</f>
        <v/>
      </c>
    </row>
    <row r="2824">
      <c r="A2824" s="145" t="n">
        <v>46</v>
      </c>
      <c r="B2824" s="204">
        <f>EDATE($B2823,1)</f>
        <v/>
      </c>
      <c r="C2824" s="205">
        <f>EOMONTH($B2824,0)</f>
        <v/>
      </c>
      <c r="D2824" s="201">
        <f>$C2824-$B2824+1</f>
        <v/>
      </c>
      <c r="E2824" s="201">
        <f>MONTH($B2824)</f>
        <v/>
      </c>
      <c r="F2824" s="235">
        <f>($B2824+$C2824+1)/2</f>
        <v/>
      </c>
      <c r="G2824" s="201">
        <f>YEAR($B2824)*12+MONTH($B2824)-1</f>
        <v/>
      </c>
      <c r="H2824" s="207">
        <f>IF(OR(nr_SeasonOn="OFF",$D$2776=0,$E$2776=0),1,12*INDEX(se_block,$D$2776,$E2824)/$E$2776)</f>
        <v/>
      </c>
      <c r="I2824" s="208">
        <f>EXP(SUMPRODUCT((rl_eff&lt;$B2824)*(rl_key=$A$2776)*rl_ln1p))</f>
        <v/>
      </c>
      <c r="J2824" s="208">
        <f>EXP(SUMPRODUCT((rl_eff&lt;=$C2824)*(rl_key=$A$2776)*rl_ln1p))</f>
        <v/>
      </c>
      <c r="K2824" s="201">
        <f>COUNTIFS(rl_key,$A$2776,rl_eff,"&gt;="&amp;$B2824,rl_eff,"&lt;="&amp;$C2824)</f>
        <v/>
      </c>
      <c r="L2824" s="201">
        <f>SUMIFS(rl_daysafter,rl_key,$A$2776,rl_effmonth,$B2824,rl_first,1)</f>
        <v/>
      </c>
      <c r="M2824" s="209">
        <f>IF($K2824=0,0,MIN(1,$L2824/$D2824))</f>
        <v/>
      </c>
      <c r="N2824" s="208">
        <f>IF($K2824=0,$J2824,(1-$M2824)*$I2824+$M2824*$J2824)</f>
        <v/>
      </c>
      <c r="O2824" s="209">
        <f>IF($F2824&lt;$B$2777,$E$2777+$I$2777*($F2824-$A$2777),IF($F2824&lt;$C$2777,$F$2777+$J$2777*($F2824-$B$2777),$G$2777+$K$2777*($F2824-$C$2777)))</f>
        <v/>
      </c>
      <c r="P2824" s="208">
        <f>MIN(1,MAX(0,(nr_MEndPm1-$G2824+0.5)/$C$2776))-MIN(1,MAX(0,(nr_MStartPm1-1-$G2824+0.5)/$C$2776))</f>
        <v/>
      </c>
      <c r="Q2824" s="208">
        <f>MIN(1,MAX(0,(nr_MEndP-$G2824+0.5)/$C$2776))-MIN(1,MAX(0,(nr_MStartP-1-$G2824+0.5)/$C$2776))</f>
        <v/>
      </c>
      <c r="R2824" s="208">
        <f>MIN(1,MAX(0,(nr_MEndP1-$G2824+0.5)/$C$2776))-MIN(1,MAX(0,(nr_MStartP1-1-$G2824+0.5)/$C$2776))</f>
        <v/>
      </c>
      <c r="S2824" s="208">
        <f>IF($L$2776,$N2824*IF($O$2776=1,$O2824/$F$2776,1),"")</f>
        <v/>
      </c>
      <c r="T2824" s="208">
        <f>IF(NOT($L$2776),"",IF($G2824&lt;nr_MStartP,$S2824,$T2812*(1+IF($G2824&lt;nr_MStartP1,$M$2776,$N$2776))))</f>
        <v/>
      </c>
      <c r="U2824" s="208">
        <f>IF($L$2776,$T2824,$N2824)</f>
        <v/>
      </c>
    </row>
    <row r="2825">
      <c r="A2825" s="145" t="n">
        <v>47</v>
      </c>
      <c r="B2825" s="204">
        <f>EDATE($B2824,1)</f>
        <v/>
      </c>
      <c r="C2825" s="205">
        <f>EOMONTH($B2825,0)</f>
        <v/>
      </c>
      <c r="D2825" s="201">
        <f>$C2825-$B2825+1</f>
        <v/>
      </c>
      <c r="E2825" s="201">
        <f>MONTH($B2825)</f>
        <v/>
      </c>
      <c r="F2825" s="235">
        <f>($B2825+$C2825+1)/2</f>
        <v/>
      </c>
      <c r="G2825" s="201">
        <f>YEAR($B2825)*12+MONTH($B2825)-1</f>
        <v/>
      </c>
      <c r="H2825" s="207">
        <f>IF(OR(nr_SeasonOn="OFF",$D$2776=0,$E$2776=0),1,12*INDEX(se_block,$D$2776,$E2825)/$E$2776)</f>
        <v/>
      </c>
      <c r="I2825" s="208">
        <f>EXP(SUMPRODUCT((rl_eff&lt;$B2825)*(rl_key=$A$2776)*rl_ln1p))</f>
        <v/>
      </c>
      <c r="J2825" s="208">
        <f>EXP(SUMPRODUCT((rl_eff&lt;=$C2825)*(rl_key=$A$2776)*rl_ln1p))</f>
        <v/>
      </c>
      <c r="K2825" s="201">
        <f>COUNTIFS(rl_key,$A$2776,rl_eff,"&gt;="&amp;$B2825,rl_eff,"&lt;="&amp;$C2825)</f>
        <v/>
      </c>
      <c r="L2825" s="201">
        <f>SUMIFS(rl_daysafter,rl_key,$A$2776,rl_effmonth,$B2825,rl_first,1)</f>
        <v/>
      </c>
      <c r="M2825" s="209">
        <f>IF($K2825=0,0,MIN(1,$L2825/$D2825))</f>
        <v/>
      </c>
      <c r="N2825" s="208">
        <f>IF($K2825=0,$J2825,(1-$M2825)*$I2825+$M2825*$J2825)</f>
        <v/>
      </c>
      <c r="O2825" s="209">
        <f>IF($F2825&lt;$B$2777,$E$2777+$I$2777*($F2825-$A$2777),IF($F2825&lt;$C$2777,$F$2777+$J$2777*($F2825-$B$2777),$G$2777+$K$2777*($F2825-$C$2777)))</f>
        <v/>
      </c>
      <c r="P2825" s="208">
        <f>MIN(1,MAX(0,(nr_MEndPm1-$G2825+0.5)/$C$2776))-MIN(1,MAX(0,(nr_MStartPm1-1-$G2825+0.5)/$C$2776))</f>
        <v/>
      </c>
      <c r="Q2825" s="208">
        <f>MIN(1,MAX(0,(nr_MEndP-$G2825+0.5)/$C$2776))-MIN(1,MAX(0,(nr_MStartP-1-$G2825+0.5)/$C$2776))</f>
        <v/>
      </c>
      <c r="R2825" s="208">
        <f>MIN(1,MAX(0,(nr_MEndP1-$G2825+0.5)/$C$2776))-MIN(1,MAX(0,(nr_MStartP1-1-$G2825+0.5)/$C$2776))</f>
        <v/>
      </c>
      <c r="S2825" s="208">
        <f>IF($L$2776,$N2825*IF($O$2776=1,$O2825/$F$2776,1),"")</f>
        <v/>
      </c>
      <c r="T2825" s="208">
        <f>IF(NOT($L$2776),"",IF($G2825&lt;nr_MStartP,$S2825,$T2813*(1+IF($G2825&lt;nr_MStartP1,$M$2776,$N$2776))))</f>
        <v/>
      </c>
      <c r="U2825" s="208">
        <f>IF($L$2776,$T2825,$N2825)</f>
        <v/>
      </c>
    </row>
    <row r="2826">
      <c r="A2826" s="145" t="n">
        <v>48</v>
      </c>
      <c r="B2826" s="204">
        <f>EDATE($B2825,1)</f>
        <v/>
      </c>
      <c r="C2826" s="205">
        <f>EOMONTH($B2826,0)</f>
        <v/>
      </c>
      <c r="D2826" s="201">
        <f>$C2826-$B2826+1</f>
        <v/>
      </c>
      <c r="E2826" s="201">
        <f>MONTH($B2826)</f>
        <v/>
      </c>
      <c r="F2826" s="235">
        <f>($B2826+$C2826+1)/2</f>
        <v/>
      </c>
      <c r="G2826" s="201">
        <f>YEAR($B2826)*12+MONTH($B2826)-1</f>
        <v/>
      </c>
      <c r="H2826" s="207">
        <f>IF(OR(nr_SeasonOn="OFF",$D$2776=0,$E$2776=0),1,12*INDEX(se_block,$D$2776,$E2826)/$E$2776)</f>
        <v/>
      </c>
      <c r="I2826" s="208">
        <f>EXP(SUMPRODUCT((rl_eff&lt;$B2826)*(rl_key=$A$2776)*rl_ln1p))</f>
        <v/>
      </c>
      <c r="J2826" s="208">
        <f>EXP(SUMPRODUCT((rl_eff&lt;=$C2826)*(rl_key=$A$2776)*rl_ln1p))</f>
        <v/>
      </c>
      <c r="K2826" s="201">
        <f>COUNTIFS(rl_key,$A$2776,rl_eff,"&gt;="&amp;$B2826,rl_eff,"&lt;="&amp;$C2826)</f>
        <v/>
      </c>
      <c r="L2826" s="201">
        <f>SUMIFS(rl_daysafter,rl_key,$A$2776,rl_effmonth,$B2826,rl_first,1)</f>
        <v/>
      </c>
      <c r="M2826" s="209">
        <f>IF($K2826=0,0,MIN(1,$L2826/$D2826))</f>
        <v/>
      </c>
      <c r="N2826" s="208">
        <f>IF($K2826=0,$J2826,(1-$M2826)*$I2826+$M2826*$J2826)</f>
        <v/>
      </c>
      <c r="O2826" s="209">
        <f>IF($F2826&lt;$B$2777,$E$2777+$I$2777*($F2826-$A$2777),IF($F2826&lt;$C$2777,$F$2777+$J$2777*($F2826-$B$2777),$G$2777+$K$2777*($F2826-$C$2777)))</f>
        <v/>
      </c>
      <c r="P2826" s="208">
        <f>MIN(1,MAX(0,(nr_MEndPm1-$G2826+0.5)/$C$2776))-MIN(1,MAX(0,(nr_MStartPm1-1-$G2826+0.5)/$C$2776))</f>
        <v/>
      </c>
      <c r="Q2826" s="208">
        <f>MIN(1,MAX(0,(nr_MEndP-$G2826+0.5)/$C$2776))-MIN(1,MAX(0,(nr_MStartP-1-$G2826+0.5)/$C$2776))</f>
        <v/>
      </c>
      <c r="R2826" s="208">
        <f>MIN(1,MAX(0,(nr_MEndP1-$G2826+0.5)/$C$2776))-MIN(1,MAX(0,(nr_MStartP1-1-$G2826+0.5)/$C$2776))</f>
        <v/>
      </c>
      <c r="S2826" s="208">
        <f>IF($L$2776,$N2826*IF($O$2776=1,$O2826/$F$2776,1),"")</f>
        <v/>
      </c>
      <c r="T2826" s="208">
        <f>IF(NOT($L$2776),"",IF($G2826&lt;nr_MStartP,$S2826,$T2814*(1+IF($G2826&lt;nr_MStartP1,$M$2776,$N$2776))))</f>
        <v/>
      </c>
      <c r="U2826" s="208">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184">
        <f>SUMPRODUCT($H$2779:$H$2826,$Q$2779:$Q$2826,$O$2779:$O$2826)/SUMPRODUCT($H$2779:$H$2826,$Q$2779:$Q$2826)</f>
        <v/>
      </c>
      <c r="G2827" s="184">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184">
        <f>IF(N(INDEX(lr_mind,52))=0,1,INDEX(lr_mind,52))</f>
        <v/>
      </c>
      <c r="G2830" s="184">
        <f>IF(N(INDEX(lr_m0,52))=0,1,INDEX(lr_m0,52))</f>
        <v/>
      </c>
      <c r="H2830" s="73">
        <f>IF(N(INDEX(lr_m0asof,52))=0,DATE(nr_PlanYear-1,10,1),INDEX(lr_m0asof,52))</f>
        <v/>
      </c>
      <c r="I2830" s="184">
        <f>IF(N(INDEX(lr_m1,52))=0,1,INDEX(lr_m1,52))</f>
        <v/>
      </c>
      <c r="J2830" s="184">
        <f>INDEX(lr_mprior,52)</f>
        <v/>
      </c>
      <c r="K2830" s="184">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145" t="n">
        <v>1</v>
      </c>
      <c r="B2833" s="204">
        <f>DATE(nr_PlanYear-2,1,1)</f>
        <v/>
      </c>
      <c r="C2833" s="205">
        <f>EOMONTH($B2833,0)</f>
        <v/>
      </c>
      <c r="D2833" s="201">
        <f>$C2833-$B2833+1</f>
        <v/>
      </c>
      <c r="E2833" s="201">
        <f>MONTH($B2833)</f>
        <v/>
      </c>
      <c r="F2833" s="235">
        <f>($B2833+$C2833+1)/2</f>
        <v/>
      </c>
      <c r="G2833" s="201">
        <f>YEAR($B2833)*12+MONTH($B2833)-1</f>
        <v/>
      </c>
      <c r="H2833" s="207">
        <f>IF(OR(nr_SeasonOn="OFF",$D$2830=0,$E$2830=0),1,12*INDEX(se_block,$D$2830,$E2833)/$E$2830)</f>
        <v/>
      </c>
      <c r="I2833" s="208">
        <f>EXP(SUMPRODUCT((rl_eff&lt;$B2833)*(rl_key=$A$2830)*rl_ln1p))</f>
        <v/>
      </c>
      <c r="J2833" s="208">
        <f>EXP(SUMPRODUCT((rl_eff&lt;=$C2833)*(rl_key=$A$2830)*rl_ln1p))</f>
        <v/>
      </c>
      <c r="K2833" s="201">
        <f>COUNTIFS(rl_key,$A$2830,rl_eff,"&gt;="&amp;$B2833,rl_eff,"&lt;="&amp;$C2833)</f>
        <v/>
      </c>
      <c r="L2833" s="201">
        <f>SUMIFS(rl_daysafter,rl_key,$A$2830,rl_effmonth,$B2833,rl_first,1)</f>
        <v/>
      </c>
      <c r="M2833" s="209">
        <f>IF($K2833=0,0,MIN(1,$L2833/$D2833))</f>
        <v/>
      </c>
      <c r="N2833" s="208">
        <f>IF($K2833=0,$J2833,(1-$M2833)*$I2833+$M2833*$J2833)</f>
        <v/>
      </c>
      <c r="O2833" s="209">
        <f>IF($F2833&lt;$B$2831,$E$2831+$I$2831*($F2833-$A$2831),IF($F2833&lt;$C$2831,$F$2831+$J$2831*($F2833-$B$2831),$G$2831+$K$2831*($F2833-$C$2831)))</f>
        <v/>
      </c>
      <c r="P2833" s="208">
        <f>MIN(1,MAX(0,(nr_MEndPm1-$G2833+0.5)/$C$2830))-MIN(1,MAX(0,(nr_MStartPm1-1-$G2833+0.5)/$C$2830))</f>
        <v/>
      </c>
      <c r="Q2833" s="208">
        <f>MIN(1,MAX(0,(nr_MEndP-$G2833+0.5)/$C$2830))-MIN(1,MAX(0,(nr_MStartP-1-$G2833+0.5)/$C$2830))</f>
        <v/>
      </c>
      <c r="R2833" s="208">
        <f>MIN(1,MAX(0,(nr_MEndP1-$G2833+0.5)/$C$2830))-MIN(1,MAX(0,(nr_MStartP1-1-$G2833+0.5)/$C$2830))</f>
        <v/>
      </c>
      <c r="S2833" s="208">
        <f>IF($L$2830,$N2833*IF($O$2830=1,$O2833/$F$2830,1),"")</f>
        <v/>
      </c>
      <c r="T2833" s="208">
        <f>IF(NOT($L$2830),"",IF($G2833&lt;nr_MStartP,$S2833,$T2821*(1+IF($G2833&lt;nr_MStartP1,$M$2830,$N$2830))))</f>
        <v/>
      </c>
      <c r="U2833" s="208">
        <f>IF($L$2830,$T2833,$N2833)</f>
        <v/>
      </c>
    </row>
    <row r="2834">
      <c r="A2834" s="145" t="n">
        <v>2</v>
      </c>
      <c r="B2834" s="204">
        <f>EDATE($B2833,1)</f>
        <v/>
      </c>
      <c r="C2834" s="205">
        <f>EOMONTH($B2834,0)</f>
        <v/>
      </c>
      <c r="D2834" s="201">
        <f>$C2834-$B2834+1</f>
        <v/>
      </c>
      <c r="E2834" s="201">
        <f>MONTH($B2834)</f>
        <v/>
      </c>
      <c r="F2834" s="235">
        <f>($B2834+$C2834+1)/2</f>
        <v/>
      </c>
      <c r="G2834" s="201">
        <f>YEAR($B2834)*12+MONTH($B2834)-1</f>
        <v/>
      </c>
      <c r="H2834" s="207">
        <f>IF(OR(nr_SeasonOn="OFF",$D$2830=0,$E$2830=0),1,12*INDEX(se_block,$D$2830,$E2834)/$E$2830)</f>
        <v/>
      </c>
      <c r="I2834" s="208">
        <f>EXP(SUMPRODUCT((rl_eff&lt;$B2834)*(rl_key=$A$2830)*rl_ln1p))</f>
        <v/>
      </c>
      <c r="J2834" s="208">
        <f>EXP(SUMPRODUCT((rl_eff&lt;=$C2834)*(rl_key=$A$2830)*rl_ln1p))</f>
        <v/>
      </c>
      <c r="K2834" s="201">
        <f>COUNTIFS(rl_key,$A$2830,rl_eff,"&gt;="&amp;$B2834,rl_eff,"&lt;="&amp;$C2834)</f>
        <v/>
      </c>
      <c r="L2834" s="201">
        <f>SUMIFS(rl_daysafter,rl_key,$A$2830,rl_effmonth,$B2834,rl_first,1)</f>
        <v/>
      </c>
      <c r="M2834" s="209">
        <f>IF($K2834=0,0,MIN(1,$L2834/$D2834))</f>
        <v/>
      </c>
      <c r="N2834" s="208">
        <f>IF($K2834=0,$J2834,(1-$M2834)*$I2834+$M2834*$J2834)</f>
        <v/>
      </c>
      <c r="O2834" s="209">
        <f>IF($F2834&lt;$B$2831,$E$2831+$I$2831*($F2834-$A$2831),IF($F2834&lt;$C$2831,$F$2831+$J$2831*($F2834-$B$2831),$G$2831+$K$2831*($F2834-$C$2831)))</f>
        <v/>
      </c>
      <c r="P2834" s="208">
        <f>MIN(1,MAX(0,(nr_MEndPm1-$G2834+0.5)/$C$2830))-MIN(1,MAX(0,(nr_MStartPm1-1-$G2834+0.5)/$C$2830))</f>
        <v/>
      </c>
      <c r="Q2834" s="208">
        <f>MIN(1,MAX(0,(nr_MEndP-$G2834+0.5)/$C$2830))-MIN(1,MAX(0,(nr_MStartP-1-$G2834+0.5)/$C$2830))</f>
        <v/>
      </c>
      <c r="R2834" s="208">
        <f>MIN(1,MAX(0,(nr_MEndP1-$G2834+0.5)/$C$2830))-MIN(1,MAX(0,(nr_MStartP1-1-$G2834+0.5)/$C$2830))</f>
        <v/>
      </c>
      <c r="S2834" s="208">
        <f>IF($L$2830,$N2834*IF($O$2830=1,$O2834/$F$2830,1),"")</f>
        <v/>
      </c>
      <c r="T2834" s="208">
        <f>IF(NOT($L$2830),"",IF($G2834&lt;nr_MStartP,$S2834,$T2822*(1+IF($G2834&lt;nr_MStartP1,$M$2830,$N$2830))))</f>
        <v/>
      </c>
      <c r="U2834" s="208">
        <f>IF($L$2830,$T2834,$N2834)</f>
        <v/>
      </c>
    </row>
    <row r="2835">
      <c r="A2835" s="145" t="n">
        <v>3</v>
      </c>
      <c r="B2835" s="204">
        <f>EDATE($B2834,1)</f>
        <v/>
      </c>
      <c r="C2835" s="205">
        <f>EOMONTH($B2835,0)</f>
        <v/>
      </c>
      <c r="D2835" s="201">
        <f>$C2835-$B2835+1</f>
        <v/>
      </c>
      <c r="E2835" s="201">
        <f>MONTH($B2835)</f>
        <v/>
      </c>
      <c r="F2835" s="235">
        <f>($B2835+$C2835+1)/2</f>
        <v/>
      </c>
      <c r="G2835" s="201">
        <f>YEAR($B2835)*12+MONTH($B2835)-1</f>
        <v/>
      </c>
      <c r="H2835" s="207">
        <f>IF(OR(nr_SeasonOn="OFF",$D$2830=0,$E$2830=0),1,12*INDEX(se_block,$D$2830,$E2835)/$E$2830)</f>
        <v/>
      </c>
      <c r="I2835" s="208">
        <f>EXP(SUMPRODUCT((rl_eff&lt;$B2835)*(rl_key=$A$2830)*rl_ln1p))</f>
        <v/>
      </c>
      <c r="J2835" s="208">
        <f>EXP(SUMPRODUCT((rl_eff&lt;=$C2835)*(rl_key=$A$2830)*rl_ln1p))</f>
        <v/>
      </c>
      <c r="K2835" s="201">
        <f>COUNTIFS(rl_key,$A$2830,rl_eff,"&gt;="&amp;$B2835,rl_eff,"&lt;="&amp;$C2835)</f>
        <v/>
      </c>
      <c r="L2835" s="201">
        <f>SUMIFS(rl_daysafter,rl_key,$A$2830,rl_effmonth,$B2835,rl_first,1)</f>
        <v/>
      </c>
      <c r="M2835" s="209">
        <f>IF($K2835=0,0,MIN(1,$L2835/$D2835))</f>
        <v/>
      </c>
      <c r="N2835" s="208">
        <f>IF($K2835=0,$J2835,(1-$M2835)*$I2835+$M2835*$J2835)</f>
        <v/>
      </c>
      <c r="O2835" s="209">
        <f>IF($F2835&lt;$B$2831,$E$2831+$I$2831*($F2835-$A$2831),IF($F2835&lt;$C$2831,$F$2831+$J$2831*($F2835-$B$2831),$G$2831+$K$2831*($F2835-$C$2831)))</f>
        <v/>
      </c>
      <c r="P2835" s="208">
        <f>MIN(1,MAX(0,(nr_MEndPm1-$G2835+0.5)/$C$2830))-MIN(1,MAX(0,(nr_MStartPm1-1-$G2835+0.5)/$C$2830))</f>
        <v/>
      </c>
      <c r="Q2835" s="208">
        <f>MIN(1,MAX(0,(nr_MEndP-$G2835+0.5)/$C$2830))-MIN(1,MAX(0,(nr_MStartP-1-$G2835+0.5)/$C$2830))</f>
        <v/>
      </c>
      <c r="R2835" s="208">
        <f>MIN(1,MAX(0,(nr_MEndP1-$G2835+0.5)/$C$2830))-MIN(1,MAX(0,(nr_MStartP1-1-$G2835+0.5)/$C$2830))</f>
        <v/>
      </c>
      <c r="S2835" s="208">
        <f>IF($L$2830,$N2835*IF($O$2830=1,$O2835/$F$2830,1),"")</f>
        <v/>
      </c>
      <c r="T2835" s="208">
        <f>IF(NOT($L$2830),"",IF($G2835&lt;nr_MStartP,$S2835,$T2823*(1+IF($G2835&lt;nr_MStartP1,$M$2830,$N$2830))))</f>
        <v/>
      </c>
      <c r="U2835" s="208">
        <f>IF($L$2830,$T2835,$N2835)</f>
        <v/>
      </c>
    </row>
    <row r="2836">
      <c r="A2836" s="145" t="n">
        <v>4</v>
      </c>
      <c r="B2836" s="204">
        <f>EDATE($B2835,1)</f>
        <v/>
      </c>
      <c r="C2836" s="205">
        <f>EOMONTH($B2836,0)</f>
        <v/>
      </c>
      <c r="D2836" s="201">
        <f>$C2836-$B2836+1</f>
        <v/>
      </c>
      <c r="E2836" s="201">
        <f>MONTH($B2836)</f>
        <v/>
      </c>
      <c r="F2836" s="235">
        <f>($B2836+$C2836+1)/2</f>
        <v/>
      </c>
      <c r="G2836" s="201">
        <f>YEAR($B2836)*12+MONTH($B2836)-1</f>
        <v/>
      </c>
      <c r="H2836" s="207">
        <f>IF(OR(nr_SeasonOn="OFF",$D$2830=0,$E$2830=0),1,12*INDEX(se_block,$D$2830,$E2836)/$E$2830)</f>
        <v/>
      </c>
      <c r="I2836" s="208">
        <f>EXP(SUMPRODUCT((rl_eff&lt;$B2836)*(rl_key=$A$2830)*rl_ln1p))</f>
        <v/>
      </c>
      <c r="J2836" s="208">
        <f>EXP(SUMPRODUCT((rl_eff&lt;=$C2836)*(rl_key=$A$2830)*rl_ln1p))</f>
        <v/>
      </c>
      <c r="K2836" s="201">
        <f>COUNTIFS(rl_key,$A$2830,rl_eff,"&gt;="&amp;$B2836,rl_eff,"&lt;="&amp;$C2836)</f>
        <v/>
      </c>
      <c r="L2836" s="201">
        <f>SUMIFS(rl_daysafter,rl_key,$A$2830,rl_effmonth,$B2836,rl_first,1)</f>
        <v/>
      </c>
      <c r="M2836" s="209">
        <f>IF($K2836=0,0,MIN(1,$L2836/$D2836))</f>
        <v/>
      </c>
      <c r="N2836" s="208">
        <f>IF($K2836=0,$J2836,(1-$M2836)*$I2836+$M2836*$J2836)</f>
        <v/>
      </c>
      <c r="O2836" s="209">
        <f>IF($F2836&lt;$B$2831,$E$2831+$I$2831*($F2836-$A$2831),IF($F2836&lt;$C$2831,$F$2831+$J$2831*($F2836-$B$2831),$G$2831+$K$2831*($F2836-$C$2831)))</f>
        <v/>
      </c>
      <c r="P2836" s="208">
        <f>MIN(1,MAX(0,(nr_MEndPm1-$G2836+0.5)/$C$2830))-MIN(1,MAX(0,(nr_MStartPm1-1-$G2836+0.5)/$C$2830))</f>
        <v/>
      </c>
      <c r="Q2836" s="208">
        <f>MIN(1,MAX(0,(nr_MEndP-$G2836+0.5)/$C$2830))-MIN(1,MAX(0,(nr_MStartP-1-$G2836+0.5)/$C$2830))</f>
        <v/>
      </c>
      <c r="R2836" s="208">
        <f>MIN(1,MAX(0,(nr_MEndP1-$G2836+0.5)/$C$2830))-MIN(1,MAX(0,(nr_MStartP1-1-$G2836+0.5)/$C$2830))</f>
        <v/>
      </c>
      <c r="S2836" s="208">
        <f>IF($L$2830,$N2836*IF($O$2830=1,$O2836/$F$2830,1),"")</f>
        <v/>
      </c>
      <c r="T2836" s="208">
        <f>IF(NOT($L$2830),"",IF($G2836&lt;nr_MStartP,$S2836,$T2824*(1+IF($G2836&lt;nr_MStartP1,$M$2830,$N$2830))))</f>
        <v/>
      </c>
      <c r="U2836" s="208">
        <f>IF($L$2830,$T2836,$N2836)</f>
        <v/>
      </c>
    </row>
    <row r="2837">
      <c r="A2837" s="145" t="n">
        <v>5</v>
      </c>
      <c r="B2837" s="204">
        <f>EDATE($B2836,1)</f>
        <v/>
      </c>
      <c r="C2837" s="205">
        <f>EOMONTH($B2837,0)</f>
        <v/>
      </c>
      <c r="D2837" s="201">
        <f>$C2837-$B2837+1</f>
        <v/>
      </c>
      <c r="E2837" s="201">
        <f>MONTH($B2837)</f>
        <v/>
      </c>
      <c r="F2837" s="235">
        <f>($B2837+$C2837+1)/2</f>
        <v/>
      </c>
      <c r="G2837" s="201">
        <f>YEAR($B2837)*12+MONTH($B2837)-1</f>
        <v/>
      </c>
      <c r="H2837" s="207">
        <f>IF(OR(nr_SeasonOn="OFF",$D$2830=0,$E$2830=0),1,12*INDEX(se_block,$D$2830,$E2837)/$E$2830)</f>
        <v/>
      </c>
      <c r="I2837" s="208">
        <f>EXP(SUMPRODUCT((rl_eff&lt;$B2837)*(rl_key=$A$2830)*rl_ln1p))</f>
        <v/>
      </c>
      <c r="J2837" s="208">
        <f>EXP(SUMPRODUCT((rl_eff&lt;=$C2837)*(rl_key=$A$2830)*rl_ln1p))</f>
        <v/>
      </c>
      <c r="K2837" s="201">
        <f>COUNTIFS(rl_key,$A$2830,rl_eff,"&gt;="&amp;$B2837,rl_eff,"&lt;="&amp;$C2837)</f>
        <v/>
      </c>
      <c r="L2837" s="201">
        <f>SUMIFS(rl_daysafter,rl_key,$A$2830,rl_effmonth,$B2837,rl_first,1)</f>
        <v/>
      </c>
      <c r="M2837" s="209">
        <f>IF($K2837=0,0,MIN(1,$L2837/$D2837))</f>
        <v/>
      </c>
      <c r="N2837" s="208">
        <f>IF($K2837=0,$J2837,(1-$M2837)*$I2837+$M2837*$J2837)</f>
        <v/>
      </c>
      <c r="O2837" s="209">
        <f>IF($F2837&lt;$B$2831,$E$2831+$I$2831*($F2837-$A$2831),IF($F2837&lt;$C$2831,$F$2831+$J$2831*($F2837-$B$2831),$G$2831+$K$2831*($F2837-$C$2831)))</f>
        <v/>
      </c>
      <c r="P2837" s="208">
        <f>MIN(1,MAX(0,(nr_MEndPm1-$G2837+0.5)/$C$2830))-MIN(1,MAX(0,(nr_MStartPm1-1-$G2837+0.5)/$C$2830))</f>
        <v/>
      </c>
      <c r="Q2837" s="208">
        <f>MIN(1,MAX(0,(nr_MEndP-$G2837+0.5)/$C$2830))-MIN(1,MAX(0,(nr_MStartP-1-$G2837+0.5)/$C$2830))</f>
        <v/>
      </c>
      <c r="R2837" s="208">
        <f>MIN(1,MAX(0,(nr_MEndP1-$G2837+0.5)/$C$2830))-MIN(1,MAX(0,(nr_MStartP1-1-$G2837+0.5)/$C$2830))</f>
        <v/>
      </c>
      <c r="S2837" s="208">
        <f>IF($L$2830,$N2837*IF($O$2830=1,$O2837/$F$2830,1),"")</f>
        <v/>
      </c>
      <c r="T2837" s="208">
        <f>IF(NOT($L$2830),"",IF($G2837&lt;nr_MStartP,$S2837,$T2825*(1+IF($G2837&lt;nr_MStartP1,$M$2830,$N$2830))))</f>
        <v/>
      </c>
      <c r="U2837" s="208">
        <f>IF($L$2830,$T2837,$N2837)</f>
        <v/>
      </c>
    </row>
    <row r="2838">
      <c r="A2838" s="145" t="n">
        <v>6</v>
      </c>
      <c r="B2838" s="204">
        <f>EDATE($B2837,1)</f>
        <v/>
      </c>
      <c r="C2838" s="205">
        <f>EOMONTH($B2838,0)</f>
        <v/>
      </c>
      <c r="D2838" s="201">
        <f>$C2838-$B2838+1</f>
        <v/>
      </c>
      <c r="E2838" s="201">
        <f>MONTH($B2838)</f>
        <v/>
      </c>
      <c r="F2838" s="235">
        <f>($B2838+$C2838+1)/2</f>
        <v/>
      </c>
      <c r="G2838" s="201">
        <f>YEAR($B2838)*12+MONTH($B2838)-1</f>
        <v/>
      </c>
      <c r="H2838" s="207">
        <f>IF(OR(nr_SeasonOn="OFF",$D$2830=0,$E$2830=0),1,12*INDEX(se_block,$D$2830,$E2838)/$E$2830)</f>
        <v/>
      </c>
      <c r="I2838" s="208">
        <f>EXP(SUMPRODUCT((rl_eff&lt;$B2838)*(rl_key=$A$2830)*rl_ln1p))</f>
        <v/>
      </c>
      <c r="J2838" s="208">
        <f>EXP(SUMPRODUCT((rl_eff&lt;=$C2838)*(rl_key=$A$2830)*rl_ln1p))</f>
        <v/>
      </c>
      <c r="K2838" s="201">
        <f>COUNTIFS(rl_key,$A$2830,rl_eff,"&gt;="&amp;$B2838,rl_eff,"&lt;="&amp;$C2838)</f>
        <v/>
      </c>
      <c r="L2838" s="201">
        <f>SUMIFS(rl_daysafter,rl_key,$A$2830,rl_effmonth,$B2838,rl_first,1)</f>
        <v/>
      </c>
      <c r="M2838" s="209">
        <f>IF($K2838=0,0,MIN(1,$L2838/$D2838))</f>
        <v/>
      </c>
      <c r="N2838" s="208">
        <f>IF($K2838=0,$J2838,(1-$M2838)*$I2838+$M2838*$J2838)</f>
        <v/>
      </c>
      <c r="O2838" s="209">
        <f>IF($F2838&lt;$B$2831,$E$2831+$I$2831*($F2838-$A$2831),IF($F2838&lt;$C$2831,$F$2831+$J$2831*($F2838-$B$2831),$G$2831+$K$2831*($F2838-$C$2831)))</f>
        <v/>
      </c>
      <c r="P2838" s="208">
        <f>MIN(1,MAX(0,(nr_MEndPm1-$G2838+0.5)/$C$2830))-MIN(1,MAX(0,(nr_MStartPm1-1-$G2838+0.5)/$C$2830))</f>
        <v/>
      </c>
      <c r="Q2838" s="208">
        <f>MIN(1,MAX(0,(nr_MEndP-$G2838+0.5)/$C$2830))-MIN(1,MAX(0,(nr_MStartP-1-$G2838+0.5)/$C$2830))</f>
        <v/>
      </c>
      <c r="R2838" s="208">
        <f>MIN(1,MAX(0,(nr_MEndP1-$G2838+0.5)/$C$2830))-MIN(1,MAX(0,(nr_MStartP1-1-$G2838+0.5)/$C$2830))</f>
        <v/>
      </c>
      <c r="S2838" s="208">
        <f>IF($L$2830,$N2838*IF($O$2830=1,$O2838/$F$2830,1),"")</f>
        <v/>
      </c>
      <c r="T2838" s="208">
        <f>IF(NOT($L$2830),"",IF($G2838&lt;nr_MStartP,$S2838,$T2826*(1+IF($G2838&lt;nr_MStartP1,$M$2830,$N$2830))))</f>
        <v/>
      </c>
      <c r="U2838" s="208">
        <f>IF($L$2830,$T2838,$N2838)</f>
        <v/>
      </c>
    </row>
    <row r="2839">
      <c r="A2839" s="145" t="n">
        <v>7</v>
      </c>
      <c r="B2839" s="204">
        <f>EDATE($B2838,1)</f>
        <v/>
      </c>
      <c r="C2839" s="205">
        <f>EOMONTH($B2839,0)</f>
        <v/>
      </c>
      <c r="D2839" s="201">
        <f>$C2839-$B2839+1</f>
        <v/>
      </c>
      <c r="E2839" s="201">
        <f>MONTH($B2839)</f>
        <v/>
      </c>
      <c r="F2839" s="235">
        <f>($B2839+$C2839+1)/2</f>
        <v/>
      </c>
      <c r="G2839" s="201">
        <f>YEAR($B2839)*12+MONTH($B2839)-1</f>
        <v/>
      </c>
      <c r="H2839" s="207">
        <f>IF(OR(nr_SeasonOn="OFF",$D$2830=0,$E$2830=0),1,12*INDEX(se_block,$D$2830,$E2839)/$E$2830)</f>
        <v/>
      </c>
      <c r="I2839" s="208">
        <f>EXP(SUMPRODUCT((rl_eff&lt;$B2839)*(rl_key=$A$2830)*rl_ln1p))</f>
        <v/>
      </c>
      <c r="J2839" s="208">
        <f>EXP(SUMPRODUCT((rl_eff&lt;=$C2839)*(rl_key=$A$2830)*rl_ln1p))</f>
        <v/>
      </c>
      <c r="K2839" s="201">
        <f>COUNTIFS(rl_key,$A$2830,rl_eff,"&gt;="&amp;$B2839,rl_eff,"&lt;="&amp;$C2839)</f>
        <v/>
      </c>
      <c r="L2839" s="201">
        <f>SUMIFS(rl_daysafter,rl_key,$A$2830,rl_effmonth,$B2839,rl_first,1)</f>
        <v/>
      </c>
      <c r="M2839" s="209">
        <f>IF($K2839=0,0,MIN(1,$L2839/$D2839))</f>
        <v/>
      </c>
      <c r="N2839" s="208">
        <f>IF($K2839=0,$J2839,(1-$M2839)*$I2839+$M2839*$J2839)</f>
        <v/>
      </c>
      <c r="O2839" s="209">
        <f>IF($F2839&lt;$B$2831,$E$2831+$I$2831*($F2839-$A$2831),IF($F2839&lt;$C$2831,$F$2831+$J$2831*($F2839-$B$2831),$G$2831+$K$2831*($F2839-$C$2831)))</f>
        <v/>
      </c>
      <c r="P2839" s="208">
        <f>MIN(1,MAX(0,(nr_MEndPm1-$G2839+0.5)/$C$2830))-MIN(1,MAX(0,(nr_MStartPm1-1-$G2839+0.5)/$C$2830))</f>
        <v/>
      </c>
      <c r="Q2839" s="208">
        <f>MIN(1,MAX(0,(nr_MEndP-$G2839+0.5)/$C$2830))-MIN(1,MAX(0,(nr_MStartP-1-$G2839+0.5)/$C$2830))</f>
        <v/>
      </c>
      <c r="R2839" s="208">
        <f>MIN(1,MAX(0,(nr_MEndP1-$G2839+0.5)/$C$2830))-MIN(1,MAX(0,(nr_MStartP1-1-$G2839+0.5)/$C$2830))</f>
        <v/>
      </c>
      <c r="S2839" s="208">
        <f>IF($L$2830,$N2839*IF($O$2830=1,$O2839/$F$2830,1),"")</f>
        <v/>
      </c>
      <c r="T2839" s="208">
        <f>IF(NOT($L$2830),"",IF($G2839&lt;nr_MStartP,$S2839,$T2827*(1+IF($G2839&lt;nr_MStartP1,$M$2830,$N$2830))))</f>
        <v/>
      </c>
      <c r="U2839" s="208">
        <f>IF($L$2830,$T2839,$N2839)</f>
        <v/>
      </c>
    </row>
    <row r="2840">
      <c r="A2840" s="145" t="n">
        <v>8</v>
      </c>
      <c r="B2840" s="204">
        <f>EDATE($B2839,1)</f>
        <v/>
      </c>
      <c r="C2840" s="205">
        <f>EOMONTH($B2840,0)</f>
        <v/>
      </c>
      <c r="D2840" s="201">
        <f>$C2840-$B2840+1</f>
        <v/>
      </c>
      <c r="E2840" s="201">
        <f>MONTH($B2840)</f>
        <v/>
      </c>
      <c r="F2840" s="235">
        <f>($B2840+$C2840+1)/2</f>
        <v/>
      </c>
      <c r="G2840" s="201">
        <f>YEAR($B2840)*12+MONTH($B2840)-1</f>
        <v/>
      </c>
      <c r="H2840" s="207">
        <f>IF(OR(nr_SeasonOn="OFF",$D$2830=0,$E$2830=0),1,12*INDEX(se_block,$D$2830,$E2840)/$E$2830)</f>
        <v/>
      </c>
      <c r="I2840" s="208">
        <f>EXP(SUMPRODUCT((rl_eff&lt;$B2840)*(rl_key=$A$2830)*rl_ln1p))</f>
        <v/>
      </c>
      <c r="J2840" s="208">
        <f>EXP(SUMPRODUCT((rl_eff&lt;=$C2840)*(rl_key=$A$2830)*rl_ln1p))</f>
        <v/>
      </c>
      <c r="K2840" s="201">
        <f>COUNTIFS(rl_key,$A$2830,rl_eff,"&gt;="&amp;$B2840,rl_eff,"&lt;="&amp;$C2840)</f>
        <v/>
      </c>
      <c r="L2840" s="201">
        <f>SUMIFS(rl_daysafter,rl_key,$A$2830,rl_effmonth,$B2840,rl_first,1)</f>
        <v/>
      </c>
      <c r="M2840" s="209">
        <f>IF($K2840=0,0,MIN(1,$L2840/$D2840))</f>
        <v/>
      </c>
      <c r="N2840" s="208">
        <f>IF($K2840=0,$J2840,(1-$M2840)*$I2840+$M2840*$J2840)</f>
        <v/>
      </c>
      <c r="O2840" s="209">
        <f>IF($F2840&lt;$B$2831,$E$2831+$I$2831*($F2840-$A$2831),IF($F2840&lt;$C$2831,$F$2831+$J$2831*($F2840-$B$2831),$G$2831+$K$2831*($F2840-$C$2831)))</f>
        <v/>
      </c>
      <c r="P2840" s="208">
        <f>MIN(1,MAX(0,(nr_MEndPm1-$G2840+0.5)/$C$2830))-MIN(1,MAX(0,(nr_MStartPm1-1-$G2840+0.5)/$C$2830))</f>
        <v/>
      </c>
      <c r="Q2840" s="208">
        <f>MIN(1,MAX(0,(nr_MEndP-$G2840+0.5)/$C$2830))-MIN(1,MAX(0,(nr_MStartP-1-$G2840+0.5)/$C$2830))</f>
        <v/>
      </c>
      <c r="R2840" s="208">
        <f>MIN(1,MAX(0,(nr_MEndP1-$G2840+0.5)/$C$2830))-MIN(1,MAX(0,(nr_MStartP1-1-$G2840+0.5)/$C$2830))</f>
        <v/>
      </c>
      <c r="S2840" s="208">
        <f>IF($L$2830,$N2840*IF($O$2830=1,$O2840/$F$2830,1),"")</f>
        <v/>
      </c>
      <c r="T2840" s="208">
        <f>IF(NOT($L$2830),"",IF($G2840&lt;nr_MStartP,$S2840,$T2828*(1+IF($G2840&lt;nr_MStartP1,$M$2830,$N$2830))))</f>
        <v/>
      </c>
      <c r="U2840" s="208">
        <f>IF($L$2830,$T2840,$N2840)</f>
        <v/>
      </c>
    </row>
    <row r="2841">
      <c r="A2841" s="145" t="n">
        <v>9</v>
      </c>
      <c r="B2841" s="204">
        <f>EDATE($B2840,1)</f>
        <v/>
      </c>
      <c r="C2841" s="205">
        <f>EOMONTH($B2841,0)</f>
        <v/>
      </c>
      <c r="D2841" s="201">
        <f>$C2841-$B2841+1</f>
        <v/>
      </c>
      <c r="E2841" s="201">
        <f>MONTH($B2841)</f>
        <v/>
      </c>
      <c r="F2841" s="235">
        <f>($B2841+$C2841+1)/2</f>
        <v/>
      </c>
      <c r="G2841" s="201">
        <f>YEAR($B2841)*12+MONTH($B2841)-1</f>
        <v/>
      </c>
      <c r="H2841" s="207">
        <f>IF(OR(nr_SeasonOn="OFF",$D$2830=0,$E$2830=0),1,12*INDEX(se_block,$D$2830,$E2841)/$E$2830)</f>
        <v/>
      </c>
      <c r="I2841" s="208">
        <f>EXP(SUMPRODUCT((rl_eff&lt;$B2841)*(rl_key=$A$2830)*rl_ln1p))</f>
        <v/>
      </c>
      <c r="J2841" s="208">
        <f>EXP(SUMPRODUCT((rl_eff&lt;=$C2841)*(rl_key=$A$2830)*rl_ln1p))</f>
        <v/>
      </c>
      <c r="K2841" s="201">
        <f>COUNTIFS(rl_key,$A$2830,rl_eff,"&gt;="&amp;$B2841,rl_eff,"&lt;="&amp;$C2841)</f>
        <v/>
      </c>
      <c r="L2841" s="201">
        <f>SUMIFS(rl_daysafter,rl_key,$A$2830,rl_effmonth,$B2841,rl_first,1)</f>
        <v/>
      </c>
      <c r="M2841" s="209">
        <f>IF($K2841=0,0,MIN(1,$L2841/$D2841))</f>
        <v/>
      </c>
      <c r="N2841" s="208">
        <f>IF($K2841=0,$J2841,(1-$M2841)*$I2841+$M2841*$J2841)</f>
        <v/>
      </c>
      <c r="O2841" s="209">
        <f>IF($F2841&lt;$B$2831,$E$2831+$I$2831*($F2841-$A$2831),IF($F2841&lt;$C$2831,$F$2831+$J$2831*($F2841-$B$2831),$G$2831+$K$2831*($F2841-$C$2831)))</f>
        <v/>
      </c>
      <c r="P2841" s="208">
        <f>MIN(1,MAX(0,(nr_MEndPm1-$G2841+0.5)/$C$2830))-MIN(1,MAX(0,(nr_MStartPm1-1-$G2841+0.5)/$C$2830))</f>
        <v/>
      </c>
      <c r="Q2841" s="208">
        <f>MIN(1,MAX(0,(nr_MEndP-$G2841+0.5)/$C$2830))-MIN(1,MAX(0,(nr_MStartP-1-$G2841+0.5)/$C$2830))</f>
        <v/>
      </c>
      <c r="R2841" s="208">
        <f>MIN(1,MAX(0,(nr_MEndP1-$G2841+0.5)/$C$2830))-MIN(1,MAX(0,(nr_MStartP1-1-$G2841+0.5)/$C$2830))</f>
        <v/>
      </c>
      <c r="S2841" s="208">
        <f>IF($L$2830,$N2841*IF($O$2830=1,$O2841/$F$2830,1),"")</f>
        <v/>
      </c>
      <c r="T2841" s="208">
        <f>IF(NOT($L$2830),"",IF($G2841&lt;nr_MStartP,$S2841,$T2829*(1+IF($G2841&lt;nr_MStartP1,$M$2830,$N$2830))))</f>
        <v/>
      </c>
      <c r="U2841" s="208">
        <f>IF($L$2830,$T2841,$N2841)</f>
        <v/>
      </c>
    </row>
    <row r="2842">
      <c r="A2842" s="145" t="n">
        <v>10</v>
      </c>
      <c r="B2842" s="204">
        <f>EDATE($B2841,1)</f>
        <v/>
      </c>
      <c r="C2842" s="205">
        <f>EOMONTH($B2842,0)</f>
        <v/>
      </c>
      <c r="D2842" s="201">
        <f>$C2842-$B2842+1</f>
        <v/>
      </c>
      <c r="E2842" s="201">
        <f>MONTH($B2842)</f>
        <v/>
      </c>
      <c r="F2842" s="235">
        <f>($B2842+$C2842+1)/2</f>
        <v/>
      </c>
      <c r="G2842" s="201">
        <f>YEAR($B2842)*12+MONTH($B2842)-1</f>
        <v/>
      </c>
      <c r="H2842" s="207">
        <f>IF(OR(nr_SeasonOn="OFF",$D$2830=0,$E$2830=0),1,12*INDEX(se_block,$D$2830,$E2842)/$E$2830)</f>
        <v/>
      </c>
      <c r="I2842" s="208">
        <f>EXP(SUMPRODUCT((rl_eff&lt;$B2842)*(rl_key=$A$2830)*rl_ln1p))</f>
        <v/>
      </c>
      <c r="J2842" s="208">
        <f>EXP(SUMPRODUCT((rl_eff&lt;=$C2842)*(rl_key=$A$2830)*rl_ln1p))</f>
        <v/>
      </c>
      <c r="K2842" s="201">
        <f>COUNTIFS(rl_key,$A$2830,rl_eff,"&gt;="&amp;$B2842,rl_eff,"&lt;="&amp;$C2842)</f>
        <v/>
      </c>
      <c r="L2842" s="201">
        <f>SUMIFS(rl_daysafter,rl_key,$A$2830,rl_effmonth,$B2842,rl_first,1)</f>
        <v/>
      </c>
      <c r="M2842" s="209">
        <f>IF($K2842=0,0,MIN(1,$L2842/$D2842))</f>
        <v/>
      </c>
      <c r="N2842" s="208">
        <f>IF($K2842=0,$J2842,(1-$M2842)*$I2842+$M2842*$J2842)</f>
        <v/>
      </c>
      <c r="O2842" s="209">
        <f>IF($F2842&lt;$B$2831,$E$2831+$I$2831*($F2842-$A$2831),IF($F2842&lt;$C$2831,$F$2831+$J$2831*($F2842-$B$2831),$G$2831+$K$2831*($F2842-$C$2831)))</f>
        <v/>
      </c>
      <c r="P2842" s="208">
        <f>MIN(1,MAX(0,(nr_MEndPm1-$G2842+0.5)/$C$2830))-MIN(1,MAX(0,(nr_MStartPm1-1-$G2842+0.5)/$C$2830))</f>
        <v/>
      </c>
      <c r="Q2842" s="208">
        <f>MIN(1,MAX(0,(nr_MEndP-$G2842+0.5)/$C$2830))-MIN(1,MAX(0,(nr_MStartP-1-$G2842+0.5)/$C$2830))</f>
        <v/>
      </c>
      <c r="R2842" s="208">
        <f>MIN(1,MAX(0,(nr_MEndP1-$G2842+0.5)/$C$2830))-MIN(1,MAX(0,(nr_MStartP1-1-$G2842+0.5)/$C$2830))</f>
        <v/>
      </c>
      <c r="S2842" s="208">
        <f>IF($L$2830,$N2842*IF($O$2830=1,$O2842/$F$2830,1),"")</f>
        <v/>
      </c>
      <c r="T2842" s="208">
        <f>IF(NOT($L$2830),"",IF($G2842&lt;nr_MStartP,$S2842,$T2830*(1+IF($G2842&lt;nr_MStartP1,$M$2830,$N$2830))))</f>
        <v/>
      </c>
      <c r="U2842" s="208">
        <f>IF($L$2830,$T2842,$N2842)</f>
        <v/>
      </c>
    </row>
    <row r="2843">
      <c r="A2843" s="145" t="n">
        <v>11</v>
      </c>
      <c r="B2843" s="204">
        <f>EDATE($B2842,1)</f>
        <v/>
      </c>
      <c r="C2843" s="205">
        <f>EOMONTH($B2843,0)</f>
        <v/>
      </c>
      <c r="D2843" s="201">
        <f>$C2843-$B2843+1</f>
        <v/>
      </c>
      <c r="E2843" s="201">
        <f>MONTH($B2843)</f>
        <v/>
      </c>
      <c r="F2843" s="235">
        <f>($B2843+$C2843+1)/2</f>
        <v/>
      </c>
      <c r="G2843" s="201">
        <f>YEAR($B2843)*12+MONTH($B2843)-1</f>
        <v/>
      </c>
      <c r="H2843" s="207">
        <f>IF(OR(nr_SeasonOn="OFF",$D$2830=0,$E$2830=0),1,12*INDEX(se_block,$D$2830,$E2843)/$E$2830)</f>
        <v/>
      </c>
      <c r="I2843" s="208">
        <f>EXP(SUMPRODUCT((rl_eff&lt;$B2843)*(rl_key=$A$2830)*rl_ln1p))</f>
        <v/>
      </c>
      <c r="J2843" s="208">
        <f>EXP(SUMPRODUCT((rl_eff&lt;=$C2843)*(rl_key=$A$2830)*rl_ln1p))</f>
        <v/>
      </c>
      <c r="K2843" s="201">
        <f>COUNTIFS(rl_key,$A$2830,rl_eff,"&gt;="&amp;$B2843,rl_eff,"&lt;="&amp;$C2843)</f>
        <v/>
      </c>
      <c r="L2843" s="201">
        <f>SUMIFS(rl_daysafter,rl_key,$A$2830,rl_effmonth,$B2843,rl_first,1)</f>
        <v/>
      </c>
      <c r="M2843" s="209">
        <f>IF($K2843=0,0,MIN(1,$L2843/$D2843))</f>
        <v/>
      </c>
      <c r="N2843" s="208">
        <f>IF($K2843=0,$J2843,(1-$M2843)*$I2843+$M2843*$J2843)</f>
        <v/>
      </c>
      <c r="O2843" s="209">
        <f>IF($F2843&lt;$B$2831,$E$2831+$I$2831*($F2843-$A$2831),IF($F2843&lt;$C$2831,$F$2831+$J$2831*($F2843-$B$2831),$G$2831+$K$2831*($F2843-$C$2831)))</f>
        <v/>
      </c>
      <c r="P2843" s="208">
        <f>MIN(1,MAX(0,(nr_MEndPm1-$G2843+0.5)/$C$2830))-MIN(1,MAX(0,(nr_MStartPm1-1-$G2843+0.5)/$C$2830))</f>
        <v/>
      </c>
      <c r="Q2843" s="208">
        <f>MIN(1,MAX(0,(nr_MEndP-$G2843+0.5)/$C$2830))-MIN(1,MAX(0,(nr_MStartP-1-$G2843+0.5)/$C$2830))</f>
        <v/>
      </c>
      <c r="R2843" s="208">
        <f>MIN(1,MAX(0,(nr_MEndP1-$G2843+0.5)/$C$2830))-MIN(1,MAX(0,(nr_MStartP1-1-$G2843+0.5)/$C$2830))</f>
        <v/>
      </c>
      <c r="S2843" s="208">
        <f>IF($L$2830,$N2843*IF($O$2830=1,$O2843/$F$2830,1),"")</f>
        <v/>
      </c>
      <c r="T2843" s="208">
        <f>IF(NOT($L$2830),"",IF($G2843&lt;nr_MStartP,$S2843,$T2831*(1+IF($G2843&lt;nr_MStartP1,$M$2830,$N$2830))))</f>
        <v/>
      </c>
      <c r="U2843" s="208">
        <f>IF($L$2830,$T2843,$N2843)</f>
        <v/>
      </c>
    </row>
    <row r="2844">
      <c r="A2844" s="145" t="n">
        <v>12</v>
      </c>
      <c r="B2844" s="204">
        <f>EDATE($B2843,1)</f>
        <v/>
      </c>
      <c r="C2844" s="205">
        <f>EOMONTH($B2844,0)</f>
        <v/>
      </c>
      <c r="D2844" s="201">
        <f>$C2844-$B2844+1</f>
        <v/>
      </c>
      <c r="E2844" s="201">
        <f>MONTH($B2844)</f>
        <v/>
      </c>
      <c r="F2844" s="235">
        <f>($B2844+$C2844+1)/2</f>
        <v/>
      </c>
      <c r="G2844" s="201">
        <f>YEAR($B2844)*12+MONTH($B2844)-1</f>
        <v/>
      </c>
      <c r="H2844" s="207">
        <f>IF(OR(nr_SeasonOn="OFF",$D$2830=0,$E$2830=0),1,12*INDEX(se_block,$D$2830,$E2844)/$E$2830)</f>
        <v/>
      </c>
      <c r="I2844" s="208">
        <f>EXP(SUMPRODUCT((rl_eff&lt;$B2844)*(rl_key=$A$2830)*rl_ln1p))</f>
        <v/>
      </c>
      <c r="J2844" s="208">
        <f>EXP(SUMPRODUCT((rl_eff&lt;=$C2844)*(rl_key=$A$2830)*rl_ln1p))</f>
        <v/>
      </c>
      <c r="K2844" s="201">
        <f>COUNTIFS(rl_key,$A$2830,rl_eff,"&gt;="&amp;$B2844,rl_eff,"&lt;="&amp;$C2844)</f>
        <v/>
      </c>
      <c r="L2844" s="201">
        <f>SUMIFS(rl_daysafter,rl_key,$A$2830,rl_effmonth,$B2844,rl_first,1)</f>
        <v/>
      </c>
      <c r="M2844" s="209">
        <f>IF($K2844=0,0,MIN(1,$L2844/$D2844))</f>
        <v/>
      </c>
      <c r="N2844" s="208">
        <f>IF($K2844=0,$J2844,(1-$M2844)*$I2844+$M2844*$J2844)</f>
        <v/>
      </c>
      <c r="O2844" s="209">
        <f>IF($F2844&lt;$B$2831,$E$2831+$I$2831*($F2844-$A$2831),IF($F2844&lt;$C$2831,$F$2831+$J$2831*($F2844-$B$2831),$G$2831+$K$2831*($F2844-$C$2831)))</f>
        <v/>
      </c>
      <c r="P2844" s="208">
        <f>MIN(1,MAX(0,(nr_MEndPm1-$G2844+0.5)/$C$2830))-MIN(1,MAX(0,(nr_MStartPm1-1-$G2844+0.5)/$C$2830))</f>
        <v/>
      </c>
      <c r="Q2844" s="208">
        <f>MIN(1,MAX(0,(nr_MEndP-$G2844+0.5)/$C$2830))-MIN(1,MAX(0,(nr_MStartP-1-$G2844+0.5)/$C$2830))</f>
        <v/>
      </c>
      <c r="R2844" s="208">
        <f>MIN(1,MAX(0,(nr_MEndP1-$G2844+0.5)/$C$2830))-MIN(1,MAX(0,(nr_MStartP1-1-$G2844+0.5)/$C$2830))</f>
        <v/>
      </c>
      <c r="S2844" s="208">
        <f>IF($L$2830,$N2844*IF($O$2830=1,$O2844/$F$2830,1),"")</f>
        <v/>
      </c>
      <c r="T2844" s="208">
        <f>IF(NOT($L$2830),"",IF($G2844&lt;nr_MStartP,$S2844,$T2832*(1+IF($G2844&lt;nr_MStartP1,$M$2830,$N$2830))))</f>
        <v/>
      </c>
      <c r="U2844" s="208">
        <f>IF($L$2830,$T2844,$N2844)</f>
        <v/>
      </c>
    </row>
    <row r="2845">
      <c r="A2845" s="145" t="n">
        <v>13</v>
      </c>
      <c r="B2845" s="204">
        <f>EDATE($B2844,1)</f>
        <v/>
      </c>
      <c r="C2845" s="205">
        <f>EOMONTH($B2845,0)</f>
        <v/>
      </c>
      <c r="D2845" s="201">
        <f>$C2845-$B2845+1</f>
        <v/>
      </c>
      <c r="E2845" s="201">
        <f>MONTH($B2845)</f>
        <v/>
      </c>
      <c r="F2845" s="235">
        <f>($B2845+$C2845+1)/2</f>
        <v/>
      </c>
      <c r="G2845" s="201">
        <f>YEAR($B2845)*12+MONTH($B2845)-1</f>
        <v/>
      </c>
      <c r="H2845" s="207">
        <f>IF(OR(nr_SeasonOn="OFF",$D$2830=0,$E$2830=0),1,12*INDEX(se_block,$D$2830,$E2845)/$E$2830)</f>
        <v/>
      </c>
      <c r="I2845" s="208">
        <f>EXP(SUMPRODUCT((rl_eff&lt;$B2845)*(rl_key=$A$2830)*rl_ln1p))</f>
        <v/>
      </c>
      <c r="J2845" s="208">
        <f>EXP(SUMPRODUCT((rl_eff&lt;=$C2845)*(rl_key=$A$2830)*rl_ln1p))</f>
        <v/>
      </c>
      <c r="K2845" s="201">
        <f>COUNTIFS(rl_key,$A$2830,rl_eff,"&gt;="&amp;$B2845,rl_eff,"&lt;="&amp;$C2845)</f>
        <v/>
      </c>
      <c r="L2845" s="201">
        <f>SUMIFS(rl_daysafter,rl_key,$A$2830,rl_effmonth,$B2845,rl_first,1)</f>
        <v/>
      </c>
      <c r="M2845" s="209">
        <f>IF($K2845=0,0,MIN(1,$L2845/$D2845))</f>
        <v/>
      </c>
      <c r="N2845" s="208">
        <f>IF($K2845=0,$J2845,(1-$M2845)*$I2845+$M2845*$J2845)</f>
        <v/>
      </c>
      <c r="O2845" s="209">
        <f>IF($F2845&lt;$B$2831,$E$2831+$I$2831*($F2845-$A$2831),IF($F2845&lt;$C$2831,$F$2831+$J$2831*($F2845-$B$2831),$G$2831+$K$2831*($F2845-$C$2831)))</f>
        <v/>
      </c>
      <c r="P2845" s="208">
        <f>MIN(1,MAX(0,(nr_MEndPm1-$G2845+0.5)/$C$2830))-MIN(1,MAX(0,(nr_MStartPm1-1-$G2845+0.5)/$C$2830))</f>
        <v/>
      </c>
      <c r="Q2845" s="208">
        <f>MIN(1,MAX(0,(nr_MEndP-$G2845+0.5)/$C$2830))-MIN(1,MAX(0,(nr_MStartP-1-$G2845+0.5)/$C$2830))</f>
        <v/>
      </c>
      <c r="R2845" s="208">
        <f>MIN(1,MAX(0,(nr_MEndP1-$G2845+0.5)/$C$2830))-MIN(1,MAX(0,(nr_MStartP1-1-$G2845+0.5)/$C$2830))</f>
        <v/>
      </c>
      <c r="S2845" s="208">
        <f>IF($L$2830,$N2845*IF($O$2830=1,$O2845/$F$2830,1),"")</f>
        <v/>
      </c>
      <c r="T2845" s="208">
        <f>IF(NOT($L$2830),"",IF($G2845&lt;nr_MStartP,$S2845,$T2833*(1+IF($G2845&lt;nr_MStartP1,$M$2830,$N$2830))))</f>
        <v/>
      </c>
      <c r="U2845" s="208">
        <f>IF($L$2830,$T2845,$N2845)</f>
        <v/>
      </c>
    </row>
    <row r="2846">
      <c r="A2846" s="145" t="n">
        <v>14</v>
      </c>
      <c r="B2846" s="204">
        <f>EDATE($B2845,1)</f>
        <v/>
      </c>
      <c r="C2846" s="205">
        <f>EOMONTH($B2846,0)</f>
        <v/>
      </c>
      <c r="D2846" s="201">
        <f>$C2846-$B2846+1</f>
        <v/>
      </c>
      <c r="E2846" s="201">
        <f>MONTH($B2846)</f>
        <v/>
      </c>
      <c r="F2846" s="235">
        <f>($B2846+$C2846+1)/2</f>
        <v/>
      </c>
      <c r="G2846" s="201">
        <f>YEAR($B2846)*12+MONTH($B2846)-1</f>
        <v/>
      </c>
      <c r="H2846" s="207">
        <f>IF(OR(nr_SeasonOn="OFF",$D$2830=0,$E$2830=0),1,12*INDEX(se_block,$D$2830,$E2846)/$E$2830)</f>
        <v/>
      </c>
      <c r="I2846" s="208">
        <f>EXP(SUMPRODUCT((rl_eff&lt;$B2846)*(rl_key=$A$2830)*rl_ln1p))</f>
        <v/>
      </c>
      <c r="J2846" s="208">
        <f>EXP(SUMPRODUCT((rl_eff&lt;=$C2846)*(rl_key=$A$2830)*rl_ln1p))</f>
        <v/>
      </c>
      <c r="K2846" s="201">
        <f>COUNTIFS(rl_key,$A$2830,rl_eff,"&gt;="&amp;$B2846,rl_eff,"&lt;="&amp;$C2846)</f>
        <v/>
      </c>
      <c r="L2846" s="201">
        <f>SUMIFS(rl_daysafter,rl_key,$A$2830,rl_effmonth,$B2846,rl_first,1)</f>
        <v/>
      </c>
      <c r="M2846" s="209">
        <f>IF($K2846=0,0,MIN(1,$L2846/$D2846))</f>
        <v/>
      </c>
      <c r="N2846" s="208">
        <f>IF($K2846=0,$J2846,(1-$M2846)*$I2846+$M2846*$J2846)</f>
        <v/>
      </c>
      <c r="O2846" s="209">
        <f>IF($F2846&lt;$B$2831,$E$2831+$I$2831*($F2846-$A$2831),IF($F2846&lt;$C$2831,$F$2831+$J$2831*($F2846-$B$2831),$G$2831+$K$2831*($F2846-$C$2831)))</f>
        <v/>
      </c>
      <c r="P2846" s="208">
        <f>MIN(1,MAX(0,(nr_MEndPm1-$G2846+0.5)/$C$2830))-MIN(1,MAX(0,(nr_MStartPm1-1-$G2846+0.5)/$C$2830))</f>
        <v/>
      </c>
      <c r="Q2846" s="208">
        <f>MIN(1,MAX(0,(nr_MEndP-$G2846+0.5)/$C$2830))-MIN(1,MAX(0,(nr_MStartP-1-$G2846+0.5)/$C$2830))</f>
        <v/>
      </c>
      <c r="R2846" s="208">
        <f>MIN(1,MAX(0,(nr_MEndP1-$G2846+0.5)/$C$2830))-MIN(1,MAX(0,(nr_MStartP1-1-$G2846+0.5)/$C$2830))</f>
        <v/>
      </c>
      <c r="S2846" s="208">
        <f>IF($L$2830,$N2846*IF($O$2830=1,$O2846/$F$2830,1),"")</f>
        <v/>
      </c>
      <c r="T2846" s="208">
        <f>IF(NOT($L$2830),"",IF($G2846&lt;nr_MStartP,$S2846,$T2834*(1+IF($G2846&lt;nr_MStartP1,$M$2830,$N$2830))))</f>
        <v/>
      </c>
      <c r="U2846" s="208">
        <f>IF($L$2830,$T2846,$N2846)</f>
        <v/>
      </c>
    </row>
    <row r="2847">
      <c r="A2847" s="145" t="n">
        <v>15</v>
      </c>
      <c r="B2847" s="204">
        <f>EDATE($B2846,1)</f>
        <v/>
      </c>
      <c r="C2847" s="205">
        <f>EOMONTH($B2847,0)</f>
        <v/>
      </c>
      <c r="D2847" s="201">
        <f>$C2847-$B2847+1</f>
        <v/>
      </c>
      <c r="E2847" s="201">
        <f>MONTH($B2847)</f>
        <v/>
      </c>
      <c r="F2847" s="235">
        <f>($B2847+$C2847+1)/2</f>
        <v/>
      </c>
      <c r="G2847" s="201">
        <f>YEAR($B2847)*12+MONTH($B2847)-1</f>
        <v/>
      </c>
      <c r="H2847" s="207">
        <f>IF(OR(nr_SeasonOn="OFF",$D$2830=0,$E$2830=0),1,12*INDEX(se_block,$D$2830,$E2847)/$E$2830)</f>
        <v/>
      </c>
      <c r="I2847" s="208">
        <f>EXP(SUMPRODUCT((rl_eff&lt;$B2847)*(rl_key=$A$2830)*rl_ln1p))</f>
        <v/>
      </c>
      <c r="J2847" s="208">
        <f>EXP(SUMPRODUCT((rl_eff&lt;=$C2847)*(rl_key=$A$2830)*rl_ln1p))</f>
        <v/>
      </c>
      <c r="K2847" s="201">
        <f>COUNTIFS(rl_key,$A$2830,rl_eff,"&gt;="&amp;$B2847,rl_eff,"&lt;="&amp;$C2847)</f>
        <v/>
      </c>
      <c r="L2847" s="201">
        <f>SUMIFS(rl_daysafter,rl_key,$A$2830,rl_effmonth,$B2847,rl_first,1)</f>
        <v/>
      </c>
      <c r="M2847" s="209">
        <f>IF($K2847=0,0,MIN(1,$L2847/$D2847))</f>
        <v/>
      </c>
      <c r="N2847" s="208">
        <f>IF($K2847=0,$J2847,(1-$M2847)*$I2847+$M2847*$J2847)</f>
        <v/>
      </c>
      <c r="O2847" s="209">
        <f>IF($F2847&lt;$B$2831,$E$2831+$I$2831*($F2847-$A$2831),IF($F2847&lt;$C$2831,$F$2831+$J$2831*($F2847-$B$2831),$G$2831+$K$2831*($F2847-$C$2831)))</f>
        <v/>
      </c>
      <c r="P2847" s="208">
        <f>MIN(1,MAX(0,(nr_MEndPm1-$G2847+0.5)/$C$2830))-MIN(1,MAX(0,(nr_MStartPm1-1-$G2847+0.5)/$C$2830))</f>
        <v/>
      </c>
      <c r="Q2847" s="208">
        <f>MIN(1,MAX(0,(nr_MEndP-$G2847+0.5)/$C$2830))-MIN(1,MAX(0,(nr_MStartP-1-$G2847+0.5)/$C$2830))</f>
        <v/>
      </c>
      <c r="R2847" s="208">
        <f>MIN(1,MAX(0,(nr_MEndP1-$G2847+0.5)/$C$2830))-MIN(1,MAX(0,(nr_MStartP1-1-$G2847+0.5)/$C$2830))</f>
        <v/>
      </c>
      <c r="S2847" s="208">
        <f>IF($L$2830,$N2847*IF($O$2830=1,$O2847/$F$2830,1),"")</f>
        <v/>
      </c>
      <c r="T2847" s="208">
        <f>IF(NOT($L$2830),"",IF($G2847&lt;nr_MStartP,$S2847,$T2835*(1+IF($G2847&lt;nr_MStartP1,$M$2830,$N$2830))))</f>
        <v/>
      </c>
      <c r="U2847" s="208">
        <f>IF($L$2830,$T2847,$N2847)</f>
        <v/>
      </c>
    </row>
    <row r="2848">
      <c r="A2848" s="145" t="n">
        <v>16</v>
      </c>
      <c r="B2848" s="204">
        <f>EDATE($B2847,1)</f>
        <v/>
      </c>
      <c r="C2848" s="205">
        <f>EOMONTH($B2848,0)</f>
        <v/>
      </c>
      <c r="D2848" s="201">
        <f>$C2848-$B2848+1</f>
        <v/>
      </c>
      <c r="E2848" s="201">
        <f>MONTH($B2848)</f>
        <v/>
      </c>
      <c r="F2848" s="235">
        <f>($B2848+$C2848+1)/2</f>
        <v/>
      </c>
      <c r="G2848" s="201">
        <f>YEAR($B2848)*12+MONTH($B2848)-1</f>
        <v/>
      </c>
      <c r="H2848" s="207">
        <f>IF(OR(nr_SeasonOn="OFF",$D$2830=0,$E$2830=0),1,12*INDEX(se_block,$D$2830,$E2848)/$E$2830)</f>
        <v/>
      </c>
      <c r="I2848" s="208">
        <f>EXP(SUMPRODUCT((rl_eff&lt;$B2848)*(rl_key=$A$2830)*rl_ln1p))</f>
        <v/>
      </c>
      <c r="J2848" s="208">
        <f>EXP(SUMPRODUCT((rl_eff&lt;=$C2848)*(rl_key=$A$2830)*rl_ln1p))</f>
        <v/>
      </c>
      <c r="K2848" s="201">
        <f>COUNTIFS(rl_key,$A$2830,rl_eff,"&gt;="&amp;$B2848,rl_eff,"&lt;="&amp;$C2848)</f>
        <v/>
      </c>
      <c r="L2848" s="201">
        <f>SUMIFS(rl_daysafter,rl_key,$A$2830,rl_effmonth,$B2848,rl_first,1)</f>
        <v/>
      </c>
      <c r="M2848" s="209">
        <f>IF($K2848=0,0,MIN(1,$L2848/$D2848))</f>
        <v/>
      </c>
      <c r="N2848" s="208">
        <f>IF($K2848=0,$J2848,(1-$M2848)*$I2848+$M2848*$J2848)</f>
        <v/>
      </c>
      <c r="O2848" s="209">
        <f>IF($F2848&lt;$B$2831,$E$2831+$I$2831*($F2848-$A$2831),IF($F2848&lt;$C$2831,$F$2831+$J$2831*($F2848-$B$2831),$G$2831+$K$2831*($F2848-$C$2831)))</f>
        <v/>
      </c>
      <c r="P2848" s="208">
        <f>MIN(1,MAX(0,(nr_MEndPm1-$G2848+0.5)/$C$2830))-MIN(1,MAX(0,(nr_MStartPm1-1-$G2848+0.5)/$C$2830))</f>
        <v/>
      </c>
      <c r="Q2848" s="208">
        <f>MIN(1,MAX(0,(nr_MEndP-$G2848+0.5)/$C$2830))-MIN(1,MAX(0,(nr_MStartP-1-$G2848+0.5)/$C$2830))</f>
        <v/>
      </c>
      <c r="R2848" s="208">
        <f>MIN(1,MAX(0,(nr_MEndP1-$G2848+0.5)/$C$2830))-MIN(1,MAX(0,(nr_MStartP1-1-$G2848+0.5)/$C$2830))</f>
        <v/>
      </c>
      <c r="S2848" s="208">
        <f>IF($L$2830,$N2848*IF($O$2830=1,$O2848/$F$2830,1),"")</f>
        <v/>
      </c>
      <c r="T2848" s="208">
        <f>IF(NOT($L$2830),"",IF($G2848&lt;nr_MStartP,$S2848,$T2836*(1+IF($G2848&lt;nr_MStartP1,$M$2830,$N$2830))))</f>
        <v/>
      </c>
      <c r="U2848" s="208">
        <f>IF($L$2830,$T2848,$N2848)</f>
        <v/>
      </c>
    </row>
    <row r="2849">
      <c r="A2849" s="145" t="n">
        <v>17</v>
      </c>
      <c r="B2849" s="204">
        <f>EDATE($B2848,1)</f>
        <v/>
      </c>
      <c r="C2849" s="205">
        <f>EOMONTH($B2849,0)</f>
        <v/>
      </c>
      <c r="D2849" s="201">
        <f>$C2849-$B2849+1</f>
        <v/>
      </c>
      <c r="E2849" s="201">
        <f>MONTH($B2849)</f>
        <v/>
      </c>
      <c r="F2849" s="235">
        <f>($B2849+$C2849+1)/2</f>
        <v/>
      </c>
      <c r="G2849" s="201">
        <f>YEAR($B2849)*12+MONTH($B2849)-1</f>
        <v/>
      </c>
      <c r="H2849" s="207">
        <f>IF(OR(nr_SeasonOn="OFF",$D$2830=0,$E$2830=0),1,12*INDEX(se_block,$D$2830,$E2849)/$E$2830)</f>
        <v/>
      </c>
      <c r="I2849" s="208">
        <f>EXP(SUMPRODUCT((rl_eff&lt;$B2849)*(rl_key=$A$2830)*rl_ln1p))</f>
        <v/>
      </c>
      <c r="J2849" s="208">
        <f>EXP(SUMPRODUCT((rl_eff&lt;=$C2849)*(rl_key=$A$2830)*rl_ln1p))</f>
        <v/>
      </c>
      <c r="K2849" s="201">
        <f>COUNTIFS(rl_key,$A$2830,rl_eff,"&gt;="&amp;$B2849,rl_eff,"&lt;="&amp;$C2849)</f>
        <v/>
      </c>
      <c r="L2849" s="201">
        <f>SUMIFS(rl_daysafter,rl_key,$A$2830,rl_effmonth,$B2849,rl_first,1)</f>
        <v/>
      </c>
      <c r="M2849" s="209">
        <f>IF($K2849=0,0,MIN(1,$L2849/$D2849))</f>
        <v/>
      </c>
      <c r="N2849" s="208">
        <f>IF($K2849=0,$J2849,(1-$M2849)*$I2849+$M2849*$J2849)</f>
        <v/>
      </c>
      <c r="O2849" s="209">
        <f>IF($F2849&lt;$B$2831,$E$2831+$I$2831*($F2849-$A$2831),IF($F2849&lt;$C$2831,$F$2831+$J$2831*($F2849-$B$2831),$G$2831+$K$2831*($F2849-$C$2831)))</f>
        <v/>
      </c>
      <c r="P2849" s="208">
        <f>MIN(1,MAX(0,(nr_MEndPm1-$G2849+0.5)/$C$2830))-MIN(1,MAX(0,(nr_MStartPm1-1-$G2849+0.5)/$C$2830))</f>
        <v/>
      </c>
      <c r="Q2849" s="208">
        <f>MIN(1,MAX(0,(nr_MEndP-$G2849+0.5)/$C$2830))-MIN(1,MAX(0,(nr_MStartP-1-$G2849+0.5)/$C$2830))</f>
        <v/>
      </c>
      <c r="R2849" s="208">
        <f>MIN(1,MAX(0,(nr_MEndP1-$G2849+0.5)/$C$2830))-MIN(1,MAX(0,(nr_MStartP1-1-$G2849+0.5)/$C$2830))</f>
        <v/>
      </c>
      <c r="S2849" s="208">
        <f>IF($L$2830,$N2849*IF($O$2830=1,$O2849/$F$2830,1),"")</f>
        <v/>
      </c>
      <c r="T2849" s="208">
        <f>IF(NOT($L$2830),"",IF($G2849&lt;nr_MStartP,$S2849,$T2837*(1+IF($G2849&lt;nr_MStartP1,$M$2830,$N$2830))))</f>
        <v/>
      </c>
      <c r="U2849" s="208">
        <f>IF($L$2830,$T2849,$N2849)</f>
        <v/>
      </c>
    </row>
    <row r="2850">
      <c r="A2850" s="145" t="n">
        <v>18</v>
      </c>
      <c r="B2850" s="204">
        <f>EDATE($B2849,1)</f>
        <v/>
      </c>
      <c r="C2850" s="205">
        <f>EOMONTH($B2850,0)</f>
        <v/>
      </c>
      <c r="D2850" s="201">
        <f>$C2850-$B2850+1</f>
        <v/>
      </c>
      <c r="E2850" s="201">
        <f>MONTH($B2850)</f>
        <v/>
      </c>
      <c r="F2850" s="235">
        <f>($B2850+$C2850+1)/2</f>
        <v/>
      </c>
      <c r="G2850" s="201">
        <f>YEAR($B2850)*12+MONTH($B2850)-1</f>
        <v/>
      </c>
      <c r="H2850" s="207">
        <f>IF(OR(nr_SeasonOn="OFF",$D$2830=0,$E$2830=0),1,12*INDEX(se_block,$D$2830,$E2850)/$E$2830)</f>
        <v/>
      </c>
      <c r="I2850" s="208">
        <f>EXP(SUMPRODUCT((rl_eff&lt;$B2850)*(rl_key=$A$2830)*rl_ln1p))</f>
        <v/>
      </c>
      <c r="J2850" s="208">
        <f>EXP(SUMPRODUCT((rl_eff&lt;=$C2850)*(rl_key=$A$2830)*rl_ln1p))</f>
        <v/>
      </c>
      <c r="K2850" s="201">
        <f>COUNTIFS(rl_key,$A$2830,rl_eff,"&gt;="&amp;$B2850,rl_eff,"&lt;="&amp;$C2850)</f>
        <v/>
      </c>
      <c r="L2850" s="201">
        <f>SUMIFS(rl_daysafter,rl_key,$A$2830,rl_effmonth,$B2850,rl_first,1)</f>
        <v/>
      </c>
      <c r="M2850" s="209">
        <f>IF($K2850=0,0,MIN(1,$L2850/$D2850))</f>
        <v/>
      </c>
      <c r="N2850" s="208">
        <f>IF($K2850=0,$J2850,(1-$M2850)*$I2850+$M2850*$J2850)</f>
        <v/>
      </c>
      <c r="O2850" s="209">
        <f>IF($F2850&lt;$B$2831,$E$2831+$I$2831*($F2850-$A$2831),IF($F2850&lt;$C$2831,$F$2831+$J$2831*($F2850-$B$2831),$G$2831+$K$2831*($F2850-$C$2831)))</f>
        <v/>
      </c>
      <c r="P2850" s="208">
        <f>MIN(1,MAX(0,(nr_MEndPm1-$G2850+0.5)/$C$2830))-MIN(1,MAX(0,(nr_MStartPm1-1-$G2850+0.5)/$C$2830))</f>
        <v/>
      </c>
      <c r="Q2850" s="208">
        <f>MIN(1,MAX(0,(nr_MEndP-$G2850+0.5)/$C$2830))-MIN(1,MAX(0,(nr_MStartP-1-$G2850+0.5)/$C$2830))</f>
        <v/>
      </c>
      <c r="R2850" s="208">
        <f>MIN(1,MAX(0,(nr_MEndP1-$G2850+0.5)/$C$2830))-MIN(1,MAX(0,(nr_MStartP1-1-$G2850+0.5)/$C$2830))</f>
        <v/>
      </c>
      <c r="S2850" s="208">
        <f>IF($L$2830,$N2850*IF($O$2830=1,$O2850/$F$2830,1),"")</f>
        <v/>
      </c>
      <c r="T2850" s="208">
        <f>IF(NOT($L$2830),"",IF($G2850&lt;nr_MStartP,$S2850,$T2838*(1+IF($G2850&lt;nr_MStartP1,$M$2830,$N$2830))))</f>
        <v/>
      </c>
      <c r="U2850" s="208">
        <f>IF($L$2830,$T2850,$N2850)</f>
        <v/>
      </c>
    </row>
    <row r="2851">
      <c r="A2851" s="145" t="n">
        <v>19</v>
      </c>
      <c r="B2851" s="204">
        <f>EDATE($B2850,1)</f>
        <v/>
      </c>
      <c r="C2851" s="205">
        <f>EOMONTH($B2851,0)</f>
        <v/>
      </c>
      <c r="D2851" s="201">
        <f>$C2851-$B2851+1</f>
        <v/>
      </c>
      <c r="E2851" s="201">
        <f>MONTH($B2851)</f>
        <v/>
      </c>
      <c r="F2851" s="235">
        <f>($B2851+$C2851+1)/2</f>
        <v/>
      </c>
      <c r="G2851" s="201">
        <f>YEAR($B2851)*12+MONTH($B2851)-1</f>
        <v/>
      </c>
      <c r="H2851" s="207">
        <f>IF(OR(nr_SeasonOn="OFF",$D$2830=0,$E$2830=0),1,12*INDEX(se_block,$D$2830,$E2851)/$E$2830)</f>
        <v/>
      </c>
      <c r="I2851" s="208">
        <f>EXP(SUMPRODUCT((rl_eff&lt;$B2851)*(rl_key=$A$2830)*rl_ln1p))</f>
        <v/>
      </c>
      <c r="J2851" s="208">
        <f>EXP(SUMPRODUCT((rl_eff&lt;=$C2851)*(rl_key=$A$2830)*rl_ln1p))</f>
        <v/>
      </c>
      <c r="K2851" s="201">
        <f>COUNTIFS(rl_key,$A$2830,rl_eff,"&gt;="&amp;$B2851,rl_eff,"&lt;="&amp;$C2851)</f>
        <v/>
      </c>
      <c r="L2851" s="201">
        <f>SUMIFS(rl_daysafter,rl_key,$A$2830,rl_effmonth,$B2851,rl_first,1)</f>
        <v/>
      </c>
      <c r="M2851" s="209">
        <f>IF($K2851=0,0,MIN(1,$L2851/$D2851))</f>
        <v/>
      </c>
      <c r="N2851" s="208">
        <f>IF($K2851=0,$J2851,(1-$M2851)*$I2851+$M2851*$J2851)</f>
        <v/>
      </c>
      <c r="O2851" s="209">
        <f>IF($F2851&lt;$B$2831,$E$2831+$I$2831*($F2851-$A$2831),IF($F2851&lt;$C$2831,$F$2831+$J$2831*($F2851-$B$2831),$G$2831+$K$2831*($F2851-$C$2831)))</f>
        <v/>
      </c>
      <c r="P2851" s="208">
        <f>MIN(1,MAX(0,(nr_MEndPm1-$G2851+0.5)/$C$2830))-MIN(1,MAX(0,(nr_MStartPm1-1-$G2851+0.5)/$C$2830))</f>
        <v/>
      </c>
      <c r="Q2851" s="208">
        <f>MIN(1,MAX(0,(nr_MEndP-$G2851+0.5)/$C$2830))-MIN(1,MAX(0,(nr_MStartP-1-$G2851+0.5)/$C$2830))</f>
        <v/>
      </c>
      <c r="R2851" s="208">
        <f>MIN(1,MAX(0,(nr_MEndP1-$G2851+0.5)/$C$2830))-MIN(1,MAX(0,(nr_MStartP1-1-$G2851+0.5)/$C$2830))</f>
        <v/>
      </c>
      <c r="S2851" s="208">
        <f>IF($L$2830,$N2851*IF($O$2830=1,$O2851/$F$2830,1),"")</f>
        <v/>
      </c>
      <c r="T2851" s="208">
        <f>IF(NOT($L$2830),"",IF($G2851&lt;nr_MStartP,$S2851,$T2839*(1+IF($G2851&lt;nr_MStartP1,$M$2830,$N$2830))))</f>
        <v/>
      </c>
      <c r="U2851" s="208">
        <f>IF($L$2830,$T2851,$N2851)</f>
        <v/>
      </c>
    </row>
    <row r="2852">
      <c r="A2852" s="145" t="n">
        <v>20</v>
      </c>
      <c r="B2852" s="204">
        <f>EDATE($B2851,1)</f>
        <v/>
      </c>
      <c r="C2852" s="205">
        <f>EOMONTH($B2852,0)</f>
        <v/>
      </c>
      <c r="D2852" s="201">
        <f>$C2852-$B2852+1</f>
        <v/>
      </c>
      <c r="E2852" s="201">
        <f>MONTH($B2852)</f>
        <v/>
      </c>
      <c r="F2852" s="235">
        <f>($B2852+$C2852+1)/2</f>
        <v/>
      </c>
      <c r="G2852" s="201">
        <f>YEAR($B2852)*12+MONTH($B2852)-1</f>
        <v/>
      </c>
      <c r="H2852" s="207">
        <f>IF(OR(nr_SeasonOn="OFF",$D$2830=0,$E$2830=0),1,12*INDEX(se_block,$D$2830,$E2852)/$E$2830)</f>
        <v/>
      </c>
      <c r="I2852" s="208">
        <f>EXP(SUMPRODUCT((rl_eff&lt;$B2852)*(rl_key=$A$2830)*rl_ln1p))</f>
        <v/>
      </c>
      <c r="J2852" s="208">
        <f>EXP(SUMPRODUCT((rl_eff&lt;=$C2852)*(rl_key=$A$2830)*rl_ln1p))</f>
        <v/>
      </c>
      <c r="K2852" s="201">
        <f>COUNTIFS(rl_key,$A$2830,rl_eff,"&gt;="&amp;$B2852,rl_eff,"&lt;="&amp;$C2852)</f>
        <v/>
      </c>
      <c r="L2852" s="201">
        <f>SUMIFS(rl_daysafter,rl_key,$A$2830,rl_effmonth,$B2852,rl_first,1)</f>
        <v/>
      </c>
      <c r="M2852" s="209">
        <f>IF($K2852=0,0,MIN(1,$L2852/$D2852))</f>
        <v/>
      </c>
      <c r="N2852" s="208">
        <f>IF($K2852=0,$J2852,(1-$M2852)*$I2852+$M2852*$J2852)</f>
        <v/>
      </c>
      <c r="O2852" s="209">
        <f>IF($F2852&lt;$B$2831,$E$2831+$I$2831*($F2852-$A$2831),IF($F2852&lt;$C$2831,$F$2831+$J$2831*($F2852-$B$2831),$G$2831+$K$2831*($F2852-$C$2831)))</f>
        <v/>
      </c>
      <c r="P2852" s="208">
        <f>MIN(1,MAX(0,(nr_MEndPm1-$G2852+0.5)/$C$2830))-MIN(1,MAX(0,(nr_MStartPm1-1-$G2852+0.5)/$C$2830))</f>
        <v/>
      </c>
      <c r="Q2852" s="208">
        <f>MIN(1,MAX(0,(nr_MEndP-$G2852+0.5)/$C$2830))-MIN(1,MAX(0,(nr_MStartP-1-$G2852+0.5)/$C$2830))</f>
        <v/>
      </c>
      <c r="R2852" s="208">
        <f>MIN(1,MAX(0,(nr_MEndP1-$G2852+0.5)/$C$2830))-MIN(1,MAX(0,(nr_MStartP1-1-$G2852+0.5)/$C$2830))</f>
        <v/>
      </c>
      <c r="S2852" s="208">
        <f>IF($L$2830,$N2852*IF($O$2830=1,$O2852/$F$2830,1),"")</f>
        <v/>
      </c>
      <c r="T2852" s="208">
        <f>IF(NOT($L$2830),"",IF($G2852&lt;nr_MStartP,$S2852,$T2840*(1+IF($G2852&lt;nr_MStartP1,$M$2830,$N$2830))))</f>
        <v/>
      </c>
      <c r="U2852" s="208">
        <f>IF($L$2830,$T2852,$N2852)</f>
        <v/>
      </c>
    </row>
    <row r="2853">
      <c r="A2853" s="145" t="n">
        <v>21</v>
      </c>
      <c r="B2853" s="204">
        <f>EDATE($B2852,1)</f>
        <v/>
      </c>
      <c r="C2853" s="205">
        <f>EOMONTH($B2853,0)</f>
        <v/>
      </c>
      <c r="D2853" s="201">
        <f>$C2853-$B2853+1</f>
        <v/>
      </c>
      <c r="E2853" s="201">
        <f>MONTH($B2853)</f>
        <v/>
      </c>
      <c r="F2853" s="235">
        <f>($B2853+$C2853+1)/2</f>
        <v/>
      </c>
      <c r="G2853" s="201">
        <f>YEAR($B2853)*12+MONTH($B2853)-1</f>
        <v/>
      </c>
      <c r="H2853" s="207">
        <f>IF(OR(nr_SeasonOn="OFF",$D$2830=0,$E$2830=0),1,12*INDEX(se_block,$D$2830,$E2853)/$E$2830)</f>
        <v/>
      </c>
      <c r="I2853" s="208">
        <f>EXP(SUMPRODUCT((rl_eff&lt;$B2853)*(rl_key=$A$2830)*rl_ln1p))</f>
        <v/>
      </c>
      <c r="J2853" s="208">
        <f>EXP(SUMPRODUCT((rl_eff&lt;=$C2853)*(rl_key=$A$2830)*rl_ln1p))</f>
        <v/>
      </c>
      <c r="K2853" s="201">
        <f>COUNTIFS(rl_key,$A$2830,rl_eff,"&gt;="&amp;$B2853,rl_eff,"&lt;="&amp;$C2853)</f>
        <v/>
      </c>
      <c r="L2853" s="201">
        <f>SUMIFS(rl_daysafter,rl_key,$A$2830,rl_effmonth,$B2853,rl_first,1)</f>
        <v/>
      </c>
      <c r="M2853" s="209">
        <f>IF($K2853=0,0,MIN(1,$L2853/$D2853))</f>
        <v/>
      </c>
      <c r="N2853" s="208">
        <f>IF($K2853=0,$J2853,(1-$M2853)*$I2853+$M2853*$J2853)</f>
        <v/>
      </c>
      <c r="O2853" s="209">
        <f>IF($F2853&lt;$B$2831,$E$2831+$I$2831*($F2853-$A$2831),IF($F2853&lt;$C$2831,$F$2831+$J$2831*($F2853-$B$2831),$G$2831+$K$2831*($F2853-$C$2831)))</f>
        <v/>
      </c>
      <c r="P2853" s="208">
        <f>MIN(1,MAX(0,(nr_MEndPm1-$G2853+0.5)/$C$2830))-MIN(1,MAX(0,(nr_MStartPm1-1-$G2853+0.5)/$C$2830))</f>
        <v/>
      </c>
      <c r="Q2853" s="208">
        <f>MIN(1,MAX(0,(nr_MEndP-$G2853+0.5)/$C$2830))-MIN(1,MAX(0,(nr_MStartP-1-$G2853+0.5)/$C$2830))</f>
        <v/>
      </c>
      <c r="R2853" s="208">
        <f>MIN(1,MAX(0,(nr_MEndP1-$G2853+0.5)/$C$2830))-MIN(1,MAX(0,(nr_MStartP1-1-$G2853+0.5)/$C$2830))</f>
        <v/>
      </c>
      <c r="S2853" s="208">
        <f>IF($L$2830,$N2853*IF($O$2830=1,$O2853/$F$2830,1),"")</f>
        <v/>
      </c>
      <c r="T2853" s="208">
        <f>IF(NOT($L$2830),"",IF($G2853&lt;nr_MStartP,$S2853,$T2841*(1+IF($G2853&lt;nr_MStartP1,$M$2830,$N$2830))))</f>
        <v/>
      </c>
      <c r="U2853" s="208">
        <f>IF($L$2830,$T2853,$N2853)</f>
        <v/>
      </c>
    </row>
    <row r="2854">
      <c r="A2854" s="145" t="n">
        <v>22</v>
      </c>
      <c r="B2854" s="204">
        <f>EDATE($B2853,1)</f>
        <v/>
      </c>
      <c r="C2854" s="205">
        <f>EOMONTH($B2854,0)</f>
        <v/>
      </c>
      <c r="D2854" s="201">
        <f>$C2854-$B2854+1</f>
        <v/>
      </c>
      <c r="E2854" s="201">
        <f>MONTH($B2854)</f>
        <v/>
      </c>
      <c r="F2854" s="235">
        <f>($B2854+$C2854+1)/2</f>
        <v/>
      </c>
      <c r="G2854" s="201">
        <f>YEAR($B2854)*12+MONTH($B2854)-1</f>
        <v/>
      </c>
      <c r="H2854" s="207">
        <f>IF(OR(nr_SeasonOn="OFF",$D$2830=0,$E$2830=0),1,12*INDEX(se_block,$D$2830,$E2854)/$E$2830)</f>
        <v/>
      </c>
      <c r="I2854" s="208">
        <f>EXP(SUMPRODUCT((rl_eff&lt;$B2854)*(rl_key=$A$2830)*rl_ln1p))</f>
        <v/>
      </c>
      <c r="J2854" s="208">
        <f>EXP(SUMPRODUCT((rl_eff&lt;=$C2854)*(rl_key=$A$2830)*rl_ln1p))</f>
        <v/>
      </c>
      <c r="K2854" s="201">
        <f>COUNTIFS(rl_key,$A$2830,rl_eff,"&gt;="&amp;$B2854,rl_eff,"&lt;="&amp;$C2854)</f>
        <v/>
      </c>
      <c r="L2854" s="201">
        <f>SUMIFS(rl_daysafter,rl_key,$A$2830,rl_effmonth,$B2854,rl_first,1)</f>
        <v/>
      </c>
      <c r="M2854" s="209">
        <f>IF($K2854=0,0,MIN(1,$L2854/$D2854))</f>
        <v/>
      </c>
      <c r="N2854" s="208">
        <f>IF($K2854=0,$J2854,(1-$M2854)*$I2854+$M2854*$J2854)</f>
        <v/>
      </c>
      <c r="O2854" s="209">
        <f>IF($F2854&lt;$B$2831,$E$2831+$I$2831*($F2854-$A$2831),IF($F2854&lt;$C$2831,$F$2831+$J$2831*($F2854-$B$2831),$G$2831+$K$2831*($F2854-$C$2831)))</f>
        <v/>
      </c>
      <c r="P2854" s="208">
        <f>MIN(1,MAX(0,(nr_MEndPm1-$G2854+0.5)/$C$2830))-MIN(1,MAX(0,(nr_MStartPm1-1-$G2854+0.5)/$C$2830))</f>
        <v/>
      </c>
      <c r="Q2854" s="208">
        <f>MIN(1,MAX(0,(nr_MEndP-$G2854+0.5)/$C$2830))-MIN(1,MAX(0,(nr_MStartP-1-$G2854+0.5)/$C$2830))</f>
        <v/>
      </c>
      <c r="R2854" s="208">
        <f>MIN(1,MAX(0,(nr_MEndP1-$G2854+0.5)/$C$2830))-MIN(1,MAX(0,(nr_MStartP1-1-$G2854+0.5)/$C$2830))</f>
        <v/>
      </c>
      <c r="S2854" s="208">
        <f>IF($L$2830,$N2854*IF($O$2830=1,$O2854/$F$2830,1),"")</f>
        <v/>
      </c>
      <c r="T2854" s="208">
        <f>IF(NOT($L$2830),"",IF($G2854&lt;nr_MStartP,$S2854,$T2842*(1+IF($G2854&lt;nr_MStartP1,$M$2830,$N$2830))))</f>
        <v/>
      </c>
      <c r="U2854" s="208">
        <f>IF($L$2830,$T2854,$N2854)</f>
        <v/>
      </c>
    </row>
    <row r="2855">
      <c r="A2855" s="145" t="n">
        <v>23</v>
      </c>
      <c r="B2855" s="204">
        <f>EDATE($B2854,1)</f>
        <v/>
      </c>
      <c r="C2855" s="205">
        <f>EOMONTH($B2855,0)</f>
        <v/>
      </c>
      <c r="D2855" s="201">
        <f>$C2855-$B2855+1</f>
        <v/>
      </c>
      <c r="E2855" s="201">
        <f>MONTH($B2855)</f>
        <v/>
      </c>
      <c r="F2855" s="235">
        <f>($B2855+$C2855+1)/2</f>
        <v/>
      </c>
      <c r="G2855" s="201">
        <f>YEAR($B2855)*12+MONTH($B2855)-1</f>
        <v/>
      </c>
      <c r="H2855" s="207">
        <f>IF(OR(nr_SeasonOn="OFF",$D$2830=0,$E$2830=0),1,12*INDEX(se_block,$D$2830,$E2855)/$E$2830)</f>
        <v/>
      </c>
      <c r="I2855" s="208">
        <f>EXP(SUMPRODUCT((rl_eff&lt;$B2855)*(rl_key=$A$2830)*rl_ln1p))</f>
        <v/>
      </c>
      <c r="J2855" s="208">
        <f>EXP(SUMPRODUCT((rl_eff&lt;=$C2855)*(rl_key=$A$2830)*rl_ln1p))</f>
        <v/>
      </c>
      <c r="K2855" s="201">
        <f>COUNTIFS(rl_key,$A$2830,rl_eff,"&gt;="&amp;$B2855,rl_eff,"&lt;="&amp;$C2855)</f>
        <v/>
      </c>
      <c r="L2855" s="201">
        <f>SUMIFS(rl_daysafter,rl_key,$A$2830,rl_effmonth,$B2855,rl_first,1)</f>
        <v/>
      </c>
      <c r="M2855" s="209">
        <f>IF($K2855=0,0,MIN(1,$L2855/$D2855))</f>
        <v/>
      </c>
      <c r="N2855" s="208">
        <f>IF($K2855=0,$J2855,(1-$M2855)*$I2855+$M2855*$J2855)</f>
        <v/>
      </c>
      <c r="O2855" s="209">
        <f>IF($F2855&lt;$B$2831,$E$2831+$I$2831*($F2855-$A$2831),IF($F2855&lt;$C$2831,$F$2831+$J$2831*($F2855-$B$2831),$G$2831+$K$2831*($F2855-$C$2831)))</f>
        <v/>
      </c>
      <c r="P2855" s="208">
        <f>MIN(1,MAX(0,(nr_MEndPm1-$G2855+0.5)/$C$2830))-MIN(1,MAX(0,(nr_MStartPm1-1-$G2855+0.5)/$C$2830))</f>
        <v/>
      </c>
      <c r="Q2855" s="208">
        <f>MIN(1,MAX(0,(nr_MEndP-$G2855+0.5)/$C$2830))-MIN(1,MAX(0,(nr_MStartP-1-$G2855+0.5)/$C$2830))</f>
        <v/>
      </c>
      <c r="R2855" s="208">
        <f>MIN(1,MAX(0,(nr_MEndP1-$G2855+0.5)/$C$2830))-MIN(1,MAX(0,(nr_MStartP1-1-$G2855+0.5)/$C$2830))</f>
        <v/>
      </c>
      <c r="S2855" s="208">
        <f>IF($L$2830,$N2855*IF($O$2830=1,$O2855/$F$2830,1),"")</f>
        <v/>
      </c>
      <c r="T2855" s="208">
        <f>IF(NOT($L$2830),"",IF($G2855&lt;nr_MStartP,$S2855,$T2843*(1+IF($G2855&lt;nr_MStartP1,$M$2830,$N$2830))))</f>
        <v/>
      </c>
      <c r="U2855" s="208">
        <f>IF($L$2830,$T2855,$N2855)</f>
        <v/>
      </c>
    </row>
    <row r="2856">
      <c r="A2856" s="145" t="n">
        <v>24</v>
      </c>
      <c r="B2856" s="204">
        <f>EDATE($B2855,1)</f>
        <v/>
      </c>
      <c r="C2856" s="205">
        <f>EOMONTH($B2856,0)</f>
        <v/>
      </c>
      <c r="D2856" s="201">
        <f>$C2856-$B2856+1</f>
        <v/>
      </c>
      <c r="E2856" s="201">
        <f>MONTH($B2856)</f>
        <v/>
      </c>
      <c r="F2856" s="235">
        <f>($B2856+$C2856+1)/2</f>
        <v/>
      </c>
      <c r="G2856" s="201">
        <f>YEAR($B2856)*12+MONTH($B2856)-1</f>
        <v/>
      </c>
      <c r="H2856" s="207">
        <f>IF(OR(nr_SeasonOn="OFF",$D$2830=0,$E$2830=0),1,12*INDEX(se_block,$D$2830,$E2856)/$E$2830)</f>
        <v/>
      </c>
      <c r="I2856" s="208">
        <f>EXP(SUMPRODUCT((rl_eff&lt;$B2856)*(rl_key=$A$2830)*rl_ln1p))</f>
        <v/>
      </c>
      <c r="J2856" s="208">
        <f>EXP(SUMPRODUCT((rl_eff&lt;=$C2856)*(rl_key=$A$2830)*rl_ln1p))</f>
        <v/>
      </c>
      <c r="K2856" s="201">
        <f>COUNTIFS(rl_key,$A$2830,rl_eff,"&gt;="&amp;$B2856,rl_eff,"&lt;="&amp;$C2856)</f>
        <v/>
      </c>
      <c r="L2856" s="201">
        <f>SUMIFS(rl_daysafter,rl_key,$A$2830,rl_effmonth,$B2856,rl_first,1)</f>
        <v/>
      </c>
      <c r="M2856" s="209">
        <f>IF($K2856=0,0,MIN(1,$L2856/$D2856))</f>
        <v/>
      </c>
      <c r="N2856" s="208">
        <f>IF($K2856=0,$J2856,(1-$M2856)*$I2856+$M2856*$J2856)</f>
        <v/>
      </c>
      <c r="O2856" s="209">
        <f>IF($F2856&lt;$B$2831,$E$2831+$I$2831*($F2856-$A$2831),IF($F2856&lt;$C$2831,$F$2831+$J$2831*($F2856-$B$2831),$G$2831+$K$2831*($F2856-$C$2831)))</f>
        <v/>
      </c>
      <c r="P2856" s="208">
        <f>MIN(1,MAX(0,(nr_MEndPm1-$G2856+0.5)/$C$2830))-MIN(1,MAX(0,(nr_MStartPm1-1-$G2856+0.5)/$C$2830))</f>
        <v/>
      </c>
      <c r="Q2856" s="208">
        <f>MIN(1,MAX(0,(nr_MEndP-$G2856+0.5)/$C$2830))-MIN(1,MAX(0,(nr_MStartP-1-$G2856+0.5)/$C$2830))</f>
        <v/>
      </c>
      <c r="R2856" s="208">
        <f>MIN(1,MAX(0,(nr_MEndP1-$G2856+0.5)/$C$2830))-MIN(1,MAX(0,(nr_MStartP1-1-$G2856+0.5)/$C$2830))</f>
        <v/>
      </c>
      <c r="S2856" s="208">
        <f>IF($L$2830,$N2856*IF($O$2830=1,$O2856/$F$2830,1),"")</f>
        <v/>
      </c>
      <c r="T2856" s="208">
        <f>IF(NOT($L$2830),"",IF($G2856&lt;nr_MStartP,$S2856,$T2844*(1+IF($G2856&lt;nr_MStartP1,$M$2830,$N$2830))))</f>
        <v/>
      </c>
      <c r="U2856" s="208">
        <f>IF($L$2830,$T2856,$N2856)</f>
        <v/>
      </c>
    </row>
    <row r="2857">
      <c r="A2857" s="145" t="n">
        <v>25</v>
      </c>
      <c r="B2857" s="204">
        <f>EDATE($B2856,1)</f>
        <v/>
      </c>
      <c r="C2857" s="205">
        <f>EOMONTH($B2857,0)</f>
        <v/>
      </c>
      <c r="D2857" s="201">
        <f>$C2857-$B2857+1</f>
        <v/>
      </c>
      <c r="E2857" s="201">
        <f>MONTH($B2857)</f>
        <v/>
      </c>
      <c r="F2857" s="235">
        <f>($B2857+$C2857+1)/2</f>
        <v/>
      </c>
      <c r="G2857" s="201">
        <f>YEAR($B2857)*12+MONTH($B2857)-1</f>
        <v/>
      </c>
      <c r="H2857" s="207">
        <f>IF(OR(nr_SeasonOn="OFF",$D$2830=0,$E$2830=0),1,12*INDEX(se_block,$D$2830,$E2857)/$E$2830)</f>
        <v/>
      </c>
      <c r="I2857" s="208">
        <f>EXP(SUMPRODUCT((rl_eff&lt;$B2857)*(rl_key=$A$2830)*rl_ln1p))</f>
        <v/>
      </c>
      <c r="J2857" s="208">
        <f>EXP(SUMPRODUCT((rl_eff&lt;=$C2857)*(rl_key=$A$2830)*rl_ln1p))</f>
        <v/>
      </c>
      <c r="K2857" s="201">
        <f>COUNTIFS(rl_key,$A$2830,rl_eff,"&gt;="&amp;$B2857,rl_eff,"&lt;="&amp;$C2857)</f>
        <v/>
      </c>
      <c r="L2857" s="201">
        <f>SUMIFS(rl_daysafter,rl_key,$A$2830,rl_effmonth,$B2857,rl_first,1)</f>
        <v/>
      </c>
      <c r="M2857" s="209">
        <f>IF($K2857=0,0,MIN(1,$L2857/$D2857))</f>
        <v/>
      </c>
      <c r="N2857" s="208">
        <f>IF($K2857=0,$J2857,(1-$M2857)*$I2857+$M2857*$J2857)</f>
        <v/>
      </c>
      <c r="O2857" s="209">
        <f>IF($F2857&lt;$B$2831,$E$2831+$I$2831*($F2857-$A$2831),IF($F2857&lt;$C$2831,$F$2831+$J$2831*($F2857-$B$2831),$G$2831+$K$2831*($F2857-$C$2831)))</f>
        <v/>
      </c>
      <c r="P2857" s="208">
        <f>MIN(1,MAX(0,(nr_MEndPm1-$G2857+0.5)/$C$2830))-MIN(1,MAX(0,(nr_MStartPm1-1-$G2857+0.5)/$C$2830))</f>
        <v/>
      </c>
      <c r="Q2857" s="208">
        <f>MIN(1,MAX(0,(nr_MEndP-$G2857+0.5)/$C$2830))-MIN(1,MAX(0,(nr_MStartP-1-$G2857+0.5)/$C$2830))</f>
        <v/>
      </c>
      <c r="R2857" s="208">
        <f>MIN(1,MAX(0,(nr_MEndP1-$G2857+0.5)/$C$2830))-MIN(1,MAX(0,(nr_MStartP1-1-$G2857+0.5)/$C$2830))</f>
        <v/>
      </c>
      <c r="S2857" s="208">
        <f>IF($L$2830,$N2857*IF($O$2830=1,$O2857/$F$2830,1),"")</f>
        <v/>
      </c>
      <c r="T2857" s="208">
        <f>IF(NOT($L$2830),"",IF($G2857&lt;nr_MStartP,$S2857,$T2845*(1+IF($G2857&lt;nr_MStartP1,$M$2830,$N$2830))))</f>
        <v/>
      </c>
      <c r="U2857" s="208">
        <f>IF($L$2830,$T2857,$N2857)</f>
        <v/>
      </c>
    </row>
    <row r="2858">
      <c r="A2858" s="145" t="n">
        <v>26</v>
      </c>
      <c r="B2858" s="204">
        <f>EDATE($B2857,1)</f>
        <v/>
      </c>
      <c r="C2858" s="205">
        <f>EOMONTH($B2858,0)</f>
        <v/>
      </c>
      <c r="D2858" s="201">
        <f>$C2858-$B2858+1</f>
        <v/>
      </c>
      <c r="E2858" s="201">
        <f>MONTH($B2858)</f>
        <v/>
      </c>
      <c r="F2858" s="235">
        <f>($B2858+$C2858+1)/2</f>
        <v/>
      </c>
      <c r="G2858" s="201">
        <f>YEAR($B2858)*12+MONTH($B2858)-1</f>
        <v/>
      </c>
      <c r="H2858" s="207">
        <f>IF(OR(nr_SeasonOn="OFF",$D$2830=0,$E$2830=0),1,12*INDEX(se_block,$D$2830,$E2858)/$E$2830)</f>
        <v/>
      </c>
      <c r="I2858" s="208">
        <f>EXP(SUMPRODUCT((rl_eff&lt;$B2858)*(rl_key=$A$2830)*rl_ln1p))</f>
        <v/>
      </c>
      <c r="J2858" s="208">
        <f>EXP(SUMPRODUCT((rl_eff&lt;=$C2858)*(rl_key=$A$2830)*rl_ln1p))</f>
        <v/>
      </c>
      <c r="K2858" s="201">
        <f>COUNTIFS(rl_key,$A$2830,rl_eff,"&gt;="&amp;$B2858,rl_eff,"&lt;="&amp;$C2858)</f>
        <v/>
      </c>
      <c r="L2858" s="201">
        <f>SUMIFS(rl_daysafter,rl_key,$A$2830,rl_effmonth,$B2858,rl_first,1)</f>
        <v/>
      </c>
      <c r="M2858" s="209">
        <f>IF($K2858=0,0,MIN(1,$L2858/$D2858))</f>
        <v/>
      </c>
      <c r="N2858" s="208">
        <f>IF($K2858=0,$J2858,(1-$M2858)*$I2858+$M2858*$J2858)</f>
        <v/>
      </c>
      <c r="O2858" s="209">
        <f>IF($F2858&lt;$B$2831,$E$2831+$I$2831*($F2858-$A$2831),IF($F2858&lt;$C$2831,$F$2831+$J$2831*($F2858-$B$2831),$G$2831+$K$2831*($F2858-$C$2831)))</f>
        <v/>
      </c>
      <c r="P2858" s="208">
        <f>MIN(1,MAX(0,(nr_MEndPm1-$G2858+0.5)/$C$2830))-MIN(1,MAX(0,(nr_MStartPm1-1-$G2858+0.5)/$C$2830))</f>
        <v/>
      </c>
      <c r="Q2858" s="208">
        <f>MIN(1,MAX(0,(nr_MEndP-$G2858+0.5)/$C$2830))-MIN(1,MAX(0,(nr_MStartP-1-$G2858+0.5)/$C$2830))</f>
        <v/>
      </c>
      <c r="R2858" s="208">
        <f>MIN(1,MAX(0,(nr_MEndP1-$G2858+0.5)/$C$2830))-MIN(1,MAX(0,(nr_MStartP1-1-$G2858+0.5)/$C$2830))</f>
        <v/>
      </c>
      <c r="S2858" s="208">
        <f>IF($L$2830,$N2858*IF($O$2830=1,$O2858/$F$2830,1),"")</f>
        <v/>
      </c>
      <c r="T2858" s="208">
        <f>IF(NOT($L$2830),"",IF($G2858&lt;nr_MStartP,$S2858,$T2846*(1+IF($G2858&lt;nr_MStartP1,$M$2830,$N$2830))))</f>
        <v/>
      </c>
      <c r="U2858" s="208">
        <f>IF($L$2830,$T2858,$N2858)</f>
        <v/>
      </c>
    </row>
    <row r="2859">
      <c r="A2859" s="145" t="n">
        <v>27</v>
      </c>
      <c r="B2859" s="204">
        <f>EDATE($B2858,1)</f>
        <v/>
      </c>
      <c r="C2859" s="205">
        <f>EOMONTH($B2859,0)</f>
        <v/>
      </c>
      <c r="D2859" s="201">
        <f>$C2859-$B2859+1</f>
        <v/>
      </c>
      <c r="E2859" s="201">
        <f>MONTH($B2859)</f>
        <v/>
      </c>
      <c r="F2859" s="235">
        <f>($B2859+$C2859+1)/2</f>
        <v/>
      </c>
      <c r="G2859" s="201">
        <f>YEAR($B2859)*12+MONTH($B2859)-1</f>
        <v/>
      </c>
      <c r="H2859" s="207">
        <f>IF(OR(nr_SeasonOn="OFF",$D$2830=0,$E$2830=0),1,12*INDEX(se_block,$D$2830,$E2859)/$E$2830)</f>
        <v/>
      </c>
      <c r="I2859" s="208">
        <f>EXP(SUMPRODUCT((rl_eff&lt;$B2859)*(rl_key=$A$2830)*rl_ln1p))</f>
        <v/>
      </c>
      <c r="J2859" s="208">
        <f>EXP(SUMPRODUCT((rl_eff&lt;=$C2859)*(rl_key=$A$2830)*rl_ln1p))</f>
        <v/>
      </c>
      <c r="K2859" s="201">
        <f>COUNTIFS(rl_key,$A$2830,rl_eff,"&gt;="&amp;$B2859,rl_eff,"&lt;="&amp;$C2859)</f>
        <v/>
      </c>
      <c r="L2859" s="201">
        <f>SUMIFS(rl_daysafter,rl_key,$A$2830,rl_effmonth,$B2859,rl_first,1)</f>
        <v/>
      </c>
      <c r="M2859" s="209">
        <f>IF($K2859=0,0,MIN(1,$L2859/$D2859))</f>
        <v/>
      </c>
      <c r="N2859" s="208">
        <f>IF($K2859=0,$J2859,(1-$M2859)*$I2859+$M2859*$J2859)</f>
        <v/>
      </c>
      <c r="O2859" s="209">
        <f>IF($F2859&lt;$B$2831,$E$2831+$I$2831*($F2859-$A$2831),IF($F2859&lt;$C$2831,$F$2831+$J$2831*($F2859-$B$2831),$G$2831+$K$2831*($F2859-$C$2831)))</f>
        <v/>
      </c>
      <c r="P2859" s="208">
        <f>MIN(1,MAX(0,(nr_MEndPm1-$G2859+0.5)/$C$2830))-MIN(1,MAX(0,(nr_MStartPm1-1-$G2859+0.5)/$C$2830))</f>
        <v/>
      </c>
      <c r="Q2859" s="208">
        <f>MIN(1,MAX(0,(nr_MEndP-$G2859+0.5)/$C$2830))-MIN(1,MAX(0,(nr_MStartP-1-$G2859+0.5)/$C$2830))</f>
        <v/>
      </c>
      <c r="R2859" s="208">
        <f>MIN(1,MAX(0,(nr_MEndP1-$G2859+0.5)/$C$2830))-MIN(1,MAX(0,(nr_MStartP1-1-$G2859+0.5)/$C$2830))</f>
        <v/>
      </c>
      <c r="S2859" s="208">
        <f>IF($L$2830,$N2859*IF($O$2830=1,$O2859/$F$2830,1),"")</f>
        <v/>
      </c>
      <c r="T2859" s="208">
        <f>IF(NOT($L$2830),"",IF($G2859&lt;nr_MStartP,$S2859,$T2847*(1+IF($G2859&lt;nr_MStartP1,$M$2830,$N$2830))))</f>
        <v/>
      </c>
      <c r="U2859" s="208">
        <f>IF($L$2830,$T2859,$N2859)</f>
        <v/>
      </c>
    </row>
    <row r="2860">
      <c r="A2860" s="145" t="n">
        <v>28</v>
      </c>
      <c r="B2860" s="204">
        <f>EDATE($B2859,1)</f>
        <v/>
      </c>
      <c r="C2860" s="205">
        <f>EOMONTH($B2860,0)</f>
        <v/>
      </c>
      <c r="D2860" s="201">
        <f>$C2860-$B2860+1</f>
        <v/>
      </c>
      <c r="E2860" s="201">
        <f>MONTH($B2860)</f>
        <v/>
      </c>
      <c r="F2860" s="235">
        <f>($B2860+$C2860+1)/2</f>
        <v/>
      </c>
      <c r="G2860" s="201">
        <f>YEAR($B2860)*12+MONTH($B2860)-1</f>
        <v/>
      </c>
      <c r="H2860" s="207">
        <f>IF(OR(nr_SeasonOn="OFF",$D$2830=0,$E$2830=0),1,12*INDEX(se_block,$D$2830,$E2860)/$E$2830)</f>
        <v/>
      </c>
      <c r="I2860" s="208">
        <f>EXP(SUMPRODUCT((rl_eff&lt;$B2860)*(rl_key=$A$2830)*rl_ln1p))</f>
        <v/>
      </c>
      <c r="J2860" s="208">
        <f>EXP(SUMPRODUCT((rl_eff&lt;=$C2860)*(rl_key=$A$2830)*rl_ln1p))</f>
        <v/>
      </c>
      <c r="K2860" s="201">
        <f>COUNTIFS(rl_key,$A$2830,rl_eff,"&gt;="&amp;$B2860,rl_eff,"&lt;="&amp;$C2860)</f>
        <v/>
      </c>
      <c r="L2860" s="201">
        <f>SUMIFS(rl_daysafter,rl_key,$A$2830,rl_effmonth,$B2860,rl_first,1)</f>
        <v/>
      </c>
      <c r="M2860" s="209">
        <f>IF($K2860=0,0,MIN(1,$L2860/$D2860))</f>
        <v/>
      </c>
      <c r="N2860" s="208">
        <f>IF($K2860=0,$J2860,(1-$M2860)*$I2860+$M2860*$J2860)</f>
        <v/>
      </c>
      <c r="O2860" s="209">
        <f>IF($F2860&lt;$B$2831,$E$2831+$I$2831*($F2860-$A$2831),IF($F2860&lt;$C$2831,$F$2831+$J$2831*($F2860-$B$2831),$G$2831+$K$2831*($F2860-$C$2831)))</f>
        <v/>
      </c>
      <c r="P2860" s="208">
        <f>MIN(1,MAX(0,(nr_MEndPm1-$G2860+0.5)/$C$2830))-MIN(1,MAX(0,(nr_MStartPm1-1-$G2860+0.5)/$C$2830))</f>
        <v/>
      </c>
      <c r="Q2860" s="208">
        <f>MIN(1,MAX(0,(nr_MEndP-$G2860+0.5)/$C$2830))-MIN(1,MAX(0,(nr_MStartP-1-$G2860+0.5)/$C$2830))</f>
        <v/>
      </c>
      <c r="R2860" s="208">
        <f>MIN(1,MAX(0,(nr_MEndP1-$G2860+0.5)/$C$2830))-MIN(1,MAX(0,(nr_MStartP1-1-$G2860+0.5)/$C$2830))</f>
        <v/>
      </c>
      <c r="S2860" s="208">
        <f>IF($L$2830,$N2860*IF($O$2830=1,$O2860/$F$2830,1),"")</f>
        <v/>
      </c>
      <c r="T2860" s="208">
        <f>IF(NOT($L$2830),"",IF($G2860&lt;nr_MStartP,$S2860,$T2848*(1+IF($G2860&lt;nr_MStartP1,$M$2830,$N$2830))))</f>
        <v/>
      </c>
      <c r="U2860" s="208">
        <f>IF($L$2830,$T2860,$N2860)</f>
        <v/>
      </c>
    </row>
    <row r="2861">
      <c r="A2861" s="145" t="n">
        <v>29</v>
      </c>
      <c r="B2861" s="204">
        <f>EDATE($B2860,1)</f>
        <v/>
      </c>
      <c r="C2861" s="205">
        <f>EOMONTH($B2861,0)</f>
        <v/>
      </c>
      <c r="D2861" s="201">
        <f>$C2861-$B2861+1</f>
        <v/>
      </c>
      <c r="E2861" s="201">
        <f>MONTH($B2861)</f>
        <v/>
      </c>
      <c r="F2861" s="235">
        <f>($B2861+$C2861+1)/2</f>
        <v/>
      </c>
      <c r="G2861" s="201">
        <f>YEAR($B2861)*12+MONTH($B2861)-1</f>
        <v/>
      </c>
      <c r="H2861" s="207">
        <f>IF(OR(nr_SeasonOn="OFF",$D$2830=0,$E$2830=0),1,12*INDEX(se_block,$D$2830,$E2861)/$E$2830)</f>
        <v/>
      </c>
      <c r="I2861" s="208">
        <f>EXP(SUMPRODUCT((rl_eff&lt;$B2861)*(rl_key=$A$2830)*rl_ln1p))</f>
        <v/>
      </c>
      <c r="J2861" s="208">
        <f>EXP(SUMPRODUCT((rl_eff&lt;=$C2861)*(rl_key=$A$2830)*rl_ln1p))</f>
        <v/>
      </c>
      <c r="K2861" s="201">
        <f>COUNTIFS(rl_key,$A$2830,rl_eff,"&gt;="&amp;$B2861,rl_eff,"&lt;="&amp;$C2861)</f>
        <v/>
      </c>
      <c r="L2861" s="201">
        <f>SUMIFS(rl_daysafter,rl_key,$A$2830,rl_effmonth,$B2861,rl_first,1)</f>
        <v/>
      </c>
      <c r="M2861" s="209">
        <f>IF($K2861=0,0,MIN(1,$L2861/$D2861))</f>
        <v/>
      </c>
      <c r="N2861" s="208">
        <f>IF($K2861=0,$J2861,(1-$M2861)*$I2861+$M2861*$J2861)</f>
        <v/>
      </c>
      <c r="O2861" s="209">
        <f>IF($F2861&lt;$B$2831,$E$2831+$I$2831*($F2861-$A$2831),IF($F2861&lt;$C$2831,$F$2831+$J$2831*($F2861-$B$2831),$G$2831+$K$2831*($F2861-$C$2831)))</f>
        <v/>
      </c>
      <c r="P2861" s="208">
        <f>MIN(1,MAX(0,(nr_MEndPm1-$G2861+0.5)/$C$2830))-MIN(1,MAX(0,(nr_MStartPm1-1-$G2861+0.5)/$C$2830))</f>
        <v/>
      </c>
      <c r="Q2861" s="208">
        <f>MIN(1,MAX(0,(nr_MEndP-$G2861+0.5)/$C$2830))-MIN(1,MAX(0,(nr_MStartP-1-$G2861+0.5)/$C$2830))</f>
        <v/>
      </c>
      <c r="R2861" s="208">
        <f>MIN(1,MAX(0,(nr_MEndP1-$G2861+0.5)/$C$2830))-MIN(1,MAX(0,(nr_MStartP1-1-$G2861+0.5)/$C$2830))</f>
        <v/>
      </c>
      <c r="S2861" s="208">
        <f>IF($L$2830,$N2861*IF($O$2830=1,$O2861/$F$2830,1),"")</f>
        <v/>
      </c>
      <c r="T2861" s="208">
        <f>IF(NOT($L$2830),"",IF($G2861&lt;nr_MStartP,$S2861,$T2849*(1+IF($G2861&lt;nr_MStartP1,$M$2830,$N$2830))))</f>
        <v/>
      </c>
      <c r="U2861" s="208">
        <f>IF($L$2830,$T2861,$N2861)</f>
        <v/>
      </c>
    </row>
    <row r="2862">
      <c r="A2862" s="145" t="n">
        <v>30</v>
      </c>
      <c r="B2862" s="204">
        <f>EDATE($B2861,1)</f>
        <v/>
      </c>
      <c r="C2862" s="205">
        <f>EOMONTH($B2862,0)</f>
        <v/>
      </c>
      <c r="D2862" s="201">
        <f>$C2862-$B2862+1</f>
        <v/>
      </c>
      <c r="E2862" s="201">
        <f>MONTH($B2862)</f>
        <v/>
      </c>
      <c r="F2862" s="235">
        <f>($B2862+$C2862+1)/2</f>
        <v/>
      </c>
      <c r="G2862" s="201">
        <f>YEAR($B2862)*12+MONTH($B2862)-1</f>
        <v/>
      </c>
      <c r="H2862" s="207">
        <f>IF(OR(nr_SeasonOn="OFF",$D$2830=0,$E$2830=0),1,12*INDEX(se_block,$D$2830,$E2862)/$E$2830)</f>
        <v/>
      </c>
      <c r="I2862" s="208">
        <f>EXP(SUMPRODUCT((rl_eff&lt;$B2862)*(rl_key=$A$2830)*rl_ln1p))</f>
        <v/>
      </c>
      <c r="J2862" s="208">
        <f>EXP(SUMPRODUCT((rl_eff&lt;=$C2862)*(rl_key=$A$2830)*rl_ln1p))</f>
        <v/>
      </c>
      <c r="K2862" s="201">
        <f>COUNTIFS(rl_key,$A$2830,rl_eff,"&gt;="&amp;$B2862,rl_eff,"&lt;="&amp;$C2862)</f>
        <v/>
      </c>
      <c r="L2862" s="201">
        <f>SUMIFS(rl_daysafter,rl_key,$A$2830,rl_effmonth,$B2862,rl_first,1)</f>
        <v/>
      </c>
      <c r="M2862" s="209">
        <f>IF($K2862=0,0,MIN(1,$L2862/$D2862))</f>
        <v/>
      </c>
      <c r="N2862" s="208">
        <f>IF($K2862=0,$J2862,(1-$M2862)*$I2862+$M2862*$J2862)</f>
        <v/>
      </c>
      <c r="O2862" s="209">
        <f>IF($F2862&lt;$B$2831,$E$2831+$I$2831*($F2862-$A$2831),IF($F2862&lt;$C$2831,$F$2831+$J$2831*($F2862-$B$2831),$G$2831+$K$2831*($F2862-$C$2831)))</f>
        <v/>
      </c>
      <c r="P2862" s="208">
        <f>MIN(1,MAX(0,(nr_MEndPm1-$G2862+0.5)/$C$2830))-MIN(1,MAX(0,(nr_MStartPm1-1-$G2862+0.5)/$C$2830))</f>
        <v/>
      </c>
      <c r="Q2862" s="208">
        <f>MIN(1,MAX(0,(nr_MEndP-$G2862+0.5)/$C$2830))-MIN(1,MAX(0,(nr_MStartP-1-$G2862+0.5)/$C$2830))</f>
        <v/>
      </c>
      <c r="R2862" s="208">
        <f>MIN(1,MAX(0,(nr_MEndP1-$G2862+0.5)/$C$2830))-MIN(1,MAX(0,(nr_MStartP1-1-$G2862+0.5)/$C$2830))</f>
        <v/>
      </c>
      <c r="S2862" s="208">
        <f>IF($L$2830,$N2862*IF($O$2830=1,$O2862/$F$2830,1),"")</f>
        <v/>
      </c>
      <c r="T2862" s="208">
        <f>IF(NOT($L$2830),"",IF($G2862&lt;nr_MStartP,$S2862,$T2850*(1+IF($G2862&lt;nr_MStartP1,$M$2830,$N$2830))))</f>
        <v/>
      </c>
      <c r="U2862" s="208">
        <f>IF($L$2830,$T2862,$N2862)</f>
        <v/>
      </c>
    </row>
    <row r="2863">
      <c r="A2863" s="145" t="n">
        <v>31</v>
      </c>
      <c r="B2863" s="204">
        <f>EDATE($B2862,1)</f>
        <v/>
      </c>
      <c r="C2863" s="205">
        <f>EOMONTH($B2863,0)</f>
        <v/>
      </c>
      <c r="D2863" s="201">
        <f>$C2863-$B2863+1</f>
        <v/>
      </c>
      <c r="E2863" s="201">
        <f>MONTH($B2863)</f>
        <v/>
      </c>
      <c r="F2863" s="235">
        <f>($B2863+$C2863+1)/2</f>
        <v/>
      </c>
      <c r="G2863" s="201">
        <f>YEAR($B2863)*12+MONTH($B2863)-1</f>
        <v/>
      </c>
      <c r="H2863" s="207">
        <f>IF(OR(nr_SeasonOn="OFF",$D$2830=0,$E$2830=0),1,12*INDEX(se_block,$D$2830,$E2863)/$E$2830)</f>
        <v/>
      </c>
      <c r="I2863" s="208">
        <f>EXP(SUMPRODUCT((rl_eff&lt;$B2863)*(rl_key=$A$2830)*rl_ln1p))</f>
        <v/>
      </c>
      <c r="J2863" s="208">
        <f>EXP(SUMPRODUCT((rl_eff&lt;=$C2863)*(rl_key=$A$2830)*rl_ln1p))</f>
        <v/>
      </c>
      <c r="K2863" s="201">
        <f>COUNTIFS(rl_key,$A$2830,rl_eff,"&gt;="&amp;$B2863,rl_eff,"&lt;="&amp;$C2863)</f>
        <v/>
      </c>
      <c r="L2863" s="201">
        <f>SUMIFS(rl_daysafter,rl_key,$A$2830,rl_effmonth,$B2863,rl_first,1)</f>
        <v/>
      </c>
      <c r="M2863" s="209">
        <f>IF($K2863=0,0,MIN(1,$L2863/$D2863))</f>
        <v/>
      </c>
      <c r="N2863" s="208">
        <f>IF($K2863=0,$J2863,(1-$M2863)*$I2863+$M2863*$J2863)</f>
        <v/>
      </c>
      <c r="O2863" s="209">
        <f>IF($F2863&lt;$B$2831,$E$2831+$I$2831*($F2863-$A$2831),IF($F2863&lt;$C$2831,$F$2831+$J$2831*($F2863-$B$2831),$G$2831+$K$2831*($F2863-$C$2831)))</f>
        <v/>
      </c>
      <c r="P2863" s="208">
        <f>MIN(1,MAX(0,(nr_MEndPm1-$G2863+0.5)/$C$2830))-MIN(1,MAX(0,(nr_MStartPm1-1-$G2863+0.5)/$C$2830))</f>
        <v/>
      </c>
      <c r="Q2863" s="208">
        <f>MIN(1,MAX(0,(nr_MEndP-$G2863+0.5)/$C$2830))-MIN(1,MAX(0,(nr_MStartP-1-$G2863+0.5)/$C$2830))</f>
        <v/>
      </c>
      <c r="R2863" s="208">
        <f>MIN(1,MAX(0,(nr_MEndP1-$G2863+0.5)/$C$2830))-MIN(1,MAX(0,(nr_MStartP1-1-$G2863+0.5)/$C$2830))</f>
        <v/>
      </c>
      <c r="S2863" s="208">
        <f>IF($L$2830,$N2863*IF($O$2830=1,$O2863/$F$2830,1),"")</f>
        <v/>
      </c>
      <c r="T2863" s="208">
        <f>IF(NOT($L$2830),"",IF($G2863&lt;nr_MStartP,$S2863,$T2851*(1+IF($G2863&lt;nr_MStartP1,$M$2830,$N$2830))))</f>
        <v/>
      </c>
      <c r="U2863" s="208">
        <f>IF($L$2830,$T2863,$N2863)</f>
        <v/>
      </c>
    </row>
    <row r="2864">
      <c r="A2864" s="145" t="n">
        <v>32</v>
      </c>
      <c r="B2864" s="204">
        <f>EDATE($B2863,1)</f>
        <v/>
      </c>
      <c r="C2864" s="205">
        <f>EOMONTH($B2864,0)</f>
        <v/>
      </c>
      <c r="D2864" s="201">
        <f>$C2864-$B2864+1</f>
        <v/>
      </c>
      <c r="E2864" s="201">
        <f>MONTH($B2864)</f>
        <v/>
      </c>
      <c r="F2864" s="235">
        <f>($B2864+$C2864+1)/2</f>
        <v/>
      </c>
      <c r="G2864" s="201">
        <f>YEAR($B2864)*12+MONTH($B2864)-1</f>
        <v/>
      </c>
      <c r="H2864" s="207">
        <f>IF(OR(nr_SeasonOn="OFF",$D$2830=0,$E$2830=0),1,12*INDEX(se_block,$D$2830,$E2864)/$E$2830)</f>
        <v/>
      </c>
      <c r="I2864" s="208">
        <f>EXP(SUMPRODUCT((rl_eff&lt;$B2864)*(rl_key=$A$2830)*rl_ln1p))</f>
        <v/>
      </c>
      <c r="J2864" s="208">
        <f>EXP(SUMPRODUCT((rl_eff&lt;=$C2864)*(rl_key=$A$2830)*rl_ln1p))</f>
        <v/>
      </c>
      <c r="K2864" s="201">
        <f>COUNTIFS(rl_key,$A$2830,rl_eff,"&gt;="&amp;$B2864,rl_eff,"&lt;="&amp;$C2864)</f>
        <v/>
      </c>
      <c r="L2864" s="201">
        <f>SUMIFS(rl_daysafter,rl_key,$A$2830,rl_effmonth,$B2864,rl_first,1)</f>
        <v/>
      </c>
      <c r="M2864" s="209">
        <f>IF($K2864=0,0,MIN(1,$L2864/$D2864))</f>
        <v/>
      </c>
      <c r="N2864" s="208">
        <f>IF($K2864=0,$J2864,(1-$M2864)*$I2864+$M2864*$J2864)</f>
        <v/>
      </c>
      <c r="O2864" s="209">
        <f>IF($F2864&lt;$B$2831,$E$2831+$I$2831*($F2864-$A$2831),IF($F2864&lt;$C$2831,$F$2831+$J$2831*($F2864-$B$2831),$G$2831+$K$2831*($F2864-$C$2831)))</f>
        <v/>
      </c>
      <c r="P2864" s="208">
        <f>MIN(1,MAX(0,(nr_MEndPm1-$G2864+0.5)/$C$2830))-MIN(1,MAX(0,(nr_MStartPm1-1-$G2864+0.5)/$C$2830))</f>
        <v/>
      </c>
      <c r="Q2864" s="208">
        <f>MIN(1,MAX(0,(nr_MEndP-$G2864+0.5)/$C$2830))-MIN(1,MAX(0,(nr_MStartP-1-$G2864+0.5)/$C$2830))</f>
        <v/>
      </c>
      <c r="R2864" s="208">
        <f>MIN(1,MAX(0,(nr_MEndP1-$G2864+0.5)/$C$2830))-MIN(1,MAX(0,(nr_MStartP1-1-$G2864+0.5)/$C$2830))</f>
        <v/>
      </c>
      <c r="S2864" s="208">
        <f>IF($L$2830,$N2864*IF($O$2830=1,$O2864/$F$2830,1),"")</f>
        <v/>
      </c>
      <c r="T2864" s="208">
        <f>IF(NOT($L$2830),"",IF($G2864&lt;nr_MStartP,$S2864,$T2852*(1+IF($G2864&lt;nr_MStartP1,$M$2830,$N$2830))))</f>
        <v/>
      </c>
      <c r="U2864" s="208">
        <f>IF($L$2830,$T2864,$N2864)</f>
        <v/>
      </c>
    </row>
    <row r="2865">
      <c r="A2865" s="145" t="n">
        <v>33</v>
      </c>
      <c r="B2865" s="204">
        <f>EDATE($B2864,1)</f>
        <v/>
      </c>
      <c r="C2865" s="205">
        <f>EOMONTH($B2865,0)</f>
        <v/>
      </c>
      <c r="D2865" s="201">
        <f>$C2865-$B2865+1</f>
        <v/>
      </c>
      <c r="E2865" s="201">
        <f>MONTH($B2865)</f>
        <v/>
      </c>
      <c r="F2865" s="235">
        <f>($B2865+$C2865+1)/2</f>
        <v/>
      </c>
      <c r="G2865" s="201">
        <f>YEAR($B2865)*12+MONTH($B2865)-1</f>
        <v/>
      </c>
      <c r="H2865" s="207">
        <f>IF(OR(nr_SeasonOn="OFF",$D$2830=0,$E$2830=0),1,12*INDEX(se_block,$D$2830,$E2865)/$E$2830)</f>
        <v/>
      </c>
      <c r="I2865" s="208">
        <f>EXP(SUMPRODUCT((rl_eff&lt;$B2865)*(rl_key=$A$2830)*rl_ln1p))</f>
        <v/>
      </c>
      <c r="J2865" s="208">
        <f>EXP(SUMPRODUCT((rl_eff&lt;=$C2865)*(rl_key=$A$2830)*rl_ln1p))</f>
        <v/>
      </c>
      <c r="K2865" s="201">
        <f>COUNTIFS(rl_key,$A$2830,rl_eff,"&gt;="&amp;$B2865,rl_eff,"&lt;="&amp;$C2865)</f>
        <v/>
      </c>
      <c r="L2865" s="201">
        <f>SUMIFS(rl_daysafter,rl_key,$A$2830,rl_effmonth,$B2865,rl_first,1)</f>
        <v/>
      </c>
      <c r="M2865" s="209">
        <f>IF($K2865=0,0,MIN(1,$L2865/$D2865))</f>
        <v/>
      </c>
      <c r="N2865" s="208">
        <f>IF($K2865=0,$J2865,(1-$M2865)*$I2865+$M2865*$J2865)</f>
        <v/>
      </c>
      <c r="O2865" s="209">
        <f>IF($F2865&lt;$B$2831,$E$2831+$I$2831*($F2865-$A$2831),IF($F2865&lt;$C$2831,$F$2831+$J$2831*($F2865-$B$2831),$G$2831+$K$2831*($F2865-$C$2831)))</f>
        <v/>
      </c>
      <c r="P2865" s="208">
        <f>MIN(1,MAX(0,(nr_MEndPm1-$G2865+0.5)/$C$2830))-MIN(1,MAX(0,(nr_MStartPm1-1-$G2865+0.5)/$C$2830))</f>
        <v/>
      </c>
      <c r="Q2865" s="208">
        <f>MIN(1,MAX(0,(nr_MEndP-$G2865+0.5)/$C$2830))-MIN(1,MAX(0,(nr_MStartP-1-$G2865+0.5)/$C$2830))</f>
        <v/>
      </c>
      <c r="R2865" s="208">
        <f>MIN(1,MAX(0,(nr_MEndP1-$G2865+0.5)/$C$2830))-MIN(1,MAX(0,(nr_MStartP1-1-$G2865+0.5)/$C$2830))</f>
        <v/>
      </c>
      <c r="S2865" s="208">
        <f>IF($L$2830,$N2865*IF($O$2830=1,$O2865/$F$2830,1),"")</f>
        <v/>
      </c>
      <c r="T2865" s="208">
        <f>IF(NOT($L$2830),"",IF($G2865&lt;nr_MStartP,$S2865,$T2853*(1+IF($G2865&lt;nr_MStartP1,$M$2830,$N$2830))))</f>
        <v/>
      </c>
      <c r="U2865" s="208">
        <f>IF($L$2830,$T2865,$N2865)</f>
        <v/>
      </c>
    </row>
    <row r="2866">
      <c r="A2866" s="145" t="n">
        <v>34</v>
      </c>
      <c r="B2866" s="204">
        <f>EDATE($B2865,1)</f>
        <v/>
      </c>
      <c r="C2866" s="205">
        <f>EOMONTH($B2866,0)</f>
        <v/>
      </c>
      <c r="D2866" s="201">
        <f>$C2866-$B2866+1</f>
        <v/>
      </c>
      <c r="E2866" s="201">
        <f>MONTH($B2866)</f>
        <v/>
      </c>
      <c r="F2866" s="235">
        <f>($B2866+$C2866+1)/2</f>
        <v/>
      </c>
      <c r="G2866" s="201">
        <f>YEAR($B2866)*12+MONTH($B2866)-1</f>
        <v/>
      </c>
      <c r="H2866" s="207">
        <f>IF(OR(nr_SeasonOn="OFF",$D$2830=0,$E$2830=0),1,12*INDEX(se_block,$D$2830,$E2866)/$E$2830)</f>
        <v/>
      </c>
      <c r="I2866" s="208">
        <f>EXP(SUMPRODUCT((rl_eff&lt;$B2866)*(rl_key=$A$2830)*rl_ln1p))</f>
        <v/>
      </c>
      <c r="J2866" s="208">
        <f>EXP(SUMPRODUCT((rl_eff&lt;=$C2866)*(rl_key=$A$2830)*rl_ln1p))</f>
        <v/>
      </c>
      <c r="K2866" s="201">
        <f>COUNTIFS(rl_key,$A$2830,rl_eff,"&gt;="&amp;$B2866,rl_eff,"&lt;="&amp;$C2866)</f>
        <v/>
      </c>
      <c r="L2866" s="201">
        <f>SUMIFS(rl_daysafter,rl_key,$A$2830,rl_effmonth,$B2866,rl_first,1)</f>
        <v/>
      </c>
      <c r="M2866" s="209">
        <f>IF($K2866=0,0,MIN(1,$L2866/$D2866))</f>
        <v/>
      </c>
      <c r="N2866" s="208">
        <f>IF($K2866=0,$J2866,(1-$M2866)*$I2866+$M2866*$J2866)</f>
        <v/>
      </c>
      <c r="O2866" s="209">
        <f>IF($F2866&lt;$B$2831,$E$2831+$I$2831*($F2866-$A$2831),IF($F2866&lt;$C$2831,$F$2831+$J$2831*($F2866-$B$2831),$G$2831+$K$2831*($F2866-$C$2831)))</f>
        <v/>
      </c>
      <c r="P2866" s="208">
        <f>MIN(1,MAX(0,(nr_MEndPm1-$G2866+0.5)/$C$2830))-MIN(1,MAX(0,(nr_MStartPm1-1-$G2866+0.5)/$C$2830))</f>
        <v/>
      </c>
      <c r="Q2866" s="208">
        <f>MIN(1,MAX(0,(nr_MEndP-$G2866+0.5)/$C$2830))-MIN(1,MAX(0,(nr_MStartP-1-$G2866+0.5)/$C$2830))</f>
        <v/>
      </c>
      <c r="R2866" s="208">
        <f>MIN(1,MAX(0,(nr_MEndP1-$G2866+0.5)/$C$2830))-MIN(1,MAX(0,(nr_MStartP1-1-$G2866+0.5)/$C$2830))</f>
        <v/>
      </c>
      <c r="S2866" s="208">
        <f>IF($L$2830,$N2866*IF($O$2830=1,$O2866/$F$2830,1),"")</f>
        <v/>
      </c>
      <c r="T2866" s="208">
        <f>IF(NOT($L$2830),"",IF($G2866&lt;nr_MStartP,$S2866,$T2854*(1+IF($G2866&lt;nr_MStartP1,$M$2830,$N$2830))))</f>
        <v/>
      </c>
      <c r="U2866" s="208">
        <f>IF($L$2830,$T2866,$N2866)</f>
        <v/>
      </c>
    </row>
    <row r="2867">
      <c r="A2867" s="145" t="n">
        <v>35</v>
      </c>
      <c r="B2867" s="204">
        <f>EDATE($B2866,1)</f>
        <v/>
      </c>
      <c r="C2867" s="205">
        <f>EOMONTH($B2867,0)</f>
        <v/>
      </c>
      <c r="D2867" s="201">
        <f>$C2867-$B2867+1</f>
        <v/>
      </c>
      <c r="E2867" s="201">
        <f>MONTH($B2867)</f>
        <v/>
      </c>
      <c r="F2867" s="235">
        <f>($B2867+$C2867+1)/2</f>
        <v/>
      </c>
      <c r="G2867" s="201">
        <f>YEAR($B2867)*12+MONTH($B2867)-1</f>
        <v/>
      </c>
      <c r="H2867" s="207">
        <f>IF(OR(nr_SeasonOn="OFF",$D$2830=0,$E$2830=0),1,12*INDEX(se_block,$D$2830,$E2867)/$E$2830)</f>
        <v/>
      </c>
      <c r="I2867" s="208">
        <f>EXP(SUMPRODUCT((rl_eff&lt;$B2867)*(rl_key=$A$2830)*rl_ln1p))</f>
        <v/>
      </c>
      <c r="J2867" s="208">
        <f>EXP(SUMPRODUCT((rl_eff&lt;=$C2867)*(rl_key=$A$2830)*rl_ln1p))</f>
        <v/>
      </c>
      <c r="K2867" s="201">
        <f>COUNTIFS(rl_key,$A$2830,rl_eff,"&gt;="&amp;$B2867,rl_eff,"&lt;="&amp;$C2867)</f>
        <v/>
      </c>
      <c r="L2867" s="201">
        <f>SUMIFS(rl_daysafter,rl_key,$A$2830,rl_effmonth,$B2867,rl_first,1)</f>
        <v/>
      </c>
      <c r="M2867" s="209">
        <f>IF($K2867=0,0,MIN(1,$L2867/$D2867))</f>
        <v/>
      </c>
      <c r="N2867" s="208">
        <f>IF($K2867=0,$J2867,(1-$M2867)*$I2867+$M2867*$J2867)</f>
        <v/>
      </c>
      <c r="O2867" s="209">
        <f>IF($F2867&lt;$B$2831,$E$2831+$I$2831*($F2867-$A$2831),IF($F2867&lt;$C$2831,$F$2831+$J$2831*($F2867-$B$2831),$G$2831+$K$2831*($F2867-$C$2831)))</f>
        <v/>
      </c>
      <c r="P2867" s="208">
        <f>MIN(1,MAX(0,(nr_MEndPm1-$G2867+0.5)/$C$2830))-MIN(1,MAX(0,(nr_MStartPm1-1-$G2867+0.5)/$C$2830))</f>
        <v/>
      </c>
      <c r="Q2867" s="208">
        <f>MIN(1,MAX(0,(nr_MEndP-$G2867+0.5)/$C$2830))-MIN(1,MAX(0,(nr_MStartP-1-$G2867+0.5)/$C$2830))</f>
        <v/>
      </c>
      <c r="R2867" s="208">
        <f>MIN(1,MAX(0,(nr_MEndP1-$G2867+0.5)/$C$2830))-MIN(1,MAX(0,(nr_MStartP1-1-$G2867+0.5)/$C$2830))</f>
        <v/>
      </c>
      <c r="S2867" s="208">
        <f>IF($L$2830,$N2867*IF($O$2830=1,$O2867/$F$2830,1),"")</f>
        <v/>
      </c>
      <c r="T2867" s="208">
        <f>IF(NOT($L$2830),"",IF($G2867&lt;nr_MStartP,$S2867,$T2855*(1+IF($G2867&lt;nr_MStartP1,$M$2830,$N$2830))))</f>
        <v/>
      </c>
      <c r="U2867" s="208">
        <f>IF($L$2830,$T2867,$N2867)</f>
        <v/>
      </c>
    </row>
    <row r="2868">
      <c r="A2868" s="145" t="n">
        <v>36</v>
      </c>
      <c r="B2868" s="204">
        <f>EDATE($B2867,1)</f>
        <v/>
      </c>
      <c r="C2868" s="205">
        <f>EOMONTH($B2868,0)</f>
        <v/>
      </c>
      <c r="D2868" s="201">
        <f>$C2868-$B2868+1</f>
        <v/>
      </c>
      <c r="E2868" s="201">
        <f>MONTH($B2868)</f>
        <v/>
      </c>
      <c r="F2868" s="235">
        <f>($B2868+$C2868+1)/2</f>
        <v/>
      </c>
      <c r="G2868" s="201">
        <f>YEAR($B2868)*12+MONTH($B2868)-1</f>
        <v/>
      </c>
      <c r="H2868" s="207">
        <f>IF(OR(nr_SeasonOn="OFF",$D$2830=0,$E$2830=0),1,12*INDEX(se_block,$D$2830,$E2868)/$E$2830)</f>
        <v/>
      </c>
      <c r="I2868" s="208">
        <f>EXP(SUMPRODUCT((rl_eff&lt;$B2868)*(rl_key=$A$2830)*rl_ln1p))</f>
        <v/>
      </c>
      <c r="J2868" s="208">
        <f>EXP(SUMPRODUCT((rl_eff&lt;=$C2868)*(rl_key=$A$2830)*rl_ln1p))</f>
        <v/>
      </c>
      <c r="K2868" s="201">
        <f>COUNTIFS(rl_key,$A$2830,rl_eff,"&gt;="&amp;$B2868,rl_eff,"&lt;="&amp;$C2868)</f>
        <v/>
      </c>
      <c r="L2868" s="201">
        <f>SUMIFS(rl_daysafter,rl_key,$A$2830,rl_effmonth,$B2868,rl_first,1)</f>
        <v/>
      </c>
      <c r="M2868" s="209">
        <f>IF($K2868=0,0,MIN(1,$L2868/$D2868))</f>
        <v/>
      </c>
      <c r="N2868" s="208">
        <f>IF($K2868=0,$J2868,(1-$M2868)*$I2868+$M2868*$J2868)</f>
        <v/>
      </c>
      <c r="O2868" s="209">
        <f>IF($F2868&lt;$B$2831,$E$2831+$I$2831*($F2868-$A$2831),IF($F2868&lt;$C$2831,$F$2831+$J$2831*($F2868-$B$2831),$G$2831+$K$2831*($F2868-$C$2831)))</f>
        <v/>
      </c>
      <c r="P2868" s="208">
        <f>MIN(1,MAX(0,(nr_MEndPm1-$G2868+0.5)/$C$2830))-MIN(1,MAX(0,(nr_MStartPm1-1-$G2868+0.5)/$C$2830))</f>
        <v/>
      </c>
      <c r="Q2868" s="208">
        <f>MIN(1,MAX(0,(nr_MEndP-$G2868+0.5)/$C$2830))-MIN(1,MAX(0,(nr_MStartP-1-$G2868+0.5)/$C$2830))</f>
        <v/>
      </c>
      <c r="R2868" s="208">
        <f>MIN(1,MAX(0,(nr_MEndP1-$G2868+0.5)/$C$2830))-MIN(1,MAX(0,(nr_MStartP1-1-$G2868+0.5)/$C$2830))</f>
        <v/>
      </c>
      <c r="S2868" s="208">
        <f>IF($L$2830,$N2868*IF($O$2830=1,$O2868/$F$2830,1),"")</f>
        <v/>
      </c>
      <c r="T2868" s="208">
        <f>IF(NOT($L$2830),"",IF($G2868&lt;nr_MStartP,$S2868,$T2856*(1+IF($G2868&lt;nr_MStartP1,$M$2830,$N$2830))))</f>
        <v/>
      </c>
      <c r="U2868" s="208">
        <f>IF($L$2830,$T2868,$N2868)</f>
        <v/>
      </c>
    </row>
    <row r="2869">
      <c r="A2869" s="145" t="n">
        <v>37</v>
      </c>
      <c r="B2869" s="204">
        <f>EDATE($B2868,1)</f>
        <v/>
      </c>
      <c r="C2869" s="205">
        <f>EOMONTH($B2869,0)</f>
        <v/>
      </c>
      <c r="D2869" s="201">
        <f>$C2869-$B2869+1</f>
        <v/>
      </c>
      <c r="E2869" s="201">
        <f>MONTH($B2869)</f>
        <v/>
      </c>
      <c r="F2869" s="235">
        <f>($B2869+$C2869+1)/2</f>
        <v/>
      </c>
      <c r="G2869" s="201">
        <f>YEAR($B2869)*12+MONTH($B2869)-1</f>
        <v/>
      </c>
      <c r="H2869" s="207">
        <f>IF(OR(nr_SeasonOn="OFF",$D$2830=0,$E$2830=0),1,12*INDEX(se_block,$D$2830,$E2869)/$E$2830)</f>
        <v/>
      </c>
      <c r="I2869" s="208">
        <f>EXP(SUMPRODUCT((rl_eff&lt;$B2869)*(rl_key=$A$2830)*rl_ln1p))</f>
        <v/>
      </c>
      <c r="J2869" s="208">
        <f>EXP(SUMPRODUCT((rl_eff&lt;=$C2869)*(rl_key=$A$2830)*rl_ln1p))</f>
        <v/>
      </c>
      <c r="K2869" s="201">
        <f>COUNTIFS(rl_key,$A$2830,rl_eff,"&gt;="&amp;$B2869,rl_eff,"&lt;="&amp;$C2869)</f>
        <v/>
      </c>
      <c r="L2869" s="201">
        <f>SUMIFS(rl_daysafter,rl_key,$A$2830,rl_effmonth,$B2869,rl_first,1)</f>
        <v/>
      </c>
      <c r="M2869" s="209">
        <f>IF($K2869=0,0,MIN(1,$L2869/$D2869))</f>
        <v/>
      </c>
      <c r="N2869" s="208">
        <f>IF($K2869=0,$J2869,(1-$M2869)*$I2869+$M2869*$J2869)</f>
        <v/>
      </c>
      <c r="O2869" s="209">
        <f>IF($F2869&lt;$B$2831,$E$2831+$I$2831*($F2869-$A$2831),IF($F2869&lt;$C$2831,$F$2831+$J$2831*($F2869-$B$2831),$G$2831+$K$2831*($F2869-$C$2831)))</f>
        <v/>
      </c>
      <c r="P2869" s="208">
        <f>MIN(1,MAX(0,(nr_MEndPm1-$G2869+0.5)/$C$2830))-MIN(1,MAX(0,(nr_MStartPm1-1-$G2869+0.5)/$C$2830))</f>
        <v/>
      </c>
      <c r="Q2869" s="208">
        <f>MIN(1,MAX(0,(nr_MEndP-$G2869+0.5)/$C$2830))-MIN(1,MAX(0,(nr_MStartP-1-$G2869+0.5)/$C$2830))</f>
        <v/>
      </c>
      <c r="R2869" s="208">
        <f>MIN(1,MAX(0,(nr_MEndP1-$G2869+0.5)/$C$2830))-MIN(1,MAX(0,(nr_MStartP1-1-$G2869+0.5)/$C$2830))</f>
        <v/>
      </c>
      <c r="S2869" s="208">
        <f>IF($L$2830,$N2869*IF($O$2830=1,$O2869/$F$2830,1),"")</f>
        <v/>
      </c>
      <c r="T2869" s="208">
        <f>IF(NOT($L$2830),"",IF($G2869&lt;nr_MStartP,$S2869,$T2857*(1+IF($G2869&lt;nr_MStartP1,$M$2830,$N$2830))))</f>
        <v/>
      </c>
      <c r="U2869" s="208">
        <f>IF($L$2830,$T2869,$N2869)</f>
        <v/>
      </c>
    </row>
    <row r="2870">
      <c r="A2870" s="145" t="n">
        <v>38</v>
      </c>
      <c r="B2870" s="204">
        <f>EDATE($B2869,1)</f>
        <v/>
      </c>
      <c r="C2870" s="205">
        <f>EOMONTH($B2870,0)</f>
        <v/>
      </c>
      <c r="D2870" s="201">
        <f>$C2870-$B2870+1</f>
        <v/>
      </c>
      <c r="E2870" s="201">
        <f>MONTH($B2870)</f>
        <v/>
      </c>
      <c r="F2870" s="235">
        <f>($B2870+$C2870+1)/2</f>
        <v/>
      </c>
      <c r="G2870" s="201">
        <f>YEAR($B2870)*12+MONTH($B2870)-1</f>
        <v/>
      </c>
      <c r="H2870" s="207">
        <f>IF(OR(nr_SeasonOn="OFF",$D$2830=0,$E$2830=0),1,12*INDEX(se_block,$D$2830,$E2870)/$E$2830)</f>
        <v/>
      </c>
      <c r="I2870" s="208">
        <f>EXP(SUMPRODUCT((rl_eff&lt;$B2870)*(rl_key=$A$2830)*rl_ln1p))</f>
        <v/>
      </c>
      <c r="J2870" s="208">
        <f>EXP(SUMPRODUCT((rl_eff&lt;=$C2870)*(rl_key=$A$2830)*rl_ln1p))</f>
        <v/>
      </c>
      <c r="K2870" s="201">
        <f>COUNTIFS(rl_key,$A$2830,rl_eff,"&gt;="&amp;$B2870,rl_eff,"&lt;="&amp;$C2870)</f>
        <v/>
      </c>
      <c r="L2870" s="201">
        <f>SUMIFS(rl_daysafter,rl_key,$A$2830,rl_effmonth,$B2870,rl_first,1)</f>
        <v/>
      </c>
      <c r="M2870" s="209">
        <f>IF($K2870=0,0,MIN(1,$L2870/$D2870))</f>
        <v/>
      </c>
      <c r="N2870" s="208">
        <f>IF($K2870=0,$J2870,(1-$M2870)*$I2870+$M2870*$J2870)</f>
        <v/>
      </c>
      <c r="O2870" s="209">
        <f>IF($F2870&lt;$B$2831,$E$2831+$I$2831*($F2870-$A$2831),IF($F2870&lt;$C$2831,$F$2831+$J$2831*($F2870-$B$2831),$G$2831+$K$2831*($F2870-$C$2831)))</f>
        <v/>
      </c>
      <c r="P2870" s="208">
        <f>MIN(1,MAX(0,(nr_MEndPm1-$G2870+0.5)/$C$2830))-MIN(1,MAX(0,(nr_MStartPm1-1-$G2870+0.5)/$C$2830))</f>
        <v/>
      </c>
      <c r="Q2870" s="208">
        <f>MIN(1,MAX(0,(nr_MEndP-$G2870+0.5)/$C$2830))-MIN(1,MAX(0,(nr_MStartP-1-$G2870+0.5)/$C$2830))</f>
        <v/>
      </c>
      <c r="R2870" s="208">
        <f>MIN(1,MAX(0,(nr_MEndP1-$G2870+0.5)/$C$2830))-MIN(1,MAX(0,(nr_MStartP1-1-$G2870+0.5)/$C$2830))</f>
        <v/>
      </c>
      <c r="S2870" s="208">
        <f>IF($L$2830,$N2870*IF($O$2830=1,$O2870/$F$2830,1),"")</f>
        <v/>
      </c>
      <c r="T2870" s="208">
        <f>IF(NOT($L$2830),"",IF($G2870&lt;nr_MStartP,$S2870,$T2858*(1+IF($G2870&lt;nr_MStartP1,$M$2830,$N$2830))))</f>
        <v/>
      </c>
      <c r="U2870" s="208">
        <f>IF($L$2830,$T2870,$N2870)</f>
        <v/>
      </c>
    </row>
    <row r="2871">
      <c r="A2871" s="145" t="n">
        <v>39</v>
      </c>
      <c r="B2871" s="204">
        <f>EDATE($B2870,1)</f>
        <v/>
      </c>
      <c r="C2871" s="205">
        <f>EOMONTH($B2871,0)</f>
        <v/>
      </c>
      <c r="D2871" s="201">
        <f>$C2871-$B2871+1</f>
        <v/>
      </c>
      <c r="E2871" s="201">
        <f>MONTH($B2871)</f>
        <v/>
      </c>
      <c r="F2871" s="235">
        <f>($B2871+$C2871+1)/2</f>
        <v/>
      </c>
      <c r="G2871" s="201">
        <f>YEAR($B2871)*12+MONTH($B2871)-1</f>
        <v/>
      </c>
      <c r="H2871" s="207">
        <f>IF(OR(nr_SeasonOn="OFF",$D$2830=0,$E$2830=0),1,12*INDEX(se_block,$D$2830,$E2871)/$E$2830)</f>
        <v/>
      </c>
      <c r="I2871" s="208">
        <f>EXP(SUMPRODUCT((rl_eff&lt;$B2871)*(rl_key=$A$2830)*rl_ln1p))</f>
        <v/>
      </c>
      <c r="J2871" s="208">
        <f>EXP(SUMPRODUCT((rl_eff&lt;=$C2871)*(rl_key=$A$2830)*rl_ln1p))</f>
        <v/>
      </c>
      <c r="K2871" s="201">
        <f>COUNTIFS(rl_key,$A$2830,rl_eff,"&gt;="&amp;$B2871,rl_eff,"&lt;="&amp;$C2871)</f>
        <v/>
      </c>
      <c r="L2871" s="201">
        <f>SUMIFS(rl_daysafter,rl_key,$A$2830,rl_effmonth,$B2871,rl_first,1)</f>
        <v/>
      </c>
      <c r="M2871" s="209">
        <f>IF($K2871=0,0,MIN(1,$L2871/$D2871))</f>
        <v/>
      </c>
      <c r="N2871" s="208">
        <f>IF($K2871=0,$J2871,(1-$M2871)*$I2871+$M2871*$J2871)</f>
        <v/>
      </c>
      <c r="O2871" s="209">
        <f>IF($F2871&lt;$B$2831,$E$2831+$I$2831*($F2871-$A$2831),IF($F2871&lt;$C$2831,$F$2831+$J$2831*($F2871-$B$2831),$G$2831+$K$2831*($F2871-$C$2831)))</f>
        <v/>
      </c>
      <c r="P2871" s="208">
        <f>MIN(1,MAX(0,(nr_MEndPm1-$G2871+0.5)/$C$2830))-MIN(1,MAX(0,(nr_MStartPm1-1-$G2871+0.5)/$C$2830))</f>
        <v/>
      </c>
      <c r="Q2871" s="208">
        <f>MIN(1,MAX(0,(nr_MEndP-$G2871+0.5)/$C$2830))-MIN(1,MAX(0,(nr_MStartP-1-$G2871+0.5)/$C$2830))</f>
        <v/>
      </c>
      <c r="R2871" s="208">
        <f>MIN(1,MAX(0,(nr_MEndP1-$G2871+0.5)/$C$2830))-MIN(1,MAX(0,(nr_MStartP1-1-$G2871+0.5)/$C$2830))</f>
        <v/>
      </c>
      <c r="S2871" s="208">
        <f>IF($L$2830,$N2871*IF($O$2830=1,$O2871/$F$2830,1),"")</f>
        <v/>
      </c>
      <c r="T2871" s="208">
        <f>IF(NOT($L$2830),"",IF($G2871&lt;nr_MStartP,$S2871,$T2859*(1+IF($G2871&lt;nr_MStartP1,$M$2830,$N$2830))))</f>
        <v/>
      </c>
      <c r="U2871" s="208">
        <f>IF($L$2830,$T2871,$N2871)</f>
        <v/>
      </c>
    </row>
    <row r="2872">
      <c r="A2872" s="145" t="n">
        <v>40</v>
      </c>
      <c r="B2872" s="204">
        <f>EDATE($B2871,1)</f>
        <v/>
      </c>
      <c r="C2872" s="205">
        <f>EOMONTH($B2872,0)</f>
        <v/>
      </c>
      <c r="D2872" s="201">
        <f>$C2872-$B2872+1</f>
        <v/>
      </c>
      <c r="E2872" s="201">
        <f>MONTH($B2872)</f>
        <v/>
      </c>
      <c r="F2872" s="235">
        <f>($B2872+$C2872+1)/2</f>
        <v/>
      </c>
      <c r="G2872" s="201">
        <f>YEAR($B2872)*12+MONTH($B2872)-1</f>
        <v/>
      </c>
      <c r="H2872" s="207">
        <f>IF(OR(nr_SeasonOn="OFF",$D$2830=0,$E$2830=0),1,12*INDEX(se_block,$D$2830,$E2872)/$E$2830)</f>
        <v/>
      </c>
      <c r="I2872" s="208">
        <f>EXP(SUMPRODUCT((rl_eff&lt;$B2872)*(rl_key=$A$2830)*rl_ln1p))</f>
        <v/>
      </c>
      <c r="J2872" s="208">
        <f>EXP(SUMPRODUCT((rl_eff&lt;=$C2872)*(rl_key=$A$2830)*rl_ln1p))</f>
        <v/>
      </c>
      <c r="K2872" s="201">
        <f>COUNTIFS(rl_key,$A$2830,rl_eff,"&gt;="&amp;$B2872,rl_eff,"&lt;="&amp;$C2872)</f>
        <v/>
      </c>
      <c r="L2872" s="201">
        <f>SUMIFS(rl_daysafter,rl_key,$A$2830,rl_effmonth,$B2872,rl_first,1)</f>
        <v/>
      </c>
      <c r="M2872" s="209">
        <f>IF($K2872=0,0,MIN(1,$L2872/$D2872))</f>
        <v/>
      </c>
      <c r="N2872" s="208">
        <f>IF($K2872=0,$J2872,(1-$M2872)*$I2872+$M2872*$J2872)</f>
        <v/>
      </c>
      <c r="O2872" s="209">
        <f>IF($F2872&lt;$B$2831,$E$2831+$I$2831*($F2872-$A$2831),IF($F2872&lt;$C$2831,$F$2831+$J$2831*($F2872-$B$2831),$G$2831+$K$2831*($F2872-$C$2831)))</f>
        <v/>
      </c>
      <c r="P2872" s="208">
        <f>MIN(1,MAX(0,(nr_MEndPm1-$G2872+0.5)/$C$2830))-MIN(1,MAX(0,(nr_MStartPm1-1-$G2872+0.5)/$C$2830))</f>
        <v/>
      </c>
      <c r="Q2872" s="208">
        <f>MIN(1,MAX(0,(nr_MEndP-$G2872+0.5)/$C$2830))-MIN(1,MAX(0,(nr_MStartP-1-$G2872+0.5)/$C$2830))</f>
        <v/>
      </c>
      <c r="R2872" s="208">
        <f>MIN(1,MAX(0,(nr_MEndP1-$G2872+0.5)/$C$2830))-MIN(1,MAX(0,(nr_MStartP1-1-$G2872+0.5)/$C$2830))</f>
        <v/>
      </c>
      <c r="S2872" s="208">
        <f>IF($L$2830,$N2872*IF($O$2830=1,$O2872/$F$2830,1),"")</f>
        <v/>
      </c>
      <c r="T2872" s="208">
        <f>IF(NOT($L$2830),"",IF($G2872&lt;nr_MStartP,$S2872,$T2860*(1+IF($G2872&lt;nr_MStartP1,$M$2830,$N$2830))))</f>
        <v/>
      </c>
      <c r="U2872" s="208">
        <f>IF($L$2830,$T2872,$N2872)</f>
        <v/>
      </c>
    </row>
    <row r="2873">
      <c r="A2873" s="145" t="n">
        <v>41</v>
      </c>
      <c r="B2873" s="204">
        <f>EDATE($B2872,1)</f>
        <v/>
      </c>
      <c r="C2873" s="205">
        <f>EOMONTH($B2873,0)</f>
        <v/>
      </c>
      <c r="D2873" s="201">
        <f>$C2873-$B2873+1</f>
        <v/>
      </c>
      <c r="E2873" s="201">
        <f>MONTH($B2873)</f>
        <v/>
      </c>
      <c r="F2873" s="235">
        <f>($B2873+$C2873+1)/2</f>
        <v/>
      </c>
      <c r="G2873" s="201">
        <f>YEAR($B2873)*12+MONTH($B2873)-1</f>
        <v/>
      </c>
      <c r="H2873" s="207">
        <f>IF(OR(nr_SeasonOn="OFF",$D$2830=0,$E$2830=0),1,12*INDEX(se_block,$D$2830,$E2873)/$E$2830)</f>
        <v/>
      </c>
      <c r="I2873" s="208">
        <f>EXP(SUMPRODUCT((rl_eff&lt;$B2873)*(rl_key=$A$2830)*rl_ln1p))</f>
        <v/>
      </c>
      <c r="J2873" s="208">
        <f>EXP(SUMPRODUCT((rl_eff&lt;=$C2873)*(rl_key=$A$2830)*rl_ln1p))</f>
        <v/>
      </c>
      <c r="K2873" s="201">
        <f>COUNTIFS(rl_key,$A$2830,rl_eff,"&gt;="&amp;$B2873,rl_eff,"&lt;="&amp;$C2873)</f>
        <v/>
      </c>
      <c r="L2873" s="201">
        <f>SUMIFS(rl_daysafter,rl_key,$A$2830,rl_effmonth,$B2873,rl_first,1)</f>
        <v/>
      </c>
      <c r="M2873" s="209">
        <f>IF($K2873=0,0,MIN(1,$L2873/$D2873))</f>
        <v/>
      </c>
      <c r="N2873" s="208">
        <f>IF($K2873=0,$J2873,(1-$M2873)*$I2873+$M2873*$J2873)</f>
        <v/>
      </c>
      <c r="O2873" s="209">
        <f>IF($F2873&lt;$B$2831,$E$2831+$I$2831*($F2873-$A$2831),IF($F2873&lt;$C$2831,$F$2831+$J$2831*($F2873-$B$2831),$G$2831+$K$2831*($F2873-$C$2831)))</f>
        <v/>
      </c>
      <c r="P2873" s="208">
        <f>MIN(1,MAX(0,(nr_MEndPm1-$G2873+0.5)/$C$2830))-MIN(1,MAX(0,(nr_MStartPm1-1-$G2873+0.5)/$C$2830))</f>
        <v/>
      </c>
      <c r="Q2873" s="208">
        <f>MIN(1,MAX(0,(nr_MEndP-$G2873+0.5)/$C$2830))-MIN(1,MAX(0,(nr_MStartP-1-$G2873+0.5)/$C$2830))</f>
        <v/>
      </c>
      <c r="R2873" s="208">
        <f>MIN(1,MAX(0,(nr_MEndP1-$G2873+0.5)/$C$2830))-MIN(1,MAX(0,(nr_MStartP1-1-$G2873+0.5)/$C$2830))</f>
        <v/>
      </c>
      <c r="S2873" s="208">
        <f>IF($L$2830,$N2873*IF($O$2830=1,$O2873/$F$2830,1),"")</f>
        <v/>
      </c>
      <c r="T2873" s="208">
        <f>IF(NOT($L$2830),"",IF($G2873&lt;nr_MStartP,$S2873,$T2861*(1+IF($G2873&lt;nr_MStartP1,$M$2830,$N$2830))))</f>
        <v/>
      </c>
      <c r="U2873" s="208">
        <f>IF($L$2830,$T2873,$N2873)</f>
        <v/>
      </c>
    </row>
    <row r="2874">
      <c r="A2874" s="145" t="n">
        <v>42</v>
      </c>
      <c r="B2874" s="204">
        <f>EDATE($B2873,1)</f>
        <v/>
      </c>
      <c r="C2874" s="205">
        <f>EOMONTH($B2874,0)</f>
        <v/>
      </c>
      <c r="D2874" s="201">
        <f>$C2874-$B2874+1</f>
        <v/>
      </c>
      <c r="E2874" s="201">
        <f>MONTH($B2874)</f>
        <v/>
      </c>
      <c r="F2874" s="235">
        <f>($B2874+$C2874+1)/2</f>
        <v/>
      </c>
      <c r="G2874" s="201">
        <f>YEAR($B2874)*12+MONTH($B2874)-1</f>
        <v/>
      </c>
      <c r="H2874" s="207">
        <f>IF(OR(nr_SeasonOn="OFF",$D$2830=0,$E$2830=0),1,12*INDEX(se_block,$D$2830,$E2874)/$E$2830)</f>
        <v/>
      </c>
      <c r="I2874" s="208">
        <f>EXP(SUMPRODUCT((rl_eff&lt;$B2874)*(rl_key=$A$2830)*rl_ln1p))</f>
        <v/>
      </c>
      <c r="J2874" s="208">
        <f>EXP(SUMPRODUCT((rl_eff&lt;=$C2874)*(rl_key=$A$2830)*rl_ln1p))</f>
        <v/>
      </c>
      <c r="K2874" s="201">
        <f>COUNTIFS(rl_key,$A$2830,rl_eff,"&gt;="&amp;$B2874,rl_eff,"&lt;="&amp;$C2874)</f>
        <v/>
      </c>
      <c r="L2874" s="201">
        <f>SUMIFS(rl_daysafter,rl_key,$A$2830,rl_effmonth,$B2874,rl_first,1)</f>
        <v/>
      </c>
      <c r="M2874" s="209">
        <f>IF($K2874=0,0,MIN(1,$L2874/$D2874))</f>
        <v/>
      </c>
      <c r="N2874" s="208">
        <f>IF($K2874=0,$J2874,(1-$M2874)*$I2874+$M2874*$J2874)</f>
        <v/>
      </c>
      <c r="O2874" s="209">
        <f>IF($F2874&lt;$B$2831,$E$2831+$I$2831*($F2874-$A$2831),IF($F2874&lt;$C$2831,$F$2831+$J$2831*($F2874-$B$2831),$G$2831+$K$2831*($F2874-$C$2831)))</f>
        <v/>
      </c>
      <c r="P2874" s="208">
        <f>MIN(1,MAX(0,(nr_MEndPm1-$G2874+0.5)/$C$2830))-MIN(1,MAX(0,(nr_MStartPm1-1-$G2874+0.5)/$C$2830))</f>
        <v/>
      </c>
      <c r="Q2874" s="208">
        <f>MIN(1,MAX(0,(nr_MEndP-$G2874+0.5)/$C$2830))-MIN(1,MAX(0,(nr_MStartP-1-$G2874+0.5)/$C$2830))</f>
        <v/>
      </c>
      <c r="R2874" s="208">
        <f>MIN(1,MAX(0,(nr_MEndP1-$G2874+0.5)/$C$2830))-MIN(1,MAX(0,(nr_MStartP1-1-$G2874+0.5)/$C$2830))</f>
        <v/>
      </c>
      <c r="S2874" s="208">
        <f>IF($L$2830,$N2874*IF($O$2830=1,$O2874/$F$2830,1),"")</f>
        <v/>
      </c>
      <c r="T2874" s="208">
        <f>IF(NOT($L$2830),"",IF($G2874&lt;nr_MStartP,$S2874,$T2862*(1+IF($G2874&lt;nr_MStartP1,$M$2830,$N$2830))))</f>
        <v/>
      </c>
      <c r="U2874" s="208">
        <f>IF($L$2830,$T2874,$N2874)</f>
        <v/>
      </c>
    </row>
    <row r="2875">
      <c r="A2875" s="145" t="n">
        <v>43</v>
      </c>
      <c r="B2875" s="204">
        <f>EDATE($B2874,1)</f>
        <v/>
      </c>
      <c r="C2875" s="205">
        <f>EOMONTH($B2875,0)</f>
        <v/>
      </c>
      <c r="D2875" s="201">
        <f>$C2875-$B2875+1</f>
        <v/>
      </c>
      <c r="E2875" s="201">
        <f>MONTH($B2875)</f>
        <v/>
      </c>
      <c r="F2875" s="235">
        <f>($B2875+$C2875+1)/2</f>
        <v/>
      </c>
      <c r="G2875" s="201">
        <f>YEAR($B2875)*12+MONTH($B2875)-1</f>
        <v/>
      </c>
      <c r="H2875" s="207">
        <f>IF(OR(nr_SeasonOn="OFF",$D$2830=0,$E$2830=0),1,12*INDEX(se_block,$D$2830,$E2875)/$E$2830)</f>
        <v/>
      </c>
      <c r="I2875" s="208">
        <f>EXP(SUMPRODUCT((rl_eff&lt;$B2875)*(rl_key=$A$2830)*rl_ln1p))</f>
        <v/>
      </c>
      <c r="J2875" s="208">
        <f>EXP(SUMPRODUCT((rl_eff&lt;=$C2875)*(rl_key=$A$2830)*rl_ln1p))</f>
        <v/>
      </c>
      <c r="K2875" s="201">
        <f>COUNTIFS(rl_key,$A$2830,rl_eff,"&gt;="&amp;$B2875,rl_eff,"&lt;="&amp;$C2875)</f>
        <v/>
      </c>
      <c r="L2875" s="201">
        <f>SUMIFS(rl_daysafter,rl_key,$A$2830,rl_effmonth,$B2875,rl_first,1)</f>
        <v/>
      </c>
      <c r="M2875" s="209">
        <f>IF($K2875=0,0,MIN(1,$L2875/$D2875))</f>
        <v/>
      </c>
      <c r="N2875" s="208">
        <f>IF($K2875=0,$J2875,(1-$M2875)*$I2875+$M2875*$J2875)</f>
        <v/>
      </c>
      <c r="O2875" s="209">
        <f>IF($F2875&lt;$B$2831,$E$2831+$I$2831*($F2875-$A$2831),IF($F2875&lt;$C$2831,$F$2831+$J$2831*($F2875-$B$2831),$G$2831+$K$2831*($F2875-$C$2831)))</f>
        <v/>
      </c>
      <c r="P2875" s="208">
        <f>MIN(1,MAX(0,(nr_MEndPm1-$G2875+0.5)/$C$2830))-MIN(1,MAX(0,(nr_MStartPm1-1-$G2875+0.5)/$C$2830))</f>
        <v/>
      </c>
      <c r="Q2875" s="208">
        <f>MIN(1,MAX(0,(nr_MEndP-$G2875+0.5)/$C$2830))-MIN(1,MAX(0,(nr_MStartP-1-$G2875+0.5)/$C$2830))</f>
        <v/>
      </c>
      <c r="R2875" s="208">
        <f>MIN(1,MAX(0,(nr_MEndP1-$G2875+0.5)/$C$2830))-MIN(1,MAX(0,(nr_MStartP1-1-$G2875+0.5)/$C$2830))</f>
        <v/>
      </c>
      <c r="S2875" s="208">
        <f>IF($L$2830,$N2875*IF($O$2830=1,$O2875/$F$2830,1),"")</f>
        <v/>
      </c>
      <c r="T2875" s="208">
        <f>IF(NOT($L$2830),"",IF($G2875&lt;nr_MStartP,$S2875,$T2863*(1+IF($G2875&lt;nr_MStartP1,$M$2830,$N$2830))))</f>
        <v/>
      </c>
      <c r="U2875" s="208">
        <f>IF($L$2830,$T2875,$N2875)</f>
        <v/>
      </c>
    </row>
    <row r="2876">
      <c r="A2876" s="145" t="n">
        <v>44</v>
      </c>
      <c r="B2876" s="204">
        <f>EDATE($B2875,1)</f>
        <v/>
      </c>
      <c r="C2876" s="205">
        <f>EOMONTH($B2876,0)</f>
        <v/>
      </c>
      <c r="D2876" s="201">
        <f>$C2876-$B2876+1</f>
        <v/>
      </c>
      <c r="E2876" s="201">
        <f>MONTH($B2876)</f>
        <v/>
      </c>
      <c r="F2876" s="235">
        <f>($B2876+$C2876+1)/2</f>
        <v/>
      </c>
      <c r="G2876" s="201">
        <f>YEAR($B2876)*12+MONTH($B2876)-1</f>
        <v/>
      </c>
      <c r="H2876" s="207">
        <f>IF(OR(nr_SeasonOn="OFF",$D$2830=0,$E$2830=0),1,12*INDEX(se_block,$D$2830,$E2876)/$E$2830)</f>
        <v/>
      </c>
      <c r="I2876" s="208">
        <f>EXP(SUMPRODUCT((rl_eff&lt;$B2876)*(rl_key=$A$2830)*rl_ln1p))</f>
        <v/>
      </c>
      <c r="J2876" s="208">
        <f>EXP(SUMPRODUCT((rl_eff&lt;=$C2876)*(rl_key=$A$2830)*rl_ln1p))</f>
        <v/>
      </c>
      <c r="K2876" s="201">
        <f>COUNTIFS(rl_key,$A$2830,rl_eff,"&gt;="&amp;$B2876,rl_eff,"&lt;="&amp;$C2876)</f>
        <v/>
      </c>
      <c r="L2876" s="201">
        <f>SUMIFS(rl_daysafter,rl_key,$A$2830,rl_effmonth,$B2876,rl_first,1)</f>
        <v/>
      </c>
      <c r="M2876" s="209">
        <f>IF($K2876=0,0,MIN(1,$L2876/$D2876))</f>
        <v/>
      </c>
      <c r="N2876" s="208">
        <f>IF($K2876=0,$J2876,(1-$M2876)*$I2876+$M2876*$J2876)</f>
        <v/>
      </c>
      <c r="O2876" s="209">
        <f>IF($F2876&lt;$B$2831,$E$2831+$I$2831*($F2876-$A$2831),IF($F2876&lt;$C$2831,$F$2831+$J$2831*($F2876-$B$2831),$G$2831+$K$2831*($F2876-$C$2831)))</f>
        <v/>
      </c>
      <c r="P2876" s="208">
        <f>MIN(1,MAX(0,(nr_MEndPm1-$G2876+0.5)/$C$2830))-MIN(1,MAX(0,(nr_MStartPm1-1-$G2876+0.5)/$C$2830))</f>
        <v/>
      </c>
      <c r="Q2876" s="208">
        <f>MIN(1,MAX(0,(nr_MEndP-$G2876+0.5)/$C$2830))-MIN(1,MAX(0,(nr_MStartP-1-$G2876+0.5)/$C$2830))</f>
        <v/>
      </c>
      <c r="R2876" s="208">
        <f>MIN(1,MAX(0,(nr_MEndP1-$G2876+0.5)/$C$2830))-MIN(1,MAX(0,(nr_MStartP1-1-$G2876+0.5)/$C$2830))</f>
        <v/>
      </c>
      <c r="S2876" s="208">
        <f>IF($L$2830,$N2876*IF($O$2830=1,$O2876/$F$2830,1),"")</f>
        <v/>
      </c>
      <c r="T2876" s="208">
        <f>IF(NOT($L$2830),"",IF($G2876&lt;nr_MStartP,$S2876,$T2864*(1+IF($G2876&lt;nr_MStartP1,$M$2830,$N$2830))))</f>
        <v/>
      </c>
      <c r="U2876" s="208">
        <f>IF($L$2830,$T2876,$N2876)</f>
        <v/>
      </c>
    </row>
    <row r="2877">
      <c r="A2877" s="145" t="n">
        <v>45</v>
      </c>
      <c r="B2877" s="204">
        <f>EDATE($B2876,1)</f>
        <v/>
      </c>
      <c r="C2877" s="205">
        <f>EOMONTH($B2877,0)</f>
        <v/>
      </c>
      <c r="D2877" s="201">
        <f>$C2877-$B2877+1</f>
        <v/>
      </c>
      <c r="E2877" s="201">
        <f>MONTH($B2877)</f>
        <v/>
      </c>
      <c r="F2877" s="235">
        <f>($B2877+$C2877+1)/2</f>
        <v/>
      </c>
      <c r="G2877" s="201">
        <f>YEAR($B2877)*12+MONTH($B2877)-1</f>
        <v/>
      </c>
      <c r="H2877" s="207">
        <f>IF(OR(nr_SeasonOn="OFF",$D$2830=0,$E$2830=0),1,12*INDEX(se_block,$D$2830,$E2877)/$E$2830)</f>
        <v/>
      </c>
      <c r="I2877" s="208">
        <f>EXP(SUMPRODUCT((rl_eff&lt;$B2877)*(rl_key=$A$2830)*rl_ln1p))</f>
        <v/>
      </c>
      <c r="J2877" s="208">
        <f>EXP(SUMPRODUCT((rl_eff&lt;=$C2877)*(rl_key=$A$2830)*rl_ln1p))</f>
        <v/>
      </c>
      <c r="K2877" s="201">
        <f>COUNTIFS(rl_key,$A$2830,rl_eff,"&gt;="&amp;$B2877,rl_eff,"&lt;="&amp;$C2877)</f>
        <v/>
      </c>
      <c r="L2877" s="201">
        <f>SUMIFS(rl_daysafter,rl_key,$A$2830,rl_effmonth,$B2877,rl_first,1)</f>
        <v/>
      </c>
      <c r="M2877" s="209">
        <f>IF($K2877=0,0,MIN(1,$L2877/$D2877))</f>
        <v/>
      </c>
      <c r="N2877" s="208">
        <f>IF($K2877=0,$J2877,(1-$M2877)*$I2877+$M2877*$J2877)</f>
        <v/>
      </c>
      <c r="O2877" s="209">
        <f>IF($F2877&lt;$B$2831,$E$2831+$I$2831*($F2877-$A$2831),IF($F2877&lt;$C$2831,$F$2831+$J$2831*($F2877-$B$2831),$G$2831+$K$2831*($F2877-$C$2831)))</f>
        <v/>
      </c>
      <c r="P2877" s="208">
        <f>MIN(1,MAX(0,(nr_MEndPm1-$G2877+0.5)/$C$2830))-MIN(1,MAX(0,(nr_MStartPm1-1-$G2877+0.5)/$C$2830))</f>
        <v/>
      </c>
      <c r="Q2877" s="208">
        <f>MIN(1,MAX(0,(nr_MEndP-$G2877+0.5)/$C$2830))-MIN(1,MAX(0,(nr_MStartP-1-$G2877+0.5)/$C$2830))</f>
        <v/>
      </c>
      <c r="R2877" s="208">
        <f>MIN(1,MAX(0,(nr_MEndP1-$G2877+0.5)/$C$2830))-MIN(1,MAX(0,(nr_MStartP1-1-$G2877+0.5)/$C$2830))</f>
        <v/>
      </c>
      <c r="S2877" s="208">
        <f>IF($L$2830,$N2877*IF($O$2830=1,$O2877/$F$2830,1),"")</f>
        <v/>
      </c>
      <c r="T2877" s="208">
        <f>IF(NOT($L$2830),"",IF($G2877&lt;nr_MStartP,$S2877,$T2865*(1+IF($G2877&lt;nr_MStartP1,$M$2830,$N$2830))))</f>
        <v/>
      </c>
      <c r="U2877" s="208">
        <f>IF($L$2830,$T2877,$N2877)</f>
        <v/>
      </c>
    </row>
    <row r="2878">
      <c r="A2878" s="145" t="n">
        <v>46</v>
      </c>
      <c r="B2878" s="204">
        <f>EDATE($B2877,1)</f>
        <v/>
      </c>
      <c r="C2878" s="205">
        <f>EOMONTH($B2878,0)</f>
        <v/>
      </c>
      <c r="D2878" s="201">
        <f>$C2878-$B2878+1</f>
        <v/>
      </c>
      <c r="E2878" s="201">
        <f>MONTH($B2878)</f>
        <v/>
      </c>
      <c r="F2878" s="235">
        <f>($B2878+$C2878+1)/2</f>
        <v/>
      </c>
      <c r="G2878" s="201">
        <f>YEAR($B2878)*12+MONTH($B2878)-1</f>
        <v/>
      </c>
      <c r="H2878" s="207">
        <f>IF(OR(nr_SeasonOn="OFF",$D$2830=0,$E$2830=0),1,12*INDEX(se_block,$D$2830,$E2878)/$E$2830)</f>
        <v/>
      </c>
      <c r="I2878" s="208">
        <f>EXP(SUMPRODUCT((rl_eff&lt;$B2878)*(rl_key=$A$2830)*rl_ln1p))</f>
        <v/>
      </c>
      <c r="J2878" s="208">
        <f>EXP(SUMPRODUCT((rl_eff&lt;=$C2878)*(rl_key=$A$2830)*rl_ln1p))</f>
        <v/>
      </c>
      <c r="K2878" s="201">
        <f>COUNTIFS(rl_key,$A$2830,rl_eff,"&gt;="&amp;$B2878,rl_eff,"&lt;="&amp;$C2878)</f>
        <v/>
      </c>
      <c r="L2878" s="201">
        <f>SUMIFS(rl_daysafter,rl_key,$A$2830,rl_effmonth,$B2878,rl_first,1)</f>
        <v/>
      </c>
      <c r="M2878" s="209">
        <f>IF($K2878=0,0,MIN(1,$L2878/$D2878))</f>
        <v/>
      </c>
      <c r="N2878" s="208">
        <f>IF($K2878=0,$J2878,(1-$M2878)*$I2878+$M2878*$J2878)</f>
        <v/>
      </c>
      <c r="O2878" s="209">
        <f>IF($F2878&lt;$B$2831,$E$2831+$I$2831*($F2878-$A$2831),IF($F2878&lt;$C$2831,$F$2831+$J$2831*($F2878-$B$2831),$G$2831+$K$2831*($F2878-$C$2831)))</f>
        <v/>
      </c>
      <c r="P2878" s="208">
        <f>MIN(1,MAX(0,(nr_MEndPm1-$G2878+0.5)/$C$2830))-MIN(1,MAX(0,(nr_MStartPm1-1-$G2878+0.5)/$C$2830))</f>
        <v/>
      </c>
      <c r="Q2878" s="208">
        <f>MIN(1,MAX(0,(nr_MEndP-$G2878+0.5)/$C$2830))-MIN(1,MAX(0,(nr_MStartP-1-$G2878+0.5)/$C$2830))</f>
        <v/>
      </c>
      <c r="R2878" s="208">
        <f>MIN(1,MAX(0,(nr_MEndP1-$G2878+0.5)/$C$2830))-MIN(1,MAX(0,(nr_MStartP1-1-$G2878+0.5)/$C$2830))</f>
        <v/>
      </c>
      <c r="S2878" s="208">
        <f>IF($L$2830,$N2878*IF($O$2830=1,$O2878/$F$2830,1),"")</f>
        <v/>
      </c>
      <c r="T2878" s="208">
        <f>IF(NOT($L$2830),"",IF($G2878&lt;nr_MStartP,$S2878,$T2866*(1+IF($G2878&lt;nr_MStartP1,$M$2830,$N$2830))))</f>
        <v/>
      </c>
      <c r="U2878" s="208">
        <f>IF($L$2830,$T2878,$N2878)</f>
        <v/>
      </c>
    </row>
    <row r="2879">
      <c r="A2879" s="145" t="n">
        <v>47</v>
      </c>
      <c r="B2879" s="204">
        <f>EDATE($B2878,1)</f>
        <v/>
      </c>
      <c r="C2879" s="205">
        <f>EOMONTH($B2879,0)</f>
        <v/>
      </c>
      <c r="D2879" s="201">
        <f>$C2879-$B2879+1</f>
        <v/>
      </c>
      <c r="E2879" s="201">
        <f>MONTH($B2879)</f>
        <v/>
      </c>
      <c r="F2879" s="235">
        <f>($B2879+$C2879+1)/2</f>
        <v/>
      </c>
      <c r="G2879" s="201">
        <f>YEAR($B2879)*12+MONTH($B2879)-1</f>
        <v/>
      </c>
      <c r="H2879" s="207">
        <f>IF(OR(nr_SeasonOn="OFF",$D$2830=0,$E$2830=0),1,12*INDEX(se_block,$D$2830,$E2879)/$E$2830)</f>
        <v/>
      </c>
      <c r="I2879" s="208">
        <f>EXP(SUMPRODUCT((rl_eff&lt;$B2879)*(rl_key=$A$2830)*rl_ln1p))</f>
        <v/>
      </c>
      <c r="J2879" s="208">
        <f>EXP(SUMPRODUCT((rl_eff&lt;=$C2879)*(rl_key=$A$2830)*rl_ln1p))</f>
        <v/>
      </c>
      <c r="K2879" s="201">
        <f>COUNTIFS(rl_key,$A$2830,rl_eff,"&gt;="&amp;$B2879,rl_eff,"&lt;="&amp;$C2879)</f>
        <v/>
      </c>
      <c r="L2879" s="201">
        <f>SUMIFS(rl_daysafter,rl_key,$A$2830,rl_effmonth,$B2879,rl_first,1)</f>
        <v/>
      </c>
      <c r="M2879" s="209">
        <f>IF($K2879=0,0,MIN(1,$L2879/$D2879))</f>
        <v/>
      </c>
      <c r="N2879" s="208">
        <f>IF($K2879=0,$J2879,(1-$M2879)*$I2879+$M2879*$J2879)</f>
        <v/>
      </c>
      <c r="O2879" s="209">
        <f>IF($F2879&lt;$B$2831,$E$2831+$I$2831*($F2879-$A$2831),IF($F2879&lt;$C$2831,$F$2831+$J$2831*($F2879-$B$2831),$G$2831+$K$2831*($F2879-$C$2831)))</f>
        <v/>
      </c>
      <c r="P2879" s="208">
        <f>MIN(1,MAX(0,(nr_MEndPm1-$G2879+0.5)/$C$2830))-MIN(1,MAX(0,(nr_MStartPm1-1-$G2879+0.5)/$C$2830))</f>
        <v/>
      </c>
      <c r="Q2879" s="208">
        <f>MIN(1,MAX(0,(nr_MEndP-$G2879+0.5)/$C$2830))-MIN(1,MAX(0,(nr_MStartP-1-$G2879+0.5)/$C$2830))</f>
        <v/>
      </c>
      <c r="R2879" s="208">
        <f>MIN(1,MAX(0,(nr_MEndP1-$G2879+0.5)/$C$2830))-MIN(1,MAX(0,(nr_MStartP1-1-$G2879+0.5)/$C$2830))</f>
        <v/>
      </c>
      <c r="S2879" s="208">
        <f>IF($L$2830,$N2879*IF($O$2830=1,$O2879/$F$2830,1),"")</f>
        <v/>
      </c>
      <c r="T2879" s="208">
        <f>IF(NOT($L$2830),"",IF($G2879&lt;nr_MStartP,$S2879,$T2867*(1+IF($G2879&lt;nr_MStartP1,$M$2830,$N$2830))))</f>
        <v/>
      </c>
      <c r="U2879" s="208">
        <f>IF($L$2830,$T2879,$N2879)</f>
        <v/>
      </c>
    </row>
    <row r="2880">
      <c r="A2880" s="145" t="n">
        <v>48</v>
      </c>
      <c r="B2880" s="204">
        <f>EDATE($B2879,1)</f>
        <v/>
      </c>
      <c r="C2880" s="205">
        <f>EOMONTH($B2880,0)</f>
        <v/>
      </c>
      <c r="D2880" s="201">
        <f>$C2880-$B2880+1</f>
        <v/>
      </c>
      <c r="E2880" s="201">
        <f>MONTH($B2880)</f>
        <v/>
      </c>
      <c r="F2880" s="235">
        <f>($B2880+$C2880+1)/2</f>
        <v/>
      </c>
      <c r="G2880" s="201">
        <f>YEAR($B2880)*12+MONTH($B2880)-1</f>
        <v/>
      </c>
      <c r="H2880" s="207">
        <f>IF(OR(nr_SeasonOn="OFF",$D$2830=0,$E$2830=0),1,12*INDEX(se_block,$D$2830,$E2880)/$E$2830)</f>
        <v/>
      </c>
      <c r="I2880" s="208">
        <f>EXP(SUMPRODUCT((rl_eff&lt;$B2880)*(rl_key=$A$2830)*rl_ln1p))</f>
        <v/>
      </c>
      <c r="J2880" s="208">
        <f>EXP(SUMPRODUCT((rl_eff&lt;=$C2880)*(rl_key=$A$2830)*rl_ln1p))</f>
        <v/>
      </c>
      <c r="K2880" s="201">
        <f>COUNTIFS(rl_key,$A$2830,rl_eff,"&gt;="&amp;$B2880,rl_eff,"&lt;="&amp;$C2880)</f>
        <v/>
      </c>
      <c r="L2880" s="201">
        <f>SUMIFS(rl_daysafter,rl_key,$A$2830,rl_effmonth,$B2880,rl_first,1)</f>
        <v/>
      </c>
      <c r="M2880" s="209">
        <f>IF($K2880=0,0,MIN(1,$L2880/$D2880))</f>
        <v/>
      </c>
      <c r="N2880" s="208">
        <f>IF($K2880=0,$J2880,(1-$M2880)*$I2880+$M2880*$J2880)</f>
        <v/>
      </c>
      <c r="O2880" s="209">
        <f>IF($F2880&lt;$B$2831,$E$2831+$I$2831*($F2880-$A$2831),IF($F2880&lt;$C$2831,$F$2831+$J$2831*($F2880-$B$2831),$G$2831+$K$2831*($F2880-$C$2831)))</f>
        <v/>
      </c>
      <c r="P2880" s="208">
        <f>MIN(1,MAX(0,(nr_MEndPm1-$G2880+0.5)/$C$2830))-MIN(1,MAX(0,(nr_MStartPm1-1-$G2880+0.5)/$C$2830))</f>
        <v/>
      </c>
      <c r="Q2880" s="208">
        <f>MIN(1,MAX(0,(nr_MEndP-$G2880+0.5)/$C$2830))-MIN(1,MAX(0,(nr_MStartP-1-$G2880+0.5)/$C$2830))</f>
        <v/>
      </c>
      <c r="R2880" s="208">
        <f>MIN(1,MAX(0,(nr_MEndP1-$G2880+0.5)/$C$2830))-MIN(1,MAX(0,(nr_MStartP1-1-$G2880+0.5)/$C$2830))</f>
        <v/>
      </c>
      <c r="S2880" s="208">
        <f>IF($L$2830,$N2880*IF($O$2830=1,$O2880/$F$2830,1),"")</f>
        <v/>
      </c>
      <c r="T2880" s="208">
        <f>IF(NOT($L$2830),"",IF($G2880&lt;nr_MStartP,$S2880,$T2868*(1+IF($G2880&lt;nr_MStartP1,$M$2830,$N$2830))))</f>
        <v/>
      </c>
      <c r="U2880" s="208">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184">
        <f>SUMPRODUCT($H$2833:$H$2880,$Q$2833:$Q$2880,$O$2833:$O$2880)/SUMPRODUCT($H$2833:$H$2880,$Q$2833:$Q$2880)</f>
        <v/>
      </c>
      <c r="G2881" s="184">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184">
        <f>IF(N(INDEX(lr_mind,53))=0,1,INDEX(lr_mind,53))</f>
        <v/>
      </c>
      <c r="G2884" s="184">
        <f>IF(N(INDEX(lr_m0,53))=0,1,INDEX(lr_m0,53))</f>
        <v/>
      </c>
      <c r="H2884" s="73">
        <f>IF(N(INDEX(lr_m0asof,53))=0,DATE(nr_PlanYear-1,10,1),INDEX(lr_m0asof,53))</f>
        <v/>
      </c>
      <c r="I2884" s="184">
        <f>IF(N(INDEX(lr_m1,53))=0,1,INDEX(lr_m1,53))</f>
        <v/>
      </c>
      <c r="J2884" s="184">
        <f>INDEX(lr_mprior,53)</f>
        <v/>
      </c>
      <c r="K2884" s="184">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145" t="n">
        <v>1</v>
      </c>
      <c r="B2887" s="204">
        <f>DATE(nr_PlanYear-2,1,1)</f>
        <v/>
      </c>
      <c r="C2887" s="205">
        <f>EOMONTH($B2887,0)</f>
        <v/>
      </c>
      <c r="D2887" s="201">
        <f>$C2887-$B2887+1</f>
        <v/>
      </c>
      <c r="E2887" s="201">
        <f>MONTH($B2887)</f>
        <v/>
      </c>
      <c r="F2887" s="235">
        <f>($B2887+$C2887+1)/2</f>
        <v/>
      </c>
      <c r="G2887" s="201">
        <f>YEAR($B2887)*12+MONTH($B2887)-1</f>
        <v/>
      </c>
      <c r="H2887" s="207">
        <f>IF(OR(nr_SeasonOn="OFF",$D$2884=0,$E$2884=0),1,12*INDEX(se_block,$D$2884,$E2887)/$E$2884)</f>
        <v/>
      </c>
      <c r="I2887" s="208">
        <f>EXP(SUMPRODUCT((rl_eff&lt;$B2887)*(rl_key=$A$2884)*rl_ln1p))</f>
        <v/>
      </c>
      <c r="J2887" s="208">
        <f>EXP(SUMPRODUCT((rl_eff&lt;=$C2887)*(rl_key=$A$2884)*rl_ln1p))</f>
        <v/>
      </c>
      <c r="K2887" s="201">
        <f>COUNTIFS(rl_key,$A$2884,rl_eff,"&gt;="&amp;$B2887,rl_eff,"&lt;="&amp;$C2887)</f>
        <v/>
      </c>
      <c r="L2887" s="201">
        <f>SUMIFS(rl_daysafter,rl_key,$A$2884,rl_effmonth,$B2887,rl_first,1)</f>
        <v/>
      </c>
      <c r="M2887" s="209">
        <f>IF($K2887=0,0,MIN(1,$L2887/$D2887))</f>
        <v/>
      </c>
      <c r="N2887" s="208">
        <f>IF($K2887=0,$J2887,(1-$M2887)*$I2887+$M2887*$J2887)</f>
        <v/>
      </c>
      <c r="O2887" s="209">
        <f>IF($F2887&lt;$B$2885,$E$2885+$I$2885*($F2887-$A$2885),IF($F2887&lt;$C$2885,$F$2885+$J$2885*($F2887-$B$2885),$G$2885+$K$2885*($F2887-$C$2885)))</f>
        <v/>
      </c>
      <c r="P2887" s="208">
        <f>MIN(1,MAX(0,(nr_MEndPm1-$G2887+0.5)/$C$2884))-MIN(1,MAX(0,(nr_MStartPm1-1-$G2887+0.5)/$C$2884))</f>
        <v/>
      </c>
      <c r="Q2887" s="208">
        <f>MIN(1,MAX(0,(nr_MEndP-$G2887+0.5)/$C$2884))-MIN(1,MAX(0,(nr_MStartP-1-$G2887+0.5)/$C$2884))</f>
        <v/>
      </c>
      <c r="R2887" s="208">
        <f>MIN(1,MAX(0,(nr_MEndP1-$G2887+0.5)/$C$2884))-MIN(1,MAX(0,(nr_MStartP1-1-$G2887+0.5)/$C$2884))</f>
        <v/>
      </c>
      <c r="S2887" s="208">
        <f>IF($L$2884,$N2887*IF($O$2884=1,$O2887/$F$2884,1),"")</f>
        <v/>
      </c>
      <c r="T2887" s="208">
        <f>IF(NOT($L$2884),"",IF($G2887&lt;nr_MStartP,$S2887,$T2875*(1+IF($G2887&lt;nr_MStartP1,$M$2884,$N$2884))))</f>
        <v/>
      </c>
      <c r="U2887" s="208">
        <f>IF($L$2884,$T2887,$N2887)</f>
        <v/>
      </c>
    </row>
    <row r="2888">
      <c r="A2888" s="145" t="n">
        <v>2</v>
      </c>
      <c r="B2888" s="204">
        <f>EDATE($B2887,1)</f>
        <v/>
      </c>
      <c r="C2888" s="205">
        <f>EOMONTH($B2888,0)</f>
        <v/>
      </c>
      <c r="D2888" s="201">
        <f>$C2888-$B2888+1</f>
        <v/>
      </c>
      <c r="E2888" s="201">
        <f>MONTH($B2888)</f>
        <v/>
      </c>
      <c r="F2888" s="235">
        <f>($B2888+$C2888+1)/2</f>
        <v/>
      </c>
      <c r="G2888" s="201">
        <f>YEAR($B2888)*12+MONTH($B2888)-1</f>
        <v/>
      </c>
      <c r="H2888" s="207">
        <f>IF(OR(nr_SeasonOn="OFF",$D$2884=0,$E$2884=0),1,12*INDEX(se_block,$D$2884,$E2888)/$E$2884)</f>
        <v/>
      </c>
      <c r="I2888" s="208">
        <f>EXP(SUMPRODUCT((rl_eff&lt;$B2888)*(rl_key=$A$2884)*rl_ln1p))</f>
        <v/>
      </c>
      <c r="J2888" s="208">
        <f>EXP(SUMPRODUCT((rl_eff&lt;=$C2888)*(rl_key=$A$2884)*rl_ln1p))</f>
        <v/>
      </c>
      <c r="K2888" s="201">
        <f>COUNTIFS(rl_key,$A$2884,rl_eff,"&gt;="&amp;$B2888,rl_eff,"&lt;="&amp;$C2888)</f>
        <v/>
      </c>
      <c r="L2888" s="201">
        <f>SUMIFS(rl_daysafter,rl_key,$A$2884,rl_effmonth,$B2888,rl_first,1)</f>
        <v/>
      </c>
      <c r="M2888" s="209">
        <f>IF($K2888=0,0,MIN(1,$L2888/$D2888))</f>
        <v/>
      </c>
      <c r="N2888" s="208">
        <f>IF($K2888=0,$J2888,(1-$M2888)*$I2888+$M2888*$J2888)</f>
        <v/>
      </c>
      <c r="O2888" s="209">
        <f>IF($F2888&lt;$B$2885,$E$2885+$I$2885*($F2888-$A$2885),IF($F2888&lt;$C$2885,$F$2885+$J$2885*($F2888-$B$2885),$G$2885+$K$2885*($F2888-$C$2885)))</f>
        <v/>
      </c>
      <c r="P2888" s="208">
        <f>MIN(1,MAX(0,(nr_MEndPm1-$G2888+0.5)/$C$2884))-MIN(1,MAX(0,(nr_MStartPm1-1-$G2888+0.5)/$C$2884))</f>
        <v/>
      </c>
      <c r="Q2888" s="208">
        <f>MIN(1,MAX(0,(nr_MEndP-$G2888+0.5)/$C$2884))-MIN(1,MAX(0,(nr_MStartP-1-$G2888+0.5)/$C$2884))</f>
        <v/>
      </c>
      <c r="R2888" s="208">
        <f>MIN(1,MAX(0,(nr_MEndP1-$G2888+0.5)/$C$2884))-MIN(1,MAX(0,(nr_MStartP1-1-$G2888+0.5)/$C$2884))</f>
        <v/>
      </c>
      <c r="S2888" s="208">
        <f>IF($L$2884,$N2888*IF($O$2884=1,$O2888/$F$2884,1),"")</f>
        <v/>
      </c>
      <c r="T2888" s="208">
        <f>IF(NOT($L$2884),"",IF($G2888&lt;nr_MStartP,$S2888,$T2876*(1+IF($G2888&lt;nr_MStartP1,$M$2884,$N$2884))))</f>
        <v/>
      </c>
      <c r="U2888" s="208">
        <f>IF($L$2884,$T2888,$N2888)</f>
        <v/>
      </c>
    </row>
    <row r="2889">
      <c r="A2889" s="145" t="n">
        <v>3</v>
      </c>
      <c r="B2889" s="204">
        <f>EDATE($B2888,1)</f>
        <v/>
      </c>
      <c r="C2889" s="205">
        <f>EOMONTH($B2889,0)</f>
        <v/>
      </c>
      <c r="D2889" s="201">
        <f>$C2889-$B2889+1</f>
        <v/>
      </c>
      <c r="E2889" s="201">
        <f>MONTH($B2889)</f>
        <v/>
      </c>
      <c r="F2889" s="235">
        <f>($B2889+$C2889+1)/2</f>
        <v/>
      </c>
      <c r="G2889" s="201">
        <f>YEAR($B2889)*12+MONTH($B2889)-1</f>
        <v/>
      </c>
      <c r="H2889" s="207">
        <f>IF(OR(nr_SeasonOn="OFF",$D$2884=0,$E$2884=0),1,12*INDEX(se_block,$D$2884,$E2889)/$E$2884)</f>
        <v/>
      </c>
      <c r="I2889" s="208">
        <f>EXP(SUMPRODUCT((rl_eff&lt;$B2889)*(rl_key=$A$2884)*rl_ln1p))</f>
        <v/>
      </c>
      <c r="J2889" s="208">
        <f>EXP(SUMPRODUCT((rl_eff&lt;=$C2889)*(rl_key=$A$2884)*rl_ln1p))</f>
        <v/>
      </c>
      <c r="K2889" s="201">
        <f>COUNTIFS(rl_key,$A$2884,rl_eff,"&gt;="&amp;$B2889,rl_eff,"&lt;="&amp;$C2889)</f>
        <v/>
      </c>
      <c r="L2889" s="201">
        <f>SUMIFS(rl_daysafter,rl_key,$A$2884,rl_effmonth,$B2889,rl_first,1)</f>
        <v/>
      </c>
      <c r="M2889" s="209">
        <f>IF($K2889=0,0,MIN(1,$L2889/$D2889))</f>
        <v/>
      </c>
      <c r="N2889" s="208">
        <f>IF($K2889=0,$J2889,(1-$M2889)*$I2889+$M2889*$J2889)</f>
        <v/>
      </c>
      <c r="O2889" s="209">
        <f>IF($F2889&lt;$B$2885,$E$2885+$I$2885*($F2889-$A$2885),IF($F2889&lt;$C$2885,$F$2885+$J$2885*($F2889-$B$2885),$G$2885+$K$2885*($F2889-$C$2885)))</f>
        <v/>
      </c>
      <c r="P2889" s="208">
        <f>MIN(1,MAX(0,(nr_MEndPm1-$G2889+0.5)/$C$2884))-MIN(1,MAX(0,(nr_MStartPm1-1-$G2889+0.5)/$C$2884))</f>
        <v/>
      </c>
      <c r="Q2889" s="208">
        <f>MIN(1,MAX(0,(nr_MEndP-$G2889+0.5)/$C$2884))-MIN(1,MAX(0,(nr_MStartP-1-$G2889+0.5)/$C$2884))</f>
        <v/>
      </c>
      <c r="R2889" s="208">
        <f>MIN(1,MAX(0,(nr_MEndP1-$G2889+0.5)/$C$2884))-MIN(1,MAX(0,(nr_MStartP1-1-$G2889+0.5)/$C$2884))</f>
        <v/>
      </c>
      <c r="S2889" s="208">
        <f>IF($L$2884,$N2889*IF($O$2884=1,$O2889/$F$2884,1),"")</f>
        <v/>
      </c>
      <c r="T2889" s="208">
        <f>IF(NOT($L$2884),"",IF($G2889&lt;nr_MStartP,$S2889,$T2877*(1+IF($G2889&lt;nr_MStartP1,$M$2884,$N$2884))))</f>
        <v/>
      </c>
      <c r="U2889" s="208">
        <f>IF($L$2884,$T2889,$N2889)</f>
        <v/>
      </c>
    </row>
    <row r="2890">
      <c r="A2890" s="145" t="n">
        <v>4</v>
      </c>
      <c r="B2890" s="204">
        <f>EDATE($B2889,1)</f>
        <v/>
      </c>
      <c r="C2890" s="205">
        <f>EOMONTH($B2890,0)</f>
        <v/>
      </c>
      <c r="D2890" s="201">
        <f>$C2890-$B2890+1</f>
        <v/>
      </c>
      <c r="E2890" s="201">
        <f>MONTH($B2890)</f>
        <v/>
      </c>
      <c r="F2890" s="235">
        <f>($B2890+$C2890+1)/2</f>
        <v/>
      </c>
      <c r="G2890" s="201">
        <f>YEAR($B2890)*12+MONTH($B2890)-1</f>
        <v/>
      </c>
      <c r="H2890" s="207">
        <f>IF(OR(nr_SeasonOn="OFF",$D$2884=0,$E$2884=0),1,12*INDEX(se_block,$D$2884,$E2890)/$E$2884)</f>
        <v/>
      </c>
      <c r="I2890" s="208">
        <f>EXP(SUMPRODUCT((rl_eff&lt;$B2890)*(rl_key=$A$2884)*rl_ln1p))</f>
        <v/>
      </c>
      <c r="J2890" s="208">
        <f>EXP(SUMPRODUCT((rl_eff&lt;=$C2890)*(rl_key=$A$2884)*rl_ln1p))</f>
        <v/>
      </c>
      <c r="K2890" s="201">
        <f>COUNTIFS(rl_key,$A$2884,rl_eff,"&gt;="&amp;$B2890,rl_eff,"&lt;="&amp;$C2890)</f>
        <v/>
      </c>
      <c r="L2890" s="201">
        <f>SUMIFS(rl_daysafter,rl_key,$A$2884,rl_effmonth,$B2890,rl_first,1)</f>
        <v/>
      </c>
      <c r="M2890" s="209">
        <f>IF($K2890=0,0,MIN(1,$L2890/$D2890))</f>
        <v/>
      </c>
      <c r="N2890" s="208">
        <f>IF($K2890=0,$J2890,(1-$M2890)*$I2890+$M2890*$J2890)</f>
        <v/>
      </c>
      <c r="O2890" s="209">
        <f>IF($F2890&lt;$B$2885,$E$2885+$I$2885*($F2890-$A$2885),IF($F2890&lt;$C$2885,$F$2885+$J$2885*($F2890-$B$2885),$G$2885+$K$2885*($F2890-$C$2885)))</f>
        <v/>
      </c>
      <c r="P2890" s="208">
        <f>MIN(1,MAX(0,(nr_MEndPm1-$G2890+0.5)/$C$2884))-MIN(1,MAX(0,(nr_MStartPm1-1-$G2890+0.5)/$C$2884))</f>
        <v/>
      </c>
      <c r="Q2890" s="208">
        <f>MIN(1,MAX(0,(nr_MEndP-$G2890+0.5)/$C$2884))-MIN(1,MAX(0,(nr_MStartP-1-$G2890+0.5)/$C$2884))</f>
        <v/>
      </c>
      <c r="R2890" s="208">
        <f>MIN(1,MAX(0,(nr_MEndP1-$G2890+0.5)/$C$2884))-MIN(1,MAX(0,(nr_MStartP1-1-$G2890+0.5)/$C$2884))</f>
        <v/>
      </c>
      <c r="S2890" s="208">
        <f>IF($L$2884,$N2890*IF($O$2884=1,$O2890/$F$2884,1),"")</f>
        <v/>
      </c>
      <c r="T2890" s="208">
        <f>IF(NOT($L$2884),"",IF($G2890&lt;nr_MStartP,$S2890,$T2878*(1+IF($G2890&lt;nr_MStartP1,$M$2884,$N$2884))))</f>
        <v/>
      </c>
      <c r="U2890" s="208">
        <f>IF($L$2884,$T2890,$N2890)</f>
        <v/>
      </c>
    </row>
    <row r="2891">
      <c r="A2891" s="145" t="n">
        <v>5</v>
      </c>
      <c r="B2891" s="204">
        <f>EDATE($B2890,1)</f>
        <v/>
      </c>
      <c r="C2891" s="205">
        <f>EOMONTH($B2891,0)</f>
        <v/>
      </c>
      <c r="D2891" s="201">
        <f>$C2891-$B2891+1</f>
        <v/>
      </c>
      <c r="E2891" s="201">
        <f>MONTH($B2891)</f>
        <v/>
      </c>
      <c r="F2891" s="235">
        <f>($B2891+$C2891+1)/2</f>
        <v/>
      </c>
      <c r="G2891" s="201">
        <f>YEAR($B2891)*12+MONTH($B2891)-1</f>
        <v/>
      </c>
      <c r="H2891" s="207">
        <f>IF(OR(nr_SeasonOn="OFF",$D$2884=0,$E$2884=0),1,12*INDEX(se_block,$D$2884,$E2891)/$E$2884)</f>
        <v/>
      </c>
      <c r="I2891" s="208">
        <f>EXP(SUMPRODUCT((rl_eff&lt;$B2891)*(rl_key=$A$2884)*rl_ln1p))</f>
        <v/>
      </c>
      <c r="J2891" s="208">
        <f>EXP(SUMPRODUCT((rl_eff&lt;=$C2891)*(rl_key=$A$2884)*rl_ln1p))</f>
        <v/>
      </c>
      <c r="K2891" s="201">
        <f>COUNTIFS(rl_key,$A$2884,rl_eff,"&gt;="&amp;$B2891,rl_eff,"&lt;="&amp;$C2891)</f>
        <v/>
      </c>
      <c r="L2891" s="201">
        <f>SUMIFS(rl_daysafter,rl_key,$A$2884,rl_effmonth,$B2891,rl_first,1)</f>
        <v/>
      </c>
      <c r="M2891" s="209">
        <f>IF($K2891=0,0,MIN(1,$L2891/$D2891))</f>
        <v/>
      </c>
      <c r="N2891" s="208">
        <f>IF($K2891=0,$J2891,(1-$M2891)*$I2891+$M2891*$J2891)</f>
        <v/>
      </c>
      <c r="O2891" s="209">
        <f>IF($F2891&lt;$B$2885,$E$2885+$I$2885*($F2891-$A$2885),IF($F2891&lt;$C$2885,$F$2885+$J$2885*($F2891-$B$2885),$G$2885+$K$2885*($F2891-$C$2885)))</f>
        <v/>
      </c>
      <c r="P2891" s="208">
        <f>MIN(1,MAX(0,(nr_MEndPm1-$G2891+0.5)/$C$2884))-MIN(1,MAX(0,(nr_MStartPm1-1-$G2891+0.5)/$C$2884))</f>
        <v/>
      </c>
      <c r="Q2891" s="208">
        <f>MIN(1,MAX(0,(nr_MEndP-$G2891+0.5)/$C$2884))-MIN(1,MAX(0,(nr_MStartP-1-$G2891+0.5)/$C$2884))</f>
        <v/>
      </c>
      <c r="R2891" s="208">
        <f>MIN(1,MAX(0,(nr_MEndP1-$G2891+0.5)/$C$2884))-MIN(1,MAX(0,(nr_MStartP1-1-$G2891+0.5)/$C$2884))</f>
        <v/>
      </c>
      <c r="S2891" s="208">
        <f>IF($L$2884,$N2891*IF($O$2884=1,$O2891/$F$2884,1),"")</f>
        <v/>
      </c>
      <c r="T2891" s="208">
        <f>IF(NOT($L$2884),"",IF($G2891&lt;nr_MStartP,$S2891,$T2879*(1+IF($G2891&lt;nr_MStartP1,$M$2884,$N$2884))))</f>
        <v/>
      </c>
      <c r="U2891" s="208">
        <f>IF($L$2884,$T2891,$N2891)</f>
        <v/>
      </c>
    </row>
    <row r="2892">
      <c r="A2892" s="145" t="n">
        <v>6</v>
      </c>
      <c r="B2892" s="204">
        <f>EDATE($B2891,1)</f>
        <v/>
      </c>
      <c r="C2892" s="205">
        <f>EOMONTH($B2892,0)</f>
        <v/>
      </c>
      <c r="D2892" s="201">
        <f>$C2892-$B2892+1</f>
        <v/>
      </c>
      <c r="E2892" s="201">
        <f>MONTH($B2892)</f>
        <v/>
      </c>
      <c r="F2892" s="235">
        <f>($B2892+$C2892+1)/2</f>
        <v/>
      </c>
      <c r="G2892" s="201">
        <f>YEAR($B2892)*12+MONTH($B2892)-1</f>
        <v/>
      </c>
      <c r="H2892" s="207">
        <f>IF(OR(nr_SeasonOn="OFF",$D$2884=0,$E$2884=0),1,12*INDEX(se_block,$D$2884,$E2892)/$E$2884)</f>
        <v/>
      </c>
      <c r="I2892" s="208">
        <f>EXP(SUMPRODUCT((rl_eff&lt;$B2892)*(rl_key=$A$2884)*rl_ln1p))</f>
        <v/>
      </c>
      <c r="J2892" s="208">
        <f>EXP(SUMPRODUCT((rl_eff&lt;=$C2892)*(rl_key=$A$2884)*rl_ln1p))</f>
        <v/>
      </c>
      <c r="K2892" s="201">
        <f>COUNTIFS(rl_key,$A$2884,rl_eff,"&gt;="&amp;$B2892,rl_eff,"&lt;="&amp;$C2892)</f>
        <v/>
      </c>
      <c r="L2892" s="201">
        <f>SUMIFS(rl_daysafter,rl_key,$A$2884,rl_effmonth,$B2892,rl_first,1)</f>
        <v/>
      </c>
      <c r="M2892" s="209">
        <f>IF($K2892=0,0,MIN(1,$L2892/$D2892))</f>
        <v/>
      </c>
      <c r="N2892" s="208">
        <f>IF($K2892=0,$J2892,(1-$M2892)*$I2892+$M2892*$J2892)</f>
        <v/>
      </c>
      <c r="O2892" s="209">
        <f>IF($F2892&lt;$B$2885,$E$2885+$I$2885*($F2892-$A$2885),IF($F2892&lt;$C$2885,$F$2885+$J$2885*($F2892-$B$2885),$G$2885+$K$2885*($F2892-$C$2885)))</f>
        <v/>
      </c>
      <c r="P2892" s="208">
        <f>MIN(1,MAX(0,(nr_MEndPm1-$G2892+0.5)/$C$2884))-MIN(1,MAX(0,(nr_MStartPm1-1-$G2892+0.5)/$C$2884))</f>
        <v/>
      </c>
      <c r="Q2892" s="208">
        <f>MIN(1,MAX(0,(nr_MEndP-$G2892+0.5)/$C$2884))-MIN(1,MAX(0,(nr_MStartP-1-$G2892+0.5)/$C$2884))</f>
        <v/>
      </c>
      <c r="R2892" s="208">
        <f>MIN(1,MAX(0,(nr_MEndP1-$G2892+0.5)/$C$2884))-MIN(1,MAX(0,(nr_MStartP1-1-$G2892+0.5)/$C$2884))</f>
        <v/>
      </c>
      <c r="S2892" s="208">
        <f>IF($L$2884,$N2892*IF($O$2884=1,$O2892/$F$2884,1),"")</f>
        <v/>
      </c>
      <c r="T2892" s="208">
        <f>IF(NOT($L$2884),"",IF($G2892&lt;nr_MStartP,$S2892,$T2880*(1+IF($G2892&lt;nr_MStartP1,$M$2884,$N$2884))))</f>
        <v/>
      </c>
      <c r="U2892" s="208">
        <f>IF($L$2884,$T2892,$N2892)</f>
        <v/>
      </c>
    </row>
    <row r="2893">
      <c r="A2893" s="145" t="n">
        <v>7</v>
      </c>
      <c r="B2893" s="204">
        <f>EDATE($B2892,1)</f>
        <v/>
      </c>
      <c r="C2893" s="205">
        <f>EOMONTH($B2893,0)</f>
        <v/>
      </c>
      <c r="D2893" s="201">
        <f>$C2893-$B2893+1</f>
        <v/>
      </c>
      <c r="E2893" s="201">
        <f>MONTH($B2893)</f>
        <v/>
      </c>
      <c r="F2893" s="235">
        <f>($B2893+$C2893+1)/2</f>
        <v/>
      </c>
      <c r="G2893" s="201">
        <f>YEAR($B2893)*12+MONTH($B2893)-1</f>
        <v/>
      </c>
      <c r="H2893" s="207">
        <f>IF(OR(nr_SeasonOn="OFF",$D$2884=0,$E$2884=0),1,12*INDEX(se_block,$D$2884,$E2893)/$E$2884)</f>
        <v/>
      </c>
      <c r="I2893" s="208">
        <f>EXP(SUMPRODUCT((rl_eff&lt;$B2893)*(rl_key=$A$2884)*rl_ln1p))</f>
        <v/>
      </c>
      <c r="J2893" s="208">
        <f>EXP(SUMPRODUCT((rl_eff&lt;=$C2893)*(rl_key=$A$2884)*rl_ln1p))</f>
        <v/>
      </c>
      <c r="K2893" s="201">
        <f>COUNTIFS(rl_key,$A$2884,rl_eff,"&gt;="&amp;$B2893,rl_eff,"&lt;="&amp;$C2893)</f>
        <v/>
      </c>
      <c r="L2893" s="201">
        <f>SUMIFS(rl_daysafter,rl_key,$A$2884,rl_effmonth,$B2893,rl_first,1)</f>
        <v/>
      </c>
      <c r="M2893" s="209">
        <f>IF($K2893=0,0,MIN(1,$L2893/$D2893))</f>
        <v/>
      </c>
      <c r="N2893" s="208">
        <f>IF($K2893=0,$J2893,(1-$M2893)*$I2893+$M2893*$J2893)</f>
        <v/>
      </c>
      <c r="O2893" s="209">
        <f>IF($F2893&lt;$B$2885,$E$2885+$I$2885*($F2893-$A$2885),IF($F2893&lt;$C$2885,$F$2885+$J$2885*($F2893-$B$2885),$G$2885+$K$2885*($F2893-$C$2885)))</f>
        <v/>
      </c>
      <c r="P2893" s="208">
        <f>MIN(1,MAX(0,(nr_MEndPm1-$G2893+0.5)/$C$2884))-MIN(1,MAX(0,(nr_MStartPm1-1-$G2893+0.5)/$C$2884))</f>
        <v/>
      </c>
      <c r="Q2893" s="208">
        <f>MIN(1,MAX(0,(nr_MEndP-$G2893+0.5)/$C$2884))-MIN(1,MAX(0,(nr_MStartP-1-$G2893+0.5)/$C$2884))</f>
        <v/>
      </c>
      <c r="R2893" s="208">
        <f>MIN(1,MAX(0,(nr_MEndP1-$G2893+0.5)/$C$2884))-MIN(1,MAX(0,(nr_MStartP1-1-$G2893+0.5)/$C$2884))</f>
        <v/>
      </c>
      <c r="S2893" s="208">
        <f>IF($L$2884,$N2893*IF($O$2884=1,$O2893/$F$2884,1),"")</f>
        <v/>
      </c>
      <c r="T2893" s="208">
        <f>IF(NOT($L$2884),"",IF($G2893&lt;nr_MStartP,$S2893,$T2881*(1+IF($G2893&lt;nr_MStartP1,$M$2884,$N$2884))))</f>
        <v/>
      </c>
      <c r="U2893" s="208">
        <f>IF($L$2884,$T2893,$N2893)</f>
        <v/>
      </c>
    </row>
    <row r="2894">
      <c r="A2894" s="145" t="n">
        <v>8</v>
      </c>
      <c r="B2894" s="204">
        <f>EDATE($B2893,1)</f>
        <v/>
      </c>
      <c r="C2894" s="205">
        <f>EOMONTH($B2894,0)</f>
        <v/>
      </c>
      <c r="D2894" s="201">
        <f>$C2894-$B2894+1</f>
        <v/>
      </c>
      <c r="E2894" s="201">
        <f>MONTH($B2894)</f>
        <v/>
      </c>
      <c r="F2894" s="235">
        <f>($B2894+$C2894+1)/2</f>
        <v/>
      </c>
      <c r="G2894" s="201">
        <f>YEAR($B2894)*12+MONTH($B2894)-1</f>
        <v/>
      </c>
      <c r="H2894" s="207">
        <f>IF(OR(nr_SeasonOn="OFF",$D$2884=0,$E$2884=0),1,12*INDEX(se_block,$D$2884,$E2894)/$E$2884)</f>
        <v/>
      </c>
      <c r="I2894" s="208">
        <f>EXP(SUMPRODUCT((rl_eff&lt;$B2894)*(rl_key=$A$2884)*rl_ln1p))</f>
        <v/>
      </c>
      <c r="J2894" s="208">
        <f>EXP(SUMPRODUCT((rl_eff&lt;=$C2894)*(rl_key=$A$2884)*rl_ln1p))</f>
        <v/>
      </c>
      <c r="K2894" s="201">
        <f>COUNTIFS(rl_key,$A$2884,rl_eff,"&gt;="&amp;$B2894,rl_eff,"&lt;="&amp;$C2894)</f>
        <v/>
      </c>
      <c r="L2894" s="201">
        <f>SUMIFS(rl_daysafter,rl_key,$A$2884,rl_effmonth,$B2894,rl_first,1)</f>
        <v/>
      </c>
      <c r="M2894" s="209">
        <f>IF($K2894=0,0,MIN(1,$L2894/$D2894))</f>
        <v/>
      </c>
      <c r="N2894" s="208">
        <f>IF($K2894=0,$J2894,(1-$M2894)*$I2894+$M2894*$J2894)</f>
        <v/>
      </c>
      <c r="O2894" s="209">
        <f>IF($F2894&lt;$B$2885,$E$2885+$I$2885*($F2894-$A$2885),IF($F2894&lt;$C$2885,$F$2885+$J$2885*($F2894-$B$2885),$G$2885+$K$2885*($F2894-$C$2885)))</f>
        <v/>
      </c>
      <c r="P2894" s="208">
        <f>MIN(1,MAX(0,(nr_MEndPm1-$G2894+0.5)/$C$2884))-MIN(1,MAX(0,(nr_MStartPm1-1-$G2894+0.5)/$C$2884))</f>
        <v/>
      </c>
      <c r="Q2894" s="208">
        <f>MIN(1,MAX(0,(nr_MEndP-$G2894+0.5)/$C$2884))-MIN(1,MAX(0,(nr_MStartP-1-$G2894+0.5)/$C$2884))</f>
        <v/>
      </c>
      <c r="R2894" s="208">
        <f>MIN(1,MAX(0,(nr_MEndP1-$G2894+0.5)/$C$2884))-MIN(1,MAX(0,(nr_MStartP1-1-$G2894+0.5)/$C$2884))</f>
        <v/>
      </c>
      <c r="S2894" s="208">
        <f>IF($L$2884,$N2894*IF($O$2884=1,$O2894/$F$2884,1),"")</f>
        <v/>
      </c>
      <c r="T2894" s="208">
        <f>IF(NOT($L$2884),"",IF($G2894&lt;nr_MStartP,$S2894,$T2882*(1+IF($G2894&lt;nr_MStartP1,$M$2884,$N$2884))))</f>
        <v/>
      </c>
      <c r="U2894" s="208">
        <f>IF($L$2884,$T2894,$N2894)</f>
        <v/>
      </c>
    </row>
    <row r="2895">
      <c r="A2895" s="145" t="n">
        <v>9</v>
      </c>
      <c r="B2895" s="204">
        <f>EDATE($B2894,1)</f>
        <v/>
      </c>
      <c r="C2895" s="205">
        <f>EOMONTH($B2895,0)</f>
        <v/>
      </c>
      <c r="D2895" s="201">
        <f>$C2895-$B2895+1</f>
        <v/>
      </c>
      <c r="E2895" s="201">
        <f>MONTH($B2895)</f>
        <v/>
      </c>
      <c r="F2895" s="235">
        <f>($B2895+$C2895+1)/2</f>
        <v/>
      </c>
      <c r="G2895" s="201">
        <f>YEAR($B2895)*12+MONTH($B2895)-1</f>
        <v/>
      </c>
      <c r="H2895" s="207">
        <f>IF(OR(nr_SeasonOn="OFF",$D$2884=0,$E$2884=0),1,12*INDEX(se_block,$D$2884,$E2895)/$E$2884)</f>
        <v/>
      </c>
      <c r="I2895" s="208">
        <f>EXP(SUMPRODUCT((rl_eff&lt;$B2895)*(rl_key=$A$2884)*rl_ln1p))</f>
        <v/>
      </c>
      <c r="J2895" s="208">
        <f>EXP(SUMPRODUCT((rl_eff&lt;=$C2895)*(rl_key=$A$2884)*rl_ln1p))</f>
        <v/>
      </c>
      <c r="K2895" s="201">
        <f>COUNTIFS(rl_key,$A$2884,rl_eff,"&gt;="&amp;$B2895,rl_eff,"&lt;="&amp;$C2895)</f>
        <v/>
      </c>
      <c r="L2895" s="201">
        <f>SUMIFS(rl_daysafter,rl_key,$A$2884,rl_effmonth,$B2895,rl_first,1)</f>
        <v/>
      </c>
      <c r="M2895" s="209">
        <f>IF($K2895=0,0,MIN(1,$L2895/$D2895))</f>
        <v/>
      </c>
      <c r="N2895" s="208">
        <f>IF($K2895=0,$J2895,(1-$M2895)*$I2895+$M2895*$J2895)</f>
        <v/>
      </c>
      <c r="O2895" s="209">
        <f>IF($F2895&lt;$B$2885,$E$2885+$I$2885*($F2895-$A$2885),IF($F2895&lt;$C$2885,$F$2885+$J$2885*($F2895-$B$2885),$G$2885+$K$2885*($F2895-$C$2885)))</f>
        <v/>
      </c>
      <c r="P2895" s="208">
        <f>MIN(1,MAX(0,(nr_MEndPm1-$G2895+0.5)/$C$2884))-MIN(1,MAX(0,(nr_MStartPm1-1-$G2895+0.5)/$C$2884))</f>
        <v/>
      </c>
      <c r="Q2895" s="208">
        <f>MIN(1,MAX(0,(nr_MEndP-$G2895+0.5)/$C$2884))-MIN(1,MAX(0,(nr_MStartP-1-$G2895+0.5)/$C$2884))</f>
        <v/>
      </c>
      <c r="R2895" s="208">
        <f>MIN(1,MAX(0,(nr_MEndP1-$G2895+0.5)/$C$2884))-MIN(1,MAX(0,(nr_MStartP1-1-$G2895+0.5)/$C$2884))</f>
        <v/>
      </c>
      <c r="S2895" s="208">
        <f>IF($L$2884,$N2895*IF($O$2884=1,$O2895/$F$2884,1),"")</f>
        <v/>
      </c>
      <c r="T2895" s="208">
        <f>IF(NOT($L$2884),"",IF($G2895&lt;nr_MStartP,$S2895,$T2883*(1+IF($G2895&lt;nr_MStartP1,$M$2884,$N$2884))))</f>
        <v/>
      </c>
      <c r="U2895" s="208">
        <f>IF($L$2884,$T2895,$N2895)</f>
        <v/>
      </c>
    </row>
    <row r="2896">
      <c r="A2896" s="145" t="n">
        <v>10</v>
      </c>
      <c r="B2896" s="204">
        <f>EDATE($B2895,1)</f>
        <v/>
      </c>
      <c r="C2896" s="205">
        <f>EOMONTH($B2896,0)</f>
        <v/>
      </c>
      <c r="D2896" s="201">
        <f>$C2896-$B2896+1</f>
        <v/>
      </c>
      <c r="E2896" s="201">
        <f>MONTH($B2896)</f>
        <v/>
      </c>
      <c r="F2896" s="235">
        <f>($B2896+$C2896+1)/2</f>
        <v/>
      </c>
      <c r="G2896" s="201">
        <f>YEAR($B2896)*12+MONTH($B2896)-1</f>
        <v/>
      </c>
      <c r="H2896" s="207">
        <f>IF(OR(nr_SeasonOn="OFF",$D$2884=0,$E$2884=0),1,12*INDEX(se_block,$D$2884,$E2896)/$E$2884)</f>
        <v/>
      </c>
      <c r="I2896" s="208">
        <f>EXP(SUMPRODUCT((rl_eff&lt;$B2896)*(rl_key=$A$2884)*rl_ln1p))</f>
        <v/>
      </c>
      <c r="J2896" s="208">
        <f>EXP(SUMPRODUCT((rl_eff&lt;=$C2896)*(rl_key=$A$2884)*rl_ln1p))</f>
        <v/>
      </c>
      <c r="K2896" s="201">
        <f>COUNTIFS(rl_key,$A$2884,rl_eff,"&gt;="&amp;$B2896,rl_eff,"&lt;="&amp;$C2896)</f>
        <v/>
      </c>
      <c r="L2896" s="201">
        <f>SUMIFS(rl_daysafter,rl_key,$A$2884,rl_effmonth,$B2896,rl_first,1)</f>
        <v/>
      </c>
      <c r="M2896" s="209">
        <f>IF($K2896=0,0,MIN(1,$L2896/$D2896))</f>
        <v/>
      </c>
      <c r="N2896" s="208">
        <f>IF($K2896=0,$J2896,(1-$M2896)*$I2896+$M2896*$J2896)</f>
        <v/>
      </c>
      <c r="O2896" s="209">
        <f>IF($F2896&lt;$B$2885,$E$2885+$I$2885*($F2896-$A$2885),IF($F2896&lt;$C$2885,$F$2885+$J$2885*($F2896-$B$2885),$G$2885+$K$2885*($F2896-$C$2885)))</f>
        <v/>
      </c>
      <c r="P2896" s="208">
        <f>MIN(1,MAX(0,(nr_MEndPm1-$G2896+0.5)/$C$2884))-MIN(1,MAX(0,(nr_MStartPm1-1-$G2896+0.5)/$C$2884))</f>
        <v/>
      </c>
      <c r="Q2896" s="208">
        <f>MIN(1,MAX(0,(nr_MEndP-$G2896+0.5)/$C$2884))-MIN(1,MAX(0,(nr_MStartP-1-$G2896+0.5)/$C$2884))</f>
        <v/>
      </c>
      <c r="R2896" s="208">
        <f>MIN(1,MAX(0,(nr_MEndP1-$G2896+0.5)/$C$2884))-MIN(1,MAX(0,(nr_MStartP1-1-$G2896+0.5)/$C$2884))</f>
        <v/>
      </c>
      <c r="S2896" s="208">
        <f>IF($L$2884,$N2896*IF($O$2884=1,$O2896/$F$2884,1),"")</f>
        <v/>
      </c>
      <c r="T2896" s="208">
        <f>IF(NOT($L$2884),"",IF($G2896&lt;nr_MStartP,$S2896,$T2884*(1+IF($G2896&lt;nr_MStartP1,$M$2884,$N$2884))))</f>
        <v/>
      </c>
      <c r="U2896" s="208">
        <f>IF($L$2884,$T2896,$N2896)</f>
        <v/>
      </c>
    </row>
    <row r="2897">
      <c r="A2897" s="145" t="n">
        <v>11</v>
      </c>
      <c r="B2897" s="204">
        <f>EDATE($B2896,1)</f>
        <v/>
      </c>
      <c r="C2897" s="205">
        <f>EOMONTH($B2897,0)</f>
        <v/>
      </c>
      <c r="D2897" s="201">
        <f>$C2897-$B2897+1</f>
        <v/>
      </c>
      <c r="E2897" s="201">
        <f>MONTH($B2897)</f>
        <v/>
      </c>
      <c r="F2897" s="235">
        <f>($B2897+$C2897+1)/2</f>
        <v/>
      </c>
      <c r="G2897" s="201">
        <f>YEAR($B2897)*12+MONTH($B2897)-1</f>
        <v/>
      </c>
      <c r="H2897" s="207">
        <f>IF(OR(nr_SeasonOn="OFF",$D$2884=0,$E$2884=0),1,12*INDEX(se_block,$D$2884,$E2897)/$E$2884)</f>
        <v/>
      </c>
      <c r="I2897" s="208">
        <f>EXP(SUMPRODUCT((rl_eff&lt;$B2897)*(rl_key=$A$2884)*rl_ln1p))</f>
        <v/>
      </c>
      <c r="J2897" s="208">
        <f>EXP(SUMPRODUCT((rl_eff&lt;=$C2897)*(rl_key=$A$2884)*rl_ln1p))</f>
        <v/>
      </c>
      <c r="K2897" s="201">
        <f>COUNTIFS(rl_key,$A$2884,rl_eff,"&gt;="&amp;$B2897,rl_eff,"&lt;="&amp;$C2897)</f>
        <v/>
      </c>
      <c r="L2897" s="201">
        <f>SUMIFS(rl_daysafter,rl_key,$A$2884,rl_effmonth,$B2897,rl_first,1)</f>
        <v/>
      </c>
      <c r="M2897" s="209">
        <f>IF($K2897=0,0,MIN(1,$L2897/$D2897))</f>
        <v/>
      </c>
      <c r="N2897" s="208">
        <f>IF($K2897=0,$J2897,(1-$M2897)*$I2897+$M2897*$J2897)</f>
        <v/>
      </c>
      <c r="O2897" s="209">
        <f>IF($F2897&lt;$B$2885,$E$2885+$I$2885*($F2897-$A$2885),IF($F2897&lt;$C$2885,$F$2885+$J$2885*($F2897-$B$2885),$G$2885+$K$2885*($F2897-$C$2885)))</f>
        <v/>
      </c>
      <c r="P2897" s="208">
        <f>MIN(1,MAX(0,(nr_MEndPm1-$G2897+0.5)/$C$2884))-MIN(1,MAX(0,(nr_MStartPm1-1-$G2897+0.5)/$C$2884))</f>
        <v/>
      </c>
      <c r="Q2897" s="208">
        <f>MIN(1,MAX(0,(nr_MEndP-$G2897+0.5)/$C$2884))-MIN(1,MAX(0,(nr_MStartP-1-$G2897+0.5)/$C$2884))</f>
        <v/>
      </c>
      <c r="R2897" s="208">
        <f>MIN(1,MAX(0,(nr_MEndP1-$G2897+0.5)/$C$2884))-MIN(1,MAX(0,(nr_MStartP1-1-$G2897+0.5)/$C$2884))</f>
        <v/>
      </c>
      <c r="S2897" s="208">
        <f>IF($L$2884,$N2897*IF($O$2884=1,$O2897/$F$2884,1),"")</f>
        <v/>
      </c>
      <c r="T2897" s="208">
        <f>IF(NOT($L$2884),"",IF($G2897&lt;nr_MStartP,$S2897,$T2885*(1+IF($G2897&lt;nr_MStartP1,$M$2884,$N$2884))))</f>
        <v/>
      </c>
      <c r="U2897" s="208">
        <f>IF($L$2884,$T2897,$N2897)</f>
        <v/>
      </c>
    </row>
    <row r="2898">
      <c r="A2898" s="145" t="n">
        <v>12</v>
      </c>
      <c r="B2898" s="204">
        <f>EDATE($B2897,1)</f>
        <v/>
      </c>
      <c r="C2898" s="205">
        <f>EOMONTH($B2898,0)</f>
        <v/>
      </c>
      <c r="D2898" s="201">
        <f>$C2898-$B2898+1</f>
        <v/>
      </c>
      <c r="E2898" s="201">
        <f>MONTH($B2898)</f>
        <v/>
      </c>
      <c r="F2898" s="235">
        <f>($B2898+$C2898+1)/2</f>
        <v/>
      </c>
      <c r="G2898" s="201">
        <f>YEAR($B2898)*12+MONTH($B2898)-1</f>
        <v/>
      </c>
      <c r="H2898" s="207">
        <f>IF(OR(nr_SeasonOn="OFF",$D$2884=0,$E$2884=0),1,12*INDEX(se_block,$D$2884,$E2898)/$E$2884)</f>
        <v/>
      </c>
      <c r="I2898" s="208">
        <f>EXP(SUMPRODUCT((rl_eff&lt;$B2898)*(rl_key=$A$2884)*rl_ln1p))</f>
        <v/>
      </c>
      <c r="J2898" s="208">
        <f>EXP(SUMPRODUCT((rl_eff&lt;=$C2898)*(rl_key=$A$2884)*rl_ln1p))</f>
        <v/>
      </c>
      <c r="K2898" s="201">
        <f>COUNTIFS(rl_key,$A$2884,rl_eff,"&gt;="&amp;$B2898,rl_eff,"&lt;="&amp;$C2898)</f>
        <v/>
      </c>
      <c r="L2898" s="201">
        <f>SUMIFS(rl_daysafter,rl_key,$A$2884,rl_effmonth,$B2898,rl_first,1)</f>
        <v/>
      </c>
      <c r="M2898" s="209">
        <f>IF($K2898=0,0,MIN(1,$L2898/$D2898))</f>
        <v/>
      </c>
      <c r="N2898" s="208">
        <f>IF($K2898=0,$J2898,(1-$M2898)*$I2898+$M2898*$J2898)</f>
        <v/>
      </c>
      <c r="O2898" s="209">
        <f>IF($F2898&lt;$B$2885,$E$2885+$I$2885*($F2898-$A$2885),IF($F2898&lt;$C$2885,$F$2885+$J$2885*($F2898-$B$2885),$G$2885+$K$2885*($F2898-$C$2885)))</f>
        <v/>
      </c>
      <c r="P2898" s="208">
        <f>MIN(1,MAX(0,(nr_MEndPm1-$G2898+0.5)/$C$2884))-MIN(1,MAX(0,(nr_MStartPm1-1-$G2898+0.5)/$C$2884))</f>
        <v/>
      </c>
      <c r="Q2898" s="208">
        <f>MIN(1,MAX(0,(nr_MEndP-$G2898+0.5)/$C$2884))-MIN(1,MAX(0,(nr_MStartP-1-$G2898+0.5)/$C$2884))</f>
        <v/>
      </c>
      <c r="R2898" s="208">
        <f>MIN(1,MAX(0,(nr_MEndP1-$G2898+0.5)/$C$2884))-MIN(1,MAX(0,(nr_MStartP1-1-$G2898+0.5)/$C$2884))</f>
        <v/>
      </c>
      <c r="S2898" s="208">
        <f>IF($L$2884,$N2898*IF($O$2884=1,$O2898/$F$2884,1),"")</f>
        <v/>
      </c>
      <c r="T2898" s="208">
        <f>IF(NOT($L$2884),"",IF($G2898&lt;nr_MStartP,$S2898,$T2886*(1+IF($G2898&lt;nr_MStartP1,$M$2884,$N$2884))))</f>
        <v/>
      </c>
      <c r="U2898" s="208">
        <f>IF($L$2884,$T2898,$N2898)</f>
        <v/>
      </c>
    </row>
    <row r="2899">
      <c r="A2899" s="145" t="n">
        <v>13</v>
      </c>
      <c r="B2899" s="204">
        <f>EDATE($B2898,1)</f>
        <v/>
      </c>
      <c r="C2899" s="205">
        <f>EOMONTH($B2899,0)</f>
        <v/>
      </c>
      <c r="D2899" s="201">
        <f>$C2899-$B2899+1</f>
        <v/>
      </c>
      <c r="E2899" s="201">
        <f>MONTH($B2899)</f>
        <v/>
      </c>
      <c r="F2899" s="235">
        <f>($B2899+$C2899+1)/2</f>
        <v/>
      </c>
      <c r="G2899" s="201">
        <f>YEAR($B2899)*12+MONTH($B2899)-1</f>
        <v/>
      </c>
      <c r="H2899" s="207">
        <f>IF(OR(nr_SeasonOn="OFF",$D$2884=0,$E$2884=0),1,12*INDEX(se_block,$D$2884,$E2899)/$E$2884)</f>
        <v/>
      </c>
      <c r="I2899" s="208">
        <f>EXP(SUMPRODUCT((rl_eff&lt;$B2899)*(rl_key=$A$2884)*rl_ln1p))</f>
        <v/>
      </c>
      <c r="J2899" s="208">
        <f>EXP(SUMPRODUCT((rl_eff&lt;=$C2899)*(rl_key=$A$2884)*rl_ln1p))</f>
        <v/>
      </c>
      <c r="K2899" s="201">
        <f>COUNTIFS(rl_key,$A$2884,rl_eff,"&gt;="&amp;$B2899,rl_eff,"&lt;="&amp;$C2899)</f>
        <v/>
      </c>
      <c r="L2899" s="201">
        <f>SUMIFS(rl_daysafter,rl_key,$A$2884,rl_effmonth,$B2899,rl_first,1)</f>
        <v/>
      </c>
      <c r="M2899" s="209">
        <f>IF($K2899=0,0,MIN(1,$L2899/$D2899))</f>
        <v/>
      </c>
      <c r="N2899" s="208">
        <f>IF($K2899=0,$J2899,(1-$M2899)*$I2899+$M2899*$J2899)</f>
        <v/>
      </c>
      <c r="O2899" s="209">
        <f>IF($F2899&lt;$B$2885,$E$2885+$I$2885*($F2899-$A$2885),IF($F2899&lt;$C$2885,$F$2885+$J$2885*($F2899-$B$2885),$G$2885+$K$2885*($F2899-$C$2885)))</f>
        <v/>
      </c>
      <c r="P2899" s="208">
        <f>MIN(1,MAX(0,(nr_MEndPm1-$G2899+0.5)/$C$2884))-MIN(1,MAX(0,(nr_MStartPm1-1-$G2899+0.5)/$C$2884))</f>
        <v/>
      </c>
      <c r="Q2899" s="208">
        <f>MIN(1,MAX(0,(nr_MEndP-$G2899+0.5)/$C$2884))-MIN(1,MAX(0,(nr_MStartP-1-$G2899+0.5)/$C$2884))</f>
        <v/>
      </c>
      <c r="R2899" s="208">
        <f>MIN(1,MAX(0,(nr_MEndP1-$G2899+0.5)/$C$2884))-MIN(1,MAX(0,(nr_MStartP1-1-$G2899+0.5)/$C$2884))</f>
        <v/>
      </c>
      <c r="S2899" s="208">
        <f>IF($L$2884,$N2899*IF($O$2884=1,$O2899/$F$2884,1),"")</f>
        <v/>
      </c>
      <c r="T2899" s="208">
        <f>IF(NOT($L$2884),"",IF($G2899&lt;nr_MStartP,$S2899,$T2887*(1+IF($G2899&lt;nr_MStartP1,$M$2884,$N$2884))))</f>
        <v/>
      </c>
      <c r="U2899" s="208">
        <f>IF($L$2884,$T2899,$N2899)</f>
        <v/>
      </c>
    </row>
    <row r="2900">
      <c r="A2900" s="145" t="n">
        <v>14</v>
      </c>
      <c r="B2900" s="204">
        <f>EDATE($B2899,1)</f>
        <v/>
      </c>
      <c r="C2900" s="205">
        <f>EOMONTH($B2900,0)</f>
        <v/>
      </c>
      <c r="D2900" s="201">
        <f>$C2900-$B2900+1</f>
        <v/>
      </c>
      <c r="E2900" s="201">
        <f>MONTH($B2900)</f>
        <v/>
      </c>
      <c r="F2900" s="235">
        <f>($B2900+$C2900+1)/2</f>
        <v/>
      </c>
      <c r="G2900" s="201">
        <f>YEAR($B2900)*12+MONTH($B2900)-1</f>
        <v/>
      </c>
      <c r="H2900" s="207">
        <f>IF(OR(nr_SeasonOn="OFF",$D$2884=0,$E$2884=0),1,12*INDEX(se_block,$D$2884,$E2900)/$E$2884)</f>
        <v/>
      </c>
      <c r="I2900" s="208">
        <f>EXP(SUMPRODUCT((rl_eff&lt;$B2900)*(rl_key=$A$2884)*rl_ln1p))</f>
        <v/>
      </c>
      <c r="J2900" s="208">
        <f>EXP(SUMPRODUCT((rl_eff&lt;=$C2900)*(rl_key=$A$2884)*rl_ln1p))</f>
        <v/>
      </c>
      <c r="K2900" s="201">
        <f>COUNTIFS(rl_key,$A$2884,rl_eff,"&gt;="&amp;$B2900,rl_eff,"&lt;="&amp;$C2900)</f>
        <v/>
      </c>
      <c r="L2900" s="201">
        <f>SUMIFS(rl_daysafter,rl_key,$A$2884,rl_effmonth,$B2900,rl_first,1)</f>
        <v/>
      </c>
      <c r="M2900" s="209">
        <f>IF($K2900=0,0,MIN(1,$L2900/$D2900))</f>
        <v/>
      </c>
      <c r="N2900" s="208">
        <f>IF($K2900=0,$J2900,(1-$M2900)*$I2900+$M2900*$J2900)</f>
        <v/>
      </c>
      <c r="O2900" s="209">
        <f>IF($F2900&lt;$B$2885,$E$2885+$I$2885*($F2900-$A$2885),IF($F2900&lt;$C$2885,$F$2885+$J$2885*($F2900-$B$2885),$G$2885+$K$2885*($F2900-$C$2885)))</f>
        <v/>
      </c>
      <c r="P2900" s="208">
        <f>MIN(1,MAX(0,(nr_MEndPm1-$G2900+0.5)/$C$2884))-MIN(1,MAX(0,(nr_MStartPm1-1-$G2900+0.5)/$C$2884))</f>
        <v/>
      </c>
      <c r="Q2900" s="208">
        <f>MIN(1,MAX(0,(nr_MEndP-$G2900+0.5)/$C$2884))-MIN(1,MAX(0,(nr_MStartP-1-$G2900+0.5)/$C$2884))</f>
        <v/>
      </c>
      <c r="R2900" s="208">
        <f>MIN(1,MAX(0,(nr_MEndP1-$G2900+0.5)/$C$2884))-MIN(1,MAX(0,(nr_MStartP1-1-$G2900+0.5)/$C$2884))</f>
        <v/>
      </c>
      <c r="S2900" s="208">
        <f>IF($L$2884,$N2900*IF($O$2884=1,$O2900/$F$2884,1),"")</f>
        <v/>
      </c>
      <c r="T2900" s="208">
        <f>IF(NOT($L$2884),"",IF($G2900&lt;nr_MStartP,$S2900,$T2888*(1+IF($G2900&lt;nr_MStartP1,$M$2884,$N$2884))))</f>
        <v/>
      </c>
      <c r="U2900" s="208">
        <f>IF($L$2884,$T2900,$N2900)</f>
        <v/>
      </c>
    </row>
    <row r="2901">
      <c r="A2901" s="145" t="n">
        <v>15</v>
      </c>
      <c r="B2901" s="204">
        <f>EDATE($B2900,1)</f>
        <v/>
      </c>
      <c r="C2901" s="205">
        <f>EOMONTH($B2901,0)</f>
        <v/>
      </c>
      <c r="D2901" s="201">
        <f>$C2901-$B2901+1</f>
        <v/>
      </c>
      <c r="E2901" s="201">
        <f>MONTH($B2901)</f>
        <v/>
      </c>
      <c r="F2901" s="235">
        <f>($B2901+$C2901+1)/2</f>
        <v/>
      </c>
      <c r="G2901" s="201">
        <f>YEAR($B2901)*12+MONTH($B2901)-1</f>
        <v/>
      </c>
      <c r="H2901" s="207">
        <f>IF(OR(nr_SeasonOn="OFF",$D$2884=0,$E$2884=0),1,12*INDEX(se_block,$D$2884,$E2901)/$E$2884)</f>
        <v/>
      </c>
      <c r="I2901" s="208">
        <f>EXP(SUMPRODUCT((rl_eff&lt;$B2901)*(rl_key=$A$2884)*rl_ln1p))</f>
        <v/>
      </c>
      <c r="J2901" s="208">
        <f>EXP(SUMPRODUCT((rl_eff&lt;=$C2901)*(rl_key=$A$2884)*rl_ln1p))</f>
        <v/>
      </c>
      <c r="K2901" s="201">
        <f>COUNTIFS(rl_key,$A$2884,rl_eff,"&gt;="&amp;$B2901,rl_eff,"&lt;="&amp;$C2901)</f>
        <v/>
      </c>
      <c r="L2901" s="201">
        <f>SUMIFS(rl_daysafter,rl_key,$A$2884,rl_effmonth,$B2901,rl_first,1)</f>
        <v/>
      </c>
      <c r="M2901" s="209">
        <f>IF($K2901=0,0,MIN(1,$L2901/$D2901))</f>
        <v/>
      </c>
      <c r="N2901" s="208">
        <f>IF($K2901=0,$J2901,(1-$M2901)*$I2901+$M2901*$J2901)</f>
        <v/>
      </c>
      <c r="O2901" s="209">
        <f>IF($F2901&lt;$B$2885,$E$2885+$I$2885*($F2901-$A$2885),IF($F2901&lt;$C$2885,$F$2885+$J$2885*($F2901-$B$2885),$G$2885+$K$2885*($F2901-$C$2885)))</f>
        <v/>
      </c>
      <c r="P2901" s="208">
        <f>MIN(1,MAX(0,(nr_MEndPm1-$G2901+0.5)/$C$2884))-MIN(1,MAX(0,(nr_MStartPm1-1-$G2901+0.5)/$C$2884))</f>
        <v/>
      </c>
      <c r="Q2901" s="208">
        <f>MIN(1,MAX(0,(nr_MEndP-$G2901+0.5)/$C$2884))-MIN(1,MAX(0,(nr_MStartP-1-$G2901+0.5)/$C$2884))</f>
        <v/>
      </c>
      <c r="R2901" s="208">
        <f>MIN(1,MAX(0,(nr_MEndP1-$G2901+0.5)/$C$2884))-MIN(1,MAX(0,(nr_MStartP1-1-$G2901+0.5)/$C$2884))</f>
        <v/>
      </c>
      <c r="S2901" s="208">
        <f>IF($L$2884,$N2901*IF($O$2884=1,$O2901/$F$2884,1),"")</f>
        <v/>
      </c>
      <c r="T2901" s="208">
        <f>IF(NOT($L$2884),"",IF($G2901&lt;nr_MStartP,$S2901,$T2889*(1+IF($G2901&lt;nr_MStartP1,$M$2884,$N$2884))))</f>
        <v/>
      </c>
      <c r="U2901" s="208">
        <f>IF($L$2884,$T2901,$N2901)</f>
        <v/>
      </c>
    </row>
    <row r="2902">
      <c r="A2902" s="145" t="n">
        <v>16</v>
      </c>
      <c r="B2902" s="204">
        <f>EDATE($B2901,1)</f>
        <v/>
      </c>
      <c r="C2902" s="205">
        <f>EOMONTH($B2902,0)</f>
        <v/>
      </c>
      <c r="D2902" s="201">
        <f>$C2902-$B2902+1</f>
        <v/>
      </c>
      <c r="E2902" s="201">
        <f>MONTH($B2902)</f>
        <v/>
      </c>
      <c r="F2902" s="235">
        <f>($B2902+$C2902+1)/2</f>
        <v/>
      </c>
      <c r="G2902" s="201">
        <f>YEAR($B2902)*12+MONTH($B2902)-1</f>
        <v/>
      </c>
      <c r="H2902" s="207">
        <f>IF(OR(nr_SeasonOn="OFF",$D$2884=0,$E$2884=0),1,12*INDEX(se_block,$D$2884,$E2902)/$E$2884)</f>
        <v/>
      </c>
      <c r="I2902" s="208">
        <f>EXP(SUMPRODUCT((rl_eff&lt;$B2902)*(rl_key=$A$2884)*rl_ln1p))</f>
        <v/>
      </c>
      <c r="J2902" s="208">
        <f>EXP(SUMPRODUCT((rl_eff&lt;=$C2902)*(rl_key=$A$2884)*rl_ln1p))</f>
        <v/>
      </c>
      <c r="K2902" s="201">
        <f>COUNTIFS(rl_key,$A$2884,rl_eff,"&gt;="&amp;$B2902,rl_eff,"&lt;="&amp;$C2902)</f>
        <v/>
      </c>
      <c r="L2902" s="201">
        <f>SUMIFS(rl_daysafter,rl_key,$A$2884,rl_effmonth,$B2902,rl_first,1)</f>
        <v/>
      </c>
      <c r="M2902" s="209">
        <f>IF($K2902=0,0,MIN(1,$L2902/$D2902))</f>
        <v/>
      </c>
      <c r="N2902" s="208">
        <f>IF($K2902=0,$J2902,(1-$M2902)*$I2902+$M2902*$J2902)</f>
        <v/>
      </c>
      <c r="O2902" s="209">
        <f>IF($F2902&lt;$B$2885,$E$2885+$I$2885*($F2902-$A$2885),IF($F2902&lt;$C$2885,$F$2885+$J$2885*($F2902-$B$2885),$G$2885+$K$2885*($F2902-$C$2885)))</f>
        <v/>
      </c>
      <c r="P2902" s="208">
        <f>MIN(1,MAX(0,(nr_MEndPm1-$G2902+0.5)/$C$2884))-MIN(1,MAX(0,(nr_MStartPm1-1-$G2902+0.5)/$C$2884))</f>
        <v/>
      </c>
      <c r="Q2902" s="208">
        <f>MIN(1,MAX(0,(nr_MEndP-$G2902+0.5)/$C$2884))-MIN(1,MAX(0,(nr_MStartP-1-$G2902+0.5)/$C$2884))</f>
        <v/>
      </c>
      <c r="R2902" s="208">
        <f>MIN(1,MAX(0,(nr_MEndP1-$G2902+0.5)/$C$2884))-MIN(1,MAX(0,(nr_MStartP1-1-$G2902+0.5)/$C$2884))</f>
        <v/>
      </c>
      <c r="S2902" s="208">
        <f>IF($L$2884,$N2902*IF($O$2884=1,$O2902/$F$2884,1),"")</f>
        <v/>
      </c>
      <c r="T2902" s="208">
        <f>IF(NOT($L$2884),"",IF($G2902&lt;nr_MStartP,$S2902,$T2890*(1+IF($G2902&lt;nr_MStartP1,$M$2884,$N$2884))))</f>
        <v/>
      </c>
      <c r="U2902" s="208">
        <f>IF($L$2884,$T2902,$N2902)</f>
        <v/>
      </c>
    </row>
    <row r="2903">
      <c r="A2903" s="145" t="n">
        <v>17</v>
      </c>
      <c r="B2903" s="204">
        <f>EDATE($B2902,1)</f>
        <v/>
      </c>
      <c r="C2903" s="205">
        <f>EOMONTH($B2903,0)</f>
        <v/>
      </c>
      <c r="D2903" s="201">
        <f>$C2903-$B2903+1</f>
        <v/>
      </c>
      <c r="E2903" s="201">
        <f>MONTH($B2903)</f>
        <v/>
      </c>
      <c r="F2903" s="235">
        <f>($B2903+$C2903+1)/2</f>
        <v/>
      </c>
      <c r="G2903" s="201">
        <f>YEAR($B2903)*12+MONTH($B2903)-1</f>
        <v/>
      </c>
      <c r="H2903" s="207">
        <f>IF(OR(nr_SeasonOn="OFF",$D$2884=0,$E$2884=0),1,12*INDEX(se_block,$D$2884,$E2903)/$E$2884)</f>
        <v/>
      </c>
      <c r="I2903" s="208">
        <f>EXP(SUMPRODUCT((rl_eff&lt;$B2903)*(rl_key=$A$2884)*rl_ln1p))</f>
        <v/>
      </c>
      <c r="J2903" s="208">
        <f>EXP(SUMPRODUCT((rl_eff&lt;=$C2903)*(rl_key=$A$2884)*rl_ln1p))</f>
        <v/>
      </c>
      <c r="K2903" s="201">
        <f>COUNTIFS(rl_key,$A$2884,rl_eff,"&gt;="&amp;$B2903,rl_eff,"&lt;="&amp;$C2903)</f>
        <v/>
      </c>
      <c r="L2903" s="201">
        <f>SUMIFS(rl_daysafter,rl_key,$A$2884,rl_effmonth,$B2903,rl_first,1)</f>
        <v/>
      </c>
      <c r="M2903" s="209">
        <f>IF($K2903=0,0,MIN(1,$L2903/$D2903))</f>
        <v/>
      </c>
      <c r="N2903" s="208">
        <f>IF($K2903=0,$J2903,(1-$M2903)*$I2903+$M2903*$J2903)</f>
        <v/>
      </c>
      <c r="O2903" s="209">
        <f>IF($F2903&lt;$B$2885,$E$2885+$I$2885*($F2903-$A$2885),IF($F2903&lt;$C$2885,$F$2885+$J$2885*($F2903-$B$2885),$G$2885+$K$2885*($F2903-$C$2885)))</f>
        <v/>
      </c>
      <c r="P2903" s="208">
        <f>MIN(1,MAX(0,(nr_MEndPm1-$G2903+0.5)/$C$2884))-MIN(1,MAX(0,(nr_MStartPm1-1-$G2903+0.5)/$C$2884))</f>
        <v/>
      </c>
      <c r="Q2903" s="208">
        <f>MIN(1,MAX(0,(nr_MEndP-$G2903+0.5)/$C$2884))-MIN(1,MAX(0,(nr_MStartP-1-$G2903+0.5)/$C$2884))</f>
        <v/>
      </c>
      <c r="R2903" s="208">
        <f>MIN(1,MAX(0,(nr_MEndP1-$G2903+0.5)/$C$2884))-MIN(1,MAX(0,(nr_MStartP1-1-$G2903+0.5)/$C$2884))</f>
        <v/>
      </c>
      <c r="S2903" s="208">
        <f>IF($L$2884,$N2903*IF($O$2884=1,$O2903/$F$2884,1),"")</f>
        <v/>
      </c>
      <c r="T2903" s="208">
        <f>IF(NOT($L$2884),"",IF($G2903&lt;nr_MStartP,$S2903,$T2891*(1+IF($G2903&lt;nr_MStartP1,$M$2884,$N$2884))))</f>
        <v/>
      </c>
      <c r="U2903" s="208">
        <f>IF($L$2884,$T2903,$N2903)</f>
        <v/>
      </c>
    </row>
    <row r="2904">
      <c r="A2904" s="145" t="n">
        <v>18</v>
      </c>
      <c r="B2904" s="204">
        <f>EDATE($B2903,1)</f>
        <v/>
      </c>
      <c r="C2904" s="205">
        <f>EOMONTH($B2904,0)</f>
        <v/>
      </c>
      <c r="D2904" s="201">
        <f>$C2904-$B2904+1</f>
        <v/>
      </c>
      <c r="E2904" s="201">
        <f>MONTH($B2904)</f>
        <v/>
      </c>
      <c r="F2904" s="235">
        <f>($B2904+$C2904+1)/2</f>
        <v/>
      </c>
      <c r="G2904" s="201">
        <f>YEAR($B2904)*12+MONTH($B2904)-1</f>
        <v/>
      </c>
      <c r="H2904" s="207">
        <f>IF(OR(nr_SeasonOn="OFF",$D$2884=0,$E$2884=0),1,12*INDEX(se_block,$D$2884,$E2904)/$E$2884)</f>
        <v/>
      </c>
      <c r="I2904" s="208">
        <f>EXP(SUMPRODUCT((rl_eff&lt;$B2904)*(rl_key=$A$2884)*rl_ln1p))</f>
        <v/>
      </c>
      <c r="J2904" s="208">
        <f>EXP(SUMPRODUCT((rl_eff&lt;=$C2904)*(rl_key=$A$2884)*rl_ln1p))</f>
        <v/>
      </c>
      <c r="K2904" s="201">
        <f>COUNTIFS(rl_key,$A$2884,rl_eff,"&gt;="&amp;$B2904,rl_eff,"&lt;="&amp;$C2904)</f>
        <v/>
      </c>
      <c r="L2904" s="201">
        <f>SUMIFS(rl_daysafter,rl_key,$A$2884,rl_effmonth,$B2904,rl_first,1)</f>
        <v/>
      </c>
      <c r="M2904" s="209">
        <f>IF($K2904=0,0,MIN(1,$L2904/$D2904))</f>
        <v/>
      </c>
      <c r="N2904" s="208">
        <f>IF($K2904=0,$J2904,(1-$M2904)*$I2904+$M2904*$J2904)</f>
        <v/>
      </c>
      <c r="O2904" s="209">
        <f>IF($F2904&lt;$B$2885,$E$2885+$I$2885*($F2904-$A$2885),IF($F2904&lt;$C$2885,$F$2885+$J$2885*($F2904-$B$2885),$G$2885+$K$2885*($F2904-$C$2885)))</f>
        <v/>
      </c>
      <c r="P2904" s="208">
        <f>MIN(1,MAX(0,(nr_MEndPm1-$G2904+0.5)/$C$2884))-MIN(1,MAX(0,(nr_MStartPm1-1-$G2904+0.5)/$C$2884))</f>
        <v/>
      </c>
      <c r="Q2904" s="208">
        <f>MIN(1,MAX(0,(nr_MEndP-$G2904+0.5)/$C$2884))-MIN(1,MAX(0,(nr_MStartP-1-$G2904+0.5)/$C$2884))</f>
        <v/>
      </c>
      <c r="R2904" s="208">
        <f>MIN(1,MAX(0,(nr_MEndP1-$G2904+0.5)/$C$2884))-MIN(1,MAX(0,(nr_MStartP1-1-$G2904+0.5)/$C$2884))</f>
        <v/>
      </c>
      <c r="S2904" s="208">
        <f>IF($L$2884,$N2904*IF($O$2884=1,$O2904/$F$2884,1),"")</f>
        <v/>
      </c>
      <c r="T2904" s="208">
        <f>IF(NOT($L$2884),"",IF($G2904&lt;nr_MStartP,$S2904,$T2892*(1+IF($G2904&lt;nr_MStartP1,$M$2884,$N$2884))))</f>
        <v/>
      </c>
      <c r="U2904" s="208">
        <f>IF($L$2884,$T2904,$N2904)</f>
        <v/>
      </c>
    </row>
    <row r="2905">
      <c r="A2905" s="145" t="n">
        <v>19</v>
      </c>
      <c r="B2905" s="204">
        <f>EDATE($B2904,1)</f>
        <v/>
      </c>
      <c r="C2905" s="205">
        <f>EOMONTH($B2905,0)</f>
        <v/>
      </c>
      <c r="D2905" s="201">
        <f>$C2905-$B2905+1</f>
        <v/>
      </c>
      <c r="E2905" s="201">
        <f>MONTH($B2905)</f>
        <v/>
      </c>
      <c r="F2905" s="235">
        <f>($B2905+$C2905+1)/2</f>
        <v/>
      </c>
      <c r="G2905" s="201">
        <f>YEAR($B2905)*12+MONTH($B2905)-1</f>
        <v/>
      </c>
      <c r="H2905" s="207">
        <f>IF(OR(nr_SeasonOn="OFF",$D$2884=0,$E$2884=0),1,12*INDEX(se_block,$D$2884,$E2905)/$E$2884)</f>
        <v/>
      </c>
      <c r="I2905" s="208">
        <f>EXP(SUMPRODUCT((rl_eff&lt;$B2905)*(rl_key=$A$2884)*rl_ln1p))</f>
        <v/>
      </c>
      <c r="J2905" s="208">
        <f>EXP(SUMPRODUCT((rl_eff&lt;=$C2905)*(rl_key=$A$2884)*rl_ln1p))</f>
        <v/>
      </c>
      <c r="K2905" s="201">
        <f>COUNTIFS(rl_key,$A$2884,rl_eff,"&gt;="&amp;$B2905,rl_eff,"&lt;="&amp;$C2905)</f>
        <v/>
      </c>
      <c r="L2905" s="201">
        <f>SUMIFS(rl_daysafter,rl_key,$A$2884,rl_effmonth,$B2905,rl_first,1)</f>
        <v/>
      </c>
      <c r="M2905" s="209">
        <f>IF($K2905=0,0,MIN(1,$L2905/$D2905))</f>
        <v/>
      </c>
      <c r="N2905" s="208">
        <f>IF($K2905=0,$J2905,(1-$M2905)*$I2905+$M2905*$J2905)</f>
        <v/>
      </c>
      <c r="O2905" s="209">
        <f>IF($F2905&lt;$B$2885,$E$2885+$I$2885*($F2905-$A$2885),IF($F2905&lt;$C$2885,$F$2885+$J$2885*($F2905-$B$2885),$G$2885+$K$2885*($F2905-$C$2885)))</f>
        <v/>
      </c>
      <c r="P2905" s="208">
        <f>MIN(1,MAX(0,(nr_MEndPm1-$G2905+0.5)/$C$2884))-MIN(1,MAX(0,(nr_MStartPm1-1-$G2905+0.5)/$C$2884))</f>
        <v/>
      </c>
      <c r="Q2905" s="208">
        <f>MIN(1,MAX(0,(nr_MEndP-$G2905+0.5)/$C$2884))-MIN(1,MAX(0,(nr_MStartP-1-$G2905+0.5)/$C$2884))</f>
        <v/>
      </c>
      <c r="R2905" s="208">
        <f>MIN(1,MAX(0,(nr_MEndP1-$G2905+0.5)/$C$2884))-MIN(1,MAX(0,(nr_MStartP1-1-$G2905+0.5)/$C$2884))</f>
        <v/>
      </c>
      <c r="S2905" s="208">
        <f>IF($L$2884,$N2905*IF($O$2884=1,$O2905/$F$2884,1),"")</f>
        <v/>
      </c>
      <c r="T2905" s="208">
        <f>IF(NOT($L$2884),"",IF($G2905&lt;nr_MStartP,$S2905,$T2893*(1+IF($G2905&lt;nr_MStartP1,$M$2884,$N$2884))))</f>
        <v/>
      </c>
      <c r="U2905" s="208">
        <f>IF($L$2884,$T2905,$N2905)</f>
        <v/>
      </c>
    </row>
    <row r="2906">
      <c r="A2906" s="145" t="n">
        <v>20</v>
      </c>
      <c r="B2906" s="204">
        <f>EDATE($B2905,1)</f>
        <v/>
      </c>
      <c r="C2906" s="205">
        <f>EOMONTH($B2906,0)</f>
        <v/>
      </c>
      <c r="D2906" s="201">
        <f>$C2906-$B2906+1</f>
        <v/>
      </c>
      <c r="E2906" s="201">
        <f>MONTH($B2906)</f>
        <v/>
      </c>
      <c r="F2906" s="235">
        <f>($B2906+$C2906+1)/2</f>
        <v/>
      </c>
      <c r="G2906" s="201">
        <f>YEAR($B2906)*12+MONTH($B2906)-1</f>
        <v/>
      </c>
      <c r="H2906" s="207">
        <f>IF(OR(nr_SeasonOn="OFF",$D$2884=0,$E$2884=0),1,12*INDEX(se_block,$D$2884,$E2906)/$E$2884)</f>
        <v/>
      </c>
      <c r="I2906" s="208">
        <f>EXP(SUMPRODUCT((rl_eff&lt;$B2906)*(rl_key=$A$2884)*rl_ln1p))</f>
        <v/>
      </c>
      <c r="J2906" s="208">
        <f>EXP(SUMPRODUCT((rl_eff&lt;=$C2906)*(rl_key=$A$2884)*rl_ln1p))</f>
        <v/>
      </c>
      <c r="K2906" s="201">
        <f>COUNTIFS(rl_key,$A$2884,rl_eff,"&gt;="&amp;$B2906,rl_eff,"&lt;="&amp;$C2906)</f>
        <v/>
      </c>
      <c r="L2906" s="201">
        <f>SUMIFS(rl_daysafter,rl_key,$A$2884,rl_effmonth,$B2906,rl_first,1)</f>
        <v/>
      </c>
      <c r="M2906" s="209">
        <f>IF($K2906=0,0,MIN(1,$L2906/$D2906))</f>
        <v/>
      </c>
      <c r="N2906" s="208">
        <f>IF($K2906=0,$J2906,(1-$M2906)*$I2906+$M2906*$J2906)</f>
        <v/>
      </c>
      <c r="O2906" s="209">
        <f>IF($F2906&lt;$B$2885,$E$2885+$I$2885*($F2906-$A$2885),IF($F2906&lt;$C$2885,$F$2885+$J$2885*($F2906-$B$2885),$G$2885+$K$2885*($F2906-$C$2885)))</f>
        <v/>
      </c>
      <c r="P2906" s="208">
        <f>MIN(1,MAX(0,(nr_MEndPm1-$G2906+0.5)/$C$2884))-MIN(1,MAX(0,(nr_MStartPm1-1-$G2906+0.5)/$C$2884))</f>
        <v/>
      </c>
      <c r="Q2906" s="208">
        <f>MIN(1,MAX(0,(nr_MEndP-$G2906+0.5)/$C$2884))-MIN(1,MAX(0,(nr_MStartP-1-$G2906+0.5)/$C$2884))</f>
        <v/>
      </c>
      <c r="R2906" s="208">
        <f>MIN(1,MAX(0,(nr_MEndP1-$G2906+0.5)/$C$2884))-MIN(1,MAX(0,(nr_MStartP1-1-$G2906+0.5)/$C$2884))</f>
        <v/>
      </c>
      <c r="S2906" s="208">
        <f>IF($L$2884,$N2906*IF($O$2884=1,$O2906/$F$2884,1),"")</f>
        <v/>
      </c>
      <c r="T2906" s="208">
        <f>IF(NOT($L$2884),"",IF($G2906&lt;nr_MStartP,$S2906,$T2894*(1+IF($G2906&lt;nr_MStartP1,$M$2884,$N$2884))))</f>
        <v/>
      </c>
      <c r="U2906" s="208">
        <f>IF($L$2884,$T2906,$N2906)</f>
        <v/>
      </c>
    </row>
    <row r="2907">
      <c r="A2907" s="145" t="n">
        <v>21</v>
      </c>
      <c r="B2907" s="204">
        <f>EDATE($B2906,1)</f>
        <v/>
      </c>
      <c r="C2907" s="205">
        <f>EOMONTH($B2907,0)</f>
        <v/>
      </c>
      <c r="D2907" s="201">
        <f>$C2907-$B2907+1</f>
        <v/>
      </c>
      <c r="E2907" s="201">
        <f>MONTH($B2907)</f>
        <v/>
      </c>
      <c r="F2907" s="235">
        <f>($B2907+$C2907+1)/2</f>
        <v/>
      </c>
      <c r="G2907" s="201">
        <f>YEAR($B2907)*12+MONTH($B2907)-1</f>
        <v/>
      </c>
      <c r="H2907" s="207">
        <f>IF(OR(nr_SeasonOn="OFF",$D$2884=0,$E$2884=0),1,12*INDEX(se_block,$D$2884,$E2907)/$E$2884)</f>
        <v/>
      </c>
      <c r="I2907" s="208">
        <f>EXP(SUMPRODUCT((rl_eff&lt;$B2907)*(rl_key=$A$2884)*rl_ln1p))</f>
        <v/>
      </c>
      <c r="J2907" s="208">
        <f>EXP(SUMPRODUCT((rl_eff&lt;=$C2907)*(rl_key=$A$2884)*rl_ln1p))</f>
        <v/>
      </c>
      <c r="K2907" s="201">
        <f>COUNTIFS(rl_key,$A$2884,rl_eff,"&gt;="&amp;$B2907,rl_eff,"&lt;="&amp;$C2907)</f>
        <v/>
      </c>
      <c r="L2907" s="201">
        <f>SUMIFS(rl_daysafter,rl_key,$A$2884,rl_effmonth,$B2907,rl_first,1)</f>
        <v/>
      </c>
      <c r="M2907" s="209">
        <f>IF($K2907=0,0,MIN(1,$L2907/$D2907))</f>
        <v/>
      </c>
      <c r="N2907" s="208">
        <f>IF($K2907=0,$J2907,(1-$M2907)*$I2907+$M2907*$J2907)</f>
        <v/>
      </c>
      <c r="O2907" s="209">
        <f>IF($F2907&lt;$B$2885,$E$2885+$I$2885*($F2907-$A$2885),IF($F2907&lt;$C$2885,$F$2885+$J$2885*($F2907-$B$2885),$G$2885+$K$2885*($F2907-$C$2885)))</f>
        <v/>
      </c>
      <c r="P2907" s="208">
        <f>MIN(1,MAX(0,(nr_MEndPm1-$G2907+0.5)/$C$2884))-MIN(1,MAX(0,(nr_MStartPm1-1-$G2907+0.5)/$C$2884))</f>
        <v/>
      </c>
      <c r="Q2907" s="208">
        <f>MIN(1,MAX(0,(nr_MEndP-$G2907+0.5)/$C$2884))-MIN(1,MAX(0,(nr_MStartP-1-$G2907+0.5)/$C$2884))</f>
        <v/>
      </c>
      <c r="R2907" s="208">
        <f>MIN(1,MAX(0,(nr_MEndP1-$G2907+0.5)/$C$2884))-MIN(1,MAX(0,(nr_MStartP1-1-$G2907+0.5)/$C$2884))</f>
        <v/>
      </c>
      <c r="S2907" s="208">
        <f>IF($L$2884,$N2907*IF($O$2884=1,$O2907/$F$2884,1),"")</f>
        <v/>
      </c>
      <c r="T2907" s="208">
        <f>IF(NOT($L$2884),"",IF($G2907&lt;nr_MStartP,$S2907,$T2895*(1+IF($G2907&lt;nr_MStartP1,$M$2884,$N$2884))))</f>
        <v/>
      </c>
      <c r="U2907" s="208">
        <f>IF($L$2884,$T2907,$N2907)</f>
        <v/>
      </c>
    </row>
    <row r="2908">
      <c r="A2908" s="145" t="n">
        <v>22</v>
      </c>
      <c r="B2908" s="204">
        <f>EDATE($B2907,1)</f>
        <v/>
      </c>
      <c r="C2908" s="205">
        <f>EOMONTH($B2908,0)</f>
        <v/>
      </c>
      <c r="D2908" s="201">
        <f>$C2908-$B2908+1</f>
        <v/>
      </c>
      <c r="E2908" s="201">
        <f>MONTH($B2908)</f>
        <v/>
      </c>
      <c r="F2908" s="235">
        <f>($B2908+$C2908+1)/2</f>
        <v/>
      </c>
      <c r="G2908" s="201">
        <f>YEAR($B2908)*12+MONTH($B2908)-1</f>
        <v/>
      </c>
      <c r="H2908" s="207">
        <f>IF(OR(nr_SeasonOn="OFF",$D$2884=0,$E$2884=0),1,12*INDEX(se_block,$D$2884,$E2908)/$E$2884)</f>
        <v/>
      </c>
      <c r="I2908" s="208">
        <f>EXP(SUMPRODUCT((rl_eff&lt;$B2908)*(rl_key=$A$2884)*rl_ln1p))</f>
        <v/>
      </c>
      <c r="J2908" s="208">
        <f>EXP(SUMPRODUCT((rl_eff&lt;=$C2908)*(rl_key=$A$2884)*rl_ln1p))</f>
        <v/>
      </c>
      <c r="K2908" s="201">
        <f>COUNTIFS(rl_key,$A$2884,rl_eff,"&gt;="&amp;$B2908,rl_eff,"&lt;="&amp;$C2908)</f>
        <v/>
      </c>
      <c r="L2908" s="201">
        <f>SUMIFS(rl_daysafter,rl_key,$A$2884,rl_effmonth,$B2908,rl_first,1)</f>
        <v/>
      </c>
      <c r="M2908" s="209">
        <f>IF($K2908=0,0,MIN(1,$L2908/$D2908))</f>
        <v/>
      </c>
      <c r="N2908" s="208">
        <f>IF($K2908=0,$J2908,(1-$M2908)*$I2908+$M2908*$J2908)</f>
        <v/>
      </c>
      <c r="O2908" s="209">
        <f>IF($F2908&lt;$B$2885,$E$2885+$I$2885*($F2908-$A$2885),IF($F2908&lt;$C$2885,$F$2885+$J$2885*($F2908-$B$2885),$G$2885+$K$2885*($F2908-$C$2885)))</f>
        <v/>
      </c>
      <c r="P2908" s="208">
        <f>MIN(1,MAX(0,(nr_MEndPm1-$G2908+0.5)/$C$2884))-MIN(1,MAX(0,(nr_MStartPm1-1-$G2908+0.5)/$C$2884))</f>
        <v/>
      </c>
      <c r="Q2908" s="208">
        <f>MIN(1,MAX(0,(nr_MEndP-$G2908+0.5)/$C$2884))-MIN(1,MAX(0,(nr_MStartP-1-$G2908+0.5)/$C$2884))</f>
        <v/>
      </c>
      <c r="R2908" s="208">
        <f>MIN(1,MAX(0,(nr_MEndP1-$G2908+0.5)/$C$2884))-MIN(1,MAX(0,(nr_MStartP1-1-$G2908+0.5)/$C$2884))</f>
        <v/>
      </c>
      <c r="S2908" s="208">
        <f>IF($L$2884,$N2908*IF($O$2884=1,$O2908/$F$2884,1),"")</f>
        <v/>
      </c>
      <c r="T2908" s="208">
        <f>IF(NOT($L$2884),"",IF($G2908&lt;nr_MStartP,$S2908,$T2896*(1+IF($G2908&lt;nr_MStartP1,$M$2884,$N$2884))))</f>
        <v/>
      </c>
      <c r="U2908" s="208">
        <f>IF($L$2884,$T2908,$N2908)</f>
        <v/>
      </c>
    </row>
    <row r="2909">
      <c r="A2909" s="145" t="n">
        <v>23</v>
      </c>
      <c r="B2909" s="204">
        <f>EDATE($B2908,1)</f>
        <v/>
      </c>
      <c r="C2909" s="205">
        <f>EOMONTH($B2909,0)</f>
        <v/>
      </c>
      <c r="D2909" s="201">
        <f>$C2909-$B2909+1</f>
        <v/>
      </c>
      <c r="E2909" s="201">
        <f>MONTH($B2909)</f>
        <v/>
      </c>
      <c r="F2909" s="235">
        <f>($B2909+$C2909+1)/2</f>
        <v/>
      </c>
      <c r="G2909" s="201">
        <f>YEAR($B2909)*12+MONTH($B2909)-1</f>
        <v/>
      </c>
      <c r="H2909" s="207">
        <f>IF(OR(nr_SeasonOn="OFF",$D$2884=0,$E$2884=0),1,12*INDEX(se_block,$D$2884,$E2909)/$E$2884)</f>
        <v/>
      </c>
      <c r="I2909" s="208">
        <f>EXP(SUMPRODUCT((rl_eff&lt;$B2909)*(rl_key=$A$2884)*rl_ln1p))</f>
        <v/>
      </c>
      <c r="J2909" s="208">
        <f>EXP(SUMPRODUCT((rl_eff&lt;=$C2909)*(rl_key=$A$2884)*rl_ln1p))</f>
        <v/>
      </c>
      <c r="K2909" s="201">
        <f>COUNTIFS(rl_key,$A$2884,rl_eff,"&gt;="&amp;$B2909,rl_eff,"&lt;="&amp;$C2909)</f>
        <v/>
      </c>
      <c r="L2909" s="201">
        <f>SUMIFS(rl_daysafter,rl_key,$A$2884,rl_effmonth,$B2909,rl_first,1)</f>
        <v/>
      </c>
      <c r="M2909" s="209">
        <f>IF($K2909=0,0,MIN(1,$L2909/$D2909))</f>
        <v/>
      </c>
      <c r="N2909" s="208">
        <f>IF($K2909=0,$J2909,(1-$M2909)*$I2909+$M2909*$J2909)</f>
        <v/>
      </c>
      <c r="O2909" s="209">
        <f>IF($F2909&lt;$B$2885,$E$2885+$I$2885*($F2909-$A$2885),IF($F2909&lt;$C$2885,$F$2885+$J$2885*($F2909-$B$2885),$G$2885+$K$2885*($F2909-$C$2885)))</f>
        <v/>
      </c>
      <c r="P2909" s="208">
        <f>MIN(1,MAX(0,(nr_MEndPm1-$G2909+0.5)/$C$2884))-MIN(1,MAX(0,(nr_MStartPm1-1-$G2909+0.5)/$C$2884))</f>
        <v/>
      </c>
      <c r="Q2909" s="208">
        <f>MIN(1,MAX(0,(nr_MEndP-$G2909+0.5)/$C$2884))-MIN(1,MAX(0,(nr_MStartP-1-$G2909+0.5)/$C$2884))</f>
        <v/>
      </c>
      <c r="R2909" s="208">
        <f>MIN(1,MAX(0,(nr_MEndP1-$G2909+0.5)/$C$2884))-MIN(1,MAX(0,(nr_MStartP1-1-$G2909+0.5)/$C$2884))</f>
        <v/>
      </c>
      <c r="S2909" s="208">
        <f>IF($L$2884,$N2909*IF($O$2884=1,$O2909/$F$2884,1),"")</f>
        <v/>
      </c>
      <c r="T2909" s="208">
        <f>IF(NOT($L$2884),"",IF($G2909&lt;nr_MStartP,$S2909,$T2897*(1+IF($G2909&lt;nr_MStartP1,$M$2884,$N$2884))))</f>
        <v/>
      </c>
      <c r="U2909" s="208">
        <f>IF($L$2884,$T2909,$N2909)</f>
        <v/>
      </c>
    </row>
    <row r="2910">
      <c r="A2910" s="145" t="n">
        <v>24</v>
      </c>
      <c r="B2910" s="204">
        <f>EDATE($B2909,1)</f>
        <v/>
      </c>
      <c r="C2910" s="205">
        <f>EOMONTH($B2910,0)</f>
        <v/>
      </c>
      <c r="D2910" s="201">
        <f>$C2910-$B2910+1</f>
        <v/>
      </c>
      <c r="E2910" s="201">
        <f>MONTH($B2910)</f>
        <v/>
      </c>
      <c r="F2910" s="235">
        <f>($B2910+$C2910+1)/2</f>
        <v/>
      </c>
      <c r="G2910" s="201">
        <f>YEAR($B2910)*12+MONTH($B2910)-1</f>
        <v/>
      </c>
      <c r="H2910" s="207">
        <f>IF(OR(nr_SeasonOn="OFF",$D$2884=0,$E$2884=0),1,12*INDEX(se_block,$D$2884,$E2910)/$E$2884)</f>
        <v/>
      </c>
      <c r="I2910" s="208">
        <f>EXP(SUMPRODUCT((rl_eff&lt;$B2910)*(rl_key=$A$2884)*rl_ln1p))</f>
        <v/>
      </c>
      <c r="J2910" s="208">
        <f>EXP(SUMPRODUCT((rl_eff&lt;=$C2910)*(rl_key=$A$2884)*rl_ln1p))</f>
        <v/>
      </c>
      <c r="K2910" s="201">
        <f>COUNTIFS(rl_key,$A$2884,rl_eff,"&gt;="&amp;$B2910,rl_eff,"&lt;="&amp;$C2910)</f>
        <v/>
      </c>
      <c r="L2910" s="201">
        <f>SUMIFS(rl_daysafter,rl_key,$A$2884,rl_effmonth,$B2910,rl_first,1)</f>
        <v/>
      </c>
      <c r="M2910" s="209">
        <f>IF($K2910=0,0,MIN(1,$L2910/$D2910))</f>
        <v/>
      </c>
      <c r="N2910" s="208">
        <f>IF($K2910=0,$J2910,(1-$M2910)*$I2910+$M2910*$J2910)</f>
        <v/>
      </c>
      <c r="O2910" s="209">
        <f>IF($F2910&lt;$B$2885,$E$2885+$I$2885*($F2910-$A$2885),IF($F2910&lt;$C$2885,$F$2885+$J$2885*($F2910-$B$2885),$G$2885+$K$2885*($F2910-$C$2885)))</f>
        <v/>
      </c>
      <c r="P2910" s="208">
        <f>MIN(1,MAX(0,(nr_MEndPm1-$G2910+0.5)/$C$2884))-MIN(1,MAX(0,(nr_MStartPm1-1-$G2910+0.5)/$C$2884))</f>
        <v/>
      </c>
      <c r="Q2910" s="208">
        <f>MIN(1,MAX(0,(nr_MEndP-$G2910+0.5)/$C$2884))-MIN(1,MAX(0,(nr_MStartP-1-$G2910+0.5)/$C$2884))</f>
        <v/>
      </c>
      <c r="R2910" s="208">
        <f>MIN(1,MAX(0,(nr_MEndP1-$G2910+0.5)/$C$2884))-MIN(1,MAX(0,(nr_MStartP1-1-$G2910+0.5)/$C$2884))</f>
        <v/>
      </c>
      <c r="S2910" s="208">
        <f>IF($L$2884,$N2910*IF($O$2884=1,$O2910/$F$2884,1),"")</f>
        <v/>
      </c>
      <c r="T2910" s="208">
        <f>IF(NOT($L$2884),"",IF($G2910&lt;nr_MStartP,$S2910,$T2898*(1+IF($G2910&lt;nr_MStartP1,$M$2884,$N$2884))))</f>
        <v/>
      </c>
      <c r="U2910" s="208">
        <f>IF($L$2884,$T2910,$N2910)</f>
        <v/>
      </c>
    </row>
    <row r="2911">
      <c r="A2911" s="145" t="n">
        <v>25</v>
      </c>
      <c r="B2911" s="204">
        <f>EDATE($B2910,1)</f>
        <v/>
      </c>
      <c r="C2911" s="205">
        <f>EOMONTH($B2911,0)</f>
        <v/>
      </c>
      <c r="D2911" s="201">
        <f>$C2911-$B2911+1</f>
        <v/>
      </c>
      <c r="E2911" s="201">
        <f>MONTH($B2911)</f>
        <v/>
      </c>
      <c r="F2911" s="235">
        <f>($B2911+$C2911+1)/2</f>
        <v/>
      </c>
      <c r="G2911" s="201">
        <f>YEAR($B2911)*12+MONTH($B2911)-1</f>
        <v/>
      </c>
      <c r="H2911" s="207">
        <f>IF(OR(nr_SeasonOn="OFF",$D$2884=0,$E$2884=0),1,12*INDEX(se_block,$D$2884,$E2911)/$E$2884)</f>
        <v/>
      </c>
      <c r="I2911" s="208">
        <f>EXP(SUMPRODUCT((rl_eff&lt;$B2911)*(rl_key=$A$2884)*rl_ln1p))</f>
        <v/>
      </c>
      <c r="J2911" s="208">
        <f>EXP(SUMPRODUCT((rl_eff&lt;=$C2911)*(rl_key=$A$2884)*rl_ln1p))</f>
        <v/>
      </c>
      <c r="K2911" s="201">
        <f>COUNTIFS(rl_key,$A$2884,rl_eff,"&gt;="&amp;$B2911,rl_eff,"&lt;="&amp;$C2911)</f>
        <v/>
      </c>
      <c r="L2911" s="201">
        <f>SUMIFS(rl_daysafter,rl_key,$A$2884,rl_effmonth,$B2911,rl_first,1)</f>
        <v/>
      </c>
      <c r="M2911" s="209">
        <f>IF($K2911=0,0,MIN(1,$L2911/$D2911))</f>
        <v/>
      </c>
      <c r="N2911" s="208">
        <f>IF($K2911=0,$J2911,(1-$M2911)*$I2911+$M2911*$J2911)</f>
        <v/>
      </c>
      <c r="O2911" s="209">
        <f>IF($F2911&lt;$B$2885,$E$2885+$I$2885*($F2911-$A$2885),IF($F2911&lt;$C$2885,$F$2885+$J$2885*($F2911-$B$2885),$G$2885+$K$2885*($F2911-$C$2885)))</f>
        <v/>
      </c>
      <c r="P2911" s="208">
        <f>MIN(1,MAX(0,(nr_MEndPm1-$G2911+0.5)/$C$2884))-MIN(1,MAX(0,(nr_MStartPm1-1-$G2911+0.5)/$C$2884))</f>
        <v/>
      </c>
      <c r="Q2911" s="208">
        <f>MIN(1,MAX(0,(nr_MEndP-$G2911+0.5)/$C$2884))-MIN(1,MAX(0,(nr_MStartP-1-$G2911+0.5)/$C$2884))</f>
        <v/>
      </c>
      <c r="R2911" s="208">
        <f>MIN(1,MAX(0,(nr_MEndP1-$G2911+0.5)/$C$2884))-MIN(1,MAX(0,(nr_MStartP1-1-$G2911+0.5)/$C$2884))</f>
        <v/>
      </c>
      <c r="S2911" s="208">
        <f>IF($L$2884,$N2911*IF($O$2884=1,$O2911/$F$2884,1),"")</f>
        <v/>
      </c>
      <c r="T2911" s="208">
        <f>IF(NOT($L$2884),"",IF($G2911&lt;nr_MStartP,$S2911,$T2899*(1+IF($G2911&lt;nr_MStartP1,$M$2884,$N$2884))))</f>
        <v/>
      </c>
      <c r="U2911" s="208">
        <f>IF($L$2884,$T2911,$N2911)</f>
        <v/>
      </c>
    </row>
    <row r="2912">
      <c r="A2912" s="145" t="n">
        <v>26</v>
      </c>
      <c r="B2912" s="204">
        <f>EDATE($B2911,1)</f>
        <v/>
      </c>
      <c r="C2912" s="205">
        <f>EOMONTH($B2912,0)</f>
        <v/>
      </c>
      <c r="D2912" s="201">
        <f>$C2912-$B2912+1</f>
        <v/>
      </c>
      <c r="E2912" s="201">
        <f>MONTH($B2912)</f>
        <v/>
      </c>
      <c r="F2912" s="235">
        <f>($B2912+$C2912+1)/2</f>
        <v/>
      </c>
      <c r="G2912" s="201">
        <f>YEAR($B2912)*12+MONTH($B2912)-1</f>
        <v/>
      </c>
      <c r="H2912" s="207">
        <f>IF(OR(nr_SeasonOn="OFF",$D$2884=0,$E$2884=0),1,12*INDEX(se_block,$D$2884,$E2912)/$E$2884)</f>
        <v/>
      </c>
      <c r="I2912" s="208">
        <f>EXP(SUMPRODUCT((rl_eff&lt;$B2912)*(rl_key=$A$2884)*rl_ln1p))</f>
        <v/>
      </c>
      <c r="J2912" s="208">
        <f>EXP(SUMPRODUCT((rl_eff&lt;=$C2912)*(rl_key=$A$2884)*rl_ln1p))</f>
        <v/>
      </c>
      <c r="K2912" s="201">
        <f>COUNTIFS(rl_key,$A$2884,rl_eff,"&gt;="&amp;$B2912,rl_eff,"&lt;="&amp;$C2912)</f>
        <v/>
      </c>
      <c r="L2912" s="201">
        <f>SUMIFS(rl_daysafter,rl_key,$A$2884,rl_effmonth,$B2912,rl_first,1)</f>
        <v/>
      </c>
      <c r="M2912" s="209">
        <f>IF($K2912=0,0,MIN(1,$L2912/$D2912))</f>
        <v/>
      </c>
      <c r="N2912" s="208">
        <f>IF($K2912=0,$J2912,(1-$M2912)*$I2912+$M2912*$J2912)</f>
        <v/>
      </c>
      <c r="O2912" s="209">
        <f>IF($F2912&lt;$B$2885,$E$2885+$I$2885*($F2912-$A$2885),IF($F2912&lt;$C$2885,$F$2885+$J$2885*($F2912-$B$2885),$G$2885+$K$2885*($F2912-$C$2885)))</f>
        <v/>
      </c>
      <c r="P2912" s="208">
        <f>MIN(1,MAX(0,(nr_MEndPm1-$G2912+0.5)/$C$2884))-MIN(1,MAX(0,(nr_MStartPm1-1-$G2912+0.5)/$C$2884))</f>
        <v/>
      </c>
      <c r="Q2912" s="208">
        <f>MIN(1,MAX(0,(nr_MEndP-$G2912+0.5)/$C$2884))-MIN(1,MAX(0,(nr_MStartP-1-$G2912+0.5)/$C$2884))</f>
        <v/>
      </c>
      <c r="R2912" s="208">
        <f>MIN(1,MAX(0,(nr_MEndP1-$G2912+0.5)/$C$2884))-MIN(1,MAX(0,(nr_MStartP1-1-$G2912+0.5)/$C$2884))</f>
        <v/>
      </c>
      <c r="S2912" s="208">
        <f>IF($L$2884,$N2912*IF($O$2884=1,$O2912/$F$2884,1),"")</f>
        <v/>
      </c>
      <c r="T2912" s="208">
        <f>IF(NOT($L$2884),"",IF($G2912&lt;nr_MStartP,$S2912,$T2900*(1+IF($G2912&lt;nr_MStartP1,$M$2884,$N$2884))))</f>
        <v/>
      </c>
      <c r="U2912" s="208">
        <f>IF($L$2884,$T2912,$N2912)</f>
        <v/>
      </c>
    </row>
    <row r="2913">
      <c r="A2913" s="145" t="n">
        <v>27</v>
      </c>
      <c r="B2913" s="204">
        <f>EDATE($B2912,1)</f>
        <v/>
      </c>
      <c r="C2913" s="205">
        <f>EOMONTH($B2913,0)</f>
        <v/>
      </c>
      <c r="D2913" s="201">
        <f>$C2913-$B2913+1</f>
        <v/>
      </c>
      <c r="E2913" s="201">
        <f>MONTH($B2913)</f>
        <v/>
      </c>
      <c r="F2913" s="235">
        <f>($B2913+$C2913+1)/2</f>
        <v/>
      </c>
      <c r="G2913" s="201">
        <f>YEAR($B2913)*12+MONTH($B2913)-1</f>
        <v/>
      </c>
      <c r="H2913" s="207">
        <f>IF(OR(nr_SeasonOn="OFF",$D$2884=0,$E$2884=0),1,12*INDEX(se_block,$D$2884,$E2913)/$E$2884)</f>
        <v/>
      </c>
      <c r="I2913" s="208">
        <f>EXP(SUMPRODUCT((rl_eff&lt;$B2913)*(rl_key=$A$2884)*rl_ln1p))</f>
        <v/>
      </c>
      <c r="J2913" s="208">
        <f>EXP(SUMPRODUCT((rl_eff&lt;=$C2913)*(rl_key=$A$2884)*rl_ln1p))</f>
        <v/>
      </c>
      <c r="K2913" s="201">
        <f>COUNTIFS(rl_key,$A$2884,rl_eff,"&gt;="&amp;$B2913,rl_eff,"&lt;="&amp;$C2913)</f>
        <v/>
      </c>
      <c r="L2913" s="201">
        <f>SUMIFS(rl_daysafter,rl_key,$A$2884,rl_effmonth,$B2913,rl_first,1)</f>
        <v/>
      </c>
      <c r="M2913" s="209">
        <f>IF($K2913=0,0,MIN(1,$L2913/$D2913))</f>
        <v/>
      </c>
      <c r="N2913" s="208">
        <f>IF($K2913=0,$J2913,(1-$M2913)*$I2913+$M2913*$J2913)</f>
        <v/>
      </c>
      <c r="O2913" s="209">
        <f>IF($F2913&lt;$B$2885,$E$2885+$I$2885*($F2913-$A$2885),IF($F2913&lt;$C$2885,$F$2885+$J$2885*($F2913-$B$2885),$G$2885+$K$2885*($F2913-$C$2885)))</f>
        <v/>
      </c>
      <c r="P2913" s="208">
        <f>MIN(1,MAX(0,(nr_MEndPm1-$G2913+0.5)/$C$2884))-MIN(1,MAX(0,(nr_MStartPm1-1-$G2913+0.5)/$C$2884))</f>
        <v/>
      </c>
      <c r="Q2913" s="208">
        <f>MIN(1,MAX(0,(nr_MEndP-$G2913+0.5)/$C$2884))-MIN(1,MAX(0,(nr_MStartP-1-$G2913+0.5)/$C$2884))</f>
        <v/>
      </c>
      <c r="R2913" s="208">
        <f>MIN(1,MAX(0,(nr_MEndP1-$G2913+0.5)/$C$2884))-MIN(1,MAX(0,(nr_MStartP1-1-$G2913+0.5)/$C$2884))</f>
        <v/>
      </c>
      <c r="S2913" s="208">
        <f>IF($L$2884,$N2913*IF($O$2884=1,$O2913/$F$2884,1),"")</f>
        <v/>
      </c>
      <c r="T2913" s="208">
        <f>IF(NOT($L$2884),"",IF($G2913&lt;nr_MStartP,$S2913,$T2901*(1+IF($G2913&lt;nr_MStartP1,$M$2884,$N$2884))))</f>
        <v/>
      </c>
      <c r="U2913" s="208">
        <f>IF($L$2884,$T2913,$N2913)</f>
        <v/>
      </c>
    </row>
    <row r="2914">
      <c r="A2914" s="145" t="n">
        <v>28</v>
      </c>
      <c r="B2914" s="204">
        <f>EDATE($B2913,1)</f>
        <v/>
      </c>
      <c r="C2914" s="205">
        <f>EOMONTH($B2914,0)</f>
        <v/>
      </c>
      <c r="D2914" s="201">
        <f>$C2914-$B2914+1</f>
        <v/>
      </c>
      <c r="E2914" s="201">
        <f>MONTH($B2914)</f>
        <v/>
      </c>
      <c r="F2914" s="235">
        <f>($B2914+$C2914+1)/2</f>
        <v/>
      </c>
      <c r="G2914" s="201">
        <f>YEAR($B2914)*12+MONTH($B2914)-1</f>
        <v/>
      </c>
      <c r="H2914" s="207">
        <f>IF(OR(nr_SeasonOn="OFF",$D$2884=0,$E$2884=0),1,12*INDEX(se_block,$D$2884,$E2914)/$E$2884)</f>
        <v/>
      </c>
      <c r="I2914" s="208">
        <f>EXP(SUMPRODUCT((rl_eff&lt;$B2914)*(rl_key=$A$2884)*rl_ln1p))</f>
        <v/>
      </c>
      <c r="J2914" s="208">
        <f>EXP(SUMPRODUCT((rl_eff&lt;=$C2914)*(rl_key=$A$2884)*rl_ln1p))</f>
        <v/>
      </c>
      <c r="K2914" s="201">
        <f>COUNTIFS(rl_key,$A$2884,rl_eff,"&gt;="&amp;$B2914,rl_eff,"&lt;="&amp;$C2914)</f>
        <v/>
      </c>
      <c r="L2914" s="201">
        <f>SUMIFS(rl_daysafter,rl_key,$A$2884,rl_effmonth,$B2914,rl_first,1)</f>
        <v/>
      </c>
      <c r="M2914" s="209">
        <f>IF($K2914=0,0,MIN(1,$L2914/$D2914))</f>
        <v/>
      </c>
      <c r="N2914" s="208">
        <f>IF($K2914=0,$J2914,(1-$M2914)*$I2914+$M2914*$J2914)</f>
        <v/>
      </c>
      <c r="O2914" s="209">
        <f>IF($F2914&lt;$B$2885,$E$2885+$I$2885*($F2914-$A$2885),IF($F2914&lt;$C$2885,$F$2885+$J$2885*($F2914-$B$2885),$G$2885+$K$2885*($F2914-$C$2885)))</f>
        <v/>
      </c>
      <c r="P2914" s="208">
        <f>MIN(1,MAX(0,(nr_MEndPm1-$G2914+0.5)/$C$2884))-MIN(1,MAX(0,(nr_MStartPm1-1-$G2914+0.5)/$C$2884))</f>
        <v/>
      </c>
      <c r="Q2914" s="208">
        <f>MIN(1,MAX(0,(nr_MEndP-$G2914+0.5)/$C$2884))-MIN(1,MAX(0,(nr_MStartP-1-$G2914+0.5)/$C$2884))</f>
        <v/>
      </c>
      <c r="R2914" s="208">
        <f>MIN(1,MAX(0,(nr_MEndP1-$G2914+0.5)/$C$2884))-MIN(1,MAX(0,(nr_MStartP1-1-$G2914+0.5)/$C$2884))</f>
        <v/>
      </c>
      <c r="S2914" s="208">
        <f>IF($L$2884,$N2914*IF($O$2884=1,$O2914/$F$2884,1),"")</f>
        <v/>
      </c>
      <c r="T2914" s="208">
        <f>IF(NOT($L$2884),"",IF($G2914&lt;nr_MStartP,$S2914,$T2902*(1+IF($G2914&lt;nr_MStartP1,$M$2884,$N$2884))))</f>
        <v/>
      </c>
      <c r="U2914" s="208">
        <f>IF($L$2884,$T2914,$N2914)</f>
        <v/>
      </c>
    </row>
    <row r="2915">
      <c r="A2915" s="145" t="n">
        <v>29</v>
      </c>
      <c r="B2915" s="204">
        <f>EDATE($B2914,1)</f>
        <v/>
      </c>
      <c r="C2915" s="205">
        <f>EOMONTH($B2915,0)</f>
        <v/>
      </c>
      <c r="D2915" s="201">
        <f>$C2915-$B2915+1</f>
        <v/>
      </c>
      <c r="E2915" s="201">
        <f>MONTH($B2915)</f>
        <v/>
      </c>
      <c r="F2915" s="235">
        <f>($B2915+$C2915+1)/2</f>
        <v/>
      </c>
      <c r="G2915" s="201">
        <f>YEAR($B2915)*12+MONTH($B2915)-1</f>
        <v/>
      </c>
      <c r="H2915" s="207">
        <f>IF(OR(nr_SeasonOn="OFF",$D$2884=0,$E$2884=0),1,12*INDEX(se_block,$D$2884,$E2915)/$E$2884)</f>
        <v/>
      </c>
      <c r="I2915" s="208">
        <f>EXP(SUMPRODUCT((rl_eff&lt;$B2915)*(rl_key=$A$2884)*rl_ln1p))</f>
        <v/>
      </c>
      <c r="J2915" s="208">
        <f>EXP(SUMPRODUCT((rl_eff&lt;=$C2915)*(rl_key=$A$2884)*rl_ln1p))</f>
        <v/>
      </c>
      <c r="K2915" s="201">
        <f>COUNTIFS(rl_key,$A$2884,rl_eff,"&gt;="&amp;$B2915,rl_eff,"&lt;="&amp;$C2915)</f>
        <v/>
      </c>
      <c r="L2915" s="201">
        <f>SUMIFS(rl_daysafter,rl_key,$A$2884,rl_effmonth,$B2915,rl_first,1)</f>
        <v/>
      </c>
      <c r="M2915" s="209">
        <f>IF($K2915=0,0,MIN(1,$L2915/$D2915))</f>
        <v/>
      </c>
      <c r="N2915" s="208">
        <f>IF($K2915=0,$J2915,(1-$M2915)*$I2915+$M2915*$J2915)</f>
        <v/>
      </c>
      <c r="O2915" s="209">
        <f>IF($F2915&lt;$B$2885,$E$2885+$I$2885*($F2915-$A$2885),IF($F2915&lt;$C$2885,$F$2885+$J$2885*($F2915-$B$2885),$G$2885+$K$2885*($F2915-$C$2885)))</f>
        <v/>
      </c>
      <c r="P2915" s="208">
        <f>MIN(1,MAX(0,(nr_MEndPm1-$G2915+0.5)/$C$2884))-MIN(1,MAX(0,(nr_MStartPm1-1-$G2915+0.5)/$C$2884))</f>
        <v/>
      </c>
      <c r="Q2915" s="208">
        <f>MIN(1,MAX(0,(nr_MEndP-$G2915+0.5)/$C$2884))-MIN(1,MAX(0,(nr_MStartP-1-$G2915+0.5)/$C$2884))</f>
        <v/>
      </c>
      <c r="R2915" s="208">
        <f>MIN(1,MAX(0,(nr_MEndP1-$G2915+0.5)/$C$2884))-MIN(1,MAX(0,(nr_MStartP1-1-$G2915+0.5)/$C$2884))</f>
        <v/>
      </c>
      <c r="S2915" s="208">
        <f>IF($L$2884,$N2915*IF($O$2884=1,$O2915/$F$2884,1),"")</f>
        <v/>
      </c>
      <c r="T2915" s="208">
        <f>IF(NOT($L$2884),"",IF($G2915&lt;nr_MStartP,$S2915,$T2903*(1+IF($G2915&lt;nr_MStartP1,$M$2884,$N$2884))))</f>
        <v/>
      </c>
      <c r="U2915" s="208">
        <f>IF($L$2884,$T2915,$N2915)</f>
        <v/>
      </c>
    </row>
    <row r="2916">
      <c r="A2916" s="145" t="n">
        <v>30</v>
      </c>
      <c r="B2916" s="204">
        <f>EDATE($B2915,1)</f>
        <v/>
      </c>
      <c r="C2916" s="205">
        <f>EOMONTH($B2916,0)</f>
        <v/>
      </c>
      <c r="D2916" s="201">
        <f>$C2916-$B2916+1</f>
        <v/>
      </c>
      <c r="E2916" s="201">
        <f>MONTH($B2916)</f>
        <v/>
      </c>
      <c r="F2916" s="235">
        <f>($B2916+$C2916+1)/2</f>
        <v/>
      </c>
      <c r="G2916" s="201">
        <f>YEAR($B2916)*12+MONTH($B2916)-1</f>
        <v/>
      </c>
      <c r="H2916" s="207">
        <f>IF(OR(nr_SeasonOn="OFF",$D$2884=0,$E$2884=0),1,12*INDEX(se_block,$D$2884,$E2916)/$E$2884)</f>
        <v/>
      </c>
      <c r="I2916" s="208">
        <f>EXP(SUMPRODUCT((rl_eff&lt;$B2916)*(rl_key=$A$2884)*rl_ln1p))</f>
        <v/>
      </c>
      <c r="J2916" s="208">
        <f>EXP(SUMPRODUCT((rl_eff&lt;=$C2916)*(rl_key=$A$2884)*rl_ln1p))</f>
        <v/>
      </c>
      <c r="K2916" s="201">
        <f>COUNTIFS(rl_key,$A$2884,rl_eff,"&gt;="&amp;$B2916,rl_eff,"&lt;="&amp;$C2916)</f>
        <v/>
      </c>
      <c r="L2916" s="201">
        <f>SUMIFS(rl_daysafter,rl_key,$A$2884,rl_effmonth,$B2916,rl_first,1)</f>
        <v/>
      </c>
      <c r="M2916" s="209">
        <f>IF($K2916=0,0,MIN(1,$L2916/$D2916))</f>
        <v/>
      </c>
      <c r="N2916" s="208">
        <f>IF($K2916=0,$J2916,(1-$M2916)*$I2916+$M2916*$J2916)</f>
        <v/>
      </c>
      <c r="O2916" s="209">
        <f>IF($F2916&lt;$B$2885,$E$2885+$I$2885*($F2916-$A$2885),IF($F2916&lt;$C$2885,$F$2885+$J$2885*($F2916-$B$2885),$G$2885+$K$2885*($F2916-$C$2885)))</f>
        <v/>
      </c>
      <c r="P2916" s="208">
        <f>MIN(1,MAX(0,(nr_MEndPm1-$G2916+0.5)/$C$2884))-MIN(1,MAX(0,(nr_MStartPm1-1-$G2916+0.5)/$C$2884))</f>
        <v/>
      </c>
      <c r="Q2916" s="208">
        <f>MIN(1,MAX(0,(nr_MEndP-$G2916+0.5)/$C$2884))-MIN(1,MAX(0,(nr_MStartP-1-$G2916+0.5)/$C$2884))</f>
        <v/>
      </c>
      <c r="R2916" s="208">
        <f>MIN(1,MAX(0,(nr_MEndP1-$G2916+0.5)/$C$2884))-MIN(1,MAX(0,(nr_MStartP1-1-$G2916+0.5)/$C$2884))</f>
        <v/>
      </c>
      <c r="S2916" s="208">
        <f>IF($L$2884,$N2916*IF($O$2884=1,$O2916/$F$2884,1),"")</f>
        <v/>
      </c>
      <c r="T2916" s="208">
        <f>IF(NOT($L$2884),"",IF($G2916&lt;nr_MStartP,$S2916,$T2904*(1+IF($G2916&lt;nr_MStartP1,$M$2884,$N$2884))))</f>
        <v/>
      </c>
      <c r="U2916" s="208">
        <f>IF($L$2884,$T2916,$N2916)</f>
        <v/>
      </c>
    </row>
    <row r="2917">
      <c r="A2917" s="145" t="n">
        <v>31</v>
      </c>
      <c r="B2917" s="204">
        <f>EDATE($B2916,1)</f>
        <v/>
      </c>
      <c r="C2917" s="205">
        <f>EOMONTH($B2917,0)</f>
        <v/>
      </c>
      <c r="D2917" s="201">
        <f>$C2917-$B2917+1</f>
        <v/>
      </c>
      <c r="E2917" s="201">
        <f>MONTH($B2917)</f>
        <v/>
      </c>
      <c r="F2917" s="235">
        <f>($B2917+$C2917+1)/2</f>
        <v/>
      </c>
      <c r="G2917" s="201">
        <f>YEAR($B2917)*12+MONTH($B2917)-1</f>
        <v/>
      </c>
      <c r="H2917" s="207">
        <f>IF(OR(nr_SeasonOn="OFF",$D$2884=0,$E$2884=0),1,12*INDEX(se_block,$D$2884,$E2917)/$E$2884)</f>
        <v/>
      </c>
      <c r="I2917" s="208">
        <f>EXP(SUMPRODUCT((rl_eff&lt;$B2917)*(rl_key=$A$2884)*rl_ln1p))</f>
        <v/>
      </c>
      <c r="J2917" s="208">
        <f>EXP(SUMPRODUCT((rl_eff&lt;=$C2917)*(rl_key=$A$2884)*rl_ln1p))</f>
        <v/>
      </c>
      <c r="K2917" s="201">
        <f>COUNTIFS(rl_key,$A$2884,rl_eff,"&gt;="&amp;$B2917,rl_eff,"&lt;="&amp;$C2917)</f>
        <v/>
      </c>
      <c r="L2917" s="201">
        <f>SUMIFS(rl_daysafter,rl_key,$A$2884,rl_effmonth,$B2917,rl_first,1)</f>
        <v/>
      </c>
      <c r="M2917" s="209">
        <f>IF($K2917=0,0,MIN(1,$L2917/$D2917))</f>
        <v/>
      </c>
      <c r="N2917" s="208">
        <f>IF($K2917=0,$J2917,(1-$M2917)*$I2917+$M2917*$J2917)</f>
        <v/>
      </c>
      <c r="O2917" s="209">
        <f>IF($F2917&lt;$B$2885,$E$2885+$I$2885*($F2917-$A$2885),IF($F2917&lt;$C$2885,$F$2885+$J$2885*($F2917-$B$2885),$G$2885+$K$2885*($F2917-$C$2885)))</f>
        <v/>
      </c>
      <c r="P2917" s="208">
        <f>MIN(1,MAX(0,(nr_MEndPm1-$G2917+0.5)/$C$2884))-MIN(1,MAX(0,(nr_MStartPm1-1-$G2917+0.5)/$C$2884))</f>
        <v/>
      </c>
      <c r="Q2917" s="208">
        <f>MIN(1,MAX(0,(nr_MEndP-$G2917+0.5)/$C$2884))-MIN(1,MAX(0,(nr_MStartP-1-$G2917+0.5)/$C$2884))</f>
        <v/>
      </c>
      <c r="R2917" s="208">
        <f>MIN(1,MAX(0,(nr_MEndP1-$G2917+0.5)/$C$2884))-MIN(1,MAX(0,(nr_MStartP1-1-$G2917+0.5)/$C$2884))</f>
        <v/>
      </c>
      <c r="S2917" s="208">
        <f>IF($L$2884,$N2917*IF($O$2884=1,$O2917/$F$2884,1),"")</f>
        <v/>
      </c>
      <c r="T2917" s="208">
        <f>IF(NOT($L$2884),"",IF($G2917&lt;nr_MStartP,$S2917,$T2905*(1+IF($G2917&lt;nr_MStartP1,$M$2884,$N$2884))))</f>
        <v/>
      </c>
      <c r="U2917" s="208">
        <f>IF($L$2884,$T2917,$N2917)</f>
        <v/>
      </c>
    </row>
    <row r="2918">
      <c r="A2918" s="145" t="n">
        <v>32</v>
      </c>
      <c r="B2918" s="204">
        <f>EDATE($B2917,1)</f>
        <v/>
      </c>
      <c r="C2918" s="205">
        <f>EOMONTH($B2918,0)</f>
        <v/>
      </c>
      <c r="D2918" s="201">
        <f>$C2918-$B2918+1</f>
        <v/>
      </c>
      <c r="E2918" s="201">
        <f>MONTH($B2918)</f>
        <v/>
      </c>
      <c r="F2918" s="235">
        <f>($B2918+$C2918+1)/2</f>
        <v/>
      </c>
      <c r="G2918" s="201">
        <f>YEAR($B2918)*12+MONTH($B2918)-1</f>
        <v/>
      </c>
      <c r="H2918" s="207">
        <f>IF(OR(nr_SeasonOn="OFF",$D$2884=0,$E$2884=0),1,12*INDEX(se_block,$D$2884,$E2918)/$E$2884)</f>
        <v/>
      </c>
      <c r="I2918" s="208">
        <f>EXP(SUMPRODUCT((rl_eff&lt;$B2918)*(rl_key=$A$2884)*rl_ln1p))</f>
        <v/>
      </c>
      <c r="J2918" s="208">
        <f>EXP(SUMPRODUCT((rl_eff&lt;=$C2918)*(rl_key=$A$2884)*rl_ln1p))</f>
        <v/>
      </c>
      <c r="K2918" s="201">
        <f>COUNTIFS(rl_key,$A$2884,rl_eff,"&gt;="&amp;$B2918,rl_eff,"&lt;="&amp;$C2918)</f>
        <v/>
      </c>
      <c r="L2918" s="201">
        <f>SUMIFS(rl_daysafter,rl_key,$A$2884,rl_effmonth,$B2918,rl_first,1)</f>
        <v/>
      </c>
      <c r="M2918" s="209">
        <f>IF($K2918=0,0,MIN(1,$L2918/$D2918))</f>
        <v/>
      </c>
      <c r="N2918" s="208">
        <f>IF($K2918=0,$J2918,(1-$M2918)*$I2918+$M2918*$J2918)</f>
        <v/>
      </c>
      <c r="O2918" s="209">
        <f>IF($F2918&lt;$B$2885,$E$2885+$I$2885*($F2918-$A$2885),IF($F2918&lt;$C$2885,$F$2885+$J$2885*($F2918-$B$2885),$G$2885+$K$2885*($F2918-$C$2885)))</f>
        <v/>
      </c>
      <c r="P2918" s="208">
        <f>MIN(1,MAX(0,(nr_MEndPm1-$G2918+0.5)/$C$2884))-MIN(1,MAX(0,(nr_MStartPm1-1-$G2918+0.5)/$C$2884))</f>
        <v/>
      </c>
      <c r="Q2918" s="208">
        <f>MIN(1,MAX(0,(nr_MEndP-$G2918+0.5)/$C$2884))-MIN(1,MAX(0,(nr_MStartP-1-$G2918+0.5)/$C$2884))</f>
        <v/>
      </c>
      <c r="R2918" s="208">
        <f>MIN(1,MAX(0,(nr_MEndP1-$G2918+0.5)/$C$2884))-MIN(1,MAX(0,(nr_MStartP1-1-$G2918+0.5)/$C$2884))</f>
        <v/>
      </c>
      <c r="S2918" s="208">
        <f>IF($L$2884,$N2918*IF($O$2884=1,$O2918/$F$2884,1),"")</f>
        <v/>
      </c>
      <c r="T2918" s="208">
        <f>IF(NOT($L$2884),"",IF($G2918&lt;nr_MStartP,$S2918,$T2906*(1+IF($G2918&lt;nr_MStartP1,$M$2884,$N$2884))))</f>
        <v/>
      </c>
      <c r="U2918" s="208">
        <f>IF($L$2884,$T2918,$N2918)</f>
        <v/>
      </c>
    </row>
    <row r="2919">
      <c r="A2919" s="145" t="n">
        <v>33</v>
      </c>
      <c r="B2919" s="204">
        <f>EDATE($B2918,1)</f>
        <v/>
      </c>
      <c r="C2919" s="205">
        <f>EOMONTH($B2919,0)</f>
        <v/>
      </c>
      <c r="D2919" s="201">
        <f>$C2919-$B2919+1</f>
        <v/>
      </c>
      <c r="E2919" s="201">
        <f>MONTH($B2919)</f>
        <v/>
      </c>
      <c r="F2919" s="235">
        <f>($B2919+$C2919+1)/2</f>
        <v/>
      </c>
      <c r="G2919" s="201">
        <f>YEAR($B2919)*12+MONTH($B2919)-1</f>
        <v/>
      </c>
      <c r="H2919" s="207">
        <f>IF(OR(nr_SeasonOn="OFF",$D$2884=0,$E$2884=0),1,12*INDEX(se_block,$D$2884,$E2919)/$E$2884)</f>
        <v/>
      </c>
      <c r="I2919" s="208">
        <f>EXP(SUMPRODUCT((rl_eff&lt;$B2919)*(rl_key=$A$2884)*rl_ln1p))</f>
        <v/>
      </c>
      <c r="J2919" s="208">
        <f>EXP(SUMPRODUCT((rl_eff&lt;=$C2919)*(rl_key=$A$2884)*rl_ln1p))</f>
        <v/>
      </c>
      <c r="K2919" s="201">
        <f>COUNTIFS(rl_key,$A$2884,rl_eff,"&gt;="&amp;$B2919,rl_eff,"&lt;="&amp;$C2919)</f>
        <v/>
      </c>
      <c r="L2919" s="201">
        <f>SUMIFS(rl_daysafter,rl_key,$A$2884,rl_effmonth,$B2919,rl_first,1)</f>
        <v/>
      </c>
      <c r="M2919" s="209">
        <f>IF($K2919=0,0,MIN(1,$L2919/$D2919))</f>
        <v/>
      </c>
      <c r="N2919" s="208">
        <f>IF($K2919=0,$J2919,(1-$M2919)*$I2919+$M2919*$J2919)</f>
        <v/>
      </c>
      <c r="O2919" s="209">
        <f>IF($F2919&lt;$B$2885,$E$2885+$I$2885*($F2919-$A$2885),IF($F2919&lt;$C$2885,$F$2885+$J$2885*($F2919-$B$2885),$G$2885+$K$2885*($F2919-$C$2885)))</f>
        <v/>
      </c>
      <c r="P2919" s="208">
        <f>MIN(1,MAX(0,(nr_MEndPm1-$G2919+0.5)/$C$2884))-MIN(1,MAX(0,(nr_MStartPm1-1-$G2919+0.5)/$C$2884))</f>
        <v/>
      </c>
      <c r="Q2919" s="208">
        <f>MIN(1,MAX(0,(nr_MEndP-$G2919+0.5)/$C$2884))-MIN(1,MAX(0,(nr_MStartP-1-$G2919+0.5)/$C$2884))</f>
        <v/>
      </c>
      <c r="R2919" s="208">
        <f>MIN(1,MAX(0,(nr_MEndP1-$G2919+0.5)/$C$2884))-MIN(1,MAX(0,(nr_MStartP1-1-$G2919+0.5)/$C$2884))</f>
        <v/>
      </c>
      <c r="S2919" s="208">
        <f>IF($L$2884,$N2919*IF($O$2884=1,$O2919/$F$2884,1),"")</f>
        <v/>
      </c>
      <c r="T2919" s="208">
        <f>IF(NOT($L$2884),"",IF($G2919&lt;nr_MStartP,$S2919,$T2907*(1+IF($G2919&lt;nr_MStartP1,$M$2884,$N$2884))))</f>
        <v/>
      </c>
      <c r="U2919" s="208">
        <f>IF($L$2884,$T2919,$N2919)</f>
        <v/>
      </c>
    </row>
    <row r="2920">
      <c r="A2920" s="145" t="n">
        <v>34</v>
      </c>
      <c r="B2920" s="204">
        <f>EDATE($B2919,1)</f>
        <v/>
      </c>
      <c r="C2920" s="205">
        <f>EOMONTH($B2920,0)</f>
        <v/>
      </c>
      <c r="D2920" s="201">
        <f>$C2920-$B2920+1</f>
        <v/>
      </c>
      <c r="E2920" s="201">
        <f>MONTH($B2920)</f>
        <v/>
      </c>
      <c r="F2920" s="235">
        <f>($B2920+$C2920+1)/2</f>
        <v/>
      </c>
      <c r="G2920" s="201">
        <f>YEAR($B2920)*12+MONTH($B2920)-1</f>
        <v/>
      </c>
      <c r="H2920" s="207">
        <f>IF(OR(nr_SeasonOn="OFF",$D$2884=0,$E$2884=0),1,12*INDEX(se_block,$D$2884,$E2920)/$E$2884)</f>
        <v/>
      </c>
      <c r="I2920" s="208">
        <f>EXP(SUMPRODUCT((rl_eff&lt;$B2920)*(rl_key=$A$2884)*rl_ln1p))</f>
        <v/>
      </c>
      <c r="J2920" s="208">
        <f>EXP(SUMPRODUCT((rl_eff&lt;=$C2920)*(rl_key=$A$2884)*rl_ln1p))</f>
        <v/>
      </c>
      <c r="K2920" s="201">
        <f>COUNTIFS(rl_key,$A$2884,rl_eff,"&gt;="&amp;$B2920,rl_eff,"&lt;="&amp;$C2920)</f>
        <v/>
      </c>
      <c r="L2920" s="201">
        <f>SUMIFS(rl_daysafter,rl_key,$A$2884,rl_effmonth,$B2920,rl_first,1)</f>
        <v/>
      </c>
      <c r="M2920" s="209">
        <f>IF($K2920=0,0,MIN(1,$L2920/$D2920))</f>
        <v/>
      </c>
      <c r="N2920" s="208">
        <f>IF($K2920=0,$J2920,(1-$M2920)*$I2920+$M2920*$J2920)</f>
        <v/>
      </c>
      <c r="O2920" s="209">
        <f>IF($F2920&lt;$B$2885,$E$2885+$I$2885*($F2920-$A$2885),IF($F2920&lt;$C$2885,$F$2885+$J$2885*($F2920-$B$2885),$G$2885+$K$2885*($F2920-$C$2885)))</f>
        <v/>
      </c>
      <c r="P2920" s="208">
        <f>MIN(1,MAX(0,(nr_MEndPm1-$G2920+0.5)/$C$2884))-MIN(1,MAX(0,(nr_MStartPm1-1-$G2920+0.5)/$C$2884))</f>
        <v/>
      </c>
      <c r="Q2920" s="208">
        <f>MIN(1,MAX(0,(nr_MEndP-$G2920+0.5)/$C$2884))-MIN(1,MAX(0,(nr_MStartP-1-$G2920+0.5)/$C$2884))</f>
        <v/>
      </c>
      <c r="R2920" s="208">
        <f>MIN(1,MAX(0,(nr_MEndP1-$G2920+0.5)/$C$2884))-MIN(1,MAX(0,(nr_MStartP1-1-$G2920+0.5)/$C$2884))</f>
        <v/>
      </c>
      <c r="S2920" s="208">
        <f>IF($L$2884,$N2920*IF($O$2884=1,$O2920/$F$2884,1),"")</f>
        <v/>
      </c>
      <c r="T2920" s="208">
        <f>IF(NOT($L$2884),"",IF($G2920&lt;nr_MStartP,$S2920,$T2908*(1+IF($G2920&lt;nr_MStartP1,$M$2884,$N$2884))))</f>
        <v/>
      </c>
      <c r="U2920" s="208">
        <f>IF($L$2884,$T2920,$N2920)</f>
        <v/>
      </c>
    </row>
    <row r="2921">
      <c r="A2921" s="145" t="n">
        <v>35</v>
      </c>
      <c r="B2921" s="204">
        <f>EDATE($B2920,1)</f>
        <v/>
      </c>
      <c r="C2921" s="205">
        <f>EOMONTH($B2921,0)</f>
        <v/>
      </c>
      <c r="D2921" s="201">
        <f>$C2921-$B2921+1</f>
        <v/>
      </c>
      <c r="E2921" s="201">
        <f>MONTH($B2921)</f>
        <v/>
      </c>
      <c r="F2921" s="235">
        <f>($B2921+$C2921+1)/2</f>
        <v/>
      </c>
      <c r="G2921" s="201">
        <f>YEAR($B2921)*12+MONTH($B2921)-1</f>
        <v/>
      </c>
      <c r="H2921" s="207">
        <f>IF(OR(nr_SeasonOn="OFF",$D$2884=0,$E$2884=0),1,12*INDEX(se_block,$D$2884,$E2921)/$E$2884)</f>
        <v/>
      </c>
      <c r="I2921" s="208">
        <f>EXP(SUMPRODUCT((rl_eff&lt;$B2921)*(rl_key=$A$2884)*rl_ln1p))</f>
        <v/>
      </c>
      <c r="J2921" s="208">
        <f>EXP(SUMPRODUCT((rl_eff&lt;=$C2921)*(rl_key=$A$2884)*rl_ln1p))</f>
        <v/>
      </c>
      <c r="K2921" s="201">
        <f>COUNTIFS(rl_key,$A$2884,rl_eff,"&gt;="&amp;$B2921,rl_eff,"&lt;="&amp;$C2921)</f>
        <v/>
      </c>
      <c r="L2921" s="201">
        <f>SUMIFS(rl_daysafter,rl_key,$A$2884,rl_effmonth,$B2921,rl_first,1)</f>
        <v/>
      </c>
      <c r="M2921" s="209">
        <f>IF($K2921=0,0,MIN(1,$L2921/$D2921))</f>
        <v/>
      </c>
      <c r="N2921" s="208">
        <f>IF($K2921=0,$J2921,(1-$M2921)*$I2921+$M2921*$J2921)</f>
        <v/>
      </c>
      <c r="O2921" s="209">
        <f>IF($F2921&lt;$B$2885,$E$2885+$I$2885*($F2921-$A$2885),IF($F2921&lt;$C$2885,$F$2885+$J$2885*($F2921-$B$2885),$G$2885+$K$2885*($F2921-$C$2885)))</f>
        <v/>
      </c>
      <c r="P2921" s="208">
        <f>MIN(1,MAX(0,(nr_MEndPm1-$G2921+0.5)/$C$2884))-MIN(1,MAX(0,(nr_MStartPm1-1-$G2921+0.5)/$C$2884))</f>
        <v/>
      </c>
      <c r="Q2921" s="208">
        <f>MIN(1,MAX(0,(nr_MEndP-$G2921+0.5)/$C$2884))-MIN(1,MAX(0,(nr_MStartP-1-$G2921+0.5)/$C$2884))</f>
        <v/>
      </c>
      <c r="R2921" s="208">
        <f>MIN(1,MAX(0,(nr_MEndP1-$G2921+0.5)/$C$2884))-MIN(1,MAX(0,(nr_MStartP1-1-$G2921+0.5)/$C$2884))</f>
        <v/>
      </c>
      <c r="S2921" s="208">
        <f>IF($L$2884,$N2921*IF($O$2884=1,$O2921/$F$2884,1),"")</f>
        <v/>
      </c>
      <c r="T2921" s="208">
        <f>IF(NOT($L$2884),"",IF($G2921&lt;nr_MStartP,$S2921,$T2909*(1+IF($G2921&lt;nr_MStartP1,$M$2884,$N$2884))))</f>
        <v/>
      </c>
      <c r="U2921" s="208">
        <f>IF($L$2884,$T2921,$N2921)</f>
        <v/>
      </c>
    </row>
    <row r="2922">
      <c r="A2922" s="145" t="n">
        <v>36</v>
      </c>
      <c r="B2922" s="204">
        <f>EDATE($B2921,1)</f>
        <v/>
      </c>
      <c r="C2922" s="205">
        <f>EOMONTH($B2922,0)</f>
        <v/>
      </c>
      <c r="D2922" s="201">
        <f>$C2922-$B2922+1</f>
        <v/>
      </c>
      <c r="E2922" s="201">
        <f>MONTH($B2922)</f>
        <v/>
      </c>
      <c r="F2922" s="235">
        <f>($B2922+$C2922+1)/2</f>
        <v/>
      </c>
      <c r="G2922" s="201">
        <f>YEAR($B2922)*12+MONTH($B2922)-1</f>
        <v/>
      </c>
      <c r="H2922" s="207">
        <f>IF(OR(nr_SeasonOn="OFF",$D$2884=0,$E$2884=0),1,12*INDEX(se_block,$D$2884,$E2922)/$E$2884)</f>
        <v/>
      </c>
      <c r="I2922" s="208">
        <f>EXP(SUMPRODUCT((rl_eff&lt;$B2922)*(rl_key=$A$2884)*rl_ln1p))</f>
        <v/>
      </c>
      <c r="J2922" s="208">
        <f>EXP(SUMPRODUCT((rl_eff&lt;=$C2922)*(rl_key=$A$2884)*rl_ln1p))</f>
        <v/>
      </c>
      <c r="K2922" s="201">
        <f>COUNTIFS(rl_key,$A$2884,rl_eff,"&gt;="&amp;$B2922,rl_eff,"&lt;="&amp;$C2922)</f>
        <v/>
      </c>
      <c r="L2922" s="201">
        <f>SUMIFS(rl_daysafter,rl_key,$A$2884,rl_effmonth,$B2922,rl_first,1)</f>
        <v/>
      </c>
      <c r="M2922" s="209">
        <f>IF($K2922=0,0,MIN(1,$L2922/$D2922))</f>
        <v/>
      </c>
      <c r="N2922" s="208">
        <f>IF($K2922=0,$J2922,(1-$M2922)*$I2922+$M2922*$J2922)</f>
        <v/>
      </c>
      <c r="O2922" s="209">
        <f>IF($F2922&lt;$B$2885,$E$2885+$I$2885*($F2922-$A$2885),IF($F2922&lt;$C$2885,$F$2885+$J$2885*($F2922-$B$2885),$G$2885+$K$2885*($F2922-$C$2885)))</f>
        <v/>
      </c>
      <c r="P2922" s="208">
        <f>MIN(1,MAX(0,(nr_MEndPm1-$G2922+0.5)/$C$2884))-MIN(1,MAX(0,(nr_MStartPm1-1-$G2922+0.5)/$C$2884))</f>
        <v/>
      </c>
      <c r="Q2922" s="208">
        <f>MIN(1,MAX(0,(nr_MEndP-$G2922+0.5)/$C$2884))-MIN(1,MAX(0,(nr_MStartP-1-$G2922+0.5)/$C$2884))</f>
        <v/>
      </c>
      <c r="R2922" s="208">
        <f>MIN(1,MAX(0,(nr_MEndP1-$G2922+0.5)/$C$2884))-MIN(1,MAX(0,(nr_MStartP1-1-$G2922+0.5)/$C$2884))</f>
        <v/>
      </c>
      <c r="S2922" s="208">
        <f>IF($L$2884,$N2922*IF($O$2884=1,$O2922/$F$2884,1),"")</f>
        <v/>
      </c>
      <c r="T2922" s="208">
        <f>IF(NOT($L$2884),"",IF($G2922&lt;nr_MStartP,$S2922,$T2910*(1+IF($G2922&lt;nr_MStartP1,$M$2884,$N$2884))))</f>
        <v/>
      </c>
      <c r="U2922" s="208">
        <f>IF($L$2884,$T2922,$N2922)</f>
        <v/>
      </c>
    </row>
    <row r="2923">
      <c r="A2923" s="145" t="n">
        <v>37</v>
      </c>
      <c r="B2923" s="204">
        <f>EDATE($B2922,1)</f>
        <v/>
      </c>
      <c r="C2923" s="205">
        <f>EOMONTH($B2923,0)</f>
        <v/>
      </c>
      <c r="D2923" s="201">
        <f>$C2923-$B2923+1</f>
        <v/>
      </c>
      <c r="E2923" s="201">
        <f>MONTH($B2923)</f>
        <v/>
      </c>
      <c r="F2923" s="235">
        <f>($B2923+$C2923+1)/2</f>
        <v/>
      </c>
      <c r="G2923" s="201">
        <f>YEAR($B2923)*12+MONTH($B2923)-1</f>
        <v/>
      </c>
      <c r="H2923" s="207">
        <f>IF(OR(nr_SeasonOn="OFF",$D$2884=0,$E$2884=0),1,12*INDEX(se_block,$D$2884,$E2923)/$E$2884)</f>
        <v/>
      </c>
      <c r="I2923" s="208">
        <f>EXP(SUMPRODUCT((rl_eff&lt;$B2923)*(rl_key=$A$2884)*rl_ln1p))</f>
        <v/>
      </c>
      <c r="J2923" s="208">
        <f>EXP(SUMPRODUCT((rl_eff&lt;=$C2923)*(rl_key=$A$2884)*rl_ln1p))</f>
        <v/>
      </c>
      <c r="K2923" s="201">
        <f>COUNTIFS(rl_key,$A$2884,rl_eff,"&gt;="&amp;$B2923,rl_eff,"&lt;="&amp;$C2923)</f>
        <v/>
      </c>
      <c r="L2923" s="201">
        <f>SUMIFS(rl_daysafter,rl_key,$A$2884,rl_effmonth,$B2923,rl_first,1)</f>
        <v/>
      </c>
      <c r="M2923" s="209">
        <f>IF($K2923=0,0,MIN(1,$L2923/$D2923))</f>
        <v/>
      </c>
      <c r="N2923" s="208">
        <f>IF($K2923=0,$J2923,(1-$M2923)*$I2923+$M2923*$J2923)</f>
        <v/>
      </c>
      <c r="O2923" s="209">
        <f>IF($F2923&lt;$B$2885,$E$2885+$I$2885*($F2923-$A$2885),IF($F2923&lt;$C$2885,$F$2885+$J$2885*($F2923-$B$2885),$G$2885+$K$2885*($F2923-$C$2885)))</f>
        <v/>
      </c>
      <c r="P2923" s="208">
        <f>MIN(1,MAX(0,(nr_MEndPm1-$G2923+0.5)/$C$2884))-MIN(1,MAX(0,(nr_MStartPm1-1-$G2923+0.5)/$C$2884))</f>
        <v/>
      </c>
      <c r="Q2923" s="208">
        <f>MIN(1,MAX(0,(nr_MEndP-$G2923+0.5)/$C$2884))-MIN(1,MAX(0,(nr_MStartP-1-$G2923+0.5)/$C$2884))</f>
        <v/>
      </c>
      <c r="R2923" s="208">
        <f>MIN(1,MAX(0,(nr_MEndP1-$G2923+0.5)/$C$2884))-MIN(1,MAX(0,(nr_MStartP1-1-$G2923+0.5)/$C$2884))</f>
        <v/>
      </c>
      <c r="S2923" s="208">
        <f>IF($L$2884,$N2923*IF($O$2884=1,$O2923/$F$2884,1),"")</f>
        <v/>
      </c>
      <c r="T2923" s="208">
        <f>IF(NOT($L$2884),"",IF($G2923&lt;nr_MStartP,$S2923,$T2911*(1+IF($G2923&lt;nr_MStartP1,$M$2884,$N$2884))))</f>
        <v/>
      </c>
      <c r="U2923" s="208">
        <f>IF($L$2884,$T2923,$N2923)</f>
        <v/>
      </c>
    </row>
    <row r="2924">
      <c r="A2924" s="145" t="n">
        <v>38</v>
      </c>
      <c r="B2924" s="204">
        <f>EDATE($B2923,1)</f>
        <v/>
      </c>
      <c r="C2924" s="205">
        <f>EOMONTH($B2924,0)</f>
        <v/>
      </c>
      <c r="D2924" s="201">
        <f>$C2924-$B2924+1</f>
        <v/>
      </c>
      <c r="E2924" s="201">
        <f>MONTH($B2924)</f>
        <v/>
      </c>
      <c r="F2924" s="235">
        <f>($B2924+$C2924+1)/2</f>
        <v/>
      </c>
      <c r="G2924" s="201">
        <f>YEAR($B2924)*12+MONTH($B2924)-1</f>
        <v/>
      </c>
      <c r="H2924" s="207">
        <f>IF(OR(nr_SeasonOn="OFF",$D$2884=0,$E$2884=0),1,12*INDEX(se_block,$D$2884,$E2924)/$E$2884)</f>
        <v/>
      </c>
      <c r="I2924" s="208">
        <f>EXP(SUMPRODUCT((rl_eff&lt;$B2924)*(rl_key=$A$2884)*rl_ln1p))</f>
        <v/>
      </c>
      <c r="J2924" s="208">
        <f>EXP(SUMPRODUCT((rl_eff&lt;=$C2924)*(rl_key=$A$2884)*rl_ln1p))</f>
        <v/>
      </c>
      <c r="K2924" s="201">
        <f>COUNTIFS(rl_key,$A$2884,rl_eff,"&gt;="&amp;$B2924,rl_eff,"&lt;="&amp;$C2924)</f>
        <v/>
      </c>
      <c r="L2924" s="201">
        <f>SUMIFS(rl_daysafter,rl_key,$A$2884,rl_effmonth,$B2924,rl_first,1)</f>
        <v/>
      </c>
      <c r="M2924" s="209">
        <f>IF($K2924=0,0,MIN(1,$L2924/$D2924))</f>
        <v/>
      </c>
      <c r="N2924" s="208">
        <f>IF($K2924=0,$J2924,(1-$M2924)*$I2924+$M2924*$J2924)</f>
        <v/>
      </c>
      <c r="O2924" s="209">
        <f>IF($F2924&lt;$B$2885,$E$2885+$I$2885*($F2924-$A$2885),IF($F2924&lt;$C$2885,$F$2885+$J$2885*($F2924-$B$2885),$G$2885+$K$2885*($F2924-$C$2885)))</f>
        <v/>
      </c>
      <c r="P2924" s="208">
        <f>MIN(1,MAX(0,(nr_MEndPm1-$G2924+0.5)/$C$2884))-MIN(1,MAX(0,(nr_MStartPm1-1-$G2924+0.5)/$C$2884))</f>
        <v/>
      </c>
      <c r="Q2924" s="208">
        <f>MIN(1,MAX(0,(nr_MEndP-$G2924+0.5)/$C$2884))-MIN(1,MAX(0,(nr_MStartP-1-$G2924+0.5)/$C$2884))</f>
        <v/>
      </c>
      <c r="R2924" s="208">
        <f>MIN(1,MAX(0,(nr_MEndP1-$G2924+0.5)/$C$2884))-MIN(1,MAX(0,(nr_MStartP1-1-$G2924+0.5)/$C$2884))</f>
        <v/>
      </c>
      <c r="S2924" s="208">
        <f>IF($L$2884,$N2924*IF($O$2884=1,$O2924/$F$2884,1),"")</f>
        <v/>
      </c>
      <c r="T2924" s="208">
        <f>IF(NOT($L$2884),"",IF($G2924&lt;nr_MStartP,$S2924,$T2912*(1+IF($G2924&lt;nr_MStartP1,$M$2884,$N$2884))))</f>
        <v/>
      </c>
      <c r="U2924" s="208">
        <f>IF($L$2884,$T2924,$N2924)</f>
        <v/>
      </c>
    </row>
    <row r="2925">
      <c r="A2925" s="145" t="n">
        <v>39</v>
      </c>
      <c r="B2925" s="204">
        <f>EDATE($B2924,1)</f>
        <v/>
      </c>
      <c r="C2925" s="205">
        <f>EOMONTH($B2925,0)</f>
        <v/>
      </c>
      <c r="D2925" s="201">
        <f>$C2925-$B2925+1</f>
        <v/>
      </c>
      <c r="E2925" s="201">
        <f>MONTH($B2925)</f>
        <v/>
      </c>
      <c r="F2925" s="235">
        <f>($B2925+$C2925+1)/2</f>
        <v/>
      </c>
      <c r="G2925" s="201">
        <f>YEAR($B2925)*12+MONTH($B2925)-1</f>
        <v/>
      </c>
      <c r="H2925" s="207">
        <f>IF(OR(nr_SeasonOn="OFF",$D$2884=0,$E$2884=0),1,12*INDEX(se_block,$D$2884,$E2925)/$E$2884)</f>
        <v/>
      </c>
      <c r="I2925" s="208">
        <f>EXP(SUMPRODUCT((rl_eff&lt;$B2925)*(rl_key=$A$2884)*rl_ln1p))</f>
        <v/>
      </c>
      <c r="J2925" s="208">
        <f>EXP(SUMPRODUCT((rl_eff&lt;=$C2925)*(rl_key=$A$2884)*rl_ln1p))</f>
        <v/>
      </c>
      <c r="K2925" s="201">
        <f>COUNTIFS(rl_key,$A$2884,rl_eff,"&gt;="&amp;$B2925,rl_eff,"&lt;="&amp;$C2925)</f>
        <v/>
      </c>
      <c r="L2925" s="201">
        <f>SUMIFS(rl_daysafter,rl_key,$A$2884,rl_effmonth,$B2925,rl_first,1)</f>
        <v/>
      </c>
      <c r="M2925" s="209">
        <f>IF($K2925=0,0,MIN(1,$L2925/$D2925))</f>
        <v/>
      </c>
      <c r="N2925" s="208">
        <f>IF($K2925=0,$J2925,(1-$M2925)*$I2925+$M2925*$J2925)</f>
        <v/>
      </c>
      <c r="O2925" s="209">
        <f>IF($F2925&lt;$B$2885,$E$2885+$I$2885*($F2925-$A$2885),IF($F2925&lt;$C$2885,$F$2885+$J$2885*($F2925-$B$2885),$G$2885+$K$2885*($F2925-$C$2885)))</f>
        <v/>
      </c>
      <c r="P2925" s="208">
        <f>MIN(1,MAX(0,(nr_MEndPm1-$G2925+0.5)/$C$2884))-MIN(1,MAX(0,(nr_MStartPm1-1-$G2925+0.5)/$C$2884))</f>
        <v/>
      </c>
      <c r="Q2925" s="208">
        <f>MIN(1,MAX(0,(nr_MEndP-$G2925+0.5)/$C$2884))-MIN(1,MAX(0,(nr_MStartP-1-$G2925+0.5)/$C$2884))</f>
        <v/>
      </c>
      <c r="R2925" s="208">
        <f>MIN(1,MAX(0,(nr_MEndP1-$G2925+0.5)/$C$2884))-MIN(1,MAX(0,(nr_MStartP1-1-$G2925+0.5)/$C$2884))</f>
        <v/>
      </c>
      <c r="S2925" s="208">
        <f>IF($L$2884,$N2925*IF($O$2884=1,$O2925/$F$2884,1),"")</f>
        <v/>
      </c>
      <c r="T2925" s="208">
        <f>IF(NOT($L$2884),"",IF($G2925&lt;nr_MStartP,$S2925,$T2913*(1+IF($G2925&lt;nr_MStartP1,$M$2884,$N$2884))))</f>
        <v/>
      </c>
      <c r="U2925" s="208">
        <f>IF($L$2884,$T2925,$N2925)</f>
        <v/>
      </c>
    </row>
    <row r="2926">
      <c r="A2926" s="145" t="n">
        <v>40</v>
      </c>
      <c r="B2926" s="204">
        <f>EDATE($B2925,1)</f>
        <v/>
      </c>
      <c r="C2926" s="205">
        <f>EOMONTH($B2926,0)</f>
        <v/>
      </c>
      <c r="D2926" s="201">
        <f>$C2926-$B2926+1</f>
        <v/>
      </c>
      <c r="E2926" s="201">
        <f>MONTH($B2926)</f>
        <v/>
      </c>
      <c r="F2926" s="235">
        <f>($B2926+$C2926+1)/2</f>
        <v/>
      </c>
      <c r="G2926" s="201">
        <f>YEAR($B2926)*12+MONTH($B2926)-1</f>
        <v/>
      </c>
      <c r="H2926" s="207">
        <f>IF(OR(nr_SeasonOn="OFF",$D$2884=0,$E$2884=0),1,12*INDEX(se_block,$D$2884,$E2926)/$E$2884)</f>
        <v/>
      </c>
      <c r="I2926" s="208">
        <f>EXP(SUMPRODUCT((rl_eff&lt;$B2926)*(rl_key=$A$2884)*rl_ln1p))</f>
        <v/>
      </c>
      <c r="J2926" s="208">
        <f>EXP(SUMPRODUCT((rl_eff&lt;=$C2926)*(rl_key=$A$2884)*rl_ln1p))</f>
        <v/>
      </c>
      <c r="K2926" s="201">
        <f>COUNTIFS(rl_key,$A$2884,rl_eff,"&gt;="&amp;$B2926,rl_eff,"&lt;="&amp;$C2926)</f>
        <v/>
      </c>
      <c r="L2926" s="201">
        <f>SUMIFS(rl_daysafter,rl_key,$A$2884,rl_effmonth,$B2926,rl_first,1)</f>
        <v/>
      </c>
      <c r="M2926" s="209">
        <f>IF($K2926=0,0,MIN(1,$L2926/$D2926))</f>
        <v/>
      </c>
      <c r="N2926" s="208">
        <f>IF($K2926=0,$J2926,(1-$M2926)*$I2926+$M2926*$J2926)</f>
        <v/>
      </c>
      <c r="O2926" s="209">
        <f>IF($F2926&lt;$B$2885,$E$2885+$I$2885*($F2926-$A$2885),IF($F2926&lt;$C$2885,$F$2885+$J$2885*($F2926-$B$2885),$G$2885+$K$2885*($F2926-$C$2885)))</f>
        <v/>
      </c>
      <c r="P2926" s="208">
        <f>MIN(1,MAX(0,(nr_MEndPm1-$G2926+0.5)/$C$2884))-MIN(1,MAX(0,(nr_MStartPm1-1-$G2926+0.5)/$C$2884))</f>
        <v/>
      </c>
      <c r="Q2926" s="208">
        <f>MIN(1,MAX(0,(nr_MEndP-$G2926+0.5)/$C$2884))-MIN(1,MAX(0,(nr_MStartP-1-$G2926+0.5)/$C$2884))</f>
        <v/>
      </c>
      <c r="R2926" s="208">
        <f>MIN(1,MAX(0,(nr_MEndP1-$G2926+0.5)/$C$2884))-MIN(1,MAX(0,(nr_MStartP1-1-$G2926+0.5)/$C$2884))</f>
        <v/>
      </c>
      <c r="S2926" s="208">
        <f>IF($L$2884,$N2926*IF($O$2884=1,$O2926/$F$2884,1),"")</f>
        <v/>
      </c>
      <c r="T2926" s="208">
        <f>IF(NOT($L$2884),"",IF($G2926&lt;nr_MStartP,$S2926,$T2914*(1+IF($G2926&lt;nr_MStartP1,$M$2884,$N$2884))))</f>
        <v/>
      </c>
      <c r="U2926" s="208">
        <f>IF($L$2884,$T2926,$N2926)</f>
        <v/>
      </c>
    </row>
    <row r="2927">
      <c r="A2927" s="145" t="n">
        <v>41</v>
      </c>
      <c r="B2927" s="204">
        <f>EDATE($B2926,1)</f>
        <v/>
      </c>
      <c r="C2927" s="205">
        <f>EOMONTH($B2927,0)</f>
        <v/>
      </c>
      <c r="D2927" s="201">
        <f>$C2927-$B2927+1</f>
        <v/>
      </c>
      <c r="E2927" s="201">
        <f>MONTH($B2927)</f>
        <v/>
      </c>
      <c r="F2927" s="235">
        <f>($B2927+$C2927+1)/2</f>
        <v/>
      </c>
      <c r="G2927" s="201">
        <f>YEAR($B2927)*12+MONTH($B2927)-1</f>
        <v/>
      </c>
      <c r="H2927" s="207">
        <f>IF(OR(nr_SeasonOn="OFF",$D$2884=0,$E$2884=0),1,12*INDEX(se_block,$D$2884,$E2927)/$E$2884)</f>
        <v/>
      </c>
      <c r="I2927" s="208">
        <f>EXP(SUMPRODUCT((rl_eff&lt;$B2927)*(rl_key=$A$2884)*rl_ln1p))</f>
        <v/>
      </c>
      <c r="J2927" s="208">
        <f>EXP(SUMPRODUCT((rl_eff&lt;=$C2927)*(rl_key=$A$2884)*rl_ln1p))</f>
        <v/>
      </c>
      <c r="K2927" s="201">
        <f>COUNTIFS(rl_key,$A$2884,rl_eff,"&gt;="&amp;$B2927,rl_eff,"&lt;="&amp;$C2927)</f>
        <v/>
      </c>
      <c r="L2927" s="201">
        <f>SUMIFS(rl_daysafter,rl_key,$A$2884,rl_effmonth,$B2927,rl_first,1)</f>
        <v/>
      </c>
      <c r="M2927" s="209">
        <f>IF($K2927=0,0,MIN(1,$L2927/$D2927))</f>
        <v/>
      </c>
      <c r="N2927" s="208">
        <f>IF($K2927=0,$J2927,(1-$M2927)*$I2927+$M2927*$J2927)</f>
        <v/>
      </c>
      <c r="O2927" s="209">
        <f>IF($F2927&lt;$B$2885,$E$2885+$I$2885*($F2927-$A$2885),IF($F2927&lt;$C$2885,$F$2885+$J$2885*($F2927-$B$2885),$G$2885+$K$2885*($F2927-$C$2885)))</f>
        <v/>
      </c>
      <c r="P2927" s="208">
        <f>MIN(1,MAX(0,(nr_MEndPm1-$G2927+0.5)/$C$2884))-MIN(1,MAX(0,(nr_MStartPm1-1-$G2927+0.5)/$C$2884))</f>
        <v/>
      </c>
      <c r="Q2927" s="208">
        <f>MIN(1,MAX(0,(nr_MEndP-$G2927+0.5)/$C$2884))-MIN(1,MAX(0,(nr_MStartP-1-$G2927+0.5)/$C$2884))</f>
        <v/>
      </c>
      <c r="R2927" s="208">
        <f>MIN(1,MAX(0,(nr_MEndP1-$G2927+0.5)/$C$2884))-MIN(1,MAX(0,(nr_MStartP1-1-$G2927+0.5)/$C$2884))</f>
        <v/>
      </c>
      <c r="S2927" s="208">
        <f>IF($L$2884,$N2927*IF($O$2884=1,$O2927/$F$2884,1),"")</f>
        <v/>
      </c>
      <c r="T2927" s="208">
        <f>IF(NOT($L$2884),"",IF($G2927&lt;nr_MStartP,$S2927,$T2915*(1+IF($G2927&lt;nr_MStartP1,$M$2884,$N$2884))))</f>
        <v/>
      </c>
      <c r="U2927" s="208">
        <f>IF($L$2884,$T2927,$N2927)</f>
        <v/>
      </c>
    </row>
    <row r="2928">
      <c r="A2928" s="145" t="n">
        <v>42</v>
      </c>
      <c r="B2928" s="204">
        <f>EDATE($B2927,1)</f>
        <v/>
      </c>
      <c r="C2928" s="205">
        <f>EOMONTH($B2928,0)</f>
        <v/>
      </c>
      <c r="D2928" s="201">
        <f>$C2928-$B2928+1</f>
        <v/>
      </c>
      <c r="E2928" s="201">
        <f>MONTH($B2928)</f>
        <v/>
      </c>
      <c r="F2928" s="235">
        <f>($B2928+$C2928+1)/2</f>
        <v/>
      </c>
      <c r="G2928" s="201">
        <f>YEAR($B2928)*12+MONTH($B2928)-1</f>
        <v/>
      </c>
      <c r="H2928" s="207">
        <f>IF(OR(nr_SeasonOn="OFF",$D$2884=0,$E$2884=0),1,12*INDEX(se_block,$D$2884,$E2928)/$E$2884)</f>
        <v/>
      </c>
      <c r="I2928" s="208">
        <f>EXP(SUMPRODUCT((rl_eff&lt;$B2928)*(rl_key=$A$2884)*rl_ln1p))</f>
        <v/>
      </c>
      <c r="J2928" s="208">
        <f>EXP(SUMPRODUCT((rl_eff&lt;=$C2928)*(rl_key=$A$2884)*rl_ln1p))</f>
        <v/>
      </c>
      <c r="K2928" s="201">
        <f>COUNTIFS(rl_key,$A$2884,rl_eff,"&gt;="&amp;$B2928,rl_eff,"&lt;="&amp;$C2928)</f>
        <v/>
      </c>
      <c r="L2928" s="201">
        <f>SUMIFS(rl_daysafter,rl_key,$A$2884,rl_effmonth,$B2928,rl_first,1)</f>
        <v/>
      </c>
      <c r="M2928" s="209">
        <f>IF($K2928=0,0,MIN(1,$L2928/$D2928))</f>
        <v/>
      </c>
      <c r="N2928" s="208">
        <f>IF($K2928=0,$J2928,(1-$M2928)*$I2928+$M2928*$J2928)</f>
        <v/>
      </c>
      <c r="O2928" s="209">
        <f>IF($F2928&lt;$B$2885,$E$2885+$I$2885*($F2928-$A$2885),IF($F2928&lt;$C$2885,$F$2885+$J$2885*($F2928-$B$2885),$G$2885+$K$2885*($F2928-$C$2885)))</f>
        <v/>
      </c>
      <c r="P2928" s="208">
        <f>MIN(1,MAX(0,(nr_MEndPm1-$G2928+0.5)/$C$2884))-MIN(1,MAX(0,(nr_MStartPm1-1-$G2928+0.5)/$C$2884))</f>
        <v/>
      </c>
      <c r="Q2928" s="208">
        <f>MIN(1,MAX(0,(nr_MEndP-$G2928+0.5)/$C$2884))-MIN(1,MAX(0,(nr_MStartP-1-$G2928+0.5)/$C$2884))</f>
        <v/>
      </c>
      <c r="R2928" s="208">
        <f>MIN(1,MAX(0,(nr_MEndP1-$G2928+0.5)/$C$2884))-MIN(1,MAX(0,(nr_MStartP1-1-$G2928+0.5)/$C$2884))</f>
        <v/>
      </c>
      <c r="S2928" s="208">
        <f>IF($L$2884,$N2928*IF($O$2884=1,$O2928/$F$2884,1),"")</f>
        <v/>
      </c>
      <c r="T2928" s="208">
        <f>IF(NOT($L$2884),"",IF($G2928&lt;nr_MStartP,$S2928,$T2916*(1+IF($G2928&lt;nr_MStartP1,$M$2884,$N$2884))))</f>
        <v/>
      </c>
      <c r="U2928" s="208">
        <f>IF($L$2884,$T2928,$N2928)</f>
        <v/>
      </c>
    </row>
    <row r="2929">
      <c r="A2929" s="145" t="n">
        <v>43</v>
      </c>
      <c r="B2929" s="204">
        <f>EDATE($B2928,1)</f>
        <v/>
      </c>
      <c r="C2929" s="205">
        <f>EOMONTH($B2929,0)</f>
        <v/>
      </c>
      <c r="D2929" s="201">
        <f>$C2929-$B2929+1</f>
        <v/>
      </c>
      <c r="E2929" s="201">
        <f>MONTH($B2929)</f>
        <v/>
      </c>
      <c r="F2929" s="235">
        <f>($B2929+$C2929+1)/2</f>
        <v/>
      </c>
      <c r="G2929" s="201">
        <f>YEAR($B2929)*12+MONTH($B2929)-1</f>
        <v/>
      </c>
      <c r="H2929" s="207">
        <f>IF(OR(nr_SeasonOn="OFF",$D$2884=0,$E$2884=0),1,12*INDEX(se_block,$D$2884,$E2929)/$E$2884)</f>
        <v/>
      </c>
      <c r="I2929" s="208">
        <f>EXP(SUMPRODUCT((rl_eff&lt;$B2929)*(rl_key=$A$2884)*rl_ln1p))</f>
        <v/>
      </c>
      <c r="J2929" s="208">
        <f>EXP(SUMPRODUCT((rl_eff&lt;=$C2929)*(rl_key=$A$2884)*rl_ln1p))</f>
        <v/>
      </c>
      <c r="K2929" s="201">
        <f>COUNTIFS(rl_key,$A$2884,rl_eff,"&gt;="&amp;$B2929,rl_eff,"&lt;="&amp;$C2929)</f>
        <v/>
      </c>
      <c r="L2929" s="201">
        <f>SUMIFS(rl_daysafter,rl_key,$A$2884,rl_effmonth,$B2929,rl_first,1)</f>
        <v/>
      </c>
      <c r="M2929" s="209">
        <f>IF($K2929=0,0,MIN(1,$L2929/$D2929))</f>
        <v/>
      </c>
      <c r="N2929" s="208">
        <f>IF($K2929=0,$J2929,(1-$M2929)*$I2929+$M2929*$J2929)</f>
        <v/>
      </c>
      <c r="O2929" s="209">
        <f>IF($F2929&lt;$B$2885,$E$2885+$I$2885*($F2929-$A$2885),IF($F2929&lt;$C$2885,$F$2885+$J$2885*($F2929-$B$2885),$G$2885+$K$2885*($F2929-$C$2885)))</f>
        <v/>
      </c>
      <c r="P2929" s="208">
        <f>MIN(1,MAX(0,(nr_MEndPm1-$G2929+0.5)/$C$2884))-MIN(1,MAX(0,(nr_MStartPm1-1-$G2929+0.5)/$C$2884))</f>
        <v/>
      </c>
      <c r="Q2929" s="208">
        <f>MIN(1,MAX(0,(nr_MEndP-$G2929+0.5)/$C$2884))-MIN(1,MAX(0,(nr_MStartP-1-$G2929+0.5)/$C$2884))</f>
        <v/>
      </c>
      <c r="R2929" s="208">
        <f>MIN(1,MAX(0,(nr_MEndP1-$G2929+0.5)/$C$2884))-MIN(1,MAX(0,(nr_MStartP1-1-$G2929+0.5)/$C$2884))</f>
        <v/>
      </c>
      <c r="S2929" s="208">
        <f>IF($L$2884,$N2929*IF($O$2884=1,$O2929/$F$2884,1),"")</f>
        <v/>
      </c>
      <c r="T2929" s="208">
        <f>IF(NOT($L$2884),"",IF($G2929&lt;nr_MStartP,$S2929,$T2917*(1+IF($G2929&lt;nr_MStartP1,$M$2884,$N$2884))))</f>
        <v/>
      </c>
      <c r="U2929" s="208">
        <f>IF($L$2884,$T2929,$N2929)</f>
        <v/>
      </c>
    </row>
    <row r="2930">
      <c r="A2930" s="145" t="n">
        <v>44</v>
      </c>
      <c r="B2930" s="204">
        <f>EDATE($B2929,1)</f>
        <v/>
      </c>
      <c r="C2930" s="205">
        <f>EOMONTH($B2930,0)</f>
        <v/>
      </c>
      <c r="D2930" s="201">
        <f>$C2930-$B2930+1</f>
        <v/>
      </c>
      <c r="E2930" s="201">
        <f>MONTH($B2930)</f>
        <v/>
      </c>
      <c r="F2930" s="235">
        <f>($B2930+$C2930+1)/2</f>
        <v/>
      </c>
      <c r="G2930" s="201">
        <f>YEAR($B2930)*12+MONTH($B2930)-1</f>
        <v/>
      </c>
      <c r="H2930" s="207">
        <f>IF(OR(nr_SeasonOn="OFF",$D$2884=0,$E$2884=0),1,12*INDEX(se_block,$D$2884,$E2930)/$E$2884)</f>
        <v/>
      </c>
      <c r="I2930" s="208">
        <f>EXP(SUMPRODUCT((rl_eff&lt;$B2930)*(rl_key=$A$2884)*rl_ln1p))</f>
        <v/>
      </c>
      <c r="J2930" s="208">
        <f>EXP(SUMPRODUCT((rl_eff&lt;=$C2930)*(rl_key=$A$2884)*rl_ln1p))</f>
        <v/>
      </c>
      <c r="K2930" s="201">
        <f>COUNTIFS(rl_key,$A$2884,rl_eff,"&gt;="&amp;$B2930,rl_eff,"&lt;="&amp;$C2930)</f>
        <v/>
      </c>
      <c r="L2930" s="201">
        <f>SUMIFS(rl_daysafter,rl_key,$A$2884,rl_effmonth,$B2930,rl_first,1)</f>
        <v/>
      </c>
      <c r="M2930" s="209">
        <f>IF($K2930=0,0,MIN(1,$L2930/$D2930))</f>
        <v/>
      </c>
      <c r="N2930" s="208">
        <f>IF($K2930=0,$J2930,(1-$M2930)*$I2930+$M2930*$J2930)</f>
        <v/>
      </c>
      <c r="O2930" s="209">
        <f>IF($F2930&lt;$B$2885,$E$2885+$I$2885*($F2930-$A$2885),IF($F2930&lt;$C$2885,$F$2885+$J$2885*($F2930-$B$2885),$G$2885+$K$2885*($F2930-$C$2885)))</f>
        <v/>
      </c>
      <c r="P2930" s="208">
        <f>MIN(1,MAX(0,(nr_MEndPm1-$G2930+0.5)/$C$2884))-MIN(1,MAX(0,(nr_MStartPm1-1-$G2930+0.5)/$C$2884))</f>
        <v/>
      </c>
      <c r="Q2930" s="208">
        <f>MIN(1,MAX(0,(nr_MEndP-$G2930+0.5)/$C$2884))-MIN(1,MAX(0,(nr_MStartP-1-$G2930+0.5)/$C$2884))</f>
        <v/>
      </c>
      <c r="R2930" s="208">
        <f>MIN(1,MAX(0,(nr_MEndP1-$G2930+0.5)/$C$2884))-MIN(1,MAX(0,(nr_MStartP1-1-$G2930+0.5)/$C$2884))</f>
        <v/>
      </c>
      <c r="S2930" s="208">
        <f>IF($L$2884,$N2930*IF($O$2884=1,$O2930/$F$2884,1),"")</f>
        <v/>
      </c>
      <c r="T2930" s="208">
        <f>IF(NOT($L$2884),"",IF($G2930&lt;nr_MStartP,$S2930,$T2918*(1+IF($G2930&lt;nr_MStartP1,$M$2884,$N$2884))))</f>
        <v/>
      </c>
      <c r="U2930" s="208">
        <f>IF($L$2884,$T2930,$N2930)</f>
        <v/>
      </c>
    </row>
    <row r="2931">
      <c r="A2931" s="145" t="n">
        <v>45</v>
      </c>
      <c r="B2931" s="204">
        <f>EDATE($B2930,1)</f>
        <v/>
      </c>
      <c r="C2931" s="205">
        <f>EOMONTH($B2931,0)</f>
        <v/>
      </c>
      <c r="D2931" s="201">
        <f>$C2931-$B2931+1</f>
        <v/>
      </c>
      <c r="E2931" s="201">
        <f>MONTH($B2931)</f>
        <v/>
      </c>
      <c r="F2931" s="235">
        <f>($B2931+$C2931+1)/2</f>
        <v/>
      </c>
      <c r="G2931" s="201">
        <f>YEAR($B2931)*12+MONTH($B2931)-1</f>
        <v/>
      </c>
      <c r="H2931" s="207">
        <f>IF(OR(nr_SeasonOn="OFF",$D$2884=0,$E$2884=0),1,12*INDEX(se_block,$D$2884,$E2931)/$E$2884)</f>
        <v/>
      </c>
      <c r="I2931" s="208">
        <f>EXP(SUMPRODUCT((rl_eff&lt;$B2931)*(rl_key=$A$2884)*rl_ln1p))</f>
        <v/>
      </c>
      <c r="J2931" s="208">
        <f>EXP(SUMPRODUCT((rl_eff&lt;=$C2931)*(rl_key=$A$2884)*rl_ln1p))</f>
        <v/>
      </c>
      <c r="K2931" s="201">
        <f>COUNTIFS(rl_key,$A$2884,rl_eff,"&gt;="&amp;$B2931,rl_eff,"&lt;="&amp;$C2931)</f>
        <v/>
      </c>
      <c r="L2931" s="201">
        <f>SUMIFS(rl_daysafter,rl_key,$A$2884,rl_effmonth,$B2931,rl_first,1)</f>
        <v/>
      </c>
      <c r="M2931" s="209">
        <f>IF($K2931=0,0,MIN(1,$L2931/$D2931))</f>
        <v/>
      </c>
      <c r="N2931" s="208">
        <f>IF($K2931=0,$J2931,(1-$M2931)*$I2931+$M2931*$J2931)</f>
        <v/>
      </c>
      <c r="O2931" s="209">
        <f>IF($F2931&lt;$B$2885,$E$2885+$I$2885*($F2931-$A$2885),IF($F2931&lt;$C$2885,$F$2885+$J$2885*($F2931-$B$2885),$G$2885+$K$2885*($F2931-$C$2885)))</f>
        <v/>
      </c>
      <c r="P2931" s="208">
        <f>MIN(1,MAX(0,(nr_MEndPm1-$G2931+0.5)/$C$2884))-MIN(1,MAX(0,(nr_MStartPm1-1-$G2931+0.5)/$C$2884))</f>
        <v/>
      </c>
      <c r="Q2931" s="208">
        <f>MIN(1,MAX(0,(nr_MEndP-$G2931+0.5)/$C$2884))-MIN(1,MAX(0,(nr_MStartP-1-$G2931+0.5)/$C$2884))</f>
        <v/>
      </c>
      <c r="R2931" s="208">
        <f>MIN(1,MAX(0,(nr_MEndP1-$G2931+0.5)/$C$2884))-MIN(1,MAX(0,(nr_MStartP1-1-$G2931+0.5)/$C$2884))</f>
        <v/>
      </c>
      <c r="S2931" s="208">
        <f>IF($L$2884,$N2931*IF($O$2884=1,$O2931/$F$2884,1),"")</f>
        <v/>
      </c>
      <c r="T2931" s="208">
        <f>IF(NOT($L$2884),"",IF($G2931&lt;nr_MStartP,$S2931,$T2919*(1+IF($G2931&lt;nr_MStartP1,$M$2884,$N$2884))))</f>
        <v/>
      </c>
      <c r="U2931" s="208">
        <f>IF($L$2884,$T2931,$N2931)</f>
        <v/>
      </c>
    </row>
    <row r="2932">
      <c r="A2932" s="145" t="n">
        <v>46</v>
      </c>
      <c r="B2932" s="204">
        <f>EDATE($B2931,1)</f>
        <v/>
      </c>
      <c r="C2932" s="205">
        <f>EOMONTH($B2932,0)</f>
        <v/>
      </c>
      <c r="D2932" s="201">
        <f>$C2932-$B2932+1</f>
        <v/>
      </c>
      <c r="E2932" s="201">
        <f>MONTH($B2932)</f>
        <v/>
      </c>
      <c r="F2932" s="235">
        <f>($B2932+$C2932+1)/2</f>
        <v/>
      </c>
      <c r="G2932" s="201">
        <f>YEAR($B2932)*12+MONTH($B2932)-1</f>
        <v/>
      </c>
      <c r="H2932" s="207">
        <f>IF(OR(nr_SeasonOn="OFF",$D$2884=0,$E$2884=0),1,12*INDEX(se_block,$D$2884,$E2932)/$E$2884)</f>
        <v/>
      </c>
      <c r="I2932" s="208">
        <f>EXP(SUMPRODUCT((rl_eff&lt;$B2932)*(rl_key=$A$2884)*rl_ln1p))</f>
        <v/>
      </c>
      <c r="J2932" s="208">
        <f>EXP(SUMPRODUCT((rl_eff&lt;=$C2932)*(rl_key=$A$2884)*rl_ln1p))</f>
        <v/>
      </c>
      <c r="K2932" s="201">
        <f>COUNTIFS(rl_key,$A$2884,rl_eff,"&gt;="&amp;$B2932,rl_eff,"&lt;="&amp;$C2932)</f>
        <v/>
      </c>
      <c r="L2932" s="201">
        <f>SUMIFS(rl_daysafter,rl_key,$A$2884,rl_effmonth,$B2932,rl_first,1)</f>
        <v/>
      </c>
      <c r="M2932" s="209">
        <f>IF($K2932=0,0,MIN(1,$L2932/$D2932))</f>
        <v/>
      </c>
      <c r="N2932" s="208">
        <f>IF($K2932=0,$J2932,(1-$M2932)*$I2932+$M2932*$J2932)</f>
        <v/>
      </c>
      <c r="O2932" s="209">
        <f>IF($F2932&lt;$B$2885,$E$2885+$I$2885*($F2932-$A$2885),IF($F2932&lt;$C$2885,$F$2885+$J$2885*($F2932-$B$2885),$G$2885+$K$2885*($F2932-$C$2885)))</f>
        <v/>
      </c>
      <c r="P2932" s="208">
        <f>MIN(1,MAX(0,(nr_MEndPm1-$G2932+0.5)/$C$2884))-MIN(1,MAX(0,(nr_MStartPm1-1-$G2932+0.5)/$C$2884))</f>
        <v/>
      </c>
      <c r="Q2932" s="208">
        <f>MIN(1,MAX(0,(nr_MEndP-$G2932+0.5)/$C$2884))-MIN(1,MAX(0,(nr_MStartP-1-$G2932+0.5)/$C$2884))</f>
        <v/>
      </c>
      <c r="R2932" s="208">
        <f>MIN(1,MAX(0,(nr_MEndP1-$G2932+0.5)/$C$2884))-MIN(1,MAX(0,(nr_MStartP1-1-$G2932+0.5)/$C$2884))</f>
        <v/>
      </c>
      <c r="S2932" s="208">
        <f>IF($L$2884,$N2932*IF($O$2884=1,$O2932/$F$2884,1),"")</f>
        <v/>
      </c>
      <c r="T2932" s="208">
        <f>IF(NOT($L$2884),"",IF($G2932&lt;nr_MStartP,$S2932,$T2920*(1+IF($G2932&lt;nr_MStartP1,$M$2884,$N$2884))))</f>
        <v/>
      </c>
      <c r="U2932" s="208">
        <f>IF($L$2884,$T2932,$N2932)</f>
        <v/>
      </c>
    </row>
    <row r="2933">
      <c r="A2933" s="145" t="n">
        <v>47</v>
      </c>
      <c r="B2933" s="204">
        <f>EDATE($B2932,1)</f>
        <v/>
      </c>
      <c r="C2933" s="205">
        <f>EOMONTH($B2933,0)</f>
        <v/>
      </c>
      <c r="D2933" s="201">
        <f>$C2933-$B2933+1</f>
        <v/>
      </c>
      <c r="E2933" s="201">
        <f>MONTH($B2933)</f>
        <v/>
      </c>
      <c r="F2933" s="235">
        <f>($B2933+$C2933+1)/2</f>
        <v/>
      </c>
      <c r="G2933" s="201">
        <f>YEAR($B2933)*12+MONTH($B2933)-1</f>
        <v/>
      </c>
      <c r="H2933" s="207">
        <f>IF(OR(nr_SeasonOn="OFF",$D$2884=0,$E$2884=0),1,12*INDEX(se_block,$D$2884,$E2933)/$E$2884)</f>
        <v/>
      </c>
      <c r="I2933" s="208">
        <f>EXP(SUMPRODUCT((rl_eff&lt;$B2933)*(rl_key=$A$2884)*rl_ln1p))</f>
        <v/>
      </c>
      <c r="J2933" s="208">
        <f>EXP(SUMPRODUCT((rl_eff&lt;=$C2933)*(rl_key=$A$2884)*rl_ln1p))</f>
        <v/>
      </c>
      <c r="K2933" s="201">
        <f>COUNTIFS(rl_key,$A$2884,rl_eff,"&gt;="&amp;$B2933,rl_eff,"&lt;="&amp;$C2933)</f>
        <v/>
      </c>
      <c r="L2933" s="201">
        <f>SUMIFS(rl_daysafter,rl_key,$A$2884,rl_effmonth,$B2933,rl_first,1)</f>
        <v/>
      </c>
      <c r="M2933" s="209">
        <f>IF($K2933=0,0,MIN(1,$L2933/$D2933))</f>
        <v/>
      </c>
      <c r="N2933" s="208">
        <f>IF($K2933=0,$J2933,(1-$M2933)*$I2933+$M2933*$J2933)</f>
        <v/>
      </c>
      <c r="O2933" s="209">
        <f>IF($F2933&lt;$B$2885,$E$2885+$I$2885*($F2933-$A$2885),IF($F2933&lt;$C$2885,$F$2885+$J$2885*($F2933-$B$2885),$G$2885+$K$2885*($F2933-$C$2885)))</f>
        <v/>
      </c>
      <c r="P2933" s="208">
        <f>MIN(1,MAX(0,(nr_MEndPm1-$G2933+0.5)/$C$2884))-MIN(1,MAX(0,(nr_MStartPm1-1-$G2933+0.5)/$C$2884))</f>
        <v/>
      </c>
      <c r="Q2933" s="208">
        <f>MIN(1,MAX(0,(nr_MEndP-$G2933+0.5)/$C$2884))-MIN(1,MAX(0,(nr_MStartP-1-$G2933+0.5)/$C$2884))</f>
        <v/>
      </c>
      <c r="R2933" s="208">
        <f>MIN(1,MAX(0,(nr_MEndP1-$G2933+0.5)/$C$2884))-MIN(1,MAX(0,(nr_MStartP1-1-$G2933+0.5)/$C$2884))</f>
        <v/>
      </c>
      <c r="S2933" s="208">
        <f>IF($L$2884,$N2933*IF($O$2884=1,$O2933/$F$2884,1),"")</f>
        <v/>
      </c>
      <c r="T2933" s="208">
        <f>IF(NOT($L$2884),"",IF($G2933&lt;nr_MStartP,$S2933,$T2921*(1+IF($G2933&lt;nr_MStartP1,$M$2884,$N$2884))))</f>
        <v/>
      </c>
      <c r="U2933" s="208">
        <f>IF($L$2884,$T2933,$N2933)</f>
        <v/>
      </c>
    </row>
    <row r="2934">
      <c r="A2934" s="145" t="n">
        <v>48</v>
      </c>
      <c r="B2934" s="204">
        <f>EDATE($B2933,1)</f>
        <v/>
      </c>
      <c r="C2934" s="205">
        <f>EOMONTH($B2934,0)</f>
        <v/>
      </c>
      <c r="D2934" s="201">
        <f>$C2934-$B2934+1</f>
        <v/>
      </c>
      <c r="E2934" s="201">
        <f>MONTH($B2934)</f>
        <v/>
      </c>
      <c r="F2934" s="235">
        <f>($B2934+$C2934+1)/2</f>
        <v/>
      </c>
      <c r="G2934" s="201">
        <f>YEAR($B2934)*12+MONTH($B2934)-1</f>
        <v/>
      </c>
      <c r="H2934" s="207">
        <f>IF(OR(nr_SeasonOn="OFF",$D$2884=0,$E$2884=0),1,12*INDEX(se_block,$D$2884,$E2934)/$E$2884)</f>
        <v/>
      </c>
      <c r="I2934" s="208">
        <f>EXP(SUMPRODUCT((rl_eff&lt;$B2934)*(rl_key=$A$2884)*rl_ln1p))</f>
        <v/>
      </c>
      <c r="J2934" s="208">
        <f>EXP(SUMPRODUCT((rl_eff&lt;=$C2934)*(rl_key=$A$2884)*rl_ln1p))</f>
        <v/>
      </c>
      <c r="K2934" s="201">
        <f>COUNTIFS(rl_key,$A$2884,rl_eff,"&gt;="&amp;$B2934,rl_eff,"&lt;="&amp;$C2934)</f>
        <v/>
      </c>
      <c r="L2934" s="201">
        <f>SUMIFS(rl_daysafter,rl_key,$A$2884,rl_effmonth,$B2934,rl_first,1)</f>
        <v/>
      </c>
      <c r="M2934" s="209">
        <f>IF($K2934=0,0,MIN(1,$L2934/$D2934))</f>
        <v/>
      </c>
      <c r="N2934" s="208">
        <f>IF($K2934=0,$J2934,(1-$M2934)*$I2934+$M2934*$J2934)</f>
        <v/>
      </c>
      <c r="O2934" s="209">
        <f>IF($F2934&lt;$B$2885,$E$2885+$I$2885*($F2934-$A$2885),IF($F2934&lt;$C$2885,$F$2885+$J$2885*($F2934-$B$2885),$G$2885+$K$2885*($F2934-$C$2885)))</f>
        <v/>
      </c>
      <c r="P2934" s="208">
        <f>MIN(1,MAX(0,(nr_MEndPm1-$G2934+0.5)/$C$2884))-MIN(1,MAX(0,(nr_MStartPm1-1-$G2934+0.5)/$C$2884))</f>
        <v/>
      </c>
      <c r="Q2934" s="208">
        <f>MIN(1,MAX(0,(nr_MEndP-$G2934+0.5)/$C$2884))-MIN(1,MAX(0,(nr_MStartP-1-$G2934+0.5)/$C$2884))</f>
        <v/>
      </c>
      <c r="R2934" s="208">
        <f>MIN(1,MAX(0,(nr_MEndP1-$G2934+0.5)/$C$2884))-MIN(1,MAX(0,(nr_MStartP1-1-$G2934+0.5)/$C$2884))</f>
        <v/>
      </c>
      <c r="S2934" s="208">
        <f>IF($L$2884,$N2934*IF($O$2884=1,$O2934/$F$2884,1),"")</f>
        <v/>
      </c>
      <c r="T2934" s="208">
        <f>IF(NOT($L$2884),"",IF($G2934&lt;nr_MStartP,$S2934,$T2922*(1+IF($G2934&lt;nr_MStartP1,$M$2884,$N$2884))))</f>
        <v/>
      </c>
      <c r="U2934" s="208">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184">
        <f>SUMPRODUCT($H$2887:$H$2934,$Q$2887:$Q$2934,$O$2887:$O$2934)/SUMPRODUCT($H$2887:$H$2934,$Q$2887:$Q$2934)</f>
        <v/>
      </c>
      <c r="G2935" s="184">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184">
        <f>IF(N(INDEX(lr_mind,54))=0,1,INDEX(lr_mind,54))</f>
        <v/>
      </c>
      <c r="G2938" s="184">
        <f>IF(N(INDEX(lr_m0,54))=0,1,INDEX(lr_m0,54))</f>
        <v/>
      </c>
      <c r="H2938" s="73">
        <f>IF(N(INDEX(lr_m0asof,54))=0,DATE(nr_PlanYear-1,10,1),INDEX(lr_m0asof,54))</f>
        <v/>
      </c>
      <c r="I2938" s="184">
        <f>IF(N(INDEX(lr_m1,54))=0,1,INDEX(lr_m1,54))</f>
        <v/>
      </c>
      <c r="J2938" s="184">
        <f>INDEX(lr_mprior,54)</f>
        <v/>
      </c>
      <c r="K2938" s="184">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145" t="n">
        <v>1</v>
      </c>
      <c r="B2941" s="204">
        <f>DATE(nr_PlanYear-2,1,1)</f>
        <v/>
      </c>
      <c r="C2941" s="205">
        <f>EOMONTH($B2941,0)</f>
        <v/>
      </c>
      <c r="D2941" s="201">
        <f>$C2941-$B2941+1</f>
        <v/>
      </c>
      <c r="E2941" s="201">
        <f>MONTH($B2941)</f>
        <v/>
      </c>
      <c r="F2941" s="235">
        <f>($B2941+$C2941+1)/2</f>
        <v/>
      </c>
      <c r="G2941" s="201">
        <f>YEAR($B2941)*12+MONTH($B2941)-1</f>
        <v/>
      </c>
      <c r="H2941" s="207">
        <f>IF(OR(nr_SeasonOn="OFF",$D$2938=0,$E$2938=0),1,12*INDEX(se_block,$D$2938,$E2941)/$E$2938)</f>
        <v/>
      </c>
      <c r="I2941" s="208">
        <f>EXP(SUMPRODUCT((rl_eff&lt;$B2941)*(rl_key=$A$2938)*rl_ln1p))</f>
        <v/>
      </c>
      <c r="J2941" s="208">
        <f>EXP(SUMPRODUCT((rl_eff&lt;=$C2941)*(rl_key=$A$2938)*rl_ln1p))</f>
        <v/>
      </c>
      <c r="K2941" s="201">
        <f>COUNTIFS(rl_key,$A$2938,rl_eff,"&gt;="&amp;$B2941,rl_eff,"&lt;="&amp;$C2941)</f>
        <v/>
      </c>
      <c r="L2941" s="201">
        <f>SUMIFS(rl_daysafter,rl_key,$A$2938,rl_effmonth,$B2941,rl_first,1)</f>
        <v/>
      </c>
      <c r="M2941" s="209">
        <f>IF($K2941=0,0,MIN(1,$L2941/$D2941))</f>
        <v/>
      </c>
      <c r="N2941" s="208">
        <f>IF($K2941=0,$J2941,(1-$M2941)*$I2941+$M2941*$J2941)</f>
        <v/>
      </c>
      <c r="O2941" s="209">
        <f>IF($F2941&lt;$B$2939,$E$2939+$I$2939*($F2941-$A$2939),IF($F2941&lt;$C$2939,$F$2939+$J$2939*($F2941-$B$2939),$G$2939+$K$2939*($F2941-$C$2939)))</f>
        <v/>
      </c>
      <c r="P2941" s="208">
        <f>MIN(1,MAX(0,(nr_MEndPm1-$G2941+0.5)/$C$2938))-MIN(1,MAX(0,(nr_MStartPm1-1-$G2941+0.5)/$C$2938))</f>
        <v/>
      </c>
      <c r="Q2941" s="208">
        <f>MIN(1,MAX(0,(nr_MEndP-$G2941+0.5)/$C$2938))-MIN(1,MAX(0,(nr_MStartP-1-$G2941+0.5)/$C$2938))</f>
        <v/>
      </c>
      <c r="R2941" s="208">
        <f>MIN(1,MAX(0,(nr_MEndP1-$G2941+0.5)/$C$2938))-MIN(1,MAX(0,(nr_MStartP1-1-$G2941+0.5)/$C$2938))</f>
        <v/>
      </c>
      <c r="S2941" s="208">
        <f>IF($L$2938,$N2941*IF($O$2938=1,$O2941/$F$2938,1),"")</f>
        <v/>
      </c>
      <c r="T2941" s="208">
        <f>IF(NOT($L$2938),"",IF($G2941&lt;nr_MStartP,$S2941,$T2929*(1+IF($G2941&lt;nr_MStartP1,$M$2938,$N$2938))))</f>
        <v/>
      </c>
      <c r="U2941" s="208">
        <f>IF($L$2938,$T2941,$N2941)</f>
        <v/>
      </c>
    </row>
    <row r="2942">
      <c r="A2942" s="145" t="n">
        <v>2</v>
      </c>
      <c r="B2942" s="204">
        <f>EDATE($B2941,1)</f>
        <v/>
      </c>
      <c r="C2942" s="205">
        <f>EOMONTH($B2942,0)</f>
        <v/>
      </c>
      <c r="D2942" s="201">
        <f>$C2942-$B2942+1</f>
        <v/>
      </c>
      <c r="E2942" s="201">
        <f>MONTH($B2942)</f>
        <v/>
      </c>
      <c r="F2942" s="235">
        <f>($B2942+$C2942+1)/2</f>
        <v/>
      </c>
      <c r="G2942" s="201">
        <f>YEAR($B2942)*12+MONTH($B2942)-1</f>
        <v/>
      </c>
      <c r="H2942" s="207">
        <f>IF(OR(nr_SeasonOn="OFF",$D$2938=0,$E$2938=0),1,12*INDEX(se_block,$D$2938,$E2942)/$E$2938)</f>
        <v/>
      </c>
      <c r="I2942" s="208">
        <f>EXP(SUMPRODUCT((rl_eff&lt;$B2942)*(rl_key=$A$2938)*rl_ln1p))</f>
        <v/>
      </c>
      <c r="J2942" s="208">
        <f>EXP(SUMPRODUCT((rl_eff&lt;=$C2942)*(rl_key=$A$2938)*rl_ln1p))</f>
        <v/>
      </c>
      <c r="K2942" s="201">
        <f>COUNTIFS(rl_key,$A$2938,rl_eff,"&gt;="&amp;$B2942,rl_eff,"&lt;="&amp;$C2942)</f>
        <v/>
      </c>
      <c r="L2942" s="201">
        <f>SUMIFS(rl_daysafter,rl_key,$A$2938,rl_effmonth,$B2942,rl_first,1)</f>
        <v/>
      </c>
      <c r="M2942" s="209">
        <f>IF($K2942=0,0,MIN(1,$L2942/$D2942))</f>
        <v/>
      </c>
      <c r="N2942" s="208">
        <f>IF($K2942=0,$J2942,(1-$M2942)*$I2942+$M2942*$J2942)</f>
        <v/>
      </c>
      <c r="O2942" s="209">
        <f>IF($F2942&lt;$B$2939,$E$2939+$I$2939*($F2942-$A$2939),IF($F2942&lt;$C$2939,$F$2939+$J$2939*($F2942-$B$2939),$G$2939+$K$2939*($F2942-$C$2939)))</f>
        <v/>
      </c>
      <c r="P2942" s="208">
        <f>MIN(1,MAX(0,(nr_MEndPm1-$G2942+0.5)/$C$2938))-MIN(1,MAX(0,(nr_MStartPm1-1-$G2942+0.5)/$C$2938))</f>
        <v/>
      </c>
      <c r="Q2942" s="208">
        <f>MIN(1,MAX(0,(nr_MEndP-$G2942+0.5)/$C$2938))-MIN(1,MAX(0,(nr_MStartP-1-$G2942+0.5)/$C$2938))</f>
        <v/>
      </c>
      <c r="R2942" s="208">
        <f>MIN(1,MAX(0,(nr_MEndP1-$G2942+0.5)/$C$2938))-MIN(1,MAX(0,(nr_MStartP1-1-$G2942+0.5)/$C$2938))</f>
        <v/>
      </c>
      <c r="S2942" s="208">
        <f>IF($L$2938,$N2942*IF($O$2938=1,$O2942/$F$2938,1),"")</f>
        <v/>
      </c>
      <c r="T2942" s="208">
        <f>IF(NOT($L$2938),"",IF($G2942&lt;nr_MStartP,$S2942,$T2930*(1+IF($G2942&lt;nr_MStartP1,$M$2938,$N$2938))))</f>
        <v/>
      </c>
      <c r="U2942" s="208">
        <f>IF($L$2938,$T2942,$N2942)</f>
        <v/>
      </c>
    </row>
    <row r="2943">
      <c r="A2943" s="145" t="n">
        <v>3</v>
      </c>
      <c r="B2943" s="204">
        <f>EDATE($B2942,1)</f>
        <v/>
      </c>
      <c r="C2943" s="205">
        <f>EOMONTH($B2943,0)</f>
        <v/>
      </c>
      <c r="D2943" s="201">
        <f>$C2943-$B2943+1</f>
        <v/>
      </c>
      <c r="E2943" s="201">
        <f>MONTH($B2943)</f>
        <v/>
      </c>
      <c r="F2943" s="235">
        <f>($B2943+$C2943+1)/2</f>
        <v/>
      </c>
      <c r="G2943" s="201">
        <f>YEAR($B2943)*12+MONTH($B2943)-1</f>
        <v/>
      </c>
      <c r="H2943" s="207">
        <f>IF(OR(nr_SeasonOn="OFF",$D$2938=0,$E$2938=0),1,12*INDEX(se_block,$D$2938,$E2943)/$E$2938)</f>
        <v/>
      </c>
      <c r="I2943" s="208">
        <f>EXP(SUMPRODUCT((rl_eff&lt;$B2943)*(rl_key=$A$2938)*rl_ln1p))</f>
        <v/>
      </c>
      <c r="J2943" s="208">
        <f>EXP(SUMPRODUCT((rl_eff&lt;=$C2943)*(rl_key=$A$2938)*rl_ln1p))</f>
        <v/>
      </c>
      <c r="K2943" s="201">
        <f>COUNTIFS(rl_key,$A$2938,rl_eff,"&gt;="&amp;$B2943,rl_eff,"&lt;="&amp;$C2943)</f>
        <v/>
      </c>
      <c r="L2943" s="201">
        <f>SUMIFS(rl_daysafter,rl_key,$A$2938,rl_effmonth,$B2943,rl_first,1)</f>
        <v/>
      </c>
      <c r="M2943" s="209">
        <f>IF($K2943=0,0,MIN(1,$L2943/$D2943))</f>
        <v/>
      </c>
      <c r="N2943" s="208">
        <f>IF($K2943=0,$J2943,(1-$M2943)*$I2943+$M2943*$J2943)</f>
        <v/>
      </c>
      <c r="O2943" s="209">
        <f>IF($F2943&lt;$B$2939,$E$2939+$I$2939*($F2943-$A$2939),IF($F2943&lt;$C$2939,$F$2939+$J$2939*($F2943-$B$2939),$G$2939+$K$2939*($F2943-$C$2939)))</f>
        <v/>
      </c>
      <c r="P2943" s="208">
        <f>MIN(1,MAX(0,(nr_MEndPm1-$G2943+0.5)/$C$2938))-MIN(1,MAX(0,(nr_MStartPm1-1-$G2943+0.5)/$C$2938))</f>
        <v/>
      </c>
      <c r="Q2943" s="208">
        <f>MIN(1,MAX(0,(nr_MEndP-$G2943+0.5)/$C$2938))-MIN(1,MAX(0,(nr_MStartP-1-$G2943+0.5)/$C$2938))</f>
        <v/>
      </c>
      <c r="R2943" s="208">
        <f>MIN(1,MAX(0,(nr_MEndP1-$G2943+0.5)/$C$2938))-MIN(1,MAX(0,(nr_MStartP1-1-$G2943+0.5)/$C$2938))</f>
        <v/>
      </c>
      <c r="S2943" s="208">
        <f>IF($L$2938,$N2943*IF($O$2938=1,$O2943/$F$2938,1),"")</f>
        <v/>
      </c>
      <c r="T2943" s="208">
        <f>IF(NOT($L$2938),"",IF($G2943&lt;nr_MStartP,$S2943,$T2931*(1+IF($G2943&lt;nr_MStartP1,$M$2938,$N$2938))))</f>
        <v/>
      </c>
      <c r="U2943" s="208">
        <f>IF($L$2938,$T2943,$N2943)</f>
        <v/>
      </c>
    </row>
    <row r="2944">
      <c r="A2944" s="145" t="n">
        <v>4</v>
      </c>
      <c r="B2944" s="204">
        <f>EDATE($B2943,1)</f>
        <v/>
      </c>
      <c r="C2944" s="205">
        <f>EOMONTH($B2944,0)</f>
        <v/>
      </c>
      <c r="D2944" s="201">
        <f>$C2944-$B2944+1</f>
        <v/>
      </c>
      <c r="E2944" s="201">
        <f>MONTH($B2944)</f>
        <v/>
      </c>
      <c r="F2944" s="235">
        <f>($B2944+$C2944+1)/2</f>
        <v/>
      </c>
      <c r="G2944" s="201">
        <f>YEAR($B2944)*12+MONTH($B2944)-1</f>
        <v/>
      </c>
      <c r="H2944" s="207">
        <f>IF(OR(nr_SeasonOn="OFF",$D$2938=0,$E$2938=0),1,12*INDEX(se_block,$D$2938,$E2944)/$E$2938)</f>
        <v/>
      </c>
      <c r="I2944" s="208">
        <f>EXP(SUMPRODUCT((rl_eff&lt;$B2944)*(rl_key=$A$2938)*rl_ln1p))</f>
        <v/>
      </c>
      <c r="J2944" s="208">
        <f>EXP(SUMPRODUCT((rl_eff&lt;=$C2944)*(rl_key=$A$2938)*rl_ln1p))</f>
        <v/>
      </c>
      <c r="K2944" s="201">
        <f>COUNTIFS(rl_key,$A$2938,rl_eff,"&gt;="&amp;$B2944,rl_eff,"&lt;="&amp;$C2944)</f>
        <v/>
      </c>
      <c r="L2944" s="201">
        <f>SUMIFS(rl_daysafter,rl_key,$A$2938,rl_effmonth,$B2944,rl_first,1)</f>
        <v/>
      </c>
      <c r="M2944" s="209">
        <f>IF($K2944=0,0,MIN(1,$L2944/$D2944))</f>
        <v/>
      </c>
      <c r="N2944" s="208">
        <f>IF($K2944=0,$J2944,(1-$M2944)*$I2944+$M2944*$J2944)</f>
        <v/>
      </c>
      <c r="O2944" s="209">
        <f>IF($F2944&lt;$B$2939,$E$2939+$I$2939*($F2944-$A$2939),IF($F2944&lt;$C$2939,$F$2939+$J$2939*($F2944-$B$2939),$G$2939+$K$2939*($F2944-$C$2939)))</f>
        <v/>
      </c>
      <c r="P2944" s="208">
        <f>MIN(1,MAX(0,(nr_MEndPm1-$G2944+0.5)/$C$2938))-MIN(1,MAX(0,(nr_MStartPm1-1-$G2944+0.5)/$C$2938))</f>
        <v/>
      </c>
      <c r="Q2944" s="208">
        <f>MIN(1,MAX(0,(nr_MEndP-$G2944+0.5)/$C$2938))-MIN(1,MAX(0,(nr_MStartP-1-$G2944+0.5)/$C$2938))</f>
        <v/>
      </c>
      <c r="R2944" s="208">
        <f>MIN(1,MAX(0,(nr_MEndP1-$G2944+0.5)/$C$2938))-MIN(1,MAX(0,(nr_MStartP1-1-$G2944+0.5)/$C$2938))</f>
        <v/>
      </c>
      <c r="S2944" s="208">
        <f>IF($L$2938,$N2944*IF($O$2938=1,$O2944/$F$2938,1),"")</f>
        <v/>
      </c>
      <c r="T2944" s="208">
        <f>IF(NOT($L$2938),"",IF($G2944&lt;nr_MStartP,$S2944,$T2932*(1+IF($G2944&lt;nr_MStartP1,$M$2938,$N$2938))))</f>
        <v/>
      </c>
      <c r="U2944" s="208">
        <f>IF($L$2938,$T2944,$N2944)</f>
        <v/>
      </c>
    </row>
    <row r="2945">
      <c r="A2945" s="145" t="n">
        <v>5</v>
      </c>
      <c r="B2945" s="204">
        <f>EDATE($B2944,1)</f>
        <v/>
      </c>
      <c r="C2945" s="205">
        <f>EOMONTH($B2945,0)</f>
        <v/>
      </c>
      <c r="D2945" s="201">
        <f>$C2945-$B2945+1</f>
        <v/>
      </c>
      <c r="E2945" s="201">
        <f>MONTH($B2945)</f>
        <v/>
      </c>
      <c r="F2945" s="235">
        <f>($B2945+$C2945+1)/2</f>
        <v/>
      </c>
      <c r="G2945" s="201">
        <f>YEAR($B2945)*12+MONTH($B2945)-1</f>
        <v/>
      </c>
      <c r="H2945" s="207">
        <f>IF(OR(nr_SeasonOn="OFF",$D$2938=0,$E$2938=0),1,12*INDEX(se_block,$D$2938,$E2945)/$E$2938)</f>
        <v/>
      </c>
      <c r="I2945" s="208">
        <f>EXP(SUMPRODUCT((rl_eff&lt;$B2945)*(rl_key=$A$2938)*rl_ln1p))</f>
        <v/>
      </c>
      <c r="J2945" s="208">
        <f>EXP(SUMPRODUCT((rl_eff&lt;=$C2945)*(rl_key=$A$2938)*rl_ln1p))</f>
        <v/>
      </c>
      <c r="K2945" s="201">
        <f>COUNTIFS(rl_key,$A$2938,rl_eff,"&gt;="&amp;$B2945,rl_eff,"&lt;="&amp;$C2945)</f>
        <v/>
      </c>
      <c r="L2945" s="201">
        <f>SUMIFS(rl_daysafter,rl_key,$A$2938,rl_effmonth,$B2945,rl_first,1)</f>
        <v/>
      </c>
      <c r="M2945" s="209">
        <f>IF($K2945=0,0,MIN(1,$L2945/$D2945))</f>
        <v/>
      </c>
      <c r="N2945" s="208">
        <f>IF($K2945=0,$J2945,(1-$M2945)*$I2945+$M2945*$J2945)</f>
        <v/>
      </c>
      <c r="O2945" s="209">
        <f>IF($F2945&lt;$B$2939,$E$2939+$I$2939*($F2945-$A$2939),IF($F2945&lt;$C$2939,$F$2939+$J$2939*($F2945-$B$2939),$G$2939+$K$2939*($F2945-$C$2939)))</f>
        <v/>
      </c>
      <c r="P2945" s="208">
        <f>MIN(1,MAX(0,(nr_MEndPm1-$G2945+0.5)/$C$2938))-MIN(1,MAX(0,(nr_MStartPm1-1-$G2945+0.5)/$C$2938))</f>
        <v/>
      </c>
      <c r="Q2945" s="208">
        <f>MIN(1,MAX(0,(nr_MEndP-$G2945+0.5)/$C$2938))-MIN(1,MAX(0,(nr_MStartP-1-$G2945+0.5)/$C$2938))</f>
        <v/>
      </c>
      <c r="R2945" s="208">
        <f>MIN(1,MAX(0,(nr_MEndP1-$G2945+0.5)/$C$2938))-MIN(1,MAX(0,(nr_MStartP1-1-$G2945+0.5)/$C$2938))</f>
        <v/>
      </c>
      <c r="S2945" s="208">
        <f>IF($L$2938,$N2945*IF($O$2938=1,$O2945/$F$2938,1),"")</f>
        <v/>
      </c>
      <c r="T2945" s="208">
        <f>IF(NOT($L$2938),"",IF($G2945&lt;nr_MStartP,$S2945,$T2933*(1+IF($G2945&lt;nr_MStartP1,$M$2938,$N$2938))))</f>
        <v/>
      </c>
      <c r="U2945" s="208">
        <f>IF($L$2938,$T2945,$N2945)</f>
        <v/>
      </c>
    </row>
    <row r="2946">
      <c r="A2946" s="145" t="n">
        <v>6</v>
      </c>
      <c r="B2946" s="204">
        <f>EDATE($B2945,1)</f>
        <v/>
      </c>
      <c r="C2946" s="205">
        <f>EOMONTH($B2946,0)</f>
        <v/>
      </c>
      <c r="D2946" s="201">
        <f>$C2946-$B2946+1</f>
        <v/>
      </c>
      <c r="E2946" s="201">
        <f>MONTH($B2946)</f>
        <v/>
      </c>
      <c r="F2946" s="235">
        <f>($B2946+$C2946+1)/2</f>
        <v/>
      </c>
      <c r="G2946" s="201">
        <f>YEAR($B2946)*12+MONTH($B2946)-1</f>
        <v/>
      </c>
      <c r="H2946" s="207">
        <f>IF(OR(nr_SeasonOn="OFF",$D$2938=0,$E$2938=0),1,12*INDEX(se_block,$D$2938,$E2946)/$E$2938)</f>
        <v/>
      </c>
      <c r="I2946" s="208">
        <f>EXP(SUMPRODUCT((rl_eff&lt;$B2946)*(rl_key=$A$2938)*rl_ln1p))</f>
        <v/>
      </c>
      <c r="J2946" s="208">
        <f>EXP(SUMPRODUCT((rl_eff&lt;=$C2946)*(rl_key=$A$2938)*rl_ln1p))</f>
        <v/>
      </c>
      <c r="K2946" s="201">
        <f>COUNTIFS(rl_key,$A$2938,rl_eff,"&gt;="&amp;$B2946,rl_eff,"&lt;="&amp;$C2946)</f>
        <v/>
      </c>
      <c r="L2946" s="201">
        <f>SUMIFS(rl_daysafter,rl_key,$A$2938,rl_effmonth,$B2946,rl_first,1)</f>
        <v/>
      </c>
      <c r="M2946" s="209">
        <f>IF($K2946=0,0,MIN(1,$L2946/$D2946))</f>
        <v/>
      </c>
      <c r="N2946" s="208">
        <f>IF($K2946=0,$J2946,(1-$M2946)*$I2946+$M2946*$J2946)</f>
        <v/>
      </c>
      <c r="O2946" s="209">
        <f>IF($F2946&lt;$B$2939,$E$2939+$I$2939*($F2946-$A$2939),IF($F2946&lt;$C$2939,$F$2939+$J$2939*($F2946-$B$2939),$G$2939+$K$2939*($F2946-$C$2939)))</f>
        <v/>
      </c>
      <c r="P2946" s="208">
        <f>MIN(1,MAX(0,(nr_MEndPm1-$G2946+0.5)/$C$2938))-MIN(1,MAX(0,(nr_MStartPm1-1-$G2946+0.5)/$C$2938))</f>
        <v/>
      </c>
      <c r="Q2946" s="208">
        <f>MIN(1,MAX(0,(nr_MEndP-$G2946+0.5)/$C$2938))-MIN(1,MAX(0,(nr_MStartP-1-$G2946+0.5)/$C$2938))</f>
        <v/>
      </c>
      <c r="R2946" s="208">
        <f>MIN(1,MAX(0,(nr_MEndP1-$G2946+0.5)/$C$2938))-MIN(1,MAX(0,(nr_MStartP1-1-$G2946+0.5)/$C$2938))</f>
        <v/>
      </c>
      <c r="S2946" s="208">
        <f>IF($L$2938,$N2946*IF($O$2938=1,$O2946/$F$2938,1),"")</f>
        <v/>
      </c>
      <c r="T2946" s="208">
        <f>IF(NOT($L$2938),"",IF($G2946&lt;nr_MStartP,$S2946,$T2934*(1+IF($G2946&lt;nr_MStartP1,$M$2938,$N$2938))))</f>
        <v/>
      </c>
      <c r="U2946" s="208">
        <f>IF($L$2938,$T2946,$N2946)</f>
        <v/>
      </c>
    </row>
    <row r="2947">
      <c r="A2947" s="145" t="n">
        <v>7</v>
      </c>
      <c r="B2947" s="204">
        <f>EDATE($B2946,1)</f>
        <v/>
      </c>
      <c r="C2947" s="205">
        <f>EOMONTH($B2947,0)</f>
        <v/>
      </c>
      <c r="D2947" s="201">
        <f>$C2947-$B2947+1</f>
        <v/>
      </c>
      <c r="E2947" s="201">
        <f>MONTH($B2947)</f>
        <v/>
      </c>
      <c r="F2947" s="235">
        <f>($B2947+$C2947+1)/2</f>
        <v/>
      </c>
      <c r="G2947" s="201">
        <f>YEAR($B2947)*12+MONTH($B2947)-1</f>
        <v/>
      </c>
      <c r="H2947" s="207">
        <f>IF(OR(nr_SeasonOn="OFF",$D$2938=0,$E$2938=0),1,12*INDEX(se_block,$D$2938,$E2947)/$E$2938)</f>
        <v/>
      </c>
      <c r="I2947" s="208">
        <f>EXP(SUMPRODUCT((rl_eff&lt;$B2947)*(rl_key=$A$2938)*rl_ln1p))</f>
        <v/>
      </c>
      <c r="J2947" s="208">
        <f>EXP(SUMPRODUCT((rl_eff&lt;=$C2947)*(rl_key=$A$2938)*rl_ln1p))</f>
        <v/>
      </c>
      <c r="K2947" s="201">
        <f>COUNTIFS(rl_key,$A$2938,rl_eff,"&gt;="&amp;$B2947,rl_eff,"&lt;="&amp;$C2947)</f>
        <v/>
      </c>
      <c r="L2947" s="201">
        <f>SUMIFS(rl_daysafter,rl_key,$A$2938,rl_effmonth,$B2947,rl_first,1)</f>
        <v/>
      </c>
      <c r="M2947" s="209">
        <f>IF($K2947=0,0,MIN(1,$L2947/$D2947))</f>
        <v/>
      </c>
      <c r="N2947" s="208">
        <f>IF($K2947=0,$J2947,(1-$M2947)*$I2947+$M2947*$J2947)</f>
        <v/>
      </c>
      <c r="O2947" s="209">
        <f>IF($F2947&lt;$B$2939,$E$2939+$I$2939*($F2947-$A$2939),IF($F2947&lt;$C$2939,$F$2939+$J$2939*($F2947-$B$2939),$G$2939+$K$2939*($F2947-$C$2939)))</f>
        <v/>
      </c>
      <c r="P2947" s="208">
        <f>MIN(1,MAX(0,(nr_MEndPm1-$G2947+0.5)/$C$2938))-MIN(1,MAX(0,(nr_MStartPm1-1-$G2947+0.5)/$C$2938))</f>
        <v/>
      </c>
      <c r="Q2947" s="208">
        <f>MIN(1,MAX(0,(nr_MEndP-$G2947+0.5)/$C$2938))-MIN(1,MAX(0,(nr_MStartP-1-$G2947+0.5)/$C$2938))</f>
        <v/>
      </c>
      <c r="R2947" s="208">
        <f>MIN(1,MAX(0,(nr_MEndP1-$G2947+0.5)/$C$2938))-MIN(1,MAX(0,(nr_MStartP1-1-$G2947+0.5)/$C$2938))</f>
        <v/>
      </c>
      <c r="S2947" s="208">
        <f>IF($L$2938,$N2947*IF($O$2938=1,$O2947/$F$2938,1),"")</f>
        <v/>
      </c>
      <c r="T2947" s="208">
        <f>IF(NOT($L$2938),"",IF($G2947&lt;nr_MStartP,$S2947,$T2935*(1+IF($G2947&lt;nr_MStartP1,$M$2938,$N$2938))))</f>
        <v/>
      </c>
      <c r="U2947" s="208">
        <f>IF($L$2938,$T2947,$N2947)</f>
        <v/>
      </c>
    </row>
    <row r="2948">
      <c r="A2948" s="145" t="n">
        <v>8</v>
      </c>
      <c r="B2948" s="204">
        <f>EDATE($B2947,1)</f>
        <v/>
      </c>
      <c r="C2948" s="205">
        <f>EOMONTH($B2948,0)</f>
        <v/>
      </c>
      <c r="D2948" s="201">
        <f>$C2948-$B2948+1</f>
        <v/>
      </c>
      <c r="E2948" s="201">
        <f>MONTH($B2948)</f>
        <v/>
      </c>
      <c r="F2948" s="235">
        <f>($B2948+$C2948+1)/2</f>
        <v/>
      </c>
      <c r="G2948" s="201">
        <f>YEAR($B2948)*12+MONTH($B2948)-1</f>
        <v/>
      </c>
      <c r="H2948" s="207">
        <f>IF(OR(nr_SeasonOn="OFF",$D$2938=0,$E$2938=0),1,12*INDEX(se_block,$D$2938,$E2948)/$E$2938)</f>
        <v/>
      </c>
      <c r="I2948" s="208">
        <f>EXP(SUMPRODUCT((rl_eff&lt;$B2948)*(rl_key=$A$2938)*rl_ln1p))</f>
        <v/>
      </c>
      <c r="J2948" s="208">
        <f>EXP(SUMPRODUCT((rl_eff&lt;=$C2948)*(rl_key=$A$2938)*rl_ln1p))</f>
        <v/>
      </c>
      <c r="K2948" s="201">
        <f>COUNTIFS(rl_key,$A$2938,rl_eff,"&gt;="&amp;$B2948,rl_eff,"&lt;="&amp;$C2948)</f>
        <v/>
      </c>
      <c r="L2948" s="201">
        <f>SUMIFS(rl_daysafter,rl_key,$A$2938,rl_effmonth,$B2948,rl_first,1)</f>
        <v/>
      </c>
      <c r="M2948" s="209">
        <f>IF($K2948=0,0,MIN(1,$L2948/$D2948))</f>
        <v/>
      </c>
      <c r="N2948" s="208">
        <f>IF($K2948=0,$J2948,(1-$M2948)*$I2948+$M2948*$J2948)</f>
        <v/>
      </c>
      <c r="O2948" s="209">
        <f>IF($F2948&lt;$B$2939,$E$2939+$I$2939*($F2948-$A$2939),IF($F2948&lt;$C$2939,$F$2939+$J$2939*($F2948-$B$2939),$G$2939+$K$2939*($F2948-$C$2939)))</f>
        <v/>
      </c>
      <c r="P2948" s="208">
        <f>MIN(1,MAX(0,(nr_MEndPm1-$G2948+0.5)/$C$2938))-MIN(1,MAX(0,(nr_MStartPm1-1-$G2948+0.5)/$C$2938))</f>
        <v/>
      </c>
      <c r="Q2948" s="208">
        <f>MIN(1,MAX(0,(nr_MEndP-$G2948+0.5)/$C$2938))-MIN(1,MAX(0,(nr_MStartP-1-$G2948+0.5)/$C$2938))</f>
        <v/>
      </c>
      <c r="R2948" s="208">
        <f>MIN(1,MAX(0,(nr_MEndP1-$G2948+0.5)/$C$2938))-MIN(1,MAX(0,(nr_MStartP1-1-$G2948+0.5)/$C$2938))</f>
        <v/>
      </c>
      <c r="S2948" s="208">
        <f>IF($L$2938,$N2948*IF($O$2938=1,$O2948/$F$2938,1),"")</f>
        <v/>
      </c>
      <c r="T2948" s="208">
        <f>IF(NOT($L$2938),"",IF($G2948&lt;nr_MStartP,$S2948,$T2936*(1+IF($G2948&lt;nr_MStartP1,$M$2938,$N$2938))))</f>
        <v/>
      </c>
      <c r="U2948" s="208">
        <f>IF($L$2938,$T2948,$N2948)</f>
        <v/>
      </c>
    </row>
    <row r="2949">
      <c r="A2949" s="145" t="n">
        <v>9</v>
      </c>
      <c r="B2949" s="204">
        <f>EDATE($B2948,1)</f>
        <v/>
      </c>
      <c r="C2949" s="205">
        <f>EOMONTH($B2949,0)</f>
        <v/>
      </c>
      <c r="D2949" s="201">
        <f>$C2949-$B2949+1</f>
        <v/>
      </c>
      <c r="E2949" s="201">
        <f>MONTH($B2949)</f>
        <v/>
      </c>
      <c r="F2949" s="235">
        <f>($B2949+$C2949+1)/2</f>
        <v/>
      </c>
      <c r="G2949" s="201">
        <f>YEAR($B2949)*12+MONTH($B2949)-1</f>
        <v/>
      </c>
      <c r="H2949" s="207">
        <f>IF(OR(nr_SeasonOn="OFF",$D$2938=0,$E$2938=0),1,12*INDEX(se_block,$D$2938,$E2949)/$E$2938)</f>
        <v/>
      </c>
      <c r="I2949" s="208">
        <f>EXP(SUMPRODUCT((rl_eff&lt;$B2949)*(rl_key=$A$2938)*rl_ln1p))</f>
        <v/>
      </c>
      <c r="J2949" s="208">
        <f>EXP(SUMPRODUCT((rl_eff&lt;=$C2949)*(rl_key=$A$2938)*rl_ln1p))</f>
        <v/>
      </c>
      <c r="K2949" s="201">
        <f>COUNTIFS(rl_key,$A$2938,rl_eff,"&gt;="&amp;$B2949,rl_eff,"&lt;="&amp;$C2949)</f>
        <v/>
      </c>
      <c r="L2949" s="201">
        <f>SUMIFS(rl_daysafter,rl_key,$A$2938,rl_effmonth,$B2949,rl_first,1)</f>
        <v/>
      </c>
      <c r="M2949" s="209">
        <f>IF($K2949=0,0,MIN(1,$L2949/$D2949))</f>
        <v/>
      </c>
      <c r="N2949" s="208">
        <f>IF($K2949=0,$J2949,(1-$M2949)*$I2949+$M2949*$J2949)</f>
        <v/>
      </c>
      <c r="O2949" s="209">
        <f>IF($F2949&lt;$B$2939,$E$2939+$I$2939*($F2949-$A$2939),IF($F2949&lt;$C$2939,$F$2939+$J$2939*($F2949-$B$2939),$G$2939+$K$2939*($F2949-$C$2939)))</f>
        <v/>
      </c>
      <c r="P2949" s="208">
        <f>MIN(1,MAX(0,(nr_MEndPm1-$G2949+0.5)/$C$2938))-MIN(1,MAX(0,(nr_MStartPm1-1-$G2949+0.5)/$C$2938))</f>
        <v/>
      </c>
      <c r="Q2949" s="208">
        <f>MIN(1,MAX(0,(nr_MEndP-$G2949+0.5)/$C$2938))-MIN(1,MAX(0,(nr_MStartP-1-$G2949+0.5)/$C$2938))</f>
        <v/>
      </c>
      <c r="R2949" s="208">
        <f>MIN(1,MAX(0,(nr_MEndP1-$G2949+0.5)/$C$2938))-MIN(1,MAX(0,(nr_MStartP1-1-$G2949+0.5)/$C$2938))</f>
        <v/>
      </c>
      <c r="S2949" s="208">
        <f>IF($L$2938,$N2949*IF($O$2938=1,$O2949/$F$2938,1),"")</f>
        <v/>
      </c>
      <c r="T2949" s="208">
        <f>IF(NOT($L$2938),"",IF($G2949&lt;nr_MStartP,$S2949,$T2937*(1+IF($G2949&lt;nr_MStartP1,$M$2938,$N$2938))))</f>
        <v/>
      </c>
      <c r="U2949" s="208">
        <f>IF($L$2938,$T2949,$N2949)</f>
        <v/>
      </c>
    </row>
    <row r="2950">
      <c r="A2950" s="145" t="n">
        <v>10</v>
      </c>
      <c r="B2950" s="204">
        <f>EDATE($B2949,1)</f>
        <v/>
      </c>
      <c r="C2950" s="205">
        <f>EOMONTH($B2950,0)</f>
        <v/>
      </c>
      <c r="D2950" s="201">
        <f>$C2950-$B2950+1</f>
        <v/>
      </c>
      <c r="E2950" s="201">
        <f>MONTH($B2950)</f>
        <v/>
      </c>
      <c r="F2950" s="235">
        <f>($B2950+$C2950+1)/2</f>
        <v/>
      </c>
      <c r="G2950" s="201">
        <f>YEAR($B2950)*12+MONTH($B2950)-1</f>
        <v/>
      </c>
      <c r="H2950" s="207">
        <f>IF(OR(nr_SeasonOn="OFF",$D$2938=0,$E$2938=0),1,12*INDEX(se_block,$D$2938,$E2950)/$E$2938)</f>
        <v/>
      </c>
      <c r="I2950" s="208">
        <f>EXP(SUMPRODUCT((rl_eff&lt;$B2950)*(rl_key=$A$2938)*rl_ln1p))</f>
        <v/>
      </c>
      <c r="J2950" s="208">
        <f>EXP(SUMPRODUCT((rl_eff&lt;=$C2950)*(rl_key=$A$2938)*rl_ln1p))</f>
        <v/>
      </c>
      <c r="K2950" s="201">
        <f>COUNTIFS(rl_key,$A$2938,rl_eff,"&gt;="&amp;$B2950,rl_eff,"&lt;="&amp;$C2950)</f>
        <v/>
      </c>
      <c r="L2950" s="201">
        <f>SUMIFS(rl_daysafter,rl_key,$A$2938,rl_effmonth,$B2950,rl_first,1)</f>
        <v/>
      </c>
      <c r="M2950" s="209">
        <f>IF($K2950=0,0,MIN(1,$L2950/$D2950))</f>
        <v/>
      </c>
      <c r="N2950" s="208">
        <f>IF($K2950=0,$J2950,(1-$M2950)*$I2950+$M2950*$J2950)</f>
        <v/>
      </c>
      <c r="O2950" s="209">
        <f>IF($F2950&lt;$B$2939,$E$2939+$I$2939*($F2950-$A$2939),IF($F2950&lt;$C$2939,$F$2939+$J$2939*($F2950-$B$2939),$G$2939+$K$2939*($F2950-$C$2939)))</f>
        <v/>
      </c>
      <c r="P2950" s="208">
        <f>MIN(1,MAX(0,(nr_MEndPm1-$G2950+0.5)/$C$2938))-MIN(1,MAX(0,(nr_MStartPm1-1-$G2950+0.5)/$C$2938))</f>
        <v/>
      </c>
      <c r="Q2950" s="208">
        <f>MIN(1,MAX(0,(nr_MEndP-$G2950+0.5)/$C$2938))-MIN(1,MAX(0,(nr_MStartP-1-$G2950+0.5)/$C$2938))</f>
        <v/>
      </c>
      <c r="R2950" s="208">
        <f>MIN(1,MAX(0,(nr_MEndP1-$G2950+0.5)/$C$2938))-MIN(1,MAX(0,(nr_MStartP1-1-$G2950+0.5)/$C$2938))</f>
        <v/>
      </c>
      <c r="S2950" s="208">
        <f>IF($L$2938,$N2950*IF($O$2938=1,$O2950/$F$2938,1),"")</f>
        <v/>
      </c>
      <c r="T2950" s="208">
        <f>IF(NOT($L$2938),"",IF($G2950&lt;nr_MStartP,$S2950,$T2938*(1+IF($G2950&lt;nr_MStartP1,$M$2938,$N$2938))))</f>
        <v/>
      </c>
      <c r="U2950" s="208">
        <f>IF($L$2938,$T2950,$N2950)</f>
        <v/>
      </c>
    </row>
    <row r="2951">
      <c r="A2951" s="145" t="n">
        <v>11</v>
      </c>
      <c r="B2951" s="204">
        <f>EDATE($B2950,1)</f>
        <v/>
      </c>
      <c r="C2951" s="205">
        <f>EOMONTH($B2951,0)</f>
        <v/>
      </c>
      <c r="D2951" s="201">
        <f>$C2951-$B2951+1</f>
        <v/>
      </c>
      <c r="E2951" s="201">
        <f>MONTH($B2951)</f>
        <v/>
      </c>
      <c r="F2951" s="235">
        <f>($B2951+$C2951+1)/2</f>
        <v/>
      </c>
      <c r="G2951" s="201">
        <f>YEAR($B2951)*12+MONTH($B2951)-1</f>
        <v/>
      </c>
      <c r="H2951" s="207">
        <f>IF(OR(nr_SeasonOn="OFF",$D$2938=0,$E$2938=0),1,12*INDEX(se_block,$D$2938,$E2951)/$E$2938)</f>
        <v/>
      </c>
      <c r="I2951" s="208">
        <f>EXP(SUMPRODUCT((rl_eff&lt;$B2951)*(rl_key=$A$2938)*rl_ln1p))</f>
        <v/>
      </c>
      <c r="J2951" s="208">
        <f>EXP(SUMPRODUCT((rl_eff&lt;=$C2951)*(rl_key=$A$2938)*rl_ln1p))</f>
        <v/>
      </c>
      <c r="K2951" s="201">
        <f>COUNTIFS(rl_key,$A$2938,rl_eff,"&gt;="&amp;$B2951,rl_eff,"&lt;="&amp;$C2951)</f>
        <v/>
      </c>
      <c r="L2951" s="201">
        <f>SUMIFS(rl_daysafter,rl_key,$A$2938,rl_effmonth,$B2951,rl_first,1)</f>
        <v/>
      </c>
      <c r="M2951" s="209">
        <f>IF($K2951=0,0,MIN(1,$L2951/$D2951))</f>
        <v/>
      </c>
      <c r="N2951" s="208">
        <f>IF($K2951=0,$J2951,(1-$M2951)*$I2951+$M2951*$J2951)</f>
        <v/>
      </c>
      <c r="O2951" s="209">
        <f>IF($F2951&lt;$B$2939,$E$2939+$I$2939*($F2951-$A$2939),IF($F2951&lt;$C$2939,$F$2939+$J$2939*($F2951-$B$2939),$G$2939+$K$2939*($F2951-$C$2939)))</f>
        <v/>
      </c>
      <c r="P2951" s="208">
        <f>MIN(1,MAX(0,(nr_MEndPm1-$G2951+0.5)/$C$2938))-MIN(1,MAX(0,(nr_MStartPm1-1-$G2951+0.5)/$C$2938))</f>
        <v/>
      </c>
      <c r="Q2951" s="208">
        <f>MIN(1,MAX(0,(nr_MEndP-$G2951+0.5)/$C$2938))-MIN(1,MAX(0,(nr_MStartP-1-$G2951+0.5)/$C$2938))</f>
        <v/>
      </c>
      <c r="R2951" s="208">
        <f>MIN(1,MAX(0,(nr_MEndP1-$G2951+0.5)/$C$2938))-MIN(1,MAX(0,(nr_MStartP1-1-$G2951+0.5)/$C$2938))</f>
        <v/>
      </c>
      <c r="S2951" s="208">
        <f>IF($L$2938,$N2951*IF($O$2938=1,$O2951/$F$2938,1),"")</f>
        <v/>
      </c>
      <c r="T2951" s="208">
        <f>IF(NOT($L$2938),"",IF($G2951&lt;nr_MStartP,$S2951,$T2939*(1+IF($G2951&lt;nr_MStartP1,$M$2938,$N$2938))))</f>
        <v/>
      </c>
      <c r="U2951" s="208">
        <f>IF($L$2938,$T2951,$N2951)</f>
        <v/>
      </c>
    </row>
    <row r="2952">
      <c r="A2952" s="145" t="n">
        <v>12</v>
      </c>
      <c r="B2952" s="204">
        <f>EDATE($B2951,1)</f>
        <v/>
      </c>
      <c r="C2952" s="205">
        <f>EOMONTH($B2952,0)</f>
        <v/>
      </c>
      <c r="D2952" s="201">
        <f>$C2952-$B2952+1</f>
        <v/>
      </c>
      <c r="E2952" s="201">
        <f>MONTH($B2952)</f>
        <v/>
      </c>
      <c r="F2952" s="235">
        <f>($B2952+$C2952+1)/2</f>
        <v/>
      </c>
      <c r="G2952" s="201">
        <f>YEAR($B2952)*12+MONTH($B2952)-1</f>
        <v/>
      </c>
      <c r="H2952" s="207">
        <f>IF(OR(nr_SeasonOn="OFF",$D$2938=0,$E$2938=0),1,12*INDEX(se_block,$D$2938,$E2952)/$E$2938)</f>
        <v/>
      </c>
      <c r="I2952" s="208">
        <f>EXP(SUMPRODUCT((rl_eff&lt;$B2952)*(rl_key=$A$2938)*rl_ln1p))</f>
        <v/>
      </c>
      <c r="J2952" s="208">
        <f>EXP(SUMPRODUCT((rl_eff&lt;=$C2952)*(rl_key=$A$2938)*rl_ln1p))</f>
        <v/>
      </c>
      <c r="K2952" s="201">
        <f>COUNTIFS(rl_key,$A$2938,rl_eff,"&gt;="&amp;$B2952,rl_eff,"&lt;="&amp;$C2952)</f>
        <v/>
      </c>
      <c r="L2952" s="201">
        <f>SUMIFS(rl_daysafter,rl_key,$A$2938,rl_effmonth,$B2952,rl_first,1)</f>
        <v/>
      </c>
      <c r="M2952" s="209">
        <f>IF($K2952=0,0,MIN(1,$L2952/$D2952))</f>
        <v/>
      </c>
      <c r="N2952" s="208">
        <f>IF($K2952=0,$J2952,(1-$M2952)*$I2952+$M2952*$J2952)</f>
        <v/>
      </c>
      <c r="O2952" s="209">
        <f>IF($F2952&lt;$B$2939,$E$2939+$I$2939*($F2952-$A$2939),IF($F2952&lt;$C$2939,$F$2939+$J$2939*($F2952-$B$2939),$G$2939+$K$2939*($F2952-$C$2939)))</f>
        <v/>
      </c>
      <c r="P2952" s="208">
        <f>MIN(1,MAX(0,(nr_MEndPm1-$G2952+0.5)/$C$2938))-MIN(1,MAX(0,(nr_MStartPm1-1-$G2952+0.5)/$C$2938))</f>
        <v/>
      </c>
      <c r="Q2952" s="208">
        <f>MIN(1,MAX(0,(nr_MEndP-$G2952+0.5)/$C$2938))-MIN(1,MAX(0,(nr_MStartP-1-$G2952+0.5)/$C$2938))</f>
        <v/>
      </c>
      <c r="R2952" s="208">
        <f>MIN(1,MAX(0,(nr_MEndP1-$G2952+0.5)/$C$2938))-MIN(1,MAX(0,(nr_MStartP1-1-$G2952+0.5)/$C$2938))</f>
        <v/>
      </c>
      <c r="S2952" s="208">
        <f>IF($L$2938,$N2952*IF($O$2938=1,$O2952/$F$2938,1),"")</f>
        <v/>
      </c>
      <c r="T2952" s="208">
        <f>IF(NOT($L$2938),"",IF($G2952&lt;nr_MStartP,$S2952,$T2940*(1+IF($G2952&lt;nr_MStartP1,$M$2938,$N$2938))))</f>
        <v/>
      </c>
      <c r="U2952" s="208">
        <f>IF($L$2938,$T2952,$N2952)</f>
        <v/>
      </c>
    </row>
    <row r="2953">
      <c r="A2953" s="145" t="n">
        <v>13</v>
      </c>
      <c r="B2953" s="204">
        <f>EDATE($B2952,1)</f>
        <v/>
      </c>
      <c r="C2953" s="205">
        <f>EOMONTH($B2953,0)</f>
        <v/>
      </c>
      <c r="D2953" s="201">
        <f>$C2953-$B2953+1</f>
        <v/>
      </c>
      <c r="E2953" s="201">
        <f>MONTH($B2953)</f>
        <v/>
      </c>
      <c r="F2953" s="235">
        <f>($B2953+$C2953+1)/2</f>
        <v/>
      </c>
      <c r="G2953" s="201">
        <f>YEAR($B2953)*12+MONTH($B2953)-1</f>
        <v/>
      </c>
      <c r="H2953" s="207">
        <f>IF(OR(nr_SeasonOn="OFF",$D$2938=0,$E$2938=0),1,12*INDEX(se_block,$D$2938,$E2953)/$E$2938)</f>
        <v/>
      </c>
      <c r="I2953" s="208">
        <f>EXP(SUMPRODUCT((rl_eff&lt;$B2953)*(rl_key=$A$2938)*rl_ln1p))</f>
        <v/>
      </c>
      <c r="J2953" s="208">
        <f>EXP(SUMPRODUCT((rl_eff&lt;=$C2953)*(rl_key=$A$2938)*rl_ln1p))</f>
        <v/>
      </c>
      <c r="K2953" s="201">
        <f>COUNTIFS(rl_key,$A$2938,rl_eff,"&gt;="&amp;$B2953,rl_eff,"&lt;="&amp;$C2953)</f>
        <v/>
      </c>
      <c r="L2953" s="201">
        <f>SUMIFS(rl_daysafter,rl_key,$A$2938,rl_effmonth,$B2953,rl_first,1)</f>
        <v/>
      </c>
      <c r="M2953" s="209">
        <f>IF($K2953=0,0,MIN(1,$L2953/$D2953))</f>
        <v/>
      </c>
      <c r="N2953" s="208">
        <f>IF($K2953=0,$J2953,(1-$M2953)*$I2953+$M2953*$J2953)</f>
        <v/>
      </c>
      <c r="O2953" s="209">
        <f>IF($F2953&lt;$B$2939,$E$2939+$I$2939*($F2953-$A$2939),IF($F2953&lt;$C$2939,$F$2939+$J$2939*($F2953-$B$2939),$G$2939+$K$2939*($F2953-$C$2939)))</f>
        <v/>
      </c>
      <c r="P2953" s="208">
        <f>MIN(1,MAX(0,(nr_MEndPm1-$G2953+0.5)/$C$2938))-MIN(1,MAX(0,(nr_MStartPm1-1-$G2953+0.5)/$C$2938))</f>
        <v/>
      </c>
      <c r="Q2953" s="208">
        <f>MIN(1,MAX(0,(nr_MEndP-$G2953+0.5)/$C$2938))-MIN(1,MAX(0,(nr_MStartP-1-$G2953+0.5)/$C$2938))</f>
        <v/>
      </c>
      <c r="R2953" s="208">
        <f>MIN(1,MAX(0,(nr_MEndP1-$G2953+0.5)/$C$2938))-MIN(1,MAX(0,(nr_MStartP1-1-$G2953+0.5)/$C$2938))</f>
        <v/>
      </c>
      <c r="S2953" s="208">
        <f>IF($L$2938,$N2953*IF($O$2938=1,$O2953/$F$2938,1),"")</f>
        <v/>
      </c>
      <c r="T2953" s="208">
        <f>IF(NOT($L$2938),"",IF($G2953&lt;nr_MStartP,$S2953,$T2941*(1+IF($G2953&lt;nr_MStartP1,$M$2938,$N$2938))))</f>
        <v/>
      </c>
      <c r="U2953" s="208">
        <f>IF($L$2938,$T2953,$N2953)</f>
        <v/>
      </c>
    </row>
    <row r="2954">
      <c r="A2954" s="145" t="n">
        <v>14</v>
      </c>
      <c r="B2954" s="204">
        <f>EDATE($B2953,1)</f>
        <v/>
      </c>
      <c r="C2954" s="205">
        <f>EOMONTH($B2954,0)</f>
        <v/>
      </c>
      <c r="D2954" s="201">
        <f>$C2954-$B2954+1</f>
        <v/>
      </c>
      <c r="E2954" s="201">
        <f>MONTH($B2954)</f>
        <v/>
      </c>
      <c r="F2954" s="235">
        <f>($B2954+$C2954+1)/2</f>
        <v/>
      </c>
      <c r="G2954" s="201">
        <f>YEAR($B2954)*12+MONTH($B2954)-1</f>
        <v/>
      </c>
      <c r="H2954" s="207">
        <f>IF(OR(nr_SeasonOn="OFF",$D$2938=0,$E$2938=0),1,12*INDEX(se_block,$D$2938,$E2954)/$E$2938)</f>
        <v/>
      </c>
      <c r="I2954" s="208">
        <f>EXP(SUMPRODUCT((rl_eff&lt;$B2954)*(rl_key=$A$2938)*rl_ln1p))</f>
        <v/>
      </c>
      <c r="J2954" s="208">
        <f>EXP(SUMPRODUCT((rl_eff&lt;=$C2954)*(rl_key=$A$2938)*rl_ln1p))</f>
        <v/>
      </c>
      <c r="K2954" s="201">
        <f>COUNTIFS(rl_key,$A$2938,rl_eff,"&gt;="&amp;$B2954,rl_eff,"&lt;="&amp;$C2954)</f>
        <v/>
      </c>
      <c r="L2954" s="201">
        <f>SUMIFS(rl_daysafter,rl_key,$A$2938,rl_effmonth,$B2954,rl_first,1)</f>
        <v/>
      </c>
      <c r="M2954" s="209">
        <f>IF($K2954=0,0,MIN(1,$L2954/$D2954))</f>
        <v/>
      </c>
      <c r="N2954" s="208">
        <f>IF($K2954=0,$J2954,(1-$M2954)*$I2954+$M2954*$J2954)</f>
        <v/>
      </c>
      <c r="O2954" s="209">
        <f>IF($F2954&lt;$B$2939,$E$2939+$I$2939*($F2954-$A$2939),IF($F2954&lt;$C$2939,$F$2939+$J$2939*($F2954-$B$2939),$G$2939+$K$2939*($F2954-$C$2939)))</f>
        <v/>
      </c>
      <c r="P2954" s="208">
        <f>MIN(1,MAX(0,(nr_MEndPm1-$G2954+0.5)/$C$2938))-MIN(1,MAX(0,(nr_MStartPm1-1-$G2954+0.5)/$C$2938))</f>
        <v/>
      </c>
      <c r="Q2954" s="208">
        <f>MIN(1,MAX(0,(nr_MEndP-$G2954+0.5)/$C$2938))-MIN(1,MAX(0,(nr_MStartP-1-$G2954+0.5)/$C$2938))</f>
        <v/>
      </c>
      <c r="R2954" s="208">
        <f>MIN(1,MAX(0,(nr_MEndP1-$G2954+0.5)/$C$2938))-MIN(1,MAX(0,(nr_MStartP1-1-$G2954+0.5)/$C$2938))</f>
        <v/>
      </c>
      <c r="S2954" s="208">
        <f>IF($L$2938,$N2954*IF($O$2938=1,$O2954/$F$2938,1),"")</f>
        <v/>
      </c>
      <c r="T2954" s="208">
        <f>IF(NOT($L$2938),"",IF($G2954&lt;nr_MStartP,$S2954,$T2942*(1+IF($G2954&lt;nr_MStartP1,$M$2938,$N$2938))))</f>
        <v/>
      </c>
      <c r="U2954" s="208">
        <f>IF($L$2938,$T2954,$N2954)</f>
        <v/>
      </c>
    </row>
    <row r="2955">
      <c r="A2955" s="145" t="n">
        <v>15</v>
      </c>
      <c r="B2955" s="204">
        <f>EDATE($B2954,1)</f>
        <v/>
      </c>
      <c r="C2955" s="205">
        <f>EOMONTH($B2955,0)</f>
        <v/>
      </c>
      <c r="D2955" s="201">
        <f>$C2955-$B2955+1</f>
        <v/>
      </c>
      <c r="E2955" s="201">
        <f>MONTH($B2955)</f>
        <v/>
      </c>
      <c r="F2955" s="235">
        <f>($B2955+$C2955+1)/2</f>
        <v/>
      </c>
      <c r="G2955" s="201">
        <f>YEAR($B2955)*12+MONTH($B2955)-1</f>
        <v/>
      </c>
      <c r="H2955" s="207">
        <f>IF(OR(nr_SeasonOn="OFF",$D$2938=0,$E$2938=0),1,12*INDEX(se_block,$D$2938,$E2955)/$E$2938)</f>
        <v/>
      </c>
      <c r="I2955" s="208">
        <f>EXP(SUMPRODUCT((rl_eff&lt;$B2955)*(rl_key=$A$2938)*rl_ln1p))</f>
        <v/>
      </c>
      <c r="J2955" s="208">
        <f>EXP(SUMPRODUCT((rl_eff&lt;=$C2955)*(rl_key=$A$2938)*rl_ln1p))</f>
        <v/>
      </c>
      <c r="K2955" s="201">
        <f>COUNTIFS(rl_key,$A$2938,rl_eff,"&gt;="&amp;$B2955,rl_eff,"&lt;="&amp;$C2955)</f>
        <v/>
      </c>
      <c r="L2955" s="201">
        <f>SUMIFS(rl_daysafter,rl_key,$A$2938,rl_effmonth,$B2955,rl_first,1)</f>
        <v/>
      </c>
      <c r="M2955" s="209">
        <f>IF($K2955=0,0,MIN(1,$L2955/$D2955))</f>
        <v/>
      </c>
      <c r="N2955" s="208">
        <f>IF($K2955=0,$J2955,(1-$M2955)*$I2955+$M2955*$J2955)</f>
        <v/>
      </c>
      <c r="O2955" s="209">
        <f>IF($F2955&lt;$B$2939,$E$2939+$I$2939*($F2955-$A$2939),IF($F2955&lt;$C$2939,$F$2939+$J$2939*($F2955-$B$2939),$G$2939+$K$2939*($F2955-$C$2939)))</f>
        <v/>
      </c>
      <c r="P2955" s="208">
        <f>MIN(1,MAX(0,(nr_MEndPm1-$G2955+0.5)/$C$2938))-MIN(1,MAX(0,(nr_MStartPm1-1-$G2955+0.5)/$C$2938))</f>
        <v/>
      </c>
      <c r="Q2955" s="208">
        <f>MIN(1,MAX(0,(nr_MEndP-$G2955+0.5)/$C$2938))-MIN(1,MAX(0,(nr_MStartP-1-$G2955+0.5)/$C$2938))</f>
        <v/>
      </c>
      <c r="R2955" s="208">
        <f>MIN(1,MAX(0,(nr_MEndP1-$G2955+0.5)/$C$2938))-MIN(1,MAX(0,(nr_MStartP1-1-$G2955+0.5)/$C$2938))</f>
        <v/>
      </c>
      <c r="S2955" s="208">
        <f>IF($L$2938,$N2955*IF($O$2938=1,$O2955/$F$2938,1),"")</f>
        <v/>
      </c>
      <c r="T2955" s="208">
        <f>IF(NOT($L$2938),"",IF($G2955&lt;nr_MStartP,$S2955,$T2943*(1+IF($G2955&lt;nr_MStartP1,$M$2938,$N$2938))))</f>
        <v/>
      </c>
      <c r="U2955" s="208">
        <f>IF($L$2938,$T2955,$N2955)</f>
        <v/>
      </c>
    </row>
    <row r="2956">
      <c r="A2956" s="145" t="n">
        <v>16</v>
      </c>
      <c r="B2956" s="204">
        <f>EDATE($B2955,1)</f>
        <v/>
      </c>
      <c r="C2956" s="205">
        <f>EOMONTH($B2956,0)</f>
        <v/>
      </c>
      <c r="D2956" s="201">
        <f>$C2956-$B2956+1</f>
        <v/>
      </c>
      <c r="E2956" s="201">
        <f>MONTH($B2956)</f>
        <v/>
      </c>
      <c r="F2956" s="235">
        <f>($B2956+$C2956+1)/2</f>
        <v/>
      </c>
      <c r="G2956" s="201">
        <f>YEAR($B2956)*12+MONTH($B2956)-1</f>
        <v/>
      </c>
      <c r="H2956" s="207">
        <f>IF(OR(nr_SeasonOn="OFF",$D$2938=0,$E$2938=0),1,12*INDEX(se_block,$D$2938,$E2956)/$E$2938)</f>
        <v/>
      </c>
      <c r="I2956" s="208">
        <f>EXP(SUMPRODUCT((rl_eff&lt;$B2956)*(rl_key=$A$2938)*rl_ln1p))</f>
        <v/>
      </c>
      <c r="J2956" s="208">
        <f>EXP(SUMPRODUCT((rl_eff&lt;=$C2956)*(rl_key=$A$2938)*rl_ln1p))</f>
        <v/>
      </c>
      <c r="K2956" s="201">
        <f>COUNTIFS(rl_key,$A$2938,rl_eff,"&gt;="&amp;$B2956,rl_eff,"&lt;="&amp;$C2956)</f>
        <v/>
      </c>
      <c r="L2956" s="201">
        <f>SUMIFS(rl_daysafter,rl_key,$A$2938,rl_effmonth,$B2956,rl_first,1)</f>
        <v/>
      </c>
      <c r="M2956" s="209">
        <f>IF($K2956=0,0,MIN(1,$L2956/$D2956))</f>
        <v/>
      </c>
      <c r="N2956" s="208">
        <f>IF($K2956=0,$J2956,(1-$M2956)*$I2956+$M2956*$J2956)</f>
        <v/>
      </c>
      <c r="O2956" s="209">
        <f>IF($F2956&lt;$B$2939,$E$2939+$I$2939*($F2956-$A$2939),IF($F2956&lt;$C$2939,$F$2939+$J$2939*($F2956-$B$2939),$G$2939+$K$2939*($F2956-$C$2939)))</f>
        <v/>
      </c>
      <c r="P2956" s="208">
        <f>MIN(1,MAX(0,(nr_MEndPm1-$G2956+0.5)/$C$2938))-MIN(1,MAX(0,(nr_MStartPm1-1-$G2956+0.5)/$C$2938))</f>
        <v/>
      </c>
      <c r="Q2956" s="208">
        <f>MIN(1,MAX(0,(nr_MEndP-$G2956+0.5)/$C$2938))-MIN(1,MAX(0,(nr_MStartP-1-$G2956+0.5)/$C$2938))</f>
        <v/>
      </c>
      <c r="R2956" s="208">
        <f>MIN(1,MAX(0,(nr_MEndP1-$G2956+0.5)/$C$2938))-MIN(1,MAX(0,(nr_MStartP1-1-$G2956+0.5)/$C$2938))</f>
        <v/>
      </c>
      <c r="S2956" s="208">
        <f>IF($L$2938,$N2956*IF($O$2938=1,$O2956/$F$2938,1),"")</f>
        <v/>
      </c>
      <c r="T2956" s="208">
        <f>IF(NOT($L$2938),"",IF($G2956&lt;nr_MStartP,$S2956,$T2944*(1+IF($G2956&lt;nr_MStartP1,$M$2938,$N$2938))))</f>
        <v/>
      </c>
      <c r="U2956" s="208">
        <f>IF($L$2938,$T2956,$N2956)</f>
        <v/>
      </c>
    </row>
    <row r="2957">
      <c r="A2957" s="145" t="n">
        <v>17</v>
      </c>
      <c r="B2957" s="204">
        <f>EDATE($B2956,1)</f>
        <v/>
      </c>
      <c r="C2957" s="205">
        <f>EOMONTH($B2957,0)</f>
        <v/>
      </c>
      <c r="D2957" s="201">
        <f>$C2957-$B2957+1</f>
        <v/>
      </c>
      <c r="E2957" s="201">
        <f>MONTH($B2957)</f>
        <v/>
      </c>
      <c r="F2957" s="235">
        <f>($B2957+$C2957+1)/2</f>
        <v/>
      </c>
      <c r="G2957" s="201">
        <f>YEAR($B2957)*12+MONTH($B2957)-1</f>
        <v/>
      </c>
      <c r="H2957" s="207">
        <f>IF(OR(nr_SeasonOn="OFF",$D$2938=0,$E$2938=0),1,12*INDEX(se_block,$D$2938,$E2957)/$E$2938)</f>
        <v/>
      </c>
      <c r="I2957" s="208">
        <f>EXP(SUMPRODUCT((rl_eff&lt;$B2957)*(rl_key=$A$2938)*rl_ln1p))</f>
        <v/>
      </c>
      <c r="J2957" s="208">
        <f>EXP(SUMPRODUCT((rl_eff&lt;=$C2957)*(rl_key=$A$2938)*rl_ln1p))</f>
        <v/>
      </c>
      <c r="K2957" s="201">
        <f>COUNTIFS(rl_key,$A$2938,rl_eff,"&gt;="&amp;$B2957,rl_eff,"&lt;="&amp;$C2957)</f>
        <v/>
      </c>
      <c r="L2957" s="201">
        <f>SUMIFS(rl_daysafter,rl_key,$A$2938,rl_effmonth,$B2957,rl_first,1)</f>
        <v/>
      </c>
      <c r="M2957" s="209">
        <f>IF($K2957=0,0,MIN(1,$L2957/$D2957))</f>
        <v/>
      </c>
      <c r="N2957" s="208">
        <f>IF($K2957=0,$J2957,(1-$M2957)*$I2957+$M2957*$J2957)</f>
        <v/>
      </c>
      <c r="O2957" s="209">
        <f>IF($F2957&lt;$B$2939,$E$2939+$I$2939*($F2957-$A$2939),IF($F2957&lt;$C$2939,$F$2939+$J$2939*($F2957-$B$2939),$G$2939+$K$2939*($F2957-$C$2939)))</f>
        <v/>
      </c>
      <c r="P2957" s="208">
        <f>MIN(1,MAX(0,(nr_MEndPm1-$G2957+0.5)/$C$2938))-MIN(1,MAX(0,(nr_MStartPm1-1-$G2957+0.5)/$C$2938))</f>
        <v/>
      </c>
      <c r="Q2957" s="208">
        <f>MIN(1,MAX(0,(nr_MEndP-$G2957+0.5)/$C$2938))-MIN(1,MAX(0,(nr_MStartP-1-$G2957+0.5)/$C$2938))</f>
        <v/>
      </c>
      <c r="R2957" s="208">
        <f>MIN(1,MAX(0,(nr_MEndP1-$G2957+0.5)/$C$2938))-MIN(1,MAX(0,(nr_MStartP1-1-$G2957+0.5)/$C$2938))</f>
        <v/>
      </c>
      <c r="S2957" s="208">
        <f>IF($L$2938,$N2957*IF($O$2938=1,$O2957/$F$2938,1),"")</f>
        <v/>
      </c>
      <c r="T2957" s="208">
        <f>IF(NOT($L$2938),"",IF($G2957&lt;nr_MStartP,$S2957,$T2945*(1+IF($G2957&lt;nr_MStartP1,$M$2938,$N$2938))))</f>
        <v/>
      </c>
      <c r="U2957" s="208">
        <f>IF($L$2938,$T2957,$N2957)</f>
        <v/>
      </c>
    </row>
    <row r="2958">
      <c r="A2958" s="145" t="n">
        <v>18</v>
      </c>
      <c r="B2958" s="204">
        <f>EDATE($B2957,1)</f>
        <v/>
      </c>
      <c r="C2958" s="205">
        <f>EOMONTH($B2958,0)</f>
        <v/>
      </c>
      <c r="D2958" s="201">
        <f>$C2958-$B2958+1</f>
        <v/>
      </c>
      <c r="E2958" s="201">
        <f>MONTH($B2958)</f>
        <v/>
      </c>
      <c r="F2958" s="235">
        <f>($B2958+$C2958+1)/2</f>
        <v/>
      </c>
      <c r="G2958" s="201">
        <f>YEAR($B2958)*12+MONTH($B2958)-1</f>
        <v/>
      </c>
      <c r="H2958" s="207">
        <f>IF(OR(nr_SeasonOn="OFF",$D$2938=0,$E$2938=0),1,12*INDEX(se_block,$D$2938,$E2958)/$E$2938)</f>
        <v/>
      </c>
      <c r="I2958" s="208">
        <f>EXP(SUMPRODUCT((rl_eff&lt;$B2958)*(rl_key=$A$2938)*rl_ln1p))</f>
        <v/>
      </c>
      <c r="J2958" s="208">
        <f>EXP(SUMPRODUCT((rl_eff&lt;=$C2958)*(rl_key=$A$2938)*rl_ln1p))</f>
        <v/>
      </c>
      <c r="K2958" s="201">
        <f>COUNTIFS(rl_key,$A$2938,rl_eff,"&gt;="&amp;$B2958,rl_eff,"&lt;="&amp;$C2958)</f>
        <v/>
      </c>
      <c r="L2958" s="201">
        <f>SUMIFS(rl_daysafter,rl_key,$A$2938,rl_effmonth,$B2958,rl_first,1)</f>
        <v/>
      </c>
      <c r="M2958" s="209">
        <f>IF($K2958=0,0,MIN(1,$L2958/$D2958))</f>
        <v/>
      </c>
      <c r="N2958" s="208">
        <f>IF($K2958=0,$J2958,(1-$M2958)*$I2958+$M2958*$J2958)</f>
        <v/>
      </c>
      <c r="O2958" s="209">
        <f>IF($F2958&lt;$B$2939,$E$2939+$I$2939*($F2958-$A$2939),IF($F2958&lt;$C$2939,$F$2939+$J$2939*($F2958-$B$2939),$G$2939+$K$2939*($F2958-$C$2939)))</f>
        <v/>
      </c>
      <c r="P2958" s="208">
        <f>MIN(1,MAX(0,(nr_MEndPm1-$G2958+0.5)/$C$2938))-MIN(1,MAX(0,(nr_MStartPm1-1-$G2958+0.5)/$C$2938))</f>
        <v/>
      </c>
      <c r="Q2958" s="208">
        <f>MIN(1,MAX(0,(nr_MEndP-$G2958+0.5)/$C$2938))-MIN(1,MAX(0,(nr_MStartP-1-$G2958+0.5)/$C$2938))</f>
        <v/>
      </c>
      <c r="R2958" s="208">
        <f>MIN(1,MAX(0,(nr_MEndP1-$G2958+0.5)/$C$2938))-MIN(1,MAX(0,(nr_MStartP1-1-$G2958+0.5)/$C$2938))</f>
        <v/>
      </c>
      <c r="S2958" s="208">
        <f>IF($L$2938,$N2958*IF($O$2938=1,$O2958/$F$2938,1),"")</f>
        <v/>
      </c>
      <c r="T2958" s="208">
        <f>IF(NOT($L$2938),"",IF($G2958&lt;nr_MStartP,$S2958,$T2946*(1+IF($G2958&lt;nr_MStartP1,$M$2938,$N$2938))))</f>
        <v/>
      </c>
      <c r="U2958" s="208">
        <f>IF($L$2938,$T2958,$N2958)</f>
        <v/>
      </c>
    </row>
    <row r="2959">
      <c r="A2959" s="145" t="n">
        <v>19</v>
      </c>
      <c r="B2959" s="204">
        <f>EDATE($B2958,1)</f>
        <v/>
      </c>
      <c r="C2959" s="205">
        <f>EOMONTH($B2959,0)</f>
        <v/>
      </c>
      <c r="D2959" s="201">
        <f>$C2959-$B2959+1</f>
        <v/>
      </c>
      <c r="E2959" s="201">
        <f>MONTH($B2959)</f>
        <v/>
      </c>
      <c r="F2959" s="235">
        <f>($B2959+$C2959+1)/2</f>
        <v/>
      </c>
      <c r="G2959" s="201">
        <f>YEAR($B2959)*12+MONTH($B2959)-1</f>
        <v/>
      </c>
      <c r="H2959" s="207">
        <f>IF(OR(nr_SeasonOn="OFF",$D$2938=0,$E$2938=0),1,12*INDEX(se_block,$D$2938,$E2959)/$E$2938)</f>
        <v/>
      </c>
      <c r="I2959" s="208">
        <f>EXP(SUMPRODUCT((rl_eff&lt;$B2959)*(rl_key=$A$2938)*rl_ln1p))</f>
        <v/>
      </c>
      <c r="J2959" s="208">
        <f>EXP(SUMPRODUCT((rl_eff&lt;=$C2959)*(rl_key=$A$2938)*rl_ln1p))</f>
        <v/>
      </c>
      <c r="K2959" s="201">
        <f>COUNTIFS(rl_key,$A$2938,rl_eff,"&gt;="&amp;$B2959,rl_eff,"&lt;="&amp;$C2959)</f>
        <v/>
      </c>
      <c r="L2959" s="201">
        <f>SUMIFS(rl_daysafter,rl_key,$A$2938,rl_effmonth,$B2959,rl_first,1)</f>
        <v/>
      </c>
      <c r="M2959" s="209">
        <f>IF($K2959=0,0,MIN(1,$L2959/$D2959))</f>
        <v/>
      </c>
      <c r="N2959" s="208">
        <f>IF($K2959=0,$J2959,(1-$M2959)*$I2959+$M2959*$J2959)</f>
        <v/>
      </c>
      <c r="O2959" s="209">
        <f>IF($F2959&lt;$B$2939,$E$2939+$I$2939*($F2959-$A$2939),IF($F2959&lt;$C$2939,$F$2939+$J$2939*($F2959-$B$2939),$G$2939+$K$2939*($F2959-$C$2939)))</f>
        <v/>
      </c>
      <c r="P2959" s="208">
        <f>MIN(1,MAX(0,(nr_MEndPm1-$G2959+0.5)/$C$2938))-MIN(1,MAX(0,(nr_MStartPm1-1-$G2959+0.5)/$C$2938))</f>
        <v/>
      </c>
      <c r="Q2959" s="208">
        <f>MIN(1,MAX(0,(nr_MEndP-$G2959+0.5)/$C$2938))-MIN(1,MAX(0,(nr_MStartP-1-$G2959+0.5)/$C$2938))</f>
        <v/>
      </c>
      <c r="R2959" s="208">
        <f>MIN(1,MAX(0,(nr_MEndP1-$G2959+0.5)/$C$2938))-MIN(1,MAX(0,(nr_MStartP1-1-$G2959+0.5)/$C$2938))</f>
        <v/>
      </c>
      <c r="S2959" s="208">
        <f>IF($L$2938,$N2959*IF($O$2938=1,$O2959/$F$2938,1),"")</f>
        <v/>
      </c>
      <c r="T2959" s="208">
        <f>IF(NOT($L$2938),"",IF($G2959&lt;nr_MStartP,$S2959,$T2947*(1+IF($G2959&lt;nr_MStartP1,$M$2938,$N$2938))))</f>
        <v/>
      </c>
      <c r="U2959" s="208">
        <f>IF($L$2938,$T2959,$N2959)</f>
        <v/>
      </c>
    </row>
    <row r="2960">
      <c r="A2960" s="145" t="n">
        <v>20</v>
      </c>
      <c r="B2960" s="204">
        <f>EDATE($B2959,1)</f>
        <v/>
      </c>
      <c r="C2960" s="205">
        <f>EOMONTH($B2960,0)</f>
        <v/>
      </c>
      <c r="D2960" s="201">
        <f>$C2960-$B2960+1</f>
        <v/>
      </c>
      <c r="E2960" s="201">
        <f>MONTH($B2960)</f>
        <v/>
      </c>
      <c r="F2960" s="235">
        <f>($B2960+$C2960+1)/2</f>
        <v/>
      </c>
      <c r="G2960" s="201">
        <f>YEAR($B2960)*12+MONTH($B2960)-1</f>
        <v/>
      </c>
      <c r="H2960" s="207">
        <f>IF(OR(nr_SeasonOn="OFF",$D$2938=0,$E$2938=0),1,12*INDEX(se_block,$D$2938,$E2960)/$E$2938)</f>
        <v/>
      </c>
      <c r="I2960" s="208">
        <f>EXP(SUMPRODUCT((rl_eff&lt;$B2960)*(rl_key=$A$2938)*rl_ln1p))</f>
        <v/>
      </c>
      <c r="J2960" s="208">
        <f>EXP(SUMPRODUCT((rl_eff&lt;=$C2960)*(rl_key=$A$2938)*rl_ln1p))</f>
        <v/>
      </c>
      <c r="K2960" s="201">
        <f>COUNTIFS(rl_key,$A$2938,rl_eff,"&gt;="&amp;$B2960,rl_eff,"&lt;="&amp;$C2960)</f>
        <v/>
      </c>
      <c r="L2960" s="201">
        <f>SUMIFS(rl_daysafter,rl_key,$A$2938,rl_effmonth,$B2960,rl_first,1)</f>
        <v/>
      </c>
      <c r="M2960" s="209">
        <f>IF($K2960=0,0,MIN(1,$L2960/$D2960))</f>
        <v/>
      </c>
      <c r="N2960" s="208">
        <f>IF($K2960=0,$J2960,(1-$M2960)*$I2960+$M2960*$J2960)</f>
        <v/>
      </c>
      <c r="O2960" s="209">
        <f>IF($F2960&lt;$B$2939,$E$2939+$I$2939*($F2960-$A$2939),IF($F2960&lt;$C$2939,$F$2939+$J$2939*($F2960-$B$2939),$G$2939+$K$2939*($F2960-$C$2939)))</f>
        <v/>
      </c>
      <c r="P2960" s="208">
        <f>MIN(1,MAX(0,(nr_MEndPm1-$G2960+0.5)/$C$2938))-MIN(1,MAX(0,(nr_MStartPm1-1-$G2960+0.5)/$C$2938))</f>
        <v/>
      </c>
      <c r="Q2960" s="208">
        <f>MIN(1,MAX(0,(nr_MEndP-$G2960+0.5)/$C$2938))-MIN(1,MAX(0,(nr_MStartP-1-$G2960+0.5)/$C$2938))</f>
        <v/>
      </c>
      <c r="R2960" s="208">
        <f>MIN(1,MAX(0,(nr_MEndP1-$G2960+0.5)/$C$2938))-MIN(1,MAX(0,(nr_MStartP1-1-$G2960+0.5)/$C$2938))</f>
        <v/>
      </c>
      <c r="S2960" s="208">
        <f>IF($L$2938,$N2960*IF($O$2938=1,$O2960/$F$2938,1),"")</f>
        <v/>
      </c>
      <c r="T2960" s="208">
        <f>IF(NOT($L$2938),"",IF($G2960&lt;nr_MStartP,$S2960,$T2948*(1+IF($G2960&lt;nr_MStartP1,$M$2938,$N$2938))))</f>
        <v/>
      </c>
      <c r="U2960" s="208">
        <f>IF($L$2938,$T2960,$N2960)</f>
        <v/>
      </c>
    </row>
    <row r="2961">
      <c r="A2961" s="145" t="n">
        <v>21</v>
      </c>
      <c r="B2961" s="204">
        <f>EDATE($B2960,1)</f>
        <v/>
      </c>
      <c r="C2961" s="205">
        <f>EOMONTH($B2961,0)</f>
        <v/>
      </c>
      <c r="D2961" s="201">
        <f>$C2961-$B2961+1</f>
        <v/>
      </c>
      <c r="E2961" s="201">
        <f>MONTH($B2961)</f>
        <v/>
      </c>
      <c r="F2961" s="235">
        <f>($B2961+$C2961+1)/2</f>
        <v/>
      </c>
      <c r="G2961" s="201">
        <f>YEAR($B2961)*12+MONTH($B2961)-1</f>
        <v/>
      </c>
      <c r="H2961" s="207">
        <f>IF(OR(nr_SeasonOn="OFF",$D$2938=0,$E$2938=0),1,12*INDEX(se_block,$D$2938,$E2961)/$E$2938)</f>
        <v/>
      </c>
      <c r="I2961" s="208">
        <f>EXP(SUMPRODUCT((rl_eff&lt;$B2961)*(rl_key=$A$2938)*rl_ln1p))</f>
        <v/>
      </c>
      <c r="J2961" s="208">
        <f>EXP(SUMPRODUCT((rl_eff&lt;=$C2961)*(rl_key=$A$2938)*rl_ln1p))</f>
        <v/>
      </c>
      <c r="K2961" s="201">
        <f>COUNTIFS(rl_key,$A$2938,rl_eff,"&gt;="&amp;$B2961,rl_eff,"&lt;="&amp;$C2961)</f>
        <v/>
      </c>
      <c r="L2961" s="201">
        <f>SUMIFS(rl_daysafter,rl_key,$A$2938,rl_effmonth,$B2961,rl_first,1)</f>
        <v/>
      </c>
      <c r="M2961" s="209">
        <f>IF($K2961=0,0,MIN(1,$L2961/$D2961))</f>
        <v/>
      </c>
      <c r="N2961" s="208">
        <f>IF($K2961=0,$J2961,(1-$M2961)*$I2961+$M2961*$J2961)</f>
        <v/>
      </c>
      <c r="O2961" s="209">
        <f>IF($F2961&lt;$B$2939,$E$2939+$I$2939*($F2961-$A$2939),IF($F2961&lt;$C$2939,$F$2939+$J$2939*($F2961-$B$2939),$G$2939+$K$2939*($F2961-$C$2939)))</f>
        <v/>
      </c>
      <c r="P2961" s="208">
        <f>MIN(1,MAX(0,(nr_MEndPm1-$G2961+0.5)/$C$2938))-MIN(1,MAX(0,(nr_MStartPm1-1-$G2961+0.5)/$C$2938))</f>
        <v/>
      </c>
      <c r="Q2961" s="208">
        <f>MIN(1,MAX(0,(nr_MEndP-$G2961+0.5)/$C$2938))-MIN(1,MAX(0,(nr_MStartP-1-$G2961+0.5)/$C$2938))</f>
        <v/>
      </c>
      <c r="R2961" s="208">
        <f>MIN(1,MAX(0,(nr_MEndP1-$G2961+0.5)/$C$2938))-MIN(1,MAX(0,(nr_MStartP1-1-$G2961+0.5)/$C$2938))</f>
        <v/>
      </c>
      <c r="S2961" s="208">
        <f>IF($L$2938,$N2961*IF($O$2938=1,$O2961/$F$2938,1),"")</f>
        <v/>
      </c>
      <c r="T2961" s="208">
        <f>IF(NOT($L$2938),"",IF($G2961&lt;nr_MStartP,$S2961,$T2949*(1+IF($G2961&lt;nr_MStartP1,$M$2938,$N$2938))))</f>
        <v/>
      </c>
      <c r="U2961" s="208">
        <f>IF($L$2938,$T2961,$N2961)</f>
        <v/>
      </c>
    </row>
    <row r="2962">
      <c r="A2962" s="145" t="n">
        <v>22</v>
      </c>
      <c r="B2962" s="204">
        <f>EDATE($B2961,1)</f>
        <v/>
      </c>
      <c r="C2962" s="205">
        <f>EOMONTH($B2962,0)</f>
        <v/>
      </c>
      <c r="D2962" s="201">
        <f>$C2962-$B2962+1</f>
        <v/>
      </c>
      <c r="E2962" s="201">
        <f>MONTH($B2962)</f>
        <v/>
      </c>
      <c r="F2962" s="235">
        <f>($B2962+$C2962+1)/2</f>
        <v/>
      </c>
      <c r="G2962" s="201">
        <f>YEAR($B2962)*12+MONTH($B2962)-1</f>
        <v/>
      </c>
      <c r="H2962" s="207">
        <f>IF(OR(nr_SeasonOn="OFF",$D$2938=0,$E$2938=0),1,12*INDEX(se_block,$D$2938,$E2962)/$E$2938)</f>
        <v/>
      </c>
      <c r="I2962" s="208">
        <f>EXP(SUMPRODUCT((rl_eff&lt;$B2962)*(rl_key=$A$2938)*rl_ln1p))</f>
        <v/>
      </c>
      <c r="J2962" s="208">
        <f>EXP(SUMPRODUCT((rl_eff&lt;=$C2962)*(rl_key=$A$2938)*rl_ln1p))</f>
        <v/>
      </c>
      <c r="K2962" s="201">
        <f>COUNTIFS(rl_key,$A$2938,rl_eff,"&gt;="&amp;$B2962,rl_eff,"&lt;="&amp;$C2962)</f>
        <v/>
      </c>
      <c r="L2962" s="201">
        <f>SUMIFS(rl_daysafter,rl_key,$A$2938,rl_effmonth,$B2962,rl_first,1)</f>
        <v/>
      </c>
      <c r="M2962" s="209">
        <f>IF($K2962=0,0,MIN(1,$L2962/$D2962))</f>
        <v/>
      </c>
      <c r="N2962" s="208">
        <f>IF($K2962=0,$J2962,(1-$M2962)*$I2962+$M2962*$J2962)</f>
        <v/>
      </c>
      <c r="O2962" s="209">
        <f>IF($F2962&lt;$B$2939,$E$2939+$I$2939*($F2962-$A$2939),IF($F2962&lt;$C$2939,$F$2939+$J$2939*($F2962-$B$2939),$G$2939+$K$2939*($F2962-$C$2939)))</f>
        <v/>
      </c>
      <c r="P2962" s="208">
        <f>MIN(1,MAX(0,(nr_MEndPm1-$G2962+0.5)/$C$2938))-MIN(1,MAX(0,(nr_MStartPm1-1-$G2962+0.5)/$C$2938))</f>
        <v/>
      </c>
      <c r="Q2962" s="208">
        <f>MIN(1,MAX(0,(nr_MEndP-$G2962+0.5)/$C$2938))-MIN(1,MAX(0,(nr_MStartP-1-$G2962+0.5)/$C$2938))</f>
        <v/>
      </c>
      <c r="R2962" s="208">
        <f>MIN(1,MAX(0,(nr_MEndP1-$G2962+0.5)/$C$2938))-MIN(1,MAX(0,(nr_MStartP1-1-$G2962+0.5)/$C$2938))</f>
        <v/>
      </c>
      <c r="S2962" s="208">
        <f>IF($L$2938,$N2962*IF($O$2938=1,$O2962/$F$2938,1),"")</f>
        <v/>
      </c>
      <c r="T2962" s="208">
        <f>IF(NOT($L$2938),"",IF($G2962&lt;nr_MStartP,$S2962,$T2950*(1+IF($G2962&lt;nr_MStartP1,$M$2938,$N$2938))))</f>
        <v/>
      </c>
      <c r="U2962" s="208">
        <f>IF($L$2938,$T2962,$N2962)</f>
        <v/>
      </c>
    </row>
    <row r="2963">
      <c r="A2963" s="145" t="n">
        <v>23</v>
      </c>
      <c r="B2963" s="204">
        <f>EDATE($B2962,1)</f>
        <v/>
      </c>
      <c r="C2963" s="205">
        <f>EOMONTH($B2963,0)</f>
        <v/>
      </c>
      <c r="D2963" s="201">
        <f>$C2963-$B2963+1</f>
        <v/>
      </c>
      <c r="E2963" s="201">
        <f>MONTH($B2963)</f>
        <v/>
      </c>
      <c r="F2963" s="235">
        <f>($B2963+$C2963+1)/2</f>
        <v/>
      </c>
      <c r="G2963" s="201">
        <f>YEAR($B2963)*12+MONTH($B2963)-1</f>
        <v/>
      </c>
      <c r="H2963" s="207">
        <f>IF(OR(nr_SeasonOn="OFF",$D$2938=0,$E$2938=0),1,12*INDEX(se_block,$D$2938,$E2963)/$E$2938)</f>
        <v/>
      </c>
      <c r="I2963" s="208">
        <f>EXP(SUMPRODUCT((rl_eff&lt;$B2963)*(rl_key=$A$2938)*rl_ln1p))</f>
        <v/>
      </c>
      <c r="J2963" s="208">
        <f>EXP(SUMPRODUCT((rl_eff&lt;=$C2963)*(rl_key=$A$2938)*rl_ln1p))</f>
        <v/>
      </c>
      <c r="K2963" s="201">
        <f>COUNTIFS(rl_key,$A$2938,rl_eff,"&gt;="&amp;$B2963,rl_eff,"&lt;="&amp;$C2963)</f>
        <v/>
      </c>
      <c r="L2963" s="201">
        <f>SUMIFS(rl_daysafter,rl_key,$A$2938,rl_effmonth,$B2963,rl_first,1)</f>
        <v/>
      </c>
      <c r="M2963" s="209">
        <f>IF($K2963=0,0,MIN(1,$L2963/$D2963))</f>
        <v/>
      </c>
      <c r="N2963" s="208">
        <f>IF($K2963=0,$J2963,(1-$M2963)*$I2963+$M2963*$J2963)</f>
        <v/>
      </c>
      <c r="O2963" s="209">
        <f>IF($F2963&lt;$B$2939,$E$2939+$I$2939*($F2963-$A$2939),IF($F2963&lt;$C$2939,$F$2939+$J$2939*($F2963-$B$2939),$G$2939+$K$2939*($F2963-$C$2939)))</f>
        <v/>
      </c>
      <c r="P2963" s="208">
        <f>MIN(1,MAX(0,(nr_MEndPm1-$G2963+0.5)/$C$2938))-MIN(1,MAX(0,(nr_MStartPm1-1-$G2963+0.5)/$C$2938))</f>
        <v/>
      </c>
      <c r="Q2963" s="208">
        <f>MIN(1,MAX(0,(nr_MEndP-$G2963+0.5)/$C$2938))-MIN(1,MAX(0,(nr_MStartP-1-$G2963+0.5)/$C$2938))</f>
        <v/>
      </c>
      <c r="R2963" s="208">
        <f>MIN(1,MAX(0,(nr_MEndP1-$G2963+0.5)/$C$2938))-MIN(1,MAX(0,(nr_MStartP1-1-$G2963+0.5)/$C$2938))</f>
        <v/>
      </c>
      <c r="S2963" s="208">
        <f>IF($L$2938,$N2963*IF($O$2938=1,$O2963/$F$2938,1),"")</f>
        <v/>
      </c>
      <c r="T2963" s="208">
        <f>IF(NOT($L$2938),"",IF($G2963&lt;nr_MStartP,$S2963,$T2951*(1+IF($G2963&lt;nr_MStartP1,$M$2938,$N$2938))))</f>
        <v/>
      </c>
      <c r="U2963" s="208">
        <f>IF($L$2938,$T2963,$N2963)</f>
        <v/>
      </c>
    </row>
    <row r="2964">
      <c r="A2964" s="145" t="n">
        <v>24</v>
      </c>
      <c r="B2964" s="204">
        <f>EDATE($B2963,1)</f>
        <v/>
      </c>
      <c r="C2964" s="205">
        <f>EOMONTH($B2964,0)</f>
        <v/>
      </c>
      <c r="D2964" s="201">
        <f>$C2964-$B2964+1</f>
        <v/>
      </c>
      <c r="E2964" s="201">
        <f>MONTH($B2964)</f>
        <v/>
      </c>
      <c r="F2964" s="235">
        <f>($B2964+$C2964+1)/2</f>
        <v/>
      </c>
      <c r="G2964" s="201">
        <f>YEAR($B2964)*12+MONTH($B2964)-1</f>
        <v/>
      </c>
      <c r="H2964" s="207">
        <f>IF(OR(nr_SeasonOn="OFF",$D$2938=0,$E$2938=0),1,12*INDEX(se_block,$D$2938,$E2964)/$E$2938)</f>
        <v/>
      </c>
      <c r="I2964" s="208">
        <f>EXP(SUMPRODUCT((rl_eff&lt;$B2964)*(rl_key=$A$2938)*rl_ln1p))</f>
        <v/>
      </c>
      <c r="J2964" s="208">
        <f>EXP(SUMPRODUCT((rl_eff&lt;=$C2964)*(rl_key=$A$2938)*rl_ln1p))</f>
        <v/>
      </c>
      <c r="K2964" s="201">
        <f>COUNTIFS(rl_key,$A$2938,rl_eff,"&gt;="&amp;$B2964,rl_eff,"&lt;="&amp;$C2964)</f>
        <v/>
      </c>
      <c r="L2964" s="201">
        <f>SUMIFS(rl_daysafter,rl_key,$A$2938,rl_effmonth,$B2964,rl_first,1)</f>
        <v/>
      </c>
      <c r="M2964" s="209">
        <f>IF($K2964=0,0,MIN(1,$L2964/$D2964))</f>
        <v/>
      </c>
      <c r="N2964" s="208">
        <f>IF($K2964=0,$J2964,(1-$M2964)*$I2964+$M2964*$J2964)</f>
        <v/>
      </c>
      <c r="O2964" s="209">
        <f>IF($F2964&lt;$B$2939,$E$2939+$I$2939*($F2964-$A$2939),IF($F2964&lt;$C$2939,$F$2939+$J$2939*($F2964-$B$2939),$G$2939+$K$2939*($F2964-$C$2939)))</f>
        <v/>
      </c>
      <c r="P2964" s="208">
        <f>MIN(1,MAX(0,(nr_MEndPm1-$G2964+0.5)/$C$2938))-MIN(1,MAX(0,(nr_MStartPm1-1-$G2964+0.5)/$C$2938))</f>
        <v/>
      </c>
      <c r="Q2964" s="208">
        <f>MIN(1,MAX(0,(nr_MEndP-$G2964+0.5)/$C$2938))-MIN(1,MAX(0,(nr_MStartP-1-$G2964+0.5)/$C$2938))</f>
        <v/>
      </c>
      <c r="R2964" s="208">
        <f>MIN(1,MAX(0,(nr_MEndP1-$G2964+0.5)/$C$2938))-MIN(1,MAX(0,(nr_MStartP1-1-$G2964+0.5)/$C$2938))</f>
        <v/>
      </c>
      <c r="S2964" s="208">
        <f>IF($L$2938,$N2964*IF($O$2938=1,$O2964/$F$2938,1),"")</f>
        <v/>
      </c>
      <c r="T2964" s="208">
        <f>IF(NOT($L$2938),"",IF($G2964&lt;nr_MStartP,$S2964,$T2952*(1+IF($G2964&lt;nr_MStartP1,$M$2938,$N$2938))))</f>
        <v/>
      </c>
      <c r="U2964" s="208">
        <f>IF($L$2938,$T2964,$N2964)</f>
        <v/>
      </c>
    </row>
    <row r="2965">
      <c r="A2965" s="145" t="n">
        <v>25</v>
      </c>
      <c r="B2965" s="204">
        <f>EDATE($B2964,1)</f>
        <v/>
      </c>
      <c r="C2965" s="205">
        <f>EOMONTH($B2965,0)</f>
        <v/>
      </c>
      <c r="D2965" s="201">
        <f>$C2965-$B2965+1</f>
        <v/>
      </c>
      <c r="E2965" s="201">
        <f>MONTH($B2965)</f>
        <v/>
      </c>
      <c r="F2965" s="235">
        <f>($B2965+$C2965+1)/2</f>
        <v/>
      </c>
      <c r="G2965" s="201">
        <f>YEAR($B2965)*12+MONTH($B2965)-1</f>
        <v/>
      </c>
      <c r="H2965" s="207">
        <f>IF(OR(nr_SeasonOn="OFF",$D$2938=0,$E$2938=0),1,12*INDEX(se_block,$D$2938,$E2965)/$E$2938)</f>
        <v/>
      </c>
      <c r="I2965" s="208">
        <f>EXP(SUMPRODUCT((rl_eff&lt;$B2965)*(rl_key=$A$2938)*rl_ln1p))</f>
        <v/>
      </c>
      <c r="J2965" s="208">
        <f>EXP(SUMPRODUCT((rl_eff&lt;=$C2965)*(rl_key=$A$2938)*rl_ln1p))</f>
        <v/>
      </c>
      <c r="K2965" s="201">
        <f>COUNTIFS(rl_key,$A$2938,rl_eff,"&gt;="&amp;$B2965,rl_eff,"&lt;="&amp;$C2965)</f>
        <v/>
      </c>
      <c r="L2965" s="201">
        <f>SUMIFS(rl_daysafter,rl_key,$A$2938,rl_effmonth,$B2965,rl_first,1)</f>
        <v/>
      </c>
      <c r="M2965" s="209">
        <f>IF($K2965=0,0,MIN(1,$L2965/$D2965))</f>
        <v/>
      </c>
      <c r="N2965" s="208">
        <f>IF($K2965=0,$J2965,(1-$M2965)*$I2965+$M2965*$J2965)</f>
        <v/>
      </c>
      <c r="O2965" s="209">
        <f>IF($F2965&lt;$B$2939,$E$2939+$I$2939*($F2965-$A$2939),IF($F2965&lt;$C$2939,$F$2939+$J$2939*($F2965-$B$2939),$G$2939+$K$2939*($F2965-$C$2939)))</f>
        <v/>
      </c>
      <c r="P2965" s="208">
        <f>MIN(1,MAX(0,(nr_MEndPm1-$G2965+0.5)/$C$2938))-MIN(1,MAX(0,(nr_MStartPm1-1-$G2965+0.5)/$C$2938))</f>
        <v/>
      </c>
      <c r="Q2965" s="208">
        <f>MIN(1,MAX(0,(nr_MEndP-$G2965+0.5)/$C$2938))-MIN(1,MAX(0,(nr_MStartP-1-$G2965+0.5)/$C$2938))</f>
        <v/>
      </c>
      <c r="R2965" s="208">
        <f>MIN(1,MAX(0,(nr_MEndP1-$G2965+0.5)/$C$2938))-MIN(1,MAX(0,(nr_MStartP1-1-$G2965+0.5)/$C$2938))</f>
        <v/>
      </c>
      <c r="S2965" s="208">
        <f>IF($L$2938,$N2965*IF($O$2938=1,$O2965/$F$2938,1),"")</f>
        <v/>
      </c>
      <c r="T2965" s="208">
        <f>IF(NOT($L$2938),"",IF($G2965&lt;nr_MStartP,$S2965,$T2953*(1+IF($G2965&lt;nr_MStartP1,$M$2938,$N$2938))))</f>
        <v/>
      </c>
      <c r="U2965" s="208">
        <f>IF($L$2938,$T2965,$N2965)</f>
        <v/>
      </c>
    </row>
    <row r="2966">
      <c r="A2966" s="145" t="n">
        <v>26</v>
      </c>
      <c r="B2966" s="204">
        <f>EDATE($B2965,1)</f>
        <v/>
      </c>
      <c r="C2966" s="205">
        <f>EOMONTH($B2966,0)</f>
        <v/>
      </c>
      <c r="D2966" s="201">
        <f>$C2966-$B2966+1</f>
        <v/>
      </c>
      <c r="E2966" s="201">
        <f>MONTH($B2966)</f>
        <v/>
      </c>
      <c r="F2966" s="235">
        <f>($B2966+$C2966+1)/2</f>
        <v/>
      </c>
      <c r="G2966" s="201">
        <f>YEAR($B2966)*12+MONTH($B2966)-1</f>
        <v/>
      </c>
      <c r="H2966" s="207">
        <f>IF(OR(nr_SeasonOn="OFF",$D$2938=0,$E$2938=0),1,12*INDEX(se_block,$D$2938,$E2966)/$E$2938)</f>
        <v/>
      </c>
      <c r="I2966" s="208">
        <f>EXP(SUMPRODUCT((rl_eff&lt;$B2966)*(rl_key=$A$2938)*rl_ln1p))</f>
        <v/>
      </c>
      <c r="J2966" s="208">
        <f>EXP(SUMPRODUCT((rl_eff&lt;=$C2966)*(rl_key=$A$2938)*rl_ln1p))</f>
        <v/>
      </c>
      <c r="K2966" s="201">
        <f>COUNTIFS(rl_key,$A$2938,rl_eff,"&gt;="&amp;$B2966,rl_eff,"&lt;="&amp;$C2966)</f>
        <v/>
      </c>
      <c r="L2966" s="201">
        <f>SUMIFS(rl_daysafter,rl_key,$A$2938,rl_effmonth,$B2966,rl_first,1)</f>
        <v/>
      </c>
      <c r="M2966" s="209">
        <f>IF($K2966=0,0,MIN(1,$L2966/$D2966))</f>
        <v/>
      </c>
      <c r="N2966" s="208">
        <f>IF($K2966=0,$J2966,(1-$M2966)*$I2966+$M2966*$J2966)</f>
        <v/>
      </c>
      <c r="O2966" s="209">
        <f>IF($F2966&lt;$B$2939,$E$2939+$I$2939*($F2966-$A$2939),IF($F2966&lt;$C$2939,$F$2939+$J$2939*($F2966-$B$2939),$G$2939+$K$2939*($F2966-$C$2939)))</f>
        <v/>
      </c>
      <c r="P2966" s="208">
        <f>MIN(1,MAX(0,(nr_MEndPm1-$G2966+0.5)/$C$2938))-MIN(1,MAX(0,(nr_MStartPm1-1-$G2966+0.5)/$C$2938))</f>
        <v/>
      </c>
      <c r="Q2966" s="208">
        <f>MIN(1,MAX(0,(nr_MEndP-$G2966+0.5)/$C$2938))-MIN(1,MAX(0,(nr_MStartP-1-$G2966+0.5)/$C$2938))</f>
        <v/>
      </c>
      <c r="R2966" s="208">
        <f>MIN(1,MAX(0,(nr_MEndP1-$G2966+0.5)/$C$2938))-MIN(1,MAX(0,(nr_MStartP1-1-$G2966+0.5)/$C$2938))</f>
        <v/>
      </c>
      <c r="S2966" s="208">
        <f>IF($L$2938,$N2966*IF($O$2938=1,$O2966/$F$2938,1),"")</f>
        <v/>
      </c>
      <c r="T2966" s="208">
        <f>IF(NOT($L$2938),"",IF($G2966&lt;nr_MStartP,$S2966,$T2954*(1+IF($G2966&lt;nr_MStartP1,$M$2938,$N$2938))))</f>
        <v/>
      </c>
      <c r="U2966" s="208">
        <f>IF($L$2938,$T2966,$N2966)</f>
        <v/>
      </c>
    </row>
    <row r="2967">
      <c r="A2967" s="145" t="n">
        <v>27</v>
      </c>
      <c r="B2967" s="204">
        <f>EDATE($B2966,1)</f>
        <v/>
      </c>
      <c r="C2967" s="205">
        <f>EOMONTH($B2967,0)</f>
        <v/>
      </c>
      <c r="D2967" s="201">
        <f>$C2967-$B2967+1</f>
        <v/>
      </c>
      <c r="E2967" s="201">
        <f>MONTH($B2967)</f>
        <v/>
      </c>
      <c r="F2967" s="235">
        <f>($B2967+$C2967+1)/2</f>
        <v/>
      </c>
      <c r="G2967" s="201">
        <f>YEAR($B2967)*12+MONTH($B2967)-1</f>
        <v/>
      </c>
      <c r="H2967" s="207">
        <f>IF(OR(nr_SeasonOn="OFF",$D$2938=0,$E$2938=0),1,12*INDEX(se_block,$D$2938,$E2967)/$E$2938)</f>
        <v/>
      </c>
      <c r="I2967" s="208">
        <f>EXP(SUMPRODUCT((rl_eff&lt;$B2967)*(rl_key=$A$2938)*rl_ln1p))</f>
        <v/>
      </c>
      <c r="J2967" s="208">
        <f>EXP(SUMPRODUCT((rl_eff&lt;=$C2967)*(rl_key=$A$2938)*rl_ln1p))</f>
        <v/>
      </c>
      <c r="K2967" s="201">
        <f>COUNTIFS(rl_key,$A$2938,rl_eff,"&gt;="&amp;$B2967,rl_eff,"&lt;="&amp;$C2967)</f>
        <v/>
      </c>
      <c r="L2967" s="201">
        <f>SUMIFS(rl_daysafter,rl_key,$A$2938,rl_effmonth,$B2967,rl_first,1)</f>
        <v/>
      </c>
      <c r="M2967" s="209">
        <f>IF($K2967=0,0,MIN(1,$L2967/$D2967))</f>
        <v/>
      </c>
      <c r="N2967" s="208">
        <f>IF($K2967=0,$J2967,(1-$M2967)*$I2967+$M2967*$J2967)</f>
        <v/>
      </c>
      <c r="O2967" s="209">
        <f>IF($F2967&lt;$B$2939,$E$2939+$I$2939*($F2967-$A$2939),IF($F2967&lt;$C$2939,$F$2939+$J$2939*($F2967-$B$2939),$G$2939+$K$2939*($F2967-$C$2939)))</f>
        <v/>
      </c>
      <c r="P2967" s="208">
        <f>MIN(1,MAX(0,(nr_MEndPm1-$G2967+0.5)/$C$2938))-MIN(1,MAX(0,(nr_MStartPm1-1-$G2967+0.5)/$C$2938))</f>
        <v/>
      </c>
      <c r="Q2967" s="208">
        <f>MIN(1,MAX(0,(nr_MEndP-$G2967+0.5)/$C$2938))-MIN(1,MAX(0,(nr_MStartP-1-$G2967+0.5)/$C$2938))</f>
        <v/>
      </c>
      <c r="R2967" s="208">
        <f>MIN(1,MAX(0,(nr_MEndP1-$G2967+0.5)/$C$2938))-MIN(1,MAX(0,(nr_MStartP1-1-$G2967+0.5)/$C$2938))</f>
        <v/>
      </c>
      <c r="S2967" s="208">
        <f>IF($L$2938,$N2967*IF($O$2938=1,$O2967/$F$2938,1),"")</f>
        <v/>
      </c>
      <c r="T2967" s="208">
        <f>IF(NOT($L$2938),"",IF($G2967&lt;nr_MStartP,$S2967,$T2955*(1+IF($G2967&lt;nr_MStartP1,$M$2938,$N$2938))))</f>
        <v/>
      </c>
      <c r="U2967" s="208">
        <f>IF($L$2938,$T2967,$N2967)</f>
        <v/>
      </c>
    </row>
    <row r="2968">
      <c r="A2968" s="145" t="n">
        <v>28</v>
      </c>
      <c r="B2968" s="204">
        <f>EDATE($B2967,1)</f>
        <v/>
      </c>
      <c r="C2968" s="205">
        <f>EOMONTH($B2968,0)</f>
        <v/>
      </c>
      <c r="D2968" s="201">
        <f>$C2968-$B2968+1</f>
        <v/>
      </c>
      <c r="E2968" s="201">
        <f>MONTH($B2968)</f>
        <v/>
      </c>
      <c r="F2968" s="235">
        <f>($B2968+$C2968+1)/2</f>
        <v/>
      </c>
      <c r="G2968" s="201">
        <f>YEAR($B2968)*12+MONTH($B2968)-1</f>
        <v/>
      </c>
      <c r="H2968" s="207">
        <f>IF(OR(nr_SeasonOn="OFF",$D$2938=0,$E$2938=0),1,12*INDEX(se_block,$D$2938,$E2968)/$E$2938)</f>
        <v/>
      </c>
      <c r="I2968" s="208">
        <f>EXP(SUMPRODUCT((rl_eff&lt;$B2968)*(rl_key=$A$2938)*rl_ln1p))</f>
        <v/>
      </c>
      <c r="J2968" s="208">
        <f>EXP(SUMPRODUCT((rl_eff&lt;=$C2968)*(rl_key=$A$2938)*rl_ln1p))</f>
        <v/>
      </c>
      <c r="K2968" s="201">
        <f>COUNTIFS(rl_key,$A$2938,rl_eff,"&gt;="&amp;$B2968,rl_eff,"&lt;="&amp;$C2968)</f>
        <v/>
      </c>
      <c r="L2968" s="201">
        <f>SUMIFS(rl_daysafter,rl_key,$A$2938,rl_effmonth,$B2968,rl_first,1)</f>
        <v/>
      </c>
      <c r="M2968" s="209">
        <f>IF($K2968=0,0,MIN(1,$L2968/$D2968))</f>
        <v/>
      </c>
      <c r="N2968" s="208">
        <f>IF($K2968=0,$J2968,(1-$M2968)*$I2968+$M2968*$J2968)</f>
        <v/>
      </c>
      <c r="O2968" s="209">
        <f>IF($F2968&lt;$B$2939,$E$2939+$I$2939*($F2968-$A$2939),IF($F2968&lt;$C$2939,$F$2939+$J$2939*($F2968-$B$2939),$G$2939+$K$2939*($F2968-$C$2939)))</f>
        <v/>
      </c>
      <c r="P2968" s="208">
        <f>MIN(1,MAX(0,(nr_MEndPm1-$G2968+0.5)/$C$2938))-MIN(1,MAX(0,(nr_MStartPm1-1-$G2968+0.5)/$C$2938))</f>
        <v/>
      </c>
      <c r="Q2968" s="208">
        <f>MIN(1,MAX(0,(nr_MEndP-$G2968+0.5)/$C$2938))-MIN(1,MAX(0,(nr_MStartP-1-$G2968+0.5)/$C$2938))</f>
        <v/>
      </c>
      <c r="R2968" s="208">
        <f>MIN(1,MAX(0,(nr_MEndP1-$G2968+0.5)/$C$2938))-MIN(1,MAX(0,(nr_MStartP1-1-$G2968+0.5)/$C$2938))</f>
        <v/>
      </c>
      <c r="S2968" s="208">
        <f>IF($L$2938,$N2968*IF($O$2938=1,$O2968/$F$2938,1),"")</f>
        <v/>
      </c>
      <c r="T2968" s="208">
        <f>IF(NOT($L$2938),"",IF($G2968&lt;nr_MStartP,$S2968,$T2956*(1+IF($G2968&lt;nr_MStartP1,$M$2938,$N$2938))))</f>
        <v/>
      </c>
      <c r="U2968" s="208">
        <f>IF($L$2938,$T2968,$N2968)</f>
        <v/>
      </c>
    </row>
    <row r="2969">
      <c r="A2969" s="145" t="n">
        <v>29</v>
      </c>
      <c r="B2969" s="204">
        <f>EDATE($B2968,1)</f>
        <v/>
      </c>
      <c r="C2969" s="205">
        <f>EOMONTH($B2969,0)</f>
        <v/>
      </c>
      <c r="D2969" s="201">
        <f>$C2969-$B2969+1</f>
        <v/>
      </c>
      <c r="E2969" s="201">
        <f>MONTH($B2969)</f>
        <v/>
      </c>
      <c r="F2969" s="235">
        <f>($B2969+$C2969+1)/2</f>
        <v/>
      </c>
      <c r="G2969" s="201">
        <f>YEAR($B2969)*12+MONTH($B2969)-1</f>
        <v/>
      </c>
      <c r="H2969" s="207">
        <f>IF(OR(nr_SeasonOn="OFF",$D$2938=0,$E$2938=0),1,12*INDEX(se_block,$D$2938,$E2969)/$E$2938)</f>
        <v/>
      </c>
      <c r="I2969" s="208">
        <f>EXP(SUMPRODUCT((rl_eff&lt;$B2969)*(rl_key=$A$2938)*rl_ln1p))</f>
        <v/>
      </c>
      <c r="J2969" s="208">
        <f>EXP(SUMPRODUCT((rl_eff&lt;=$C2969)*(rl_key=$A$2938)*rl_ln1p))</f>
        <v/>
      </c>
      <c r="K2969" s="201">
        <f>COUNTIFS(rl_key,$A$2938,rl_eff,"&gt;="&amp;$B2969,rl_eff,"&lt;="&amp;$C2969)</f>
        <v/>
      </c>
      <c r="L2969" s="201">
        <f>SUMIFS(rl_daysafter,rl_key,$A$2938,rl_effmonth,$B2969,rl_first,1)</f>
        <v/>
      </c>
      <c r="M2969" s="209">
        <f>IF($K2969=0,0,MIN(1,$L2969/$D2969))</f>
        <v/>
      </c>
      <c r="N2969" s="208">
        <f>IF($K2969=0,$J2969,(1-$M2969)*$I2969+$M2969*$J2969)</f>
        <v/>
      </c>
      <c r="O2969" s="209">
        <f>IF($F2969&lt;$B$2939,$E$2939+$I$2939*($F2969-$A$2939),IF($F2969&lt;$C$2939,$F$2939+$J$2939*($F2969-$B$2939),$G$2939+$K$2939*($F2969-$C$2939)))</f>
        <v/>
      </c>
      <c r="P2969" s="208">
        <f>MIN(1,MAX(0,(nr_MEndPm1-$G2969+0.5)/$C$2938))-MIN(1,MAX(0,(nr_MStartPm1-1-$G2969+0.5)/$C$2938))</f>
        <v/>
      </c>
      <c r="Q2969" s="208">
        <f>MIN(1,MAX(0,(nr_MEndP-$G2969+0.5)/$C$2938))-MIN(1,MAX(0,(nr_MStartP-1-$G2969+0.5)/$C$2938))</f>
        <v/>
      </c>
      <c r="R2969" s="208">
        <f>MIN(1,MAX(0,(nr_MEndP1-$G2969+0.5)/$C$2938))-MIN(1,MAX(0,(nr_MStartP1-1-$G2969+0.5)/$C$2938))</f>
        <v/>
      </c>
      <c r="S2969" s="208">
        <f>IF($L$2938,$N2969*IF($O$2938=1,$O2969/$F$2938,1),"")</f>
        <v/>
      </c>
      <c r="T2969" s="208">
        <f>IF(NOT($L$2938),"",IF($G2969&lt;nr_MStartP,$S2969,$T2957*(1+IF($G2969&lt;nr_MStartP1,$M$2938,$N$2938))))</f>
        <v/>
      </c>
      <c r="U2969" s="208">
        <f>IF($L$2938,$T2969,$N2969)</f>
        <v/>
      </c>
    </row>
    <row r="2970">
      <c r="A2970" s="145" t="n">
        <v>30</v>
      </c>
      <c r="B2970" s="204">
        <f>EDATE($B2969,1)</f>
        <v/>
      </c>
      <c r="C2970" s="205">
        <f>EOMONTH($B2970,0)</f>
        <v/>
      </c>
      <c r="D2970" s="201">
        <f>$C2970-$B2970+1</f>
        <v/>
      </c>
      <c r="E2970" s="201">
        <f>MONTH($B2970)</f>
        <v/>
      </c>
      <c r="F2970" s="235">
        <f>($B2970+$C2970+1)/2</f>
        <v/>
      </c>
      <c r="G2970" s="201">
        <f>YEAR($B2970)*12+MONTH($B2970)-1</f>
        <v/>
      </c>
      <c r="H2970" s="207">
        <f>IF(OR(nr_SeasonOn="OFF",$D$2938=0,$E$2938=0),1,12*INDEX(se_block,$D$2938,$E2970)/$E$2938)</f>
        <v/>
      </c>
      <c r="I2970" s="208">
        <f>EXP(SUMPRODUCT((rl_eff&lt;$B2970)*(rl_key=$A$2938)*rl_ln1p))</f>
        <v/>
      </c>
      <c r="J2970" s="208">
        <f>EXP(SUMPRODUCT((rl_eff&lt;=$C2970)*(rl_key=$A$2938)*rl_ln1p))</f>
        <v/>
      </c>
      <c r="K2970" s="201">
        <f>COUNTIFS(rl_key,$A$2938,rl_eff,"&gt;="&amp;$B2970,rl_eff,"&lt;="&amp;$C2970)</f>
        <v/>
      </c>
      <c r="L2970" s="201">
        <f>SUMIFS(rl_daysafter,rl_key,$A$2938,rl_effmonth,$B2970,rl_first,1)</f>
        <v/>
      </c>
      <c r="M2970" s="209">
        <f>IF($K2970=0,0,MIN(1,$L2970/$D2970))</f>
        <v/>
      </c>
      <c r="N2970" s="208">
        <f>IF($K2970=0,$J2970,(1-$M2970)*$I2970+$M2970*$J2970)</f>
        <v/>
      </c>
      <c r="O2970" s="209">
        <f>IF($F2970&lt;$B$2939,$E$2939+$I$2939*($F2970-$A$2939),IF($F2970&lt;$C$2939,$F$2939+$J$2939*($F2970-$B$2939),$G$2939+$K$2939*($F2970-$C$2939)))</f>
        <v/>
      </c>
      <c r="P2970" s="208">
        <f>MIN(1,MAX(0,(nr_MEndPm1-$G2970+0.5)/$C$2938))-MIN(1,MAX(0,(nr_MStartPm1-1-$G2970+0.5)/$C$2938))</f>
        <v/>
      </c>
      <c r="Q2970" s="208">
        <f>MIN(1,MAX(0,(nr_MEndP-$G2970+0.5)/$C$2938))-MIN(1,MAX(0,(nr_MStartP-1-$G2970+0.5)/$C$2938))</f>
        <v/>
      </c>
      <c r="R2970" s="208">
        <f>MIN(1,MAX(0,(nr_MEndP1-$G2970+0.5)/$C$2938))-MIN(1,MAX(0,(nr_MStartP1-1-$G2970+0.5)/$C$2938))</f>
        <v/>
      </c>
      <c r="S2970" s="208">
        <f>IF($L$2938,$N2970*IF($O$2938=1,$O2970/$F$2938,1),"")</f>
        <v/>
      </c>
      <c r="T2970" s="208">
        <f>IF(NOT($L$2938),"",IF($G2970&lt;nr_MStartP,$S2970,$T2958*(1+IF($G2970&lt;nr_MStartP1,$M$2938,$N$2938))))</f>
        <v/>
      </c>
      <c r="U2970" s="208">
        <f>IF($L$2938,$T2970,$N2970)</f>
        <v/>
      </c>
    </row>
    <row r="2971">
      <c r="A2971" s="145" t="n">
        <v>31</v>
      </c>
      <c r="B2971" s="204">
        <f>EDATE($B2970,1)</f>
        <v/>
      </c>
      <c r="C2971" s="205">
        <f>EOMONTH($B2971,0)</f>
        <v/>
      </c>
      <c r="D2971" s="201">
        <f>$C2971-$B2971+1</f>
        <v/>
      </c>
      <c r="E2971" s="201">
        <f>MONTH($B2971)</f>
        <v/>
      </c>
      <c r="F2971" s="235">
        <f>($B2971+$C2971+1)/2</f>
        <v/>
      </c>
      <c r="G2971" s="201">
        <f>YEAR($B2971)*12+MONTH($B2971)-1</f>
        <v/>
      </c>
      <c r="H2971" s="207">
        <f>IF(OR(nr_SeasonOn="OFF",$D$2938=0,$E$2938=0),1,12*INDEX(se_block,$D$2938,$E2971)/$E$2938)</f>
        <v/>
      </c>
      <c r="I2971" s="208">
        <f>EXP(SUMPRODUCT((rl_eff&lt;$B2971)*(rl_key=$A$2938)*rl_ln1p))</f>
        <v/>
      </c>
      <c r="J2971" s="208">
        <f>EXP(SUMPRODUCT((rl_eff&lt;=$C2971)*(rl_key=$A$2938)*rl_ln1p))</f>
        <v/>
      </c>
      <c r="K2971" s="201">
        <f>COUNTIFS(rl_key,$A$2938,rl_eff,"&gt;="&amp;$B2971,rl_eff,"&lt;="&amp;$C2971)</f>
        <v/>
      </c>
      <c r="L2971" s="201">
        <f>SUMIFS(rl_daysafter,rl_key,$A$2938,rl_effmonth,$B2971,rl_first,1)</f>
        <v/>
      </c>
      <c r="M2971" s="209">
        <f>IF($K2971=0,0,MIN(1,$L2971/$D2971))</f>
        <v/>
      </c>
      <c r="N2971" s="208">
        <f>IF($K2971=0,$J2971,(1-$M2971)*$I2971+$M2971*$J2971)</f>
        <v/>
      </c>
      <c r="O2971" s="209">
        <f>IF($F2971&lt;$B$2939,$E$2939+$I$2939*($F2971-$A$2939),IF($F2971&lt;$C$2939,$F$2939+$J$2939*($F2971-$B$2939),$G$2939+$K$2939*($F2971-$C$2939)))</f>
        <v/>
      </c>
      <c r="P2971" s="208">
        <f>MIN(1,MAX(0,(nr_MEndPm1-$G2971+0.5)/$C$2938))-MIN(1,MAX(0,(nr_MStartPm1-1-$G2971+0.5)/$C$2938))</f>
        <v/>
      </c>
      <c r="Q2971" s="208">
        <f>MIN(1,MAX(0,(nr_MEndP-$G2971+0.5)/$C$2938))-MIN(1,MAX(0,(nr_MStartP-1-$G2971+0.5)/$C$2938))</f>
        <v/>
      </c>
      <c r="R2971" s="208">
        <f>MIN(1,MAX(0,(nr_MEndP1-$G2971+0.5)/$C$2938))-MIN(1,MAX(0,(nr_MStartP1-1-$G2971+0.5)/$C$2938))</f>
        <v/>
      </c>
      <c r="S2971" s="208">
        <f>IF($L$2938,$N2971*IF($O$2938=1,$O2971/$F$2938,1),"")</f>
        <v/>
      </c>
      <c r="T2971" s="208">
        <f>IF(NOT($L$2938),"",IF($G2971&lt;nr_MStartP,$S2971,$T2959*(1+IF($G2971&lt;nr_MStartP1,$M$2938,$N$2938))))</f>
        <v/>
      </c>
      <c r="U2971" s="208">
        <f>IF($L$2938,$T2971,$N2971)</f>
        <v/>
      </c>
    </row>
    <row r="2972">
      <c r="A2972" s="145" t="n">
        <v>32</v>
      </c>
      <c r="B2972" s="204">
        <f>EDATE($B2971,1)</f>
        <v/>
      </c>
      <c r="C2972" s="205">
        <f>EOMONTH($B2972,0)</f>
        <v/>
      </c>
      <c r="D2972" s="201">
        <f>$C2972-$B2972+1</f>
        <v/>
      </c>
      <c r="E2972" s="201">
        <f>MONTH($B2972)</f>
        <v/>
      </c>
      <c r="F2972" s="235">
        <f>($B2972+$C2972+1)/2</f>
        <v/>
      </c>
      <c r="G2972" s="201">
        <f>YEAR($B2972)*12+MONTH($B2972)-1</f>
        <v/>
      </c>
      <c r="H2972" s="207">
        <f>IF(OR(nr_SeasonOn="OFF",$D$2938=0,$E$2938=0),1,12*INDEX(se_block,$D$2938,$E2972)/$E$2938)</f>
        <v/>
      </c>
      <c r="I2972" s="208">
        <f>EXP(SUMPRODUCT((rl_eff&lt;$B2972)*(rl_key=$A$2938)*rl_ln1p))</f>
        <v/>
      </c>
      <c r="J2972" s="208">
        <f>EXP(SUMPRODUCT((rl_eff&lt;=$C2972)*(rl_key=$A$2938)*rl_ln1p))</f>
        <v/>
      </c>
      <c r="K2972" s="201">
        <f>COUNTIFS(rl_key,$A$2938,rl_eff,"&gt;="&amp;$B2972,rl_eff,"&lt;="&amp;$C2972)</f>
        <v/>
      </c>
      <c r="L2972" s="201">
        <f>SUMIFS(rl_daysafter,rl_key,$A$2938,rl_effmonth,$B2972,rl_first,1)</f>
        <v/>
      </c>
      <c r="M2972" s="209">
        <f>IF($K2972=0,0,MIN(1,$L2972/$D2972))</f>
        <v/>
      </c>
      <c r="N2972" s="208">
        <f>IF($K2972=0,$J2972,(1-$M2972)*$I2972+$M2972*$J2972)</f>
        <v/>
      </c>
      <c r="O2972" s="209">
        <f>IF($F2972&lt;$B$2939,$E$2939+$I$2939*($F2972-$A$2939),IF($F2972&lt;$C$2939,$F$2939+$J$2939*($F2972-$B$2939),$G$2939+$K$2939*($F2972-$C$2939)))</f>
        <v/>
      </c>
      <c r="P2972" s="208">
        <f>MIN(1,MAX(0,(nr_MEndPm1-$G2972+0.5)/$C$2938))-MIN(1,MAX(0,(nr_MStartPm1-1-$G2972+0.5)/$C$2938))</f>
        <v/>
      </c>
      <c r="Q2972" s="208">
        <f>MIN(1,MAX(0,(nr_MEndP-$G2972+0.5)/$C$2938))-MIN(1,MAX(0,(nr_MStartP-1-$G2972+0.5)/$C$2938))</f>
        <v/>
      </c>
      <c r="R2972" s="208">
        <f>MIN(1,MAX(0,(nr_MEndP1-$G2972+0.5)/$C$2938))-MIN(1,MAX(0,(nr_MStartP1-1-$G2972+0.5)/$C$2938))</f>
        <v/>
      </c>
      <c r="S2972" s="208">
        <f>IF($L$2938,$N2972*IF($O$2938=1,$O2972/$F$2938,1),"")</f>
        <v/>
      </c>
      <c r="T2972" s="208">
        <f>IF(NOT($L$2938),"",IF($G2972&lt;nr_MStartP,$S2972,$T2960*(1+IF($G2972&lt;nr_MStartP1,$M$2938,$N$2938))))</f>
        <v/>
      </c>
      <c r="U2972" s="208">
        <f>IF($L$2938,$T2972,$N2972)</f>
        <v/>
      </c>
    </row>
    <row r="2973">
      <c r="A2973" s="145" t="n">
        <v>33</v>
      </c>
      <c r="B2973" s="204">
        <f>EDATE($B2972,1)</f>
        <v/>
      </c>
      <c r="C2973" s="205">
        <f>EOMONTH($B2973,0)</f>
        <v/>
      </c>
      <c r="D2973" s="201">
        <f>$C2973-$B2973+1</f>
        <v/>
      </c>
      <c r="E2973" s="201">
        <f>MONTH($B2973)</f>
        <v/>
      </c>
      <c r="F2973" s="235">
        <f>($B2973+$C2973+1)/2</f>
        <v/>
      </c>
      <c r="G2973" s="201">
        <f>YEAR($B2973)*12+MONTH($B2973)-1</f>
        <v/>
      </c>
      <c r="H2973" s="207">
        <f>IF(OR(nr_SeasonOn="OFF",$D$2938=0,$E$2938=0),1,12*INDEX(se_block,$D$2938,$E2973)/$E$2938)</f>
        <v/>
      </c>
      <c r="I2973" s="208">
        <f>EXP(SUMPRODUCT((rl_eff&lt;$B2973)*(rl_key=$A$2938)*rl_ln1p))</f>
        <v/>
      </c>
      <c r="J2973" s="208">
        <f>EXP(SUMPRODUCT((rl_eff&lt;=$C2973)*(rl_key=$A$2938)*rl_ln1p))</f>
        <v/>
      </c>
      <c r="K2973" s="201">
        <f>COUNTIFS(rl_key,$A$2938,rl_eff,"&gt;="&amp;$B2973,rl_eff,"&lt;="&amp;$C2973)</f>
        <v/>
      </c>
      <c r="L2973" s="201">
        <f>SUMIFS(rl_daysafter,rl_key,$A$2938,rl_effmonth,$B2973,rl_first,1)</f>
        <v/>
      </c>
      <c r="M2973" s="209">
        <f>IF($K2973=0,0,MIN(1,$L2973/$D2973))</f>
        <v/>
      </c>
      <c r="N2973" s="208">
        <f>IF($K2973=0,$J2973,(1-$M2973)*$I2973+$M2973*$J2973)</f>
        <v/>
      </c>
      <c r="O2973" s="209">
        <f>IF($F2973&lt;$B$2939,$E$2939+$I$2939*($F2973-$A$2939),IF($F2973&lt;$C$2939,$F$2939+$J$2939*($F2973-$B$2939),$G$2939+$K$2939*($F2973-$C$2939)))</f>
        <v/>
      </c>
      <c r="P2973" s="208">
        <f>MIN(1,MAX(0,(nr_MEndPm1-$G2973+0.5)/$C$2938))-MIN(1,MAX(0,(nr_MStartPm1-1-$G2973+0.5)/$C$2938))</f>
        <v/>
      </c>
      <c r="Q2973" s="208">
        <f>MIN(1,MAX(0,(nr_MEndP-$G2973+0.5)/$C$2938))-MIN(1,MAX(0,(nr_MStartP-1-$G2973+0.5)/$C$2938))</f>
        <v/>
      </c>
      <c r="R2973" s="208">
        <f>MIN(1,MAX(0,(nr_MEndP1-$G2973+0.5)/$C$2938))-MIN(1,MAX(0,(nr_MStartP1-1-$G2973+0.5)/$C$2938))</f>
        <v/>
      </c>
      <c r="S2973" s="208">
        <f>IF($L$2938,$N2973*IF($O$2938=1,$O2973/$F$2938,1),"")</f>
        <v/>
      </c>
      <c r="T2973" s="208">
        <f>IF(NOT($L$2938),"",IF($G2973&lt;nr_MStartP,$S2973,$T2961*(1+IF($G2973&lt;nr_MStartP1,$M$2938,$N$2938))))</f>
        <v/>
      </c>
      <c r="U2973" s="208">
        <f>IF($L$2938,$T2973,$N2973)</f>
        <v/>
      </c>
    </row>
    <row r="2974">
      <c r="A2974" s="145" t="n">
        <v>34</v>
      </c>
      <c r="B2974" s="204">
        <f>EDATE($B2973,1)</f>
        <v/>
      </c>
      <c r="C2974" s="205">
        <f>EOMONTH($B2974,0)</f>
        <v/>
      </c>
      <c r="D2974" s="201">
        <f>$C2974-$B2974+1</f>
        <v/>
      </c>
      <c r="E2974" s="201">
        <f>MONTH($B2974)</f>
        <v/>
      </c>
      <c r="F2974" s="235">
        <f>($B2974+$C2974+1)/2</f>
        <v/>
      </c>
      <c r="G2974" s="201">
        <f>YEAR($B2974)*12+MONTH($B2974)-1</f>
        <v/>
      </c>
      <c r="H2974" s="207">
        <f>IF(OR(nr_SeasonOn="OFF",$D$2938=0,$E$2938=0),1,12*INDEX(se_block,$D$2938,$E2974)/$E$2938)</f>
        <v/>
      </c>
      <c r="I2974" s="208">
        <f>EXP(SUMPRODUCT((rl_eff&lt;$B2974)*(rl_key=$A$2938)*rl_ln1p))</f>
        <v/>
      </c>
      <c r="J2974" s="208">
        <f>EXP(SUMPRODUCT((rl_eff&lt;=$C2974)*(rl_key=$A$2938)*rl_ln1p))</f>
        <v/>
      </c>
      <c r="K2974" s="201">
        <f>COUNTIFS(rl_key,$A$2938,rl_eff,"&gt;="&amp;$B2974,rl_eff,"&lt;="&amp;$C2974)</f>
        <v/>
      </c>
      <c r="L2974" s="201">
        <f>SUMIFS(rl_daysafter,rl_key,$A$2938,rl_effmonth,$B2974,rl_first,1)</f>
        <v/>
      </c>
      <c r="M2974" s="209">
        <f>IF($K2974=0,0,MIN(1,$L2974/$D2974))</f>
        <v/>
      </c>
      <c r="N2974" s="208">
        <f>IF($K2974=0,$J2974,(1-$M2974)*$I2974+$M2974*$J2974)</f>
        <v/>
      </c>
      <c r="O2974" s="209">
        <f>IF($F2974&lt;$B$2939,$E$2939+$I$2939*($F2974-$A$2939),IF($F2974&lt;$C$2939,$F$2939+$J$2939*($F2974-$B$2939),$G$2939+$K$2939*($F2974-$C$2939)))</f>
        <v/>
      </c>
      <c r="P2974" s="208">
        <f>MIN(1,MAX(0,(nr_MEndPm1-$G2974+0.5)/$C$2938))-MIN(1,MAX(0,(nr_MStartPm1-1-$G2974+0.5)/$C$2938))</f>
        <v/>
      </c>
      <c r="Q2974" s="208">
        <f>MIN(1,MAX(0,(nr_MEndP-$G2974+0.5)/$C$2938))-MIN(1,MAX(0,(nr_MStartP-1-$G2974+0.5)/$C$2938))</f>
        <v/>
      </c>
      <c r="R2974" s="208">
        <f>MIN(1,MAX(0,(nr_MEndP1-$G2974+0.5)/$C$2938))-MIN(1,MAX(0,(nr_MStartP1-1-$G2974+0.5)/$C$2938))</f>
        <v/>
      </c>
      <c r="S2974" s="208">
        <f>IF($L$2938,$N2974*IF($O$2938=1,$O2974/$F$2938,1),"")</f>
        <v/>
      </c>
      <c r="T2974" s="208">
        <f>IF(NOT($L$2938),"",IF($G2974&lt;nr_MStartP,$S2974,$T2962*(1+IF($G2974&lt;nr_MStartP1,$M$2938,$N$2938))))</f>
        <v/>
      </c>
      <c r="U2974" s="208">
        <f>IF($L$2938,$T2974,$N2974)</f>
        <v/>
      </c>
    </row>
    <row r="2975">
      <c r="A2975" s="145" t="n">
        <v>35</v>
      </c>
      <c r="B2975" s="204">
        <f>EDATE($B2974,1)</f>
        <v/>
      </c>
      <c r="C2975" s="205">
        <f>EOMONTH($B2975,0)</f>
        <v/>
      </c>
      <c r="D2975" s="201">
        <f>$C2975-$B2975+1</f>
        <v/>
      </c>
      <c r="E2975" s="201">
        <f>MONTH($B2975)</f>
        <v/>
      </c>
      <c r="F2975" s="235">
        <f>($B2975+$C2975+1)/2</f>
        <v/>
      </c>
      <c r="G2975" s="201">
        <f>YEAR($B2975)*12+MONTH($B2975)-1</f>
        <v/>
      </c>
      <c r="H2975" s="207">
        <f>IF(OR(nr_SeasonOn="OFF",$D$2938=0,$E$2938=0),1,12*INDEX(se_block,$D$2938,$E2975)/$E$2938)</f>
        <v/>
      </c>
      <c r="I2975" s="208">
        <f>EXP(SUMPRODUCT((rl_eff&lt;$B2975)*(rl_key=$A$2938)*rl_ln1p))</f>
        <v/>
      </c>
      <c r="J2975" s="208">
        <f>EXP(SUMPRODUCT((rl_eff&lt;=$C2975)*(rl_key=$A$2938)*rl_ln1p))</f>
        <v/>
      </c>
      <c r="K2975" s="201">
        <f>COUNTIFS(rl_key,$A$2938,rl_eff,"&gt;="&amp;$B2975,rl_eff,"&lt;="&amp;$C2975)</f>
        <v/>
      </c>
      <c r="L2975" s="201">
        <f>SUMIFS(rl_daysafter,rl_key,$A$2938,rl_effmonth,$B2975,rl_first,1)</f>
        <v/>
      </c>
      <c r="M2975" s="209">
        <f>IF($K2975=0,0,MIN(1,$L2975/$D2975))</f>
        <v/>
      </c>
      <c r="N2975" s="208">
        <f>IF($K2975=0,$J2975,(1-$M2975)*$I2975+$M2975*$J2975)</f>
        <v/>
      </c>
      <c r="O2975" s="209">
        <f>IF($F2975&lt;$B$2939,$E$2939+$I$2939*($F2975-$A$2939),IF($F2975&lt;$C$2939,$F$2939+$J$2939*($F2975-$B$2939),$G$2939+$K$2939*($F2975-$C$2939)))</f>
        <v/>
      </c>
      <c r="P2975" s="208">
        <f>MIN(1,MAX(0,(nr_MEndPm1-$G2975+0.5)/$C$2938))-MIN(1,MAX(0,(nr_MStartPm1-1-$G2975+0.5)/$C$2938))</f>
        <v/>
      </c>
      <c r="Q2975" s="208">
        <f>MIN(1,MAX(0,(nr_MEndP-$G2975+0.5)/$C$2938))-MIN(1,MAX(0,(nr_MStartP-1-$G2975+0.5)/$C$2938))</f>
        <v/>
      </c>
      <c r="R2975" s="208">
        <f>MIN(1,MAX(0,(nr_MEndP1-$G2975+0.5)/$C$2938))-MIN(1,MAX(0,(nr_MStartP1-1-$G2975+0.5)/$C$2938))</f>
        <v/>
      </c>
      <c r="S2975" s="208">
        <f>IF($L$2938,$N2975*IF($O$2938=1,$O2975/$F$2938,1),"")</f>
        <v/>
      </c>
      <c r="T2975" s="208">
        <f>IF(NOT($L$2938),"",IF($G2975&lt;nr_MStartP,$S2975,$T2963*(1+IF($G2975&lt;nr_MStartP1,$M$2938,$N$2938))))</f>
        <v/>
      </c>
      <c r="U2975" s="208">
        <f>IF($L$2938,$T2975,$N2975)</f>
        <v/>
      </c>
    </row>
    <row r="2976">
      <c r="A2976" s="145" t="n">
        <v>36</v>
      </c>
      <c r="B2976" s="204">
        <f>EDATE($B2975,1)</f>
        <v/>
      </c>
      <c r="C2976" s="205">
        <f>EOMONTH($B2976,0)</f>
        <v/>
      </c>
      <c r="D2976" s="201">
        <f>$C2976-$B2976+1</f>
        <v/>
      </c>
      <c r="E2976" s="201">
        <f>MONTH($B2976)</f>
        <v/>
      </c>
      <c r="F2976" s="235">
        <f>($B2976+$C2976+1)/2</f>
        <v/>
      </c>
      <c r="G2976" s="201">
        <f>YEAR($B2976)*12+MONTH($B2976)-1</f>
        <v/>
      </c>
      <c r="H2976" s="207">
        <f>IF(OR(nr_SeasonOn="OFF",$D$2938=0,$E$2938=0),1,12*INDEX(se_block,$D$2938,$E2976)/$E$2938)</f>
        <v/>
      </c>
      <c r="I2976" s="208">
        <f>EXP(SUMPRODUCT((rl_eff&lt;$B2976)*(rl_key=$A$2938)*rl_ln1p))</f>
        <v/>
      </c>
      <c r="J2976" s="208">
        <f>EXP(SUMPRODUCT((rl_eff&lt;=$C2976)*(rl_key=$A$2938)*rl_ln1p))</f>
        <v/>
      </c>
      <c r="K2976" s="201">
        <f>COUNTIFS(rl_key,$A$2938,rl_eff,"&gt;="&amp;$B2976,rl_eff,"&lt;="&amp;$C2976)</f>
        <v/>
      </c>
      <c r="L2976" s="201">
        <f>SUMIFS(rl_daysafter,rl_key,$A$2938,rl_effmonth,$B2976,rl_first,1)</f>
        <v/>
      </c>
      <c r="M2976" s="209">
        <f>IF($K2976=0,0,MIN(1,$L2976/$D2976))</f>
        <v/>
      </c>
      <c r="N2976" s="208">
        <f>IF($K2976=0,$J2976,(1-$M2976)*$I2976+$M2976*$J2976)</f>
        <v/>
      </c>
      <c r="O2976" s="209">
        <f>IF($F2976&lt;$B$2939,$E$2939+$I$2939*($F2976-$A$2939),IF($F2976&lt;$C$2939,$F$2939+$J$2939*($F2976-$B$2939),$G$2939+$K$2939*($F2976-$C$2939)))</f>
        <v/>
      </c>
      <c r="P2976" s="208">
        <f>MIN(1,MAX(0,(nr_MEndPm1-$G2976+0.5)/$C$2938))-MIN(1,MAX(0,(nr_MStartPm1-1-$G2976+0.5)/$C$2938))</f>
        <v/>
      </c>
      <c r="Q2976" s="208">
        <f>MIN(1,MAX(0,(nr_MEndP-$G2976+0.5)/$C$2938))-MIN(1,MAX(0,(nr_MStartP-1-$G2976+0.5)/$C$2938))</f>
        <v/>
      </c>
      <c r="R2976" s="208">
        <f>MIN(1,MAX(0,(nr_MEndP1-$G2976+0.5)/$C$2938))-MIN(1,MAX(0,(nr_MStartP1-1-$G2976+0.5)/$C$2938))</f>
        <v/>
      </c>
      <c r="S2976" s="208">
        <f>IF($L$2938,$N2976*IF($O$2938=1,$O2976/$F$2938,1),"")</f>
        <v/>
      </c>
      <c r="T2976" s="208">
        <f>IF(NOT($L$2938),"",IF($G2976&lt;nr_MStartP,$S2976,$T2964*(1+IF($G2976&lt;nr_MStartP1,$M$2938,$N$2938))))</f>
        <v/>
      </c>
      <c r="U2976" s="208">
        <f>IF($L$2938,$T2976,$N2976)</f>
        <v/>
      </c>
    </row>
    <row r="2977">
      <c r="A2977" s="145" t="n">
        <v>37</v>
      </c>
      <c r="B2977" s="204">
        <f>EDATE($B2976,1)</f>
        <v/>
      </c>
      <c r="C2977" s="205">
        <f>EOMONTH($B2977,0)</f>
        <v/>
      </c>
      <c r="D2977" s="201">
        <f>$C2977-$B2977+1</f>
        <v/>
      </c>
      <c r="E2977" s="201">
        <f>MONTH($B2977)</f>
        <v/>
      </c>
      <c r="F2977" s="235">
        <f>($B2977+$C2977+1)/2</f>
        <v/>
      </c>
      <c r="G2977" s="201">
        <f>YEAR($B2977)*12+MONTH($B2977)-1</f>
        <v/>
      </c>
      <c r="H2977" s="207">
        <f>IF(OR(nr_SeasonOn="OFF",$D$2938=0,$E$2938=0),1,12*INDEX(se_block,$D$2938,$E2977)/$E$2938)</f>
        <v/>
      </c>
      <c r="I2977" s="208">
        <f>EXP(SUMPRODUCT((rl_eff&lt;$B2977)*(rl_key=$A$2938)*rl_ln1p))</f>
        <v/>
      </c>
      <c r="J2977" s="208">
        <f>EXP(SUMPRODUCT((rl_eff&lt;=$C2977)*(rl_key=$A$2938)*rl_ln1p))</f>
        <v/>
      </c>
      <c r="K2977" s="201">
        <f>COUNTIFS(rl_key,$A$2938,rl_eff,"&gt;="&amp;$B2977,rl_eff,"&lt;="&amp;$C2977)</f>
        <v/>
      </c>
      <c r="L2977" s="201">
        <f>SUMIFS(rl_daysafter,rl_key,$A$2938,rl_effmonth,$B2977,rl_first,1)</f>
        <v/>
      </c>
      <c r="M2977" s="209">
        <f>IF($K2977=0,0,MIN(1,$L2977/$D2977))</f>
        <v/>
      </c>
      <c r="N2977" s="208">
        <f>IF($K2977=0,$J2977,(1-$M2977)*$I2977+$M2977*$J2977)</f>
        <v/>
      </c>
      <c r="O2977" s="209">
        <f>IF($F2977&lt;$B$2939,$E$2939+$I$2939*($F2977-$A$2939),IF($F2977&lt;$C$2939,$F$2939+$J$2939*($F2977-$B$2939),$G$2939+$K$2939*($F2977-$C$2939)))</f>
        <v/>
      </c>
      <c r="P2977" s="208">
        <f>MIN(1,MAX(0,(nr_MEndPm1-$G2977+0.5)/$C$2938))-MIN(1,MAX(0,(nr_MStartPm1-1-$G2977+0.5)/$C$2938))</f>
        <v/>
      </c>
      <c r="Q2977" s="208">
        <f>MIN(1,MAX(0,(nr_MEndP-$G2977+0.5)/$C$2938))-MIN(1,MAX(0,(nr_MStartP-1-$G2977+0.5)/$C$2938))</f>
        <v/>
      </c>
      <c r="R2977" s="208">
        <f>MIN(1,MAX(0,(nr_MEndP1-$G2977+0.5)/$C$2938))-MIN(1,MAX(0,(nr_MStartP1-1-$G2977+0.5)/$C$2938))</f>
        <v/>
      </c>
      <c r="S2977" s="208">
        <f>IF($L$2938,$N2977*IF($O$2938=1,$O2977/$F$2938,1),"")</f>
        <v/>
      </c>
      <c r="T2977" s="208">
        <f>IF(NOT($L$2938),"",IF($G2977&lt;nr_MStartP,$S2977,$T2965*(1+IF($G2977&lt;nr_MStartP1,$M$2938,$N$2938))))</f>
        <v/>
      </c>
      <c r="U2977" s="208">
        <f>IF($L$2938,$T2977,$N2977)</f>
        <v/>
      </c>
    </row>
    <row r="2978">
      <c r="A2978" s="145" t="n">
        <v>38</v>
      </c>
      <c r="B2978" s="204">
        <f>EDATE($B2977,1)</f>
        <v/>
      </c>
      <c r="C2978" s="205">
        <f>EOMONTH($B2978,0)</f>
        <v/>
      </c>
      <c r="D2978" s="201">
        <f>$C2978-$B2978+1</f>
        <v/>
      </c>
      <c r="E2978" s="201">
        <f>MONTH($B2978)</f>
        <v/>
      </c>
      <c r="F2978" s="235">
        <f>($B2978+$C2978+1)/2</f>
        <v/>
      </c>
      <c r="G2978" s="201">
        <f>YEAR($B2978)*12+MONTH($B2978)-1</f>
        <v/>
      </c>
      <c r="H2978" s="207">
        <f>IF(OR(nr_SeasonOn="OFF",$D$2938=0,$E$2938=0),1,12*INDEX(se_block,$D$2938,$E2978)/$E$2938)</f>
        <v/>
      </c>
      <c r="I2978" s="208">
        <f>EXP(SUMPRODUCT((rl_eff&lt;$B2978)*(rl_key=$A$2938)*rl_ln1p))</f>
        <v/>
      </c>
      <c r="J2978" s="208">
        <f>EXP(SUMPRODUCT((rl_eff&lt;=$C2978)*(rl_key=$A$2938)*rl_ln1p))</f>
        <v/>
      </c>
      <c r="K2978" s="201">
        <f>COUNTIFS(rl_key,$A$2938,rl_eff,"&gt;="&amp;$B2978,rl_eff,"&lt;="&amp;$C2978)</f>
        <v/>
      </c>
      <c r="L2978" s="201">
        <f>SUMIFS(rl_daysafter,rl_key,$A$2938,rl_effmonth,$B2978,rl_first,1)</f>
        <v/>
      </c>
      <c r="M2978" s="209">
        <f>IF($K2978=0,0,MIN(1,$L2978/$D2978))</f>
        <v/>
      </c>
      <c r="N2978" s="208">
        <f>IF($K2978=0,$J2978,(1-$M2978)*$I2978+$M2978*$J2978)</f>
        <v/>
      </c>
      <c r="O2978" s="209">
        <f>IF($F2978&lt;$B$2939,$E$2939+$I$2939*($F2978-$A$2939),IF($F2978&lt;$C$2939,$F$2939+$J$2939*($F2978-$B$2939),$G$2939+$K$2939*($F2978-$C$2939)))</f>
        <v/>
      </c>
      <c r="P2978" s="208">
        <f>MIN(1,MAX(0,(nr_MEndPm1-$G2978+0.5)/$C$2938))-MIN(1,MAX(0,(nr_MStartPm1-1-$G2978+0.5)/$C$2938))</f>
        <v/>
      </c>
      <c r="Q2978" s="208">
        <f>MIN(1,MAX(0,(nr_MEndP-$G2978+0.5)/$C$2938))-MIN(1,MAX(0,(nr_MStartP-1-$G2978+0.5)/$C$2938))</f>
        <v/>
      </c>
      <c r="R2978" s="208">
        <f>MIN(1,MAX(0,(nr_MEndP1-$G2978+0.5)/$C$2938))-MIN(1,MAX(0,(nr_MStartP1-1-$G2978+0.5)/$C$2938))</f>
        <v/>
      </c>
      <c r="S2978" s="208">
        <f>IF($L$2938,$N2978*IF($O$2938=1,$O2978/$F$2938,1),"")</f>
        <v/>
      </c>
      <c r="T2978" s="208">
        <f>IF(NOT($L$2938),"",IF($G2978&lt;nr_MStartP,$S2978,$T2966*(1+IF($G2978&lt;nr_MStartP1,$M$2938,$N$2938))))</f>
        <v/>
      </c>
      <c r="U2978" s="208">
        <f>IF($L$2938,$T2978,$N2978)</f>
        <v/>
      </c>
    </row>
    <row r="2979">
      <c r="A2979" s="145" t="n">
        <v>39</v>
      </c>
      <c r="B2979" s="204">
        <f>EDATE($B2978,1)</f>
        <v/>
      </c>
      <c r="C2979" s="205">
        <f>EOMONTH($B2979,0)</f>
        <v/>
      </c>
      <c r="D2979" s="201">
        <f>$C2979-$B2979+1</f>
        <v/>
      </c>
      <c r="E2979" s="201">
        <f>MONTH($B2979)</f>
        <v/>
      </c>
      <c r="F2979" s="235">
        <f>($B2979+$C2979+1)/2</f>
        <v/>
      </c>
      <c r="G2979" s="201">
        <f>YEAR($B2979)*12+MONTH($B2979)-1</f>
        <v/>
      </c>
      <c r="H2979" s="207">
        <f>IF(OR(nr_SeasonOn="OFF",$D$2938=0,$E$2938=0),1,12*INDEX(se_block,$D$2938,$E2979)/$E$2938)</f>
        <v/>
      </c>
      <c r="I2979" s="208">
        <f>EXP(SUMPRODUCT((rl_eff&lt;$B2979)*(rl_key=$A$2938)*rl_ln1p))</f>
        <v/>
      </c>
      <c r="J2979" s="208">
        <f>EXP(SUMPRODUCT((rl_eff&lt;=$C2979)*(rl_key=$A$2938)*rl_ln1p))</f>
        <v/>
      </c>
      <c r="K2979" s="201">
        <f>COUNTIFS(rl_key,$A$2938,rl_eff,"&gt;="&amp;$B2979,rl_eff,"&lt;="&amp;$C2979)</f>
        <v/>
      </c>
      <c r="L2979" s="201">
        <f>SUMIFS(rl_daysafter,rl_key,$A$2938,rl_effmonth,$B2979,rl_first,1)</f>
        <v/>
      </c>
      <c r="M2979" s="209">
        <f>IF($K2979=0,0,MIN(1,$L2979/$D2979))</f>
        <v/>
      </c>
      <c r="N2979" s="208">
        <f>IF($K2979=0,$J2979,(1-$M2979)*$I2979+$M2979*$J2979)</f>
        <v/>
      </c>
      <c r="O2979" s="209">
        <f>IF($F2979&lt;$B$2939,$E$2939+$I$2939*($F2979-$A$2939),IF($F2979&lt;$C$2939,$F$2939+$J$2939*($F2979-$B$2939),$G$2939+$K$2939*($F2979-$C$2939)))</f>
        <v/>
      </c>
      <c r="P2979" s="208">
        <f>MIN(1,MAX(0,(nr_MEndPm1-$G2979+0.5)/$C$2938))-MIN(1,MAX(0,(nr_MStartPm1-1-$G2979+0.5)/$C$2938))</f>
        <v/>
      </c>
      <c r="Q2979" s="208">
        <f>MIN(1,MAX(0,(nr_MEndP-$G2979+0.5)/$C$2938))-MIN(1,MAX(0,(nr_MStartP-1-$G2979+0.5)/$C$2938))</f>
        <v/>
      </c>
      <c r="R2979" s="208">
        <f>MIN(1,MAX(0,(nr_MEndP1-$G2979+0.5)/$C$2938))-MIN(1,MAX(0,(nr_MStartP1-1-$G2979+0.5)/$C$2938))</f>
        <v/>
      </c>
      <c r="S2979" s="208">
        <f>IF($L$2938,$N2979*IF($O$2938=1,$O2979/$F$2938,1),"")</f>
        <v/>
      </c>
      <c r="T2979" s="208">
        <f>IF(NOT($L$2938),"",IF($G2979&lt;nr_MStartP,$S2979,$T2967*(1+IF($G2979&lt;nr_MStartP1,$M$2938,$N$2938))))</f>
        <v/>
      </c>
      <c r="U2979" s="208">
        <f>IF($L$2938,$T2979,$N2979)</f>
        <v/>
      </c>
    </row>
    <row r="2980">
      <c r="A2980" s="145" t="n">
        <v>40</v>
      </c>
      <c r="B2980" s="204">
        <f>EDATE($B2979,1)</f>
        <v/>
      </c>
      <c r="C2980" s="205">
        <f>EOMONTH($B2980,0)</f>
        <v/>
      </c>
      <c r="D2980" s="201">
        <f>$C2980-$B2980+1</f>
        <v/>
      </c>
      <c r="E2980" s="201">
        <f>MONTH($B2980)</f>
        <v/>
      </c>
      <c r="F2980" s="235">
        <f>($B2980+$C2980+1)/2</f>
        <v/>
      </c>
      <c r="G2980" s="201">
        <f>YEAR($B2980)*12+MONTH($B2980)-1</f>
        <v/>
      </c>
      <c r="H2980" s="207">
        <f>IF(OR(nr_SeasonOn="OFF",$D$2938=0,$E$2938=0),1,12*INDEX(se_block,$D$2938,$E2980)/$E$2938)</f>
        <v/>
      </c>
      <c r="I2980" s="208">
        <f>EXP(SUMPRODUCT((rl_eff&lt;$B2980)*(rl_key=$A$2938)*rl_ln1p))</f>
        <v/>
      </c>
      <c r="J2980" s="208">
        <f>EXP(SUMPRODUCT((rl_eff&lt;=$C2980)*(rl_key=$A$2938)*rl_ln1p))</f>
        <v/>
      </c>
      <c r="K2980" s="201">
        <f>COUNTIFS(rl_key,$A$2938,rl_eff,"&gt;="&amp;$B2980,rl_eff,"&lt;="&amp;$C2980)</f>
        <v/>
      </c>
      <c r="L2980" s="201">
        <f>SUMIFS(rl_daysafter,rl_key,$A$2938,rl_effmonth,$B2980,rl_first,1)</f>
        <v/>
      </c>
      <c r="M2980" s="209">
        <f>IF($K2980=0,0,MIN(1,$L2980/$D2980))</f>
        <v/>
      </c>
      <c r="N2980" s="208">
        <f>IF($K2980=0,$J2980,(1-$M2980)*$I2980+$M2980*$J2980)</f>
        <v/>
      </c>
      <c r="O2980" s="209">
        <f>IF($F2980&lt;$B$2939,$E$2939+$I$2939*($F2980-$A$2939),IF($F2980&lt;$C$2939,$F$2939+$J$2939*($F2980-$B$2939),$G$2939+$K$2939*($F2980-$C$2939)))</f>
        <v/>
      </c>
      <c r="P2980" s="208">
        <f>MIN(1,MAX(0,(nr_MEndPm1-$G2980+0.5)/$C$2938))-MIN(1,MAX(0,(nr_MStartPm1-1-$G2980+0.5)/$C$2938))</f>
        <v/>
      </c>
      <c r="Q2980" s="208">
        <f>MIN(1,MAX(0,(nr_MEndP-$G2980+0.5)/$C$2938))-MIN(1,MAX(0,(nr_MStartP-1-$G2980+0.5)/$C$2938))</f>
        <v/>
      </c>
      <c r="R2980" s="208">
        <f>MIN(1,MAX(0,(nr_MEndP1-$G2980+0.5)/$C$2938))-MIN(1,MAX(0,(nr_MStartP1-1-$G2980+0.5)/$C$2938))</f>
        <v/>
      </c>
      <c r="S2980" s="208">
        <f>IF($L$2938,$N2980*IF($O$2938=1,$O2980/$F$2938,1),"")</f>
        <v/>
      </c>
      <c r="T2980" s="208">
        <f>IF(NOT($L$2938),"",IF($G2980&lt;nr_MStartP,$S2980,$T2968*(1+IF($G2980&lt;nr_MStartP1,$M$2938,$N$2938))))</f>
        <v/>
      </c>
      <c r="U2980" s="208">
        <f>IF($L$2938,$T2980,$N2980)</f>
        <v/>
      </c>
    </row>
    <row r="2981">
      <c r="A2981" s="145" t="n">
        <v>41</v>
      </c>
      <c r="B2981" s="204">
        <f>EDATE($B2980,1)</f>
        <v/>
      </c>
      <c r="C2981" s="205">
        <f>EOMONTH($B2981,0)</f>
        <v/>
      </c>
      <c r="D2981" s="201">
        <f>$C2981-$B2981+1</f>
        <v/>
      </c>
      <c r="E2981" s="201">
        <f>MONTH($B2981)</f>
        <v/>
      </c>
      <c r="F2981" s="235">
        <f>($B2981+$C2981+1)/2</f>
        <v/>
      </c>
      <c r="G2981" s="201">
        <f>YEAR($B2981)*12+MONTH($B2981)-1</f>
        <v/>
      </c>
      <c r="H2981" s="207">
        <f>IF(OR(nr_SeasonOn="OFF",$D$2938=0,$E$2938=0),1,12*INDEX(se_block,$D$2938,$E2981)/$E$2938)</f>
        <v/>
      </c>
      <c r="I2981" s="208">
        <f>EXP(SUMPRODUCT((rl_eff&lt;$B2981)*(rl_key=$A$2938)*rl_ln1p))</f>
        <v/>
      </c>
      <c r="J2981" s="208">
        <f>EXP(SUMPRODUCT((rl_eff&lt;=$C2981)*(rl_key=$A$2938)*rl_ln1p))</f>
        <v/>
      </c>
      <c r="K2981" s="201">
        <f>COUNTIFS(rl_key,$A$2938,rl_eff,"&gt;="&amp;$B2981,rl_eff,"&lt;="&amp;$C2981)</f>
        <v/>
      </c>
      <c r="L2981" s="201">
        <f>SUMIFS(rl_daysafter,rl_key,$A$2938,rl_effmonth,$B2981,rl_first,1)</f>
        <v/>
      </c>
      <c r="M2981" s="209">
        <f>IF($K2981=0,0,MIN(1,$L2981/$D2981))</f>
        <v/>
      </c>
      <c r="N2981" s="208">
        <f>IF($K2981=0,$J2981,(1-$M2981)*$I2981+$M2981*$J2981)</f>
        <v/>
      </c>
      <c r="O2981" s="209">
        <f>IF($F2981&lt;$B$2939,$E$2939+$I$2939*($F2981-$A$2939),IF($F2981&lt;$C$2939,$F$2939+$J$2939*($F2981-$B$2939),$G$2939+$K$2939*($F2981-$C$2939)))</f>
        <v/>
      </c>
      <c r="P2981" s="208">
        <f>MIN(1,MAX(0,(nr_MEndPm1-$G2981+0.5)/$C$2938))-MIN(1,MAX(0,(nr_MStartPm1-1-$G2981+0.5)/$C$2938))</f>
        <v/>
      </c>
      <c r="Q2981" s="208">
        <f>MIN(1,MAX(0,(nr_MEndP-$G2981+0.5)/$C$2938))-MIN(1,MAX(0,(nr_MStartP-1-$G2981+0.5)/$C$2938))</f>
        <v/>
      </c>
      <c r="R2981" s="208">
        <f>MIN(1,MAX(0,(nr_MEndP1-$G2981+0.5)/$C$2938))-MIN(1,MAX(0,(nr_MStartP1-1-$G2981+0.5)/$C$2938))</f>
        <v/>
      </c>
      <c r="S2981" s="208">
        <f>IF($L$2938,$N2981*IF($O$2938=1,$O2981/$F$2938,1),"")</f>
        <v/>
      </c>
      <c r="T2981" s="208">
        <f>IF(NOT($L$2938),"",IF($G2981&lt;nr_MStartP,$S2981,$T2969*(1+IF($G2981&lt;nr_MStartP1,$M$2938,$N$2938))))</f>
        <v/>
      </c>
      <c r="U2981" s="208">
        <f>IF($L$2938,$T2981,$N2981)</f>
        <v/>
      </c>
    </row>
    <row r="2982">
      <c r="A2982" s="145" t="n">
        <v>42</v>
      </c>
      <c r="B2982" s="204">
        <f>EDATE($B2981,1)</f>
        <v/>
      </c>
      <c r="C2982" s="205">
        <f>EOMONTH($B2982,0)</f>
        <v/>
      </c>
      <c r="D2982" s="201">
        <f>$C2982-$B2982+1</f>
        <v/>
      </c>
      <c r="E2982" s="201">
        <f>MONTH($B2982)</f>
        <v/>
      </c>
      <c r="F2982" s="235">
        <f>($B2982+$C2982+1)/2</f>
        <v/>
      </c>
      <c r="G2982" s="201">
        <f>YEAR($B2982)*12+MONTH($B2982)-1</f>
        <v/>
      </c>
      <c r="H2982" s="207">
        <f>IF(OR(nr_SeasonOn="OFF",$D$2938=0,$E$2938=0),1,12*INDEX(se_block,$D$2938,$E2982)/$E$2938)</f>
        <v/>
      </c>
      <c r="I2982" s="208">
        <f>EXP(SUMPRODUCT((rl_eff&lt;$B2982)*(rl_key=$A$2938)*rl_ln1p))</f>
        <v/>
      </c>
      <c r="J2982" s="208">
        <f>EXP(SUMPRODUCT((rl_eff&lt;=$C2982)*(rl_key=$A$2938)*rl_ln1p))</f>
        <v/>
      </c>
      <c r="K2982" s="201">
        <f>COUNTIFS(rl_key,$A$2938,rl_eff,"&gt;="&amp;$B2982,rl_eff,"&lt;="&amp;$C2982)</f>
        <v/>
      </c>
      <c r="L2982" s="201">
        <f>SUMIFS(rl_daysafter,rl_key,$A$2938,rl_effmonth,$B2982,rl_first,1)</f>
        <v/>
      </c>
      <c r="M2982" s="209">
        <f>IF($K2982=0,0,MIN(1,$L2982/$D2982))</f>
        <v/>
      </c>
      <c r="N2982" s="208">
        <f>IF($K2982=0,$J2982,(1-$M2982)*$I2982+$M2982*$J2982)</f>
        <v/>
      </c>
      <c r="O2982" s="209">
        <f>IF($F2982&lt;$B$2939,$E$2939+$I$2939*($F2982-$A$2939),IF($F2982&lt;$C$2939,$F$2939+$J$2939*($F2982-$B$2939),$G$2939+$K$2939*($F2982-$C$2939)))</f>
        <v/>
      </c>
      <c r="P2982" s="208">
        <f>MIN(1,MAX(0,(nr_MEndPm1-$G2982+0.5)/$C$2938))-MIN(1,MAX(0,(nr_MStartPm1-1-$G2982+0.5)/$C$2938))</f>
        <v/>
      </c>
      <c r="Q2982" s="208">
        <f>MIN(1,MAX(0,(nr_MEndP-$G2982+0.5)/$C$2938))-MIN(1,MAX(0,(nr_MStartP-1-$G2982+0.5)/$C$2938))</f>
        <v/>
      </c>
      <c r="R2982" s="208">
        <f>MIN(1,MAX(0,(nr_MEndP1-$G2982+0.5)/$C$2938))-MIN(1,MAX(0,(nr_MStartP1-1-$G2982+0.5)/$C$2938))</f>
        <v/>
      </c>
      <c r="S2982" s="208">
        <f>IF($L$2938,$N2982*IF($O$2938=1,$O2982/$F$2938,1),"")</f>
        <v/>
      </c>
      <c r="T2982" s="208">
        <f>IF(NOT($L$2938),"",IF($G2982&lt;nr_MStartP,$S2982,$T2970*(1+IF($G2982&lt;nr_MStartP1,$M$2938,$N$2938))))</f>
        <v/>
      </c>
      <c r="U2982" s="208">
        <f>IF($L$2938,$T2982,$N2982)</f>
        <v/>
      </c>
    </row>
    <row r="2983">
      <c r="A2983" s="145" t="n">
        <v>43</v>
      </c>
      <c r="B2983" s="204">
        <f>EDATE($B2982,1)</f>
        <v/>
      </c>
      <c r="C2983" s="205">
        <f>EOMONTH($B2983,0)</f>
        <v/>
      </c>
      <c r="D2983" s="201">
        <f>$C2983-$B2983+1</f>
        <v/>
      </c>
      <c r="E2983" s="201">
        <f>MONTH($B2983)</f>
        <v/>
      </c>
      <c r="F2983" s="235">
        <f>($B2983+$C2983+1)/2</f>
        <v/>
      </c>
      <c r="G2983" s="201">
        <f>YEAR($B2983)*12+MONTH($B2983)-1</f>
        <v/>
      </c>
      <c r="H2983" s="207">
        <f>IF(OR(nr_SeasonOn="OFF",$D$2938=0,$E$2938=0),1,12*INDEX(se_block,$D$2938,$E2983)/$E$2938)</f>
        <v/>
      </c>
      <c r="I2983" s="208">
        <f>EXP(SUMPRODUCT((rl_eff&lt;$B2983)*(rl_key=$A$2938)*rl_ln1p))</f>
        <v/>
      </c>
      <c r="J2983" s="208">
        <f>EXP(SUMPRODUCT((rl_eff&lt;=$C2983)*(rl_key=$A$2938)*rl_ln1p))</f>
        <v/>
      </c>
      <c r="K2983" s="201">
        <f>COUNTIFS(rl_key,$A$2938,rl_eff,"&gt;="&amp;$B2983,rl_eff,"&lt;="&amp;$C2983)</f>
        <v/>
      </c>
      <c r="L2983" s="201">
        <f>SUMIFS(rl_daysafter,rl_key,$A$2938,rl_effmonth,$B2983,rl_first,1)</f>
        <v/>
      </c>
      <c r="M2983" s="209">
        <f>IF($K2983=0,0,MIN(1,$L2983/$D2983))</f>
        <v/>
      </c>
      <c r="N2983" s="208">
        <f>IF($K2983=0,$J2983,(1-$M2983)*$I2983+$M2983*$J2983)</f>
        <v/>
      </c>
      <c r="O2983" s="209">
        <f>IF($F2983&lt;$B$2939,$E$2939+$I$2939*($F2983-$A$2939),IF($F2983&lt;$C$2939,$F$2939+$J$2939*($F2983-$B$2939),$G$2939+$K$2939*($F2983-$C$2939)))</f>
        <v/>
      </c>
      <c r="P2983" s="208">
        <f>MIN(1,MAX(0,(nr_MEndPm1-$G2983+0.5)/$C$2938))-MIN(1,MAX(0,(nr_MStartPm1-1-$G2983+0.5)/$C$2938))</f>
        <v/>
      </c>
      <c r="Q2983" s="208">
        <f>MIN(1,MAX(0,(nr_MEndP-$G2983+0.5)/$C$2938))-MIN(1,MAX(0,(nr_MStartP-1-$G2983+0.5)/$C$2938))</f>
        <v/>
      </c>
      <c r="R2983" s="208">
        <f>MIN(1,MAX(0,(nr_MEndP1-$G2983+0.5)/$C$2938))-MIN(1,MAX(0,(nr_MStartP1-1-$G2983+0.5)/$C$2938))</f>
        <v/>
      </c>
      <c r="S2983" s="208">
        <f>IF($L$2938,$N2983*IF($O$2938=1,$O2983/$F$2938,1),"")</f>
        <v/>
      </c>
      <c r="T2983" s="208">
        <f>IF(NOT($L$2938),"",IF($G2983&lt;nr_MStartP,$S2983,$T2971*(1+IF($G2983&lt;nr_MStartP1,$M$2938,$N$2938))))</f>
        <v/>
      </c>
      <c r="U2983" s="208">
        <f>IF($L$2938,$T2983,$N2983)</f>
        <v/>
      </c>
    </row>
    <row r="2984">
      <c r="A2984" s="145" t="n">
        <v>44</v>
      </c>
      <c r="B2984" s="204">
        <f>EDATE($B2983,1)</f>
        <v/>
      </c>
      <c r="C2984" s="205">
        <f>EOMONTH($B2984,0)</f>
        <v/>
      </c>
      <c r="D2984" s="201">
        <f>$C2984-$B2984+1</f>
        <v/>
      </c>
      <c r="E2984" s="201">
        <f>MONTH($B2984)</f>
        <v/>
      </c>
      <c r="F2984" s="235">
        <f>($B2984+$C2984+1)/2</f>
        <v/>
      </c>
      <c r="G2984" s="201">
        <f>YEAR($B2984)*12+MONTH($B2984)-1</f>
        <v/>
      </c>
      <c r="H2984" s="207">
        <f>IF(OR(nr_SeasonOn="OFF",$D$2938=0,$E$2938=0),1,12*INDEX(se_block,$D$2938,$E2984)/$E$2938)</f>
        <v/>
      </c>
      <c r="I2984" s="208">
        <f>EXP(SUMPRODUCT((rl_eff&lt;$B2984)*(rl_key=$A$2938)*rl_ln1p))</f>
        <v/>
      </c>
      <c r="J2984" s="208">
        <f>EXP(SUMPRODUCT((rl_eff&lt;=$C2984)*(rl_key=$A$2938)*rl_ln1p))</f>
        <v/>
      </c>
      <c r="K2984" s="201">
        <f>COUNTIFS(rl_key,$A$2938,rl_eff,"&gt;="&amp;$B2984,rl_eff,"&lt;="&amp;$C2984)</f>
        <v/>
      </c>
      <c r="L2984" s="201">
        <f>SUMIFS(rl_daysafter,rl_key,$A$2938,rl_effmonth,$B2984,rl_first,1)</f>
        <v/>
      </c>
      <c r="M2984" s="209">
        <f>IF($K2984=0,0,MIN(1,$L2984/$D2984))</f>
        <v/>
      </c>
      <c r="N2984" s="208">
        <f>IF($K2984=0,$J2984,(1-$M2984)*$I2984+$M2984*$J2984)</f>
        <v/>
      </c>
      <c r="O2984" s="209">
        <f>IF($F2984&lt;$B$2939,$E$2939+$I$2939*($F2984-$A$2939),IF($F2984&lt;$C$2939,$F$2939+$J$2939*($F2984-$B$2939),$G$2939+$K$2939*($F2984-$C$2939)))</f>
        <v/>
      </c>
      <c r="P2984" s="208">
        <f>MIN(1,MAX(0,(nr_MEndPm1-$G2984+0.5)/$C$2938))-MIN(1,MAX(0,(nr_MStartPm1-1-$G2984+0.5)/$C$2938))</f>
        <v/>
      </c>
      <c r="Q2984" s="208">
        <f>MIN(1,MAX(0,(nr_MEndP-$G2984+0.5)/$C$2938))-MIN(1,MAX(0,(nr_MStartP-1-$G2984+0.5)/$C$2938))</f>
        <v/>
      </c>
      <c r="R2984" s="208">
        <f>MIN(1,MAX(0,(nr_MEndP1-$G2984+0.5)/$C$2938))-MIN(1,MAX(0,(nr_MStartP1-1-$G2984+0.5)/$C$2938))</f>
        <v/>
      </c>
      <c r="S2984" s="208">
        <f>IF($L$2938,$N2984*IF($O$2938=1,$O2984/$F$2938,1),"")</f>
        <v/>
      </c>
      <c r="T2984" s="208">
        <f>IF(NOT($L$2938),"",IF($G2984&lt;nr_MStartP,$S2984,$T2972*(1+IF($G2984&lt;nr_MStartP1,$M$2938,$N$2938))))</f>
        <v/>
      </c>
      <c r="U2984" s="208">
        <f>IF($L$2938,$T2984,$N2984)</f>
        <v/>
      </c>
    </row>
    <row r="2985">
      <c r="A2985" s="145" t="n">
        <v>45</v>
      </c>
      <c r="B2985" s="204">
        <f>EDATE($B2984,1)</f>
        <v/>
      </c>
      <c r="C2985" s="205">
        <f>EOMONTH($B2985,0)</f>
        <v/>
      </c>
      <c r="D2985" s="201">
        <f>$C2985-$B2985+1</f>
        <v/>
      </c>
      <c r="E2985" s="201">
        <f>MONTH($B2985)</f>
        <v/>
      </c>
      <c r="F2985" s="235">
        <f>($B2985+$C2985+1)/2</f>
        <v/>
      </c>
      <c r="G2985" s="201">
        <f>YEAR($B2985)*12+MONTH($B2985)-1</f>
        <v/>
      </c>
      <c r="H2985" s="207">
        <f>IF(OR(nr_SeasonOn="OFF",$D$2938=0,$E$2938=0),1,12*INDEX(se_block,$D$2938,$E2985)/$E$2938)</f>
        <v/>
      </c>
      <c r="I2985" s="208">
        <f>EXP(SUMPRODUCT((rl_eff&lt;$B2985)*(rl_key=$A$2938)*rl_ln1p))</f>
        <v/>
      </c>
      <c r="J2985" s="208">
        <f>EXP(SUMPRODUCT((rl_eff&lt;=$C2985)*(rl_key=$A$2938)*rl_ln1p))</f>
        <v/>
      </c>
      <c r="K2985" s="201">
        <f>COUNTIFS(rl_key,$A$2938,rl_eff,"&gt;="&amp;$B2985,rl_eff,"&lt;="&amp;$C2985)</f>
        <v/>
      </c>
      <c r="L2985" s="201">
        <f>SUMIFS(rl_daysafter,rl_key,$A$2938,rl_effmonth,$B2985,rl_first,1)</f>
        <v/>
      </c>
      <c r="M2985" s="209">
        <f>IF($K2985=0,0,MIN(1,$L2985/$D2985))</f>
        <v/>
      </c>
      <c r="N2985" s="208">
        <f>IF($K2985=0,$J2985,(1-$M2985)*$I2985+$M2985*$J2985)</f>
        <v/>
      </c>
      <c r="O2985" s="209">
        <f>IF($F2985&lt;$B$2939,$E$2939+$I$2939*($F2985-$A$2939),IF($F2985&lt;$C$2939,$F$2939+$J$2939*($F2985-$B$2939),$G$2939+$K$2939*($F2985-$C$2939)))</f>
        <v/>
      </c>
      <c r="P2985" s="208">
        <f>MIN(1,MAX(0,(nr_MEndPm1-$G2985+0.5)/$C$2938))-MIN(1,MAX(0,(nr_MStartPm1-1-$G2985+0.5)/$C$2938))</f>
        <v/>
      </c>
      <c r="Q2985" s="208">
        <f>MIN(1,MAX(0,(nr_MEndP-$G2985+0.5)/$C$2938))-MIN(1,MAX(0,(nr_MStartP-1-$G2985+0.5)/$C$2938))</f>
        <v/>
      </c>
      <c r="R2985" s="208">
        <f>MIN(1,MAX(0,(nr_MEndP1-$G2985+0.5)/$C$2938))-MIN(1,MAX(0,(nr_MStartP1-1-$G2985+0.5)/$C$2938))</f>
        <v/>
      </c>
      <c r="S2985" s="208">
        <f>IF($L$2938,$N2985*IF($O$2938=1,$O2985/$F$2938,1),"")</f>
        <v/>
      </c>
      <c r="T2985" s="208">
        <f>IF(NOT($L$2938),"",IF($G2985&lt;nr_MStartP,$S2985,$T2973*(1+IF($G2985&lt;nr_MStartP1,$M$2938,$N$2938))))</f>
        <v/>
      </c>
      <c r="U2985" s="208">
        <f>IF($L$2938,$T2985,$N2985)</f>
        <v/>
      </c>
    </row>
    <row r="2986">
      <c r="A2986" s="145" t="n">
        <v>46</v>
      </c>
      <c r="B2986" s="204">
        <f>EDATE($B2985,1)</f>
        <v/>
      </c>
      <c r="C2986" s="205">
        <f>EOMONTH($B2986,0)</f>
        <v/>
      </c>
      <c r="D2986" s="201">
        <f>$C2986-$B2986+1</f>
        <v/>
      </c>
      <c r="E2986" s="201">
        <f>MONTH($B2986)</f>
        <v/>
      </c>
      <c r="F2986" s="235">
        <f>($B2986+$C2986+1)/2</f>
        <v/>
      </c>
      <c r="G2986" s="201">
        <f>YEAR($B2986)*12+MONTH($B2986)-1</f>
        <v/>
      </c>
      <c r="H2986" s="207">
        <f>IF(OR(nr_SeasonOn="OFF",$D$2938=0,$E$2938=0),1,12*INDEX(se_block,$D$2938,$E2986)/$E$2938)</f>
        <v/>
      </c>
      <c r="I2986" s="208">
        <f>EXP(SUMPRODUCT((rl_eff&lt;$B2986)*(rl_key=$A$2938)*rl_ln1p))</f>
        <v/>
      </c>
      <c r="J2986" s="208">
        <f>EXP(SUMPRODUCT((rl_eff&lt;=$C2986)*(rl_key=$A$2938)*rl_ln1p))</f>
        <v/>
      </c>
      <c r="K2986" s="201">
        <f>COUNTIFS(rl_key,$A$2938,rl_eff,"&gt;="&amp;$B2986,rl_eff,"&lt;="&amp;$C2986)</f>
        <v/>
      </c>
      <c r="L2986" s="201">
        <f>SUMIFS(rl_daysafter,rl_key,$A$2938,rl_effmonth,$B2986,rl_first,1)</f>
        <v/>
      </c>
      <c r="M2986" s="209">
        <f>IF($K2986=0,0,MIN(1,$L2986/$D2986))</f>
        <v/>
      </c>
      <c r="N2986" s="208">
        <f>IF($K2986=0,$J2986,(1-$M2986)*$I2986+$M2986*$J2986)</f>
        <v/>
      </c>
      <c r="O2986" s="209">
        <f>IF($F2986&lt;$B$2939,$E$2939+$I$2939*($F2986-$A$2939),IF($F2986&lt;$C$2939,$F$2939+$J$2939*($F2986-$B$2939),$G$2939+$K$2939*($F2986-$C$2939)))</f>
        <v/>
      </c>
      <c r="P2986" s="208">
        <f>MIN(1,MAX(0,(nr_MEndPm1-$G2986+0.5)/$C$2938))-MIN(1,MAX(0,(nr_MStartPm1-1-$G2986+0.5)/$C$2938))</f>
        <v/>
      </c>
      <c r="Q2986" s="208">
        <f>MIN(1,MAX(0,(nr_MEndP-$G2986+0.5)/$C$2938))-MIN(1,MAX(0,(nr_MStartP-1-$G2986+0.5)/$C$2938))</f>
        <v/>
      </c>
      <c r="R2986" s="208">
        <f>MIN(1,MAX(0,(nr_MEndP1-$G2986+0.5)/$C$2938))-MIN(1,MAX(0,(nr_MStartP1-1-$G2986+0.5)/$C$2938))</f>
        <v/>
      </c>
      <c r="S2986" s="208">
        <f>IF($L$2938,$N2986*IF($O$2938=1,$O2986/$F$2938,1),"")</f>
        <v/>
      </c>
      <c r="T2986" s="208">
        <f>IF(NOT($L$2938),"",IF($G2986&lt;nr_MStartP,$S2986,$T2974*(1+IF($G2986&lt;nr_MStartP1,$M$2938,$N$2938))))</f>
        <v/>
      </c>
      <c r="U2986" s="208">
        <f>IF($L$2938,$T2986,$N2986)</f>
        <v/>
      </c>
    </row>
    <row r="2987">
      <c r="A2987" s="145" t="n">
        <v>47</v>
      </c>
      <c r="B2987" s="204">
        <f>EDATE($B2986,1)</f>
        <v/>
      </c>
      <c r="C2987" s="205">
        <f>EOMONTH($B2987,0)</f>
        <v/>
      </c>
      <c r="D2987" s="201">
        <f>$C2987-$B2987+1</f>
        <v/>
      </c>
      <c r="E2987" s="201">
        <f>MONTH($B2987)</f>
        <v/>
      </c>
      <c r="F2987" s="235">
        <f>($B2987+$C2987+1)/2</f>
        <v/>
      </c>
      <c r="G2987" s="201">
        <f>YEAR($B2987)*12+MONTH($B2987)-1</f>
        <v/>
      </c>
      <c r="H2987" s="207">
        <f>IF(OR(nr_SeasonOn="OFF",$D$2938=0,$E$2938=0),1,12*INDEX(se_block,$D$2938,$E2987)/$E$2938)</f>
        <v/>
      </c>
      <c r="I2987" s="208">
        <f>EXP(SUMPRODUCT((rl_eff&lt;$B2987)*(rl_key=$A$2938)*rl_ln1p))</f>
        <v/>
      </c>
      <c r="J2987" s="208">
        <f>EXP(SUMPRODUCT((rl_eff&lt;=$C2987)*(rl_key=$A$2938)*rl_ln1p))</f>
        <v/>
      </c>
      <c r="K2987" s="201">
        <f>COUNTIFS(rl_key,$A$2938,rl_eff,"&gt;="&amp;$B2987,rl_eff,"&lt;="&amp;$C2987)</f>
        <v/>
      </c>
      <c r="L2987" s="201">
        <f>SUMIFS(rl_daysafter,rl_key,$A$2938,rl_effmonth,$B2987,rl_first,1)</f>
        <v/>
      </c>
      <c r="M2987" s="209">
        <f>IF($K2987=0,0,MIN(1,$L2987/$D2987))</f>
        <v/>
      </c>
      <c r="N2987" s="208">
        <f>IF($K2987=0,$J2987,(1-$M2987)*$I2987+$M2987*$J2987)</f>
        <v/>
      </c>
      <c r="O2987" s="209">
        <f>IF($F2987&lt;$B$2939,$E$2939+$I$2939*($F2987-$A$2939),IF($F2987&lt;$C$2939,$F$2939+$J$2939*($F2987-$B$2939),$G$2939+$K$2939*($F2987-$C$2939)))</f>
        <v/>
      </c>
      <c r="P2987" s="208">
        <f>MIN(1,MAX(0,(nr_MEndPm1-$G2987+0.5)/$C$2938))-MIN(1,MAX(0,(nr_MStartPm1-1-$G2987+0.5)/$C$2938))</f>
        <v/>
      </c>
      <c r="Q2987" s="208">
        <f>MIN(1,MAX(0,(nr_MEndP-$G2987+0.5)/$C$2938))-MIN(1,MAX(0,(nr_MStartP-1-$G2987+0.5)/$C$2938))</f>
        <v/>
      </c>
      <c r="R2987" s="208">
        <f>MIN(1,MAX(0,(nr_MEndP1-$G2987+0.5)/$C$2938))-MIN(1,MAX(0,(nr_MStartP1-1-$G2987+0.5)/$C$2938))</f>
        <v/>
      </c>
      <c r="S2987" s="208">
        <f>IF($L$2938,$N2987*IF($O$2938=1,$O2987/$F$2938,1),"")</f>
        <v/>
      </c>
      <c r="T2987" s="208">
        <f>IF(NOT($L$2938),"",IF($G2987&lt;nr_MStartP,$S2987,$T2975*(1+IF($G2987&lt;nr_MStartP1,$M$2938,$N$2938))))</f>
        <v/>
      </c>
      <c r="U2987" s="208">
        <f>IF($L$2938,$T2987,$N2987)</f>
        <v/>
      </c>
    </row>
    <row r="2988">
      <c r="A2988" s="145" t="n">
        <v>48</v>
      </c>
      <c r="B2988" s="204">
        <f>EDATE($B2987,1)</f>
        <v/>
      </c>
      <c r="C2988" s="205">
        <f>EOMONTH($B2988,0)</f>
        <v/>
      </c>
      <c r="D2988" s="201">
        <f>$C2988-$B2988+1</f>
        <v/>
      </c>
      <c r="E2988" s="201">
        <f>MONTH($B2988)</f>
        <v/>
      </c>
      <c r="F2988" s="235">
        <f>($B2988+$C2988+1)/2</f>
        <v/>
      </c>
      <c r="G2988" s="201">
        <f>YEAR($B2988)*12+MONTH($B2988)-1</f>
        <v/>
      </c>
      <c r="H2988" s="207">
        <f>IF(OR(nr_SeasonOn="OFF",$D$2938=0,$E$2938=0),1,12*INDEX(se_block,$D$2938,$E2988)/$E$2938)</f>
        <v/>
      </c>
      <c r="I2988" s="208">
        <f>EXP(SUMPRODUCT((rl_eff&lt;$B2988)*(rl_key=$A$2938)*rl_ln1p))</f>
        <v/>
      </c>
      <c r="J2988" s="208">
        <f>EXP(SUMPRODUCT((rl_eff&lt;=$C2988)*(rl_key=$A$2938)*rl_ln1p))</f>
        <v/>
      </c>
      <c r="K2988" s="201">
        <f>COUNTIFS(rl_key,$A$2938,rl_eff,"&gt;="&amp;$B2988,rl_eff,"&lt;="&amp;$C2988)</f>
        <v/>
      </c>
      <c r="L2988" s="201">
        <f>SUMIFS(rl_daysafter,rl_key,$A$2938,rl_effmonth,$B2988,rl_first,1)</f>
        <v/>
      </c>
      <c r="M2988" s="209">
        <f>IF($K2988=0,0,MIN(1,$L2988/$D2988))</f>
        <v/>
      </c>
      <c r="N2988" s="208">
        <f>IF($K2988=0,$J2988,(1-$M2988)*$I2988+$M2988*$J2988)</f>
        <v/>
      </c>
      <c r="O2988" s="209">
        <f>IF($F2988&lt;$B$2939,$E$2939+$I$2939*($F2988-$A$2939),IF($F2988&lt;$C$2939,$F$2939+$J$2939*($F2988-$B$2939),$G$2939+$K$2939*($F2988-$C$2939)))</f>
        <v/>
      </c>
      <c r="P2988" s="208">
        <f>MIN(1,MAX(0,(nr_MEndPm1-$G2988+0.5)/$C$2938))-MIN(1,MAX(0,(nr_MStartPm1-1-$G2988+0.5)/$C$2938))</f>
        <v/>
      </c>
      <c r="Q2988" s="208">
        <f>MIN(1,MAX(0,(nr_MEndP-$G2988+0.5)/$C$2938))-MIN(1,MAX(0,(nr_MStartP-1-$G2988+0.5)/$C$2938))</f>
        <v/>
      </c>
      <c r="R2988" s="208">
        <f>MIN(1,MAX(0,(nr_MEndP1-$G2988+0.5)/$C$2938))-MIN(1,MAX(0,(nr_MStartP1-1-$G2988+0.5)/$C$2938))</f>
        <v/>
      </c>
      <c r="S2988" s="208">
        <f>IF($L$2938,$N2988*IF($O$2938=1,$O2988/$F$2938,1),"")</f>
        <v/>
      </c>
      <c r="T2988" s="208">
        <f>IF(NOT($L$2938),"",IF($G2988&lt;nr_MStartP,$S2988,$T2976*(1+IF($G2988&lt;nr_MStartP1,$M$2938,$N$2938))))</f>
        <v/>
      </c>
      <c r="U2988" s="208">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184">
        <f>SUMPRODUCT($H$2941:$H$2988,$Q$2941:$Q$2988,$O$2941:$O$2988)/SUMPRODUCT($H$2941:$H$2988,$Q$2941:$Q$2988)</f>
        <v/>
      </c>
      <c r="G2989" s="184">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184">
        <f>IF(N(INDEX(lr_mind,55))=0,1,INDEX(lr_mind,55))</f>
        <v/>
      </c>
      <c r="G2992" s="184">
        <f>IF(N(INDEX(lr_m0,55))=0,1,INDEX(lr_m0,55))</f>
        <v/>
      </c>
      <c r="H2992" s="73">
        <f>IF(N(INDEX(lr_m0asof,55))=0,DATE(nr_PlanYear-1,10,1),INDEX(lr_m0asof,55))</f>
        <v/>
      </c>
      <c r="I2992" s="184">
        <f>IF(N(INDEX(lr_m1,55))=0,1,INDEX(lr_m1,55))</f>
        <v/>
      </c>
      <c r="J2992" s="184">
        <f>INDEX(lr_mprior,55)</f>
        <v/>
      </c>
      <c r="K2992" s="184">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145" t="n">
        <v>1</v>
      </c>
      <c r="B2995" s="204">
        <f>DATE(nr_PlanYear-2,1,1)</f>
        <v/>
      </c>
      <c r="C2995" s="205">
        <f>EOMONTH($B2995,0)</f>
        <v/>
      </c>
      <c r="D2995" s="201">
        <f>$C2995-$B2995+1</f>
        <v/>
      </c>
      <c r="E2995" s="201">
        <f>MONTH($B2995)</f>
        <v/>
      </c>
      <c r="F2995" s="235">
        <f>($B2995+$C2995+1)/2</f>
        <v/>
      </c>
      <c r="G2995" s="201">
        <f>YEAR($B2995)*12+MONTH($B2995)-1</f>
        <v/>
      </c>
      <c r="H2995" s="207">
        <f>IF(OR(nr_SeasonOn="OFF",$D$2992=0,$E$2992=0),1,12*INDEX(se_block,$D$2992,$E2995)/$E$2992)</f>
        <v/>
      </c>
      <c r="I2995" s="208">
        <f>EXP(SUMPRODUCT((rl_eff&lt;$B2995)*(rl_key=$A$2992)*rl_ln1p))</f>
        <v/>
      </c>
      <c r="J2995" s="208">
        <f>EXP(SUMPRODUCT((rl_eff&lt;=$C2995)*(rl_key=$A$2992)*rl_ln1p))</f>
        <v/>
      </c>
      <c r="K2995" s="201">
        <f>COUNTIFS(rl_key,$A$2992,rl_eff,"&gt;="&amp;$B2995,rl_eff,"&lt;="&amp;$C2995)</f>
        <v/>
      </c>
      <c r="L2995" s="201">
        <f>SUMIFS(rl_daysafter,rl_key,$A$2992,rl_effmonth,$B2995,rl_first,1)</f>
        <v/>
      </c>
      <c r="M2995" s="209">
        <f>IF($K2995=0,0,MIN(1,$L2995/$D2995))</f>
        <v/>
      </c>
      <c r="N2995" s="208">
        <f>IF($K2995=0,$J2995,(1-$M2995)*$I2995+$M2995*$J2995)</f>
        <v/>
      </c>
      <c r="O2995" s="209">
        <f>IF($F2995&lt;$B$2993,$E$2993+$I$2993*($F2995-$A$2993),IF($F2995&lt;$C$2993,$F$2993+$J$2993*($F2995-$B$2993),$G$2993+$K$2993*($F2995-$C$2993)))</f>
        <v/>
      </c>
      <c r="P2995" s="208">
        <f>MIN(1,MAX(0,(nr_MEndPm1-$G2995+0.5)/$C$2992))-MIN(1,MAX(0,(nr_MStartPm1-1-$G2995+0.5)/$C$2992))</f>
        <v/>
      </c>
      <c r="Q2995" s="208">
        <f>MIN(1,MAX(0,(nr_MEndP-$G2995+0.5)/$C$2992))-MIN(1,MAX(0,(nr_MStartP-1-$G2995+0.5)/$C$2992))</f>
        <v/>
      </c>
      <c r="R2995" s="208">
        <f>MIN(1,MAX(0,(nr_MEndP1-$G2995+0.5)/$C$2992))-MIN(1,MAX(0,(nr_MStartP1-1-$G2995+0.5)/$C$2992))</f>
        <v/>
      </c>
      <c r="S2995" s="208">
        <f>IF($L$2992,$N2995*IF($O$2992=1,$O2995/$F$2992,1),"")</f>
        <v/>
      </c>
      <c r="T2995" s="208">
        <f>IF(NOT($L$2992),"",IF($G2995&lt;nr_MStartP,$S2995,$T2983*(1+IF($G2995&lt;nr_MStartP1,$M$2992,$N$2992))))</f>
        <v/>
      </c>
      <c r="U2995" s="208">
        <f>IF($L$2992,$T2995,$N2995)</f>
        <v/>
      </c>
    </row>
    <row r="2996">
      <c r="A2996" s="145" t="n">
        <v>2</v>
      </c>
      <c r="B2996" s="204">
        <f>EDATE($B2995,1)</f>
        <v/>
      </c>
      <c r="C2996" s="205">
        <f>EOMONTH($B2996,0)</f>
        <v/>
      </c>
      <c r="D2996" s="201">
        <f>$C2996-$B2996+1</f>
        <v/>
      </c>
      <c r="E2996" s="201">
        <f>MONTH($B2996)</f>
        <v/>
      </c>
      <c r="F2996" s="235">
        <f>($B2996+$C2996+1)/2</f>
        <v/>
      </c>
      <c r="G2996" s="201">
        <f>YEAR($B2996)*12+MONTH($B2996)-1</f>
        <v/>
      </c>
      <c r="H2996" s="207">
        <f>IF(OR(nr_SeasonOn="OFF",$D$2992=0,$E$2992=0),1,12*INDEX(se_block,$D$2992,$E2996)/$E$2992)</f>
        <v/>
      </c>
      <c r="I2996" s="208">
        <f>EXP(SUMPRODUCT((rl_eff&lt;$B2996)*(rl_key=$A$2992)*rl_ln1p))</f>
        <v/>
      </c>
      <c r="J2996" s="208">
        <f>EXP(SUMPRODUCT((rl_eff&lt;=$C2996)*(rl_key=$A$2992)*rl_ln1p))</f>
        <v/>
      </c>
      <c r="K2996" s="201">
        <f>COUNTIFS(rl_key,$A$2992,rl_eff,"&gt;="&amp;$B2996,rl_eff,"&lt;="&amp;$C2996)</f>
        <v/>
      </c>
      <c r="L2996" s="201">
        <f>SUMIFS(rl_daysafter,rl_key,$A$2992,rl_effmonth,$B2996,rl_first,1)</f>
        <v/>
      </c>
      <c r="M2996" s="209">
        <f>IF($K2996=0,0,MIN(1,$L2996/$D2996))</f>
        <v/>
      </c>
      <c r="N2996" s="208">
        <f>IF($K2996=0,$J2996,(1-$M2996)*$I2996+$M2996*$J2996)</f>
        <v/>
      </c>
      <c r="O2996" s="209">
        <f>IF($F2996&lt;$B$2993,$E$2993+$I$2993*($F2996-$A$2993),IF($F2996&lt;$C$2993,$F$2993+$J$2993*($F2996-$B$2993),$G$2993+$K$2993*($F2996-$C$2993)))</f>
        <v/>
      </c>
      <c r="P2996" s="208">
        <f>MIN(1,MAX(0,(nr_MEndPm1-$G2996+0.5)/$C$2992))-MIN(1,MAX(0,(nr_MStartPm1-1-$G2996+0.5)/$C$2992))</f>
        <v/>
      </c>
      <c r="Q2996" s="208">
        <f>MIN(1,MAX(0,(nr_MEndP-$G2996+0.5)/$C$2992))-MIN(1,MAX(0,(nr_MStartP-1-$G2996+0.5)/$C$2992))</f>
        <v/>
      </c>
      <c r="R2996" s="208">
        <f>MIN(1,MAX(0,(nr_MEndP1-$G2996+0.5)/$C$2992))-MIN(1,MAX(0,(nr_MStartP1-1-$G2996+0.5)/$C$2992))</f>
        <v/>
      </c>
      <c r="S2996" s="208">
        <f>IF($L$2992,$N2996*IF($O$2992=1,$O2996/$F$2992,1),"")</f>
        <v/>
      </c>
      <c r="T2996" s="208">
        <f>IF(NOT($L$2992),"",IF($G2996&lt;nr_MStartP,$S2996,$T2984*(1+IF($G2996&lt;nr_MStartP1,$M$2992,$N$2992))))</f>
        <v/>
      </c>
      <c r="U2996" s="208">
        <f>IF($L$2992,$T2996,$N2996)</f>
        <v/>
      </c>
    </row>
    <row r="2997">
      <c r="A2997" s="145" t="n">
        <v>3</v>
      </c>
      <c r="B2997" s="204">
        <f>EDATE($B2996,1)</f>
        <v/>
      </c>
      <c r="C2997" s="205">
        <f>EOMONTH($B2997,0)</f>
        <v/>
      </c>
      <c r="D2997" s="201">
        <f>$C2997-$B2997+1</f>
        <v/>
      </c>
      <c r="E2997" s="201">
        <f>MONTH($B2997)</f>
        <v/>
      </c>
      <c r="F2997" s="235">
        <f>($B2997+$C2997+1)/2</f>
        <v/>
      </c>
      <c r="G2997" s="201">
        <f>YEAR($B2997)*12+MONTH($B2997)-1</f>
        <v/>
      </c>
      <c r="H2997" s="207">
        <f>IF(OR(nr_SeasonOn="OFF",$D$2992=0,$E$2992=0),1,12*INDEX(se_block,$D$2992,$E2997)/$E$2992)</f>
        <v/>
      </c>
      <c r="I2997" s="208">
        <f>EXP(SUMPRODUCT((rl_eff&lt;$B2997)*(rl_key=$A$2992)*rl_ln1p))</f>
        <v/>
      </c>
      <c r="J2997" s="208">
        <f>EXP(SUMPRODUCT((rl_eff&lt;=$C2997)*(rl_key=$A$2992)*rl_ln1p))</f>
        <v/>
      </c>
      <c r="K2997" s="201">
        <f>COUNTIFS(rl_key,$A$2992,rl_eff,"&gt;="&amp;$B2997,rl_eff,"&lt;="&amp;$C2997)</f>
        <v/>
      </c>
      <c r="L2997" s="201">
        <f>SUMIFS(rl_daysafter,rl_key,$A$2992,rl_effmonth,$B2997,rl_first,1)</f>
        <v/>
      </c>
      <c r="M2997" s="209">
        <f>IF($K2997=0,0,MIN(1,$L2997/$D2997))</f>
        <v/>
      </c>
      <c r="N2997" s="208">
        <f>IF($K2997=0,$J2997,(1-$M2997)*$I2997+$M2997*$J2997)</f>
        <v/>
      </c>
      <c r="O2997" s="209">
        <f>IF($F2997&lt;$B$2993,$E$2993+$I$2993*($F2997-$A$2993),IF($F2997&lt;$C$2993,$F$2993+$J$2993*($F2997-$B$2993),$G$2993+$K$2993*($F2997-$C$2993)))</f>
        <v/>
      </c>
      <c r="P2997" s="208">
        <f>MIN(1,MAX(0,(nr_MEndPm1-$G2997+0.5)/$C$2992))-MIN(1,MAX(0,(nr_MStartPm1-1-$G2997+0.5)/$C$2992))</f>
        <v/>
      </c>
      <c r="Q2997" s="208">
        <f>MIN(1,MAX(0,(nr_MEndP-$G2997+0.5)/$C$2992))-MIN(1,MAX(0,(nr_MStartP-1-$G2997+0.5)/$C$2992))</f>
        <v/>
      </c>
      <c r="R2997" s="208">
        <f>MIN(1,MAX(0,(nr_MEndP1-$G2997+0.5)/$C$2992))-MIN(1,MAX(0,(nr_MStartP1-1-$G2997+0.5)/$C$2992))</f>
        <v/>
      </c>
      <c r="S2997" s="208">
        <f>IF($L$2992,$N2997*IF($O$2992=1,$O2997/$F$2992,1),"")</f>
        <v/>
      </c>
      <c r="T2997" s="208">
        <f>IF(NOT($L$2992),"",IF($G2997&lt;nr_MStartP,$S2997,$T2985*(1+IF($G2997&lt;nr_MStartP1,$M$2992,$N$2992))))</f>
        <v/>
      </c>
      <c r="U2997" s="208">
        <f>IF($L$2992,$T2997,$N2997)</f>
        <v/>
      </c>
    </row>
    <row r="2998">
      <c r="A2998" s="145" t="n">
        <v>4</v>
      </c>
      <c r="B2998" s="204">
        <f>EDATE($B2997,1)</f>
        <v/>
      </c>
      <c r="C2998" s="205">
        <f>EOMONTH($B2998,0)</f>
        <v/>
      </c>
      <c r="D2998" s="201">
        <f>$C2998-$B2998+1</f>
        <v/>
      </c>
      <c r="E2998" s="201">
        <f>MONTH($B2998)</f>
        <v/>
      </c>
      <c r="F2998" s="235">
        <f>($B2998+$C2998+1)/2</f>
        <v/>
      </c>
      <c r="G2998" s="201">
        <f>YEAR($B2998)*12+MONTH($B2998)-1</f>
        <v/>
      </c>
      <c r="H2998" s="207">
        <f>IF(OR(nr_SeasonOn="OFF",$D$2992=0,$E$2992=0),1,12*INDEX(se_block,$D$2992,$E2998)/$E$2992)</f>
        <v/>
      </c>
      <c r="I2998" s="208">
        <f>EXP(SUMPRODUCT((rl_eff&lt;$B2998)*(rl_key=$A$2992)*rl_ln1p))</f>
        <v/>
      </c>
      <c r="J2998" s="208">
        <f>EXP(SUMPRODUCT((rl_eff&lt;=$C2998)*(rl_key=$A$2992)*rl_ln1p))</f>
        <v/>
      </c>
      <c r="K2998" s="201">
        <f>COUNTIFS(rl_key,$A$2992,rl_eff,"&gt;="&amp;$B2998,rl_eff,"&lt;="&amp;$C2998)</f>
        <v/>
      </c>
      <c r="L2998" s="201">
        <f>SUMIFS(rl_daysafter,rl_key,$A$2992,rl_effmonth,$B2998,rl_first,1)</f>
        <v/>
      </c>
      <c r="M2998" s="209">
        <f>IF($K2998=0,0,MIN(1,$L2998/$D2998))</f>
        <v/>
      </c>
      <c r="N2998" s="208">
        <f>IF($K2998=0,$J2998,(1-$M2998)*$I2998+$M2998*$J2998)</f>
        <v/>
      </c>
      <c r="O2998" s="209">
        <f>IF($F2998&lt;$B$2993,$E$2993+$I$2993*($F2998-$A$2993),IF($F2998&lt;$C$2993,$F$2993+$J$2993*($F2998-$B$2993),$G$2993+$K$2993*($F2998-$C$2993)))</f>
        <v/>
      </c>
      <c r="P2998" s="208">
        <f>MIN(1,MAX(0,(nr_MEndPm1-$G2998+0.5)/$C$2992))-MIN(1,MAX(0,(nr_MStartPm1-1-$G2998+0.5)/$C$2992))</f>
        <v/>
      </c>
      <c r="Q2998" s="208">
        <f>MIN(1,MAX(0,(nr_MEndP-$G2998+0.5)/$C$2992))-MIN(1,MAX(0,(nr_MStartP-1-$G2998+0.5)/$C$2992))</f>
        <v/>
      </c>
      <c r="R2998" s="208">
        <f>MIN(1,MAX(0,(nr_MEndP1-$G2998+0.5)/$C$2992))-MIN(1,MAX(0,(nr_MStartP1-1-$G2998+0.5)/$C$2992))</f>
        <v/>
      </c>
      <c r="S2998" s="208">
        <f>IF($L$2992,$N2998*IF($O$2992=1,$O2998/$F$2992,1),"")</f>
        <v/>
      </c>
      <c r="T2998" s="208">
        <f>IF(NOT($L$2992),"",IF($G2998&lt;nr_MStartP,$S2998,$T2986*(1+IF($G2998&lt;nr_MStartP1,$M$2992,$N$2992))))</f>
        <v/>
      </c>
      <c r="U2998" s="208">
        <f>IF($L$2992,$T2998,$N2998)</f>
        <v/>
      </c>
    </row>
    <row r="2999">
      <c r="A2999" s="145" t="n">
        <v>5</v>
      </c>
      <c r="B2999" s="204">
        <f>EDATE($B2998,1)</f>
        <v/>
      </c>
      <c r="C2999" s="205">
        <f>EOMONTH($B2999,0)</f>
        <v/>
      </c>
      <c r="D2999" s="201">
        <f>$C2999-$B2999+1</f>
        <v/>
      </c>
      <c r="E2999" s="201">
        <f>MONTH($B2999)</f>
        <v/>
      </c>
      <c r="F2999" s="235">
        <f>($B2999+$C2999+1)/2</f>
        <v/>
      </c>
      <c r="G2999" s="201">
        <f>YEAR($B2999)*12+MONTH($B2999)-1</f>
        <v/>
      </c>
      <c r="H2999" s="207">
        <f>IF(OR(nr_SeasonOn="OFF",$D$2992=0,$E$2992=0),1,12*INDEX(se_block,$D$2992,$E2999)/$E$2992)</f>
        <v/>
      </c>
      <c r="I2999" s="208">
        <f>EXP(SUMPRODUCT((rl_eff&lt;$B2999)*(rl_key=$A$2992)*rl_ln1p))</f>
        <v/>
      </c>
      <c r="J2999" s="208">
        <f>EXP(SUMPRODUCT((rl_eff&lt;=$C2999)*(rl_key=$A$2992)*rl_ln1p))</f>
        <v/>
      </c>
      <c r="K2999" s="201">
        <f>COUNTIFS(rl_key,$A$2992,rl_eff,"&gt;="&amp;$B2999,rl_eff,"&lt;="&amp;$C2999)</f>
        <v/>
      </c>
      <c r="L2999" s="201">
        <f>SUMIFS(rl_daysafter,rl_key,$A$2992,rl_effmonth,$B2999,rl_first,1)</f>
        <v/>
      </c>
      <c r="M2999" s="209">
        <f>IF($K2999=0,0,MIN(1,$L2999/$D2999))</f>
        <v/>
      </c>
      <c r="N2999" s="208">
        <f>IF($K2999=0,$J2999,(1-$M2999)*$I2999+$M2999*$J2999)</f>
        <v/>
      </c>
      <c r="O2999" s="209">
        <f>IF($F2999&lt;$B$2993,$E$2993+$I$2993*($F2999-$A$2993),IF($F2999&lt;$C$2993,$F$2993+$J$2993*($F2999-$B$2993),$G$2993+$K$2993*($F2999-$C$2993)))</f>
        <v/>
      </c>
      <c r="P2999" s="208">
        <f>MIN(1,MAX(0,(nr_MEndPm1-$G2999+0.5)/$C$2992))-MIN(1,MAX(0,(nr_MStartPm1-1-$G2999+0.5)/$C$2992))</f>
        <v/>
      </c>
      <c r="Q2999" s="208">
        <f>MIN(1,MAX(0,(nr_MEndP-$G2999+0.5)/$C$2992))-MIN(1,MAX(0,(nr_MStartP-1-$G2999+0.5)/$C$2992))</f>
        <v/>
      </c>
      <c r="R2999" s="208">
        <f>MIN(1,MAX(0,(nr_MEndP1-$G2999+0.5)/$C$2992))-MIN(1,MAX(0,(nr_MStartP1-1-$G2999+0.5)/$C$2992))</f>
        <v/>
      </c>
      <c r="S2999" s="208">
        <f>IF($L$2992,$N2999*IF($O$2992=1,$O2999/$F$2992,1),"")</f>
        <v/>
      </c>
      <c r="T2999" s="208">
        <f>IF(NOT($L$2992),"",IF($G2999&lt;nr_MStartP,$S2999,$T2987*(1+IF($G2999&lt;nr_MStartP1,$M$2992,$N$2992))))</f>
        <v/>
      </c>
      <c r="U2999" s="208">
        <f>IF($L$2992,$T2999,$N2999)</f>
        <v/>
      </c>
    </row>
    <row r="3000">
      <c r="A3000" s="145" t="n">
        <v>6</v>
      </c>
      <c r="B3000" s="204">
        <f>EDATE($B2999,1)</f>
        <v/>
      </c>
      <c r="C3000" s="205">
        <f>EOMONTH($B3000,0)</f>
        <v/>
      </c>
      <c r="D3000" s="201">
        <f>$C3000-$B3000+1</f>
        <v/>
      </c>
      <c r="E3000" s="201">
        <f>MONTH($B3000)</f>
        <v/>
      </c>
      <c r="F3000" s="235">
        <f>($B3000+$C3000+1)/2</f>
        <v/>
      </c>
      <c r="G3000" s="201">
        <f>YEAR($B3000)*12+MONTH($B3000)-1</f>
        <v/>
      </c>
      <c r="H3000" s="207">
        <f>IF(OR(nr_SeasonOn="OFF",$D$2992=0,$E$2992=0),1,12*INDEX(se_block,$D$2992,$E3000)/$E$2992)</f>
        <v/>
      </c>
      <c r="I3000" s="208">
        <f>EXP(SUMPRODUCT((rl_eff&lt;$B3000)*(rl_key=$A$2992)*rl_ln1p))</f>
        <v/>
      </c>
      <c r="J3000" s="208">
        <f>EXP(SUMPRODUCT((rl_eff&lt;=$C3000)*(rl_key=$A$2992)*rl_ln1p))</f>
        <v/>
      </c>
      <c r="K3000" s="201">
        <f>COUNTIFS(rl_key,$A$2992,rl_eff,"&gt;="&amp;$B3000,rl_eff,"&lt;="&amp;$C3000)</f>
        <v/>
      </c>
      <c r="L3000" s="201">
        <f>SUMIFS(rl_daysafter,rl_key,$A$2992,rl_effmonth,$B3000,rl_first,1)</f>
        <v/>
      </c>
      <c r="M3000" s="209">
        <f>IF($K3000=0,0,MIN(1,$L3000/$D3000))</f>
        <v/>
      </c>
      <c r="N3000" s="208">
        <f>IF($K3000=0,$J3000,(1-$M3000)*$I3000+$M3000*$J3000)</f>
        <v/>
      </c>
      <c r="O3000" s="209">
        <f>IF($F3000&lt;$B$2993,$E$2993+$I$2993*($F3000-$A$2993),IF($F3000&lt;$C$2993,$F$2993+$J$2993*($F3000-$B$2993),$G$2993+$K$2993*($F3000-$C$2993)))</f>
        <v/>
      </c>
      <c r="P3000" s="208">
        <f>MIN(1,MAX(0,(nr_MEndPm1-$G3000+0.5)/$C$2992))-MIN(1,MAX(0,(nr_MStartPm1-1-$G3000+0.5)/$C$2992))</f>
        <v/>
      </c>
      <c r="Q3000" s="208">
        <f>MIN(1,MAX(0,(nr_MEndP-$G3000+0.5)/$C$2992))-MIN(1,MAX(0,(nr_MStartP-1-$G3000+0.5)/$C$2992))</f>
        <v/>
      </c>
      <c r="R3000" s="208">
        <f>MIN(1,MAX(0,(nr_MEndP1-$G3000+0.5)/$C$2992))-MIN(1,MAX(0,(nr_MStartP1-1-$G3000+0.5)/$C$2992))</f>
        <v/>
      </c>
      <c r="S3000" s="208">
        <f>IF($L$2992,$N3000*IF($O$2992=1,$O3000/$F$2992,1),"")</f>
        <v/>
      </c>
      <c r="T3000" s="208">
        <f>IF(NOT($L$2992),"",IF($G3000&lt;nr_MStartP,$S3000,$T2988*(1+IF($G3000&lt;nr_MStartP1,$M$2992,$N$2992))))</f>
        <v/>
      </c>
      <c r="U3000" s="208">
        <f>IF($L$2992,$T3000,$N3000)</f>
        <v/>
      </c>
    </row>
    <row r="3001">
      <c r="A3001" s="145" t="n">
        <v>7</v>
      </c>
      <c r="B3001" s="204">
        <f>EDATE($B3000,1)</f>
        <v/>
      </c>
      <c r="C3001" s="205">
        <f>EOMONTH($B3001,0)</f>
        <v/>
      </c>
      <c r="D3001" s="201">
        <f>$C3001-$B3001+1</f>
        <v/>
      </c>
      <c r="E3001" s="201">
        <f>MONTH($B3001)</f>
        <v/>
      </c>
      <c r="F3001" s="235">
        <f>($B3001+$C3001+1)/2</f>
        <v/>
      </c>
      <c r="G3001" s="201">
        <f>YEAR($B3001)*12+MONTH($B3001)-1</f>
        <v/>
      </c>
      <c r="H3001" s="207">
        <f>IF(OR(nr_SeasonOn="OFF",$D$2992=0,$E$2992=0),1,12*INDEX(se_block,$D$2992,$E3001)/$E$2992)</f>
        <v/>
      </c>
      <c r="I3001" s="208">
        <f>EXP(SUMPRODUCT((rl_eff&lt;$B3001)*(rl_key=$A$2992)*rl_ln1p))</f>
        <v/>
      </c>
      <c r="J3001" s="208">
        <f>EXP(SUMPRODUCT((rl_eff&lt;=$C3001)*(rl_key=$A$2992)*rl_ln1p))</f>
        <v/>
      </c>
      <c r="K3001" s="201">
        <f>COUNTIFS(rl_key,$A$2992,rl_eff,"&gt;="&amp;$B3001,rl_eff,"&lt;="&amp;$C3001)</f>
        <v/>
      </c>
      <c r="L3001" s="201">
        <f>SUMIFS(rl_daysafter,rl_key,$A$2992,rl_effmonth,$B3001,rl_first,1)</f>
        <v/>
      </c>
      <c r="M3001" s="209">
        <f>IF($K3001=0,0,MIN(1,$L3001/$D3001))</f>
        <v/>
      </c>
      <c r="N3001" s="208">
        <f>IF($K3001=0,$J3001,(1-$M3001)*$I3001+$M3001*$J3001)</f>
        <v/>
      </c>
      <c r="O3001" s="209">
        <f>IF($F3001&lt;$B$2993,$E$2993+$I$2993*($F3001-$A$2993),IF($F3001&lt;$C$2993,$F$2993+$J$2993*($F3001-$B$2993),$G$2993+$K$2993*($F3001-$C$2993)))</f>
        <v/>
      </c>
      <c r="P3001" s="208">
        <f>MIN(1,MAX(0,(nr_MEndPm1-$G3001+0.5)/$C$2992))-MIN(1,MAX(0,(nr_MStartPm1-1-$G3001+0.5)/$C$2992))</f>
        <v/>
      </c>
      <c r="Q3001" s="208">
        <f>MIN(1,MAX(0,(nr_MEndP-$G3001+0.5)/$C$2992))-MIN(1,MAX(0,(nr_MStartP-1-$G3001+0.5)/$C$2992))</f>
        <v/>
      </c>
      <c r="R3001" s="208">
        <f>MIN(1,MAX(0,(nr_MEndP1-$G3001+0.5)/$C$2992))-MIN(1,MAX(0,(nr_MStartP1-1-$G3001+0.5)/$C$2992))</f>
        <v/>
      </c>
      <c r="S3001" s="208">
        <f>IF($L$2992,$N3001*IF($O$2992=1,$O3001/$F$2992,1),"")</f>
        <v/>
      </c>
      <c r="T3001" s="208">
        <f>IF(NOT($L$2992),"",IF($G3001&lt;nr_MStartP,$S3001,$T2989*(1+IF($G3001&lt;nr_MStartP1,$M$2992,$N$2992))))</f>
        <v/>
      </c>
      <c r="U3001" s="208">
        <f>IF($L$2992,$T3001,$N3001)</f>
        <v/>
      </c>
    </row>
    <row r="3002">
      <c r="A3002" s="145" t="n">
        <v>8</v>
      </c>
      <c r="B3002" s="204">
        <f>EDATE($B3001,1)</f>
        <v/>
      </c>
      <c r="C3002" s="205">
        <f>EOMONTH($B3002,0)</f>
        <v/>
      </c>
      <c r="D3002" s="201">
        <f>$C3002-$B3002+1</f>
        <v/>
      </c>
      <c r="E3002" s="201">
        <f>MONTH($B3002)</f>
        <v/>
      </c>
      <c r="F3002" s="235">
        <f>($B3002+$C3002+1)/2</f>
        <v/>
      </c>
      <c r="G3002" s="201">
        <f>YEAR($B3002)*12+MONTH($B3002)-1</f>
        <v/>
      </c>
      <c r="H3002" s="207">
        <f>IF(OR(nr_SeasonOn="OFF",$D$2992=0,$E$2992=0),1,12*INDEX(se_block,$D$2992,$E3002)/$E$2992)</f>
        <v/>
      </c>
      <c r="I3002" s="208">
        <f>EXP(SUMPRODUCT((rl_eff&lt;$B3002)*(rl_key=$A$2992)*rl_ln1p))</f>
        <v/>
      </c>
      <c r="J3002" s="208">
        <f>EXP(SUMPRODUCT((rl_eff&lt;=$C3002)*(rl_key=$A$2992)*rl_ln1p))</f>
        <v/>
      </c>
      <c r="K3002" s="201">
        <f>COUNTIFS(rl_key,$A$2992,rl_eff,"&gt;="&amp;$B3002,rl_eff,"&lt;="&amp;$C3002)</f>
        <v/>
      </c>
      <c r="L3002" s="201">
        <f>SUMIFS(rl_daysafter,rl_key,$A$2992,rl_effmonth,$B3002,rl_first,1)</f>
        <v/>
      </c>
      <c r="M3002" s="209">
        <f>IF($K3002=0,0,MIN(1,$L3002/$D3002))</f>
        <v/>
      </c>
      <c r="N3002" s="208">
        <f>IF($K3002=0,$J3002,(1-$M3002)*$I3002+$M3002*$J3002)</f>
        <v/>
      </c>
      <c r="O3002" s="209">
        <f>IF($F3002&lt;$B$2993,$E$2993+$I$2993*($F3002-$A$2993),IF($F3002&lt;$C$2993,$F$2993+$J$2993*($F3002-$B$2993),$G$2993+$K$2993*($F3002-$C$2993)))</f>
        <v/>
      </c>
      <c r="P3002" s="208">
        <f>MIN(1,MAX(0,(nr_MEndPm1-$G3002+0.5)/$C$2992))-MIN(1,MAX(0,(nr_MStartPm1-1-$G3002+0.5)/$C$2992))</f>
        <v/>
      </c>
      <c r="Q3002" s="208">
        <f>MIN(1,MAX(0,(nr_MEndP-$G3002+0.5)/$C$2992))-MIN(1,MAX(0,(nr_MStartP-1-$G3002+0.5)/$C$2992))</f>
        <v/>
      </c>
      <c r="R3002" s="208">
        <f>MIN(1,MAX(0,(nr_MEndP1-$G3002+0.5)/$C$2992))-MIN(1,MAX(0,(nr_MStartP1-1-$G3002+0.5)/$C$2992))</f>
        <v/>
      </c>
      <c r="S3002" s="208">
        <f>IF($L$2992,$N3002*IF($O$2992=1,$O3002/$F$2992,1),"")</f>
        <v/>
      </c>
      <c r="T3002" s="208">
        <f>IF(NOT($L$2992),"",IF($G3002&lt;nr_MStartP,$S3002,$T2990*(1+IF($G3002&lt;nr_MStartP1,$M$2992,$N$2992))))</f>
        <v/>
      </c>
      <c r="U3002" s="208">
        <f>IF($L$2992,$T3002,$N3002)</f>
        <v/>
      </c>
    </row>
    <row r="3003">
      <c r="A3003" s="145" t="n">
        <v>9</v>
      </c>
      <c r="B3003" s="204">
        <f>EDATE($B3002,1)</f>
        <v/>
      </c>
      <c r="C3003" s="205">
        <f>EOMONTH($B3003,0)</f>
        <v/>
      </c>
      <c r="D3003" s="201">
        <f>$C3003-$B3003+1</f>
        <v/>
      </c>
      <c r="E3003" s="201">
        <f>MONTH($B3003)</f>
        <v/>
      </c>
      <c r="F3003" s="235">
        <f>($B3003+$C3003+1)/2</f>
        <v/>
      </c>
      <c r="G3003" s="201">
        <f>YEAR($B3003)*12+MONTH($B3003)-1</f>
        <v/>
      </c>
      <c r="H3003" s="207">
        <f>IF(OR(nr_SeasonOn="OFF",$D$2992=0,$E$2992=0),1,12*INDEX(se_block,$D$2992,$E3003)/$E$2992)</f>
        <v/>
      </c>
      <c r="I3003" s="208">
        <f>EXP(SUMPRODUCT((rl_eff&lt;$B3003)*(rl_key=$A$2992)*rl_ln1p))</f>
        <v/>
      </c>
      <c r="J3003" s="208">
        <f>EXP(SUMPRODUCT((rl_eff&lt;=$C3003)*(rl_key=$A$2992)*rl_ln1p))</f>
        <v/>
      </c>
      <c r="K3003" s="201">
        <f>COUNTIFS(rl_key,$A$2992,rl_eff,"&gt;="&amp;$B3003,rl_eff,"&lt;="&amp;$C3003)</f>
        <v/>
      </c>
      <c r="L3003" s="201">
        <f>SUMIFS(rl_daysafter,rl_key,$A$2992,rl_effmonth,$B3003,rl_first,1)</f>
        <v/>
      </c>
      <c r="M3003" s="209">
        <f>IF($K3003=0,0,MIN(1,$L3003/$D3003))</f>
        <v/>
      </c>
      <c r="N3003" s="208">
        <f>IF($K3003=0,$J3003,(1-$M3003)*$I3003+$M3003*$J3003)</f>
        <v/>
      </c>
      <c r="O3003" s="209">
        <f>IF($F3003&lt;$B$2993,$E$2993+$I$2993*($F3003-$A$2993),IF($F3003&lt;$C$2993,$F$2993+$J$2993*($F3003-$B$2993),$G$2993+$K$2993*($F3003-$C$2993)))</f>
        <v/>
      </c>
      <c r="P3003" s="208">
        <f>MIN(1,MAX(0,(nr_MEndPm1-$G3003+0.5)/$C$2992))-MIN(1,MAX(0,(nr_MStartPm1-1-$G3003+0.5)/$C$2992))</f>
        <v/>
      </c>
      <c r="Q3003" s="208">
        <f>MIN(1,MAX(0,(nr_MEndP-$G3003+0.5)/$C$2992))-MIN(1,MAX(0,(nr_MStartP-1-$G3003+0.5)/$C$2992))</f>
        <v/>
      </c>
      <c r="R3003" s="208">
        <f>MIN(1,MAX(0,(nr_MEndP1-$G3003+0.5)/$C$2992))-MIN(1,MAX(0,(nr_MStartP1-1-$G3003+0.5)/$C$2992))</f>
        <v/>
      </c>
      <c r="S3003" s="208">
        <f>IF($L$2992,$N3003*IF($O$2992=1,$O3003/$F$2992,1),"")</f>
        <v/>
      </c>
      <c r="T3003" s="208">
        <f>IF(NOT($L$2992),"",IF($G3003&lt;nr_MStartP,$S3003,$T2991*(1+IF($G3003&lt;nr_MStartP1,$M$2992,$N$2992))))</f>
        <v/>
      </c>
      <c r="U3003" s="208">
        <f>IF($L$2992,$T3003,$N3003)</f>
        <v/>
      </c>
    </row>
    <row r="3004">
      <c r="A3004" s="145" t="n">
        <v>10</v>
      </c>
      <c r="B3004" s="204">
        <f>EDATE($B3003,1)</f>
        <v/>
      </c>
      <c r="C3004" s="205">
        <f>EOMONTH($B3004,0)</f>
        <v/>
      </c>
      <c r="D3004" s="201">
        <f>$C3004-$B3004+1</f>
        <v/>
      </c>
      <c r="E3004" s="201">
        <f>MONTH($B3004)</f>
        <v/>
      </c>
      <c r="F3004" s="235">
        <f>($B3004+$C3004+1)/2</f>
        <v/>
      </c>
      <c r="G3004" s="201">
        <f>YEAR($B3004)*12+MONTH($B3004)-1</f>
        <v/>
      </c>
      <c r="H3004" s="207">
        <f>IF(OR(nr_SeasonOn="OFF",$D$2992=0,$E$2992=0),1,12*INDEX(se_block,$D$2992,$E3004)/$E$2992)</f>
        <v/>
      </c>
      <c r="I3004" s="208">
        <f>EXP(SUMPRODUCT((rl_eff&lt;$B3004)*(rl_key=$A$2992)*rl_ln1p))</f>
        <v/>
      </c>
      <c r="J3004" s="208">
        <f>EXP(SUMPRODUCT((rl_eff&lt;=$C3004)*(rl_key=$A$2992)*rl_ln1p))</f>
        <v/>
      </c>
      <c r="K3004" s="201">
        <f>COUNTIFS(rl_key,$A$2992,rl_eff,"&gt;="&amp;$B3004,rl_eff,"&lt;="&amp;$C3004)</f>
        <v/>
      </c>
      <c r="L3004" s="201">
        <f>SUMIFS(rl_daysafter,rl_key,$A$2992,rl_effmonth,$B3004,rl_first,1)</f>
        <v/>
      </c>
      <c r="M3004" s="209">
        <f>IF($K3004=0,0,MIN(1,$L3004/$D3004))</f>
        <v/>
      </c>
      <c r="N3004" s="208">
        <f>IF($K3004=0,$J3004,(1-$M3004)*$I3004+$M3004*$J3004)</f>
        <v/>
      </c>
      <c r="O3004" s="209">
        <f>IF($F3004&lt;$B$2993,$E$2993+$I$2993*($F3004-$A$2993),IF($F3004&lt;$C$2993,$F$2993+$J$2993*($F3004-$B$2993),$G$2993+$K$2993*($F3004-$C$2993)))</f>
        <v/>
      </c>
      <c r="P3004" s="208">
        <f>MIN(1,MAX(0,(nr_MEndPm1-$G3004+0.5)/$C$2992))-MIN(1,MAX(0,(nr_MStartPm1-1-$G3004+0.5)/$C$2992))</f>
        <v/>
      </c>
      <c r="Q3004" s="208">
        <f>MIN(1,MAX(0,(nr_MEndP-$G3004+0.5)/$C$2992))-MIN(1,MAX(0,(nr_MStartP-1-$G3004+0.5)/$C$2992))</f>
        <v/>
      </c>
      <c r="R3004" s="208">
        <f>MIN(1,MAX(0,(nr_MEndP1-$G3004+0.5)/$C$2992))-MIN(1,MAX(0,(nr_MStartP1-1-$G3004+0.5)/$C$2992))</f>
        <v/>
      </c>
      <c r="S3004" s="208">
        <f>IF($L$2992,$N3004*IF($O$2992=1,$O3004/$F$2992,1),"")</f>
        <v/>
      </c>
      <c r="T3004" s="208">
        <f>IF(NOT($L$2992),"",IF($G3004&lt;nr_MStartP,$S3004,$T2992*(1+IF($G3004&lt;nr_MStartP1,$M$2992,$N$2992))))</f>
        <v/>
      </c>
      <c r="U3004" s="208">
        <f>IF($L$2992,$T3004,$N3004)</f>
        <v/>
      </c>
    </row>
    <row r="3005">
      <c r="A3005" s="145" t="n">
        <v>11</v>
      </c>
      <c r="B3005" s="204">
        <f>EDATE($B3004,1)</f>
        <v/>
      </c>
      <c r="C3005" s="205">
        <f>EOMONTH($B3005,0)</f>
        <v/>
      </c>
      <c r="D3005" s="201">
        <f>$C3005-$B3005+1</f>
        <v/>
      </c>
      <c r="E3005" s="201">
        <f>MONTH($B3005)</f>
        <v/>
      </c>
      <c r="F3005" s="235">
        <f>($B3005+$C3005+1)/2</f>
        <v/>
      </c>
      <c r="G3005" s="201">
        <f>YEAR($B3005)*12+MONTH($B3005)-1</f>
        <v/>
      </c>
      <c r="H3005" s="207">
        <f>IF(OR(nr_SeasonOn="OFF",$D$2992=0,$E$2992=0),1,12*INDEX(se_block,$D$2992,$E3005)/$E$2992)</f>
        <v/>
      </c>
      <c r="I3005" s="208">
        <f>EXP(SUMPRODUCT((rl_eff&lt;$B3005)*(rl_key=$A$2992)*rl_ln1p))</f>
        <v/>
      </c>
      <c r="J3005" s="208">
        <f>EXP(SUMPRODUCT((rl_eff&lt;=$C3005)*(rl_key=$A$2992)*rl_ln1p))</f>
        <v/>
      </c>
      <c r="K3005" s="201">
        <f>COUNTIFS(rl_key,$A$2992,rl_eff,"&gt;="&amp;$B3005,rl_eff,"&lt;="&amp;$C3005)</f>
        <v/>
      </c>
      <c r="L3005" s="201">
        <f>SUMIFS(rl_daysafter,rl_key,$A$2992,rl_effmonth,$B3005,rl_first,1)</f>
        <v/>
      </c>
      <c r="M3005" s="209">
        <f>IF($K3005=0,0,MIN(1,$L3005/$D3005))</f>
        <v/>
      </c>
      <c r="N3005" s="208">
        <f>IF($K3005=0,$J3005,(1-$M3005)*$I3005+$M3005*$J3005)</f>
        <v/>
      </c>
      <c r="O3005" s="209">
        <f>IF($F3005&lt;$B$2993,$E$2993+$I$2993*($F3005-$A$2993),IF($F3005&lt;$C$2993,$F$2993+$J$2993*($F3005-$B$2993),$G$2993+$K$2993*($F3005-$C$2993)))</f>
        <v/>
      </c>
      <c r="P3005" s="208">
        <f>MIN(1,MAX(0,(nr_MEndPm1-$G3005+0.5)/$C$2992))-MIN(1,MAX(0,(nr_MStartPm1-1-$G3005+0.5)/$C$2992))</f>
        <v/>
      </c>
      <c r="Q3005" s="208">
        <f>MIN(1,MAX(0,(nr_MEndP-$G3005+0.5)/$C$2992))-MIN(1,MAX(0,(nr_MStartP-1-$G3005+0.5)/$C$2992))</f>
        <v/>
      </c>
      <c r="R3005" s="208">
        <f>MIN(1,MAX(0,(nr_MEndP1-$G3005+0.5)/$C$2992))-MIN(1,MAX(0,(nr_MStartP1-1-$G3005+0.5)/$C$2992))</f>
        <v/>
      </c>
      <c r="S3005" s="208">
        <f>IF($L$2992,$N3005*IF($O$2992=1,$O3005/$F$2992,1),"")</f>
        <v/>
      </c>
      <c r="T3005" s="208">
        <f>IF(NOT($L$2992),"",IF($G3005&lt;nr_MStartP,$S3005,$T2993*(1+IF($G3005&lt;nr_MStartP1,$M$2992,$N$2992))))</f>
        <v/>
      </c>
      <c r="U3005" s="208">
        <f>IF($L$2992,$T3005,$N3005)</f>
        <v/>
      </c>
    </row>
    <row r="3006">
      <c r="A3006" s="145" t="n">
        <v>12</v>
      </c>
      <c r="B3006" s="204">
        <f>EDATE($B3005,1)</f>
        <v/>
      </c>
      <c r="C3006" s="205">
        <f>EOMONTH($B3006,0)</f>
        <v/>
      </c>
      <c r="D3006" s="201">
        <f>$C3006-$B3006+1</f>
        <v/>
      </c>
      <c r="E3006" s="201">
        <f>MONTH($B3006)</f>
        <v/>
      </c>
      <c r="F3006" s="235">
        <f>($B3006+$C3006+1)/2</f>
        <v/>
      </c>
      <c r="G3006" s="201">
        <f>YEAR($B3006)*12+MONTH($B3006)-1</f>
        <v/>
      </c>
      <c r="H3006" s="207">
        <f>IF(OR(nr_SeasonOn="OFF",$D$2992=0,$E$2992=0),1,12*INDEX(se_block,$D$2992,$E3006)/$E$2992)</f>
        <v/>
      </c>
      <c r="I3006" s="208">
        <f>EXP(SUMPRODUCT((rl_eff&lt;$B3006)*(rl_key=$A$2992)*rl_ln1p))</f>
        <v/>
      </c>
      <c r="J3006" s="208">
        <f>EXP(SUMPRODUCT((rl_eff&lt;=$C3006)*(rl_key=$A$2992)*rl_ln1p))</f>
        <v/>
      </c>
      <c r="K3006" s="201">
        <f>COUNTIFS(rl_key,$A$2992,rl_eff,"&gt;="&amp;$B3006,rl_eff,"&lt;="&amp;$C3006)</f>
        <v/>
      </c>
      <c r="L3006" s="201">
        <f>SUMIFS(rl_daysafter,rl_key,$A$2992,rl_effmonth,$B3006,rl_first,1)</f>
        <v/>
      </c>
      <c r="M3006" s="209">
        <f>IF($K3006=0,0,MIN(1,$L3006/$D3006))</f>
        <v/>
      </c>
      <c r="N3006" s="208">
        <f>IF($K3006=0,$J3006,(1-$M3006)*$I3006+$M3006*$J3006)</f>
        <v/>
      </c>
      <c r="O3006" s="209">
        <f>IF($F3006&lt;$B$2993,$E$2993+$I$2993*($F3006-$A$2993),IF($F3006&lt;$C$2993,$F$2993+$J$2993*($F3006-$B$2993),$G$2993+$K$2993*($F3006-$C$2993)))</f>
        <v/>
      </c>
      <c r="P3006" s="208">
        <f>MIN(1,MAX(0,(nr_MEndPm1-$G3006+0.5)/$C$2992))-MIN(1,MAX(0,(nr_MStartPm1-1-$G3006+0.5)/$C$2992))</f>
        <v/>
      </c>
      <c r="Q3006" s="208">
        <f>MIN(1,MAX(0,(nr_MEndP-$G3006+0.5)/$C$2992))-MIN(1,MAX(0,(nr_MStartP-1-$G3006+0.5)/$C$2992))</f>
        <v/>
      </c>
      <c r="R3006" s="208">
        <f>MIN(1,MAX(0,(nr_MEndP1-$G3006+0.5)/$C$2992))-MIN(1,MAX(0,(nr_MStartP1-1-$G3006+0.5)/$C$2992))</f>
        <v/>
      </c>
      <c r="S3006" s="208">
        <f>IF($L$2992,$N3006*IF($O$2992=1,$O3006/$F$2992,1),"")</f>
        <v/>
      </c>
      <c r="T3006" s="208">
        <f>IF(NOT($L$2992),"",IF($G3006&lt;nr_MStartP,$S3006,$T2994*(1+IF($G3006&lt;nr_MStartP1,$M$2992,$N$2992))))</f>
        <v/>
      </c>
      <c r="U3006" s="208">
        <f>IF($L$2992,$T3006,$N3006)</f>
        <v/>
      </c>
    </row>
    <row r="3007">
      <c r="A3007" s="145" t="n">
        <v>13</v>
      </c>
      <c r="B3007" s="204">
        <f>EDATE($B3006,1)</f>
        <v/>
      </c>
      <c r="C3007" s="205">
        <f>EOMONTH($B3007,0)</f>
        <v/>
      </c>
      <c r="D3007" s="201">
        <f>$C3007-$B3007+1</f>
        <v/>
      </c>
      <c r="E3007" s="201">
        <f>MONTH($B3007)</f>
        <v/>
      </c>
      <c r="F3007" s="235">
        <f>($B3007+$C3007+1)/2</f>
        <v/>
      </c>
      <c r="G3007" s="201">
        <f>YEAR($B3007)*12+MONTH($B3007)-1</f>
        <v/>
      </c>
      <c r="H3007" s="207">
        <f>IF(OR(nr_SeasonOn="OFF",$D$2992=0,$E$2992=0),1,12*INDEX(se_block,$D$2992,$E3007)/$E$2992)</f>
        <v/>
      </c>
      <c r="I3007" s="208">
        <f>EXP(SUMPRODUCT((rl_eff&lt;$B3007)*(rl_key=$A$2992)*rl_ln1p))</f>
        <v/>
      </c>
      <c r="J3007" s="208">
        <f>EXP(SUMPRODUCT((rl_eff&lt;=$C3007)*(rl_key=$A$2992)*rl_ln1p))</f>
        <v/>
      </c>
      <c r="K3007" s="201">
        <f>COUNTIFS(rl_key,$A$2992,rl_eff,"&gt;="&amp;$B3007,rl_eff,"&lt;="&amp;$C3007)</f>
        <v/>
      </c>
      <c r="L3007" s="201">
        <f>SUMIFS(rl_daysafter,rl_key,$A$2992,rl_effmonth,$B3007,rl_first,1)</f>
        <v/>
      </c>
      <c r="M3007" s="209">
        <f>IF($K3007=0,0,MIN(1,$L3007/$D3007))</f>
        <v/>
      </c>
      <c r="N3007" s="208">
        <f>IF($K3007=0,$J3007,(1-$M3007)*$I3007+$M3007*$J3007)</f>
        <v/>
      </c>
      <c r="O3007" s="209">
        <f>IF($F3007&lt;$B$2993,$E$2993+$I$2993*($F3007-$A$2993),IF($F3007&lt;$C$2993,$F$2993+$J$2993*($F3007-$B$2993),$G$2993+$K$2993*($F3007-$C$2993)))</f>
        <v/>
      </c>
      <c r="P3007" s="208">
        <f>MIN(1,MAX(0,(nr_MEndPm1-$G3007+0.5)/$C$2992))-MIN(1,MAX(0,(nr_MStartPm1-1-$G3007+0.5)/$C$2992))</f>
        <v/>
      </c>
      <c r="Q3007" s="208">
        <f>MIN(1,MAX(0,(nr_MEndP-$G3007+0.5)/$C$2992))-MIN(1,MAX(0,(nr_MStartP-1-$G3007+0.5)/$C$2992))</f>
        <v/>
      </c>
      <c r="R3007" s="208">
        <f>MIN(1,MAX(0,(nr_MEndP1-$G3007+0.5)/$C$2992))-MIN(1,MAX(0,(nr_MStartP1-1-$G3007+0.5)/$C$2992))</f>
        <v/>
      </c>
      <c r="S3007" s="208">
        <f>IF($L$2992,$N3007*IF($O$2992=1,$O3007/$F$2992,1),"")</f>
        <v/>
      </c>
      <c r="T3007" s="208">
        <f>IF(NOT($L$2992),"",IF($G3007&lt;nr_MStartP,$S3007,$T2995*(1+IF($G3007&lt;nr_MStartP1,$M$2992,$N$2992))))</f>
        <v/>
      </c>
      <c r="U3007" s="208">
        <f>IF($L$2992,$T3007,$N3007)</f>
        <v/>
      </c>
    </row>
    <row r="3008">
      <c r="A3008" s="145" t="n">
        <v>14</v>
      </c>
      <c r="B3008" s="204">
        <f>EDATE($B3007,1)</f>
        <v/>
      </c>
      <c r="C3008" s="205">
        <f>EOMONTH($B3008,0)</f>
        <v/>
      </c>
      <c r="D3008" s="201">
        <f>$C3008-$B3008+1</f>
        <v/>
      </c>
      <c r="E3008" s="201">
        <f>MONTH($B3008)</f>
        <v/>
      </c>
      <c r="F3008" s="235">
        <f>($B3008+$C3008+1)/2</f>
        <v/>
      </c>
      <c r="G3008" s="201">
        <f>YEAR($B3008)*12+MONTH($B3008)-1</f>
        <v/>
      </c>
      <c r="H3008" s="207">
        <f>IF(OR(nr_SeasonOn="OFF",$D$2992=0,$E$2992=0),1,12*INDEX(se_block,$D$2992,$E3008)/$E$2992)</f>
        <v/>
      </c>
      <c r="I3008" s="208">
        <f>EXP(SUMPRODUCT((rl_eff&lt;$B3008)*(rl_key=$A$2992)*rl_ln1p))</f>
        <v/>
      </c>
      <c r="J3008" s="208">
        <f>EXP(SUMPRODUCT((rl_eff&lt;=$C3008)*(rl_key=$A$2992)*rl_ln1p))</f>
        <v/>
      </c>
      <c r="K3008" s="201">
        <f>COUNTIFS(rl_key,$A$2992,rl_eff,"&gt;="&amp;$B3008,rl_eff,"&lt;="&amp;$C3008)</f>
        <v/>
      </c>
      <c r="L3008" s="201">
        <f>SUMIFS(rl_daysafter,rl_key,$A$2992,rl_effmonth,$B3008,rl_first,1)</f>
        <v/>
      </c>
      <c r="M3008" s="209">
        <f>IF($K3008=0,0,MIN(1,$L3008/$D3008))</f>
        <v/>
      </c>
      <c r="N3008" s="208">
        <f>IF($K3008=0,$J3008,(1-$M3008)*$I3008+$M3008*$J3008)</f>
        <v/>
      </c>
      <c r="O3008" s="209">
        <f>IF($F3008&lt;$B$2993,$E$2993+$I$2993*($F3008-$A$2993),IF($F3008&lt;$C$2993,$F$2993+$J$2993*($F3008-$B$2993),$G$2993+$K$2993*($F3008-$C$2993)))</f>
        <v/>
      </c>
      <c r="P3008" s="208">
        <f>MIN(1,MAX(0,(nr_MEndPm1-$G3008+0.5)/$C$2992))-MIN(1,MAX(0,(nr_MStartPm1-1-$G3008+0.5)/$C$2992))</f>
        <v/>
      </c>
      <c r="Q3008" s="208">
        <f>MIN(1,MAX(0,(nr_MEndP-$G3008+0.5)/$C$2992))-MIN(1,MAX(0,(nr_MStartP-1-$G3008+0.5)/$C$2992))</f>
        <v/>
      </c>
      <c r="R3008" s="208">
        <f>MIN(1,MAX(0,(nr_MEndP1-$G3008+0.5)/$C$2992))-MIN(1,MAX(0,(nr_MStartP1-1-$G3008+0.5)/$C$2992))</f>
        <v/>
      </c>
      <c r="S3008" s="208">
        <f>IF($L$2992,$N3008*IF($O$2992=1,$O3008/$F$2992,1),"")</f>
        <v/>
      </c>
      <c r="T3008" s="208">
        <f>IF(NOT($L$2992),"",IF($G3008&lt;nr_MStartP,$S3008,$T2996*(1+IF($G3008&lt;nr_MStartP1,$M$2992,$N$2992))))</f>
        <v/>
      </c>
      <c r="U3008" s="208">
        <f>IF($L$2992,$T3008,$N3008)</f>
        <v/>
      </c>
    </row>
    <row r="3009">
      <c r="A3009" s="145" t="n">
        <v>15</v>
      </c>
      <c r="B3009" s="204">
        <f>EDATE($B3008,1)</f>
        <v/>
      </c>
      <c r="C3009" s="205">
        <f>EOMONTH($B3009,0)</f>
        <v/>
      </c>
      <c r="D3009" s="201">
        <f>$C3009-$B3009+1</f>
        <v/>
      </c>
      <c r="E3009" s="201">
        <f>MONTH($B3009)</f>
        <v/>
      </c>
      <c r="F3009" s="235">
        <f>($B3009+$C3009+1)/2</f>
        <v/>
      </c>
      <c r="G3009" s="201">
        <f>YEAR($B3009)*12+MONTH($B3009)-1</f>
        <v/>
      </c>
      <c r="H3009" s="207">
        <f>IF(OR(nr_SeasonOn="OFF",$D$2992=0,$E$2992=0),1,12*INDEX(se_block,$D$2992,$E3009)/$E$2992)</f>
        <v/>
      </c>
      <c r="I3009" s="208">
        <f>EXP(SUMPRODUCT((rl_eff&lt;$B3009)*(rl_key=$A$2992)*rl_ln1p))</f>
        <v/>
      </c>
      <c r="J3009" s="208">
        <f>EXP(SUMPRODUCT((rl_eff&lt;=$C3009)*(rl_key=$A$2992)*rl_ln1p))</f>
        <v/>
      </c>
      <c r="K3009" s="201">
        <f>COUNTIFS(rl_key,$A$2992,rl_eff,"&gt;="&amp;$B3009,rl_eff,"&lt;="&amp;$C3009)</f>
        <v/>
      </c>
      <c r="L3009" s="201">
        <f>SUMIFS(rl_daysafter,rl_key,$A$2992,rl_effmonth,$B3009,rl_first,1)</f>
        <v/>
      </c>
      <c r="M3009" s="209">
        <f>IF($K3009=0,0,MIN(1,$L3009/$D3009))</f>
        <v/>
      </c>
      <c r="N3009" s="208">
        <f>IF($K3009=0,$J3009,(1-$M3009)*$I3009+$M3009*$J3009)</f>
        <v/>
      </c>
      <c r="O3009" s="209">
        <f>IF($F3009&lt;$B$2993,$E$2993+$I$2993*($F3009-$A$2993),IF($F3009&lt;$C$2993,$F$2993+$J$2993*($F3009-$B$2993),$G$2993+$K$2993*($F3009-$C$2993)))</f>
        <v/>
      </c>
      <c r="P3009" s="208">
        <f>MIN(1,MAX(0,(nr_MEndPm1-$G3009+0.5)/$C$2992))-MIN(1,MAX(0,(nr_MStartPm1-1-$G3009+0.5)/$C$2992))</f>
        <v/>
      </c>
      <c r="Q3009" s="208">
        <f>MIN(1,MAX(0,(nr_MEndP-$G3009+0.5)/$C$2992))-MIN(1,MAX(0,(nr_MStartP-1-$G3009+0.5)/$C$2992))</f>
        <v/>
      </c>
      <c r="R3009" s="208">
        <f>MIN(1,MAX(0,(nr_MEndP1-$G3009+0.5)/$C$2992))-MIN(1,MAX(0,(nr_MStartP1-1-$G3009+0.5)/$C$2992))</f>
        <v/>
      </c>
      <c r="S3009" s="208">
        <f>IF($L$2992,$N3009*IF($O$2992=1,$O3009/$F$2992,1),"")</f>
        <v/>
      </c>
      <c r="T3009" s="208">
        <f>IF(NOT($L$2992),"",IF($G3009&lt;nr_MStartP,$S3009,$T2997*(1+IF($G3009&lt;nr_MStartP1,$M$2992,$N$2992))))</f>
        <v/>
      </c>
      <c r="U3009" s="208">
        <f>IF($L$2992,$T3009,$N3009)</f>
        <v/>
      </c>
    </row>
    <row r="3010">
      <c r="A3010" s="145" t="n">
        <v>16</v>
      </c>
      <c r="B3010" s="204">
        <f>EDATE($B3009,1)</f>
        <v/>
      </c>
      <c r="C3010" s="205">
        <f>EOMONTH($B3010,0)</f>
        <v/>
      </c>
      <c r="D3010" s="201">
        <f>$C3010-$B3010+1</f>
        <v/>
      </c>
      <c r="E3010" s="201">
        <f>MONTH($B3010)</f>
        <v/>
      </c>
      <c r="F3010" s="235">
        <f>($B3010+$C3010+1)/2</f>
        <v/>
      </c>
      <c r="G3010" s="201">
        <f>YEAR($B3010)*12+MONTH($B3010)-1</f>
        <v/>
      </c>
      <c r="H3010" s="207">
        <f>IF(OR(nr_SeasonOn="OFF",$D$2992=0,$E$2992=0),1,12*INDEX(se_block,$D$2992,$E3010)/$E$2992)</f>
        <v/>
      </c>
      <c r="I3010" s="208">
        <f>EXP(SUMPRODUCT((rl_eff&lt;$B3010)*(rl_key=$A$2992)*rl_ln1p))</f>
        <v/>
      </c>
      <c r="J3010" s="208">
        <f>EXP(SUMPRODUCT((rl_eff&lt;=$C3010)*(rl_key=$A$2992)*rl_ln1p))</f>
        <v/>
      </c>
      <c r="K3010" s="201">
        <f>COUNTIFS(rl_key,$A$2992,rl_eff,"&gt;="&amp;$B3010,rl_eff,"&lt;="&amp;$C3010)</f>
        <v/>
      </c>
      <c r="L3010" s="201">
        <f>SUMIFS(rl_daysafter,rl_key,$A$2992,rl_effmonth,$B3010,rl_first,1)</f>
        <v/>
      </c>
      <c r="M3010" s="209">
        <f>IF($K3010=0,0,MIN(1,$L3010/$D3010))</f>
        <v/>
      </c>
      <c r="N3010" s="208">
        <f>IF($K3010=0,$J3010,(1-$M3010)*$I3010+$M3010*$J3010)</f>
        <v/>
      </c>
      <c r="O3010" s="209">
        <f>IF($F3010&lt;$B$2993,$E$2993+$I$2993*($F3010-$A$2993),IF($F3010&lt;$C$2993,$F$2993+$J$2993*($F3010-$B$2993),$G$2993+$K$2993*($F3010-$C$2993)))</f>
        <v/>
      </c>
      <c r="P3010" s="208">
        <f>MIN(1,MAX(0,(nr_MEndPm1-$G3010+0.5)/$C$2992))-MIN(1,MAX(0,(nr_MStartPm1-1-$G3010+0.5)/$C$2992))</f>
        <v/>
      </c>
      <c r="Q3010" s="208">
        <f>MIN(1,MAX(0,(nr_MEndP-$G3010+0.5)/$C$2992))-MIN(1,MAX(0,(nr_MStartP-1-$G3010+0.5)/$C$2992))</f>
        <v/>
      </c>
      <c r="R3010" s="208">
        <f>MIN(1,MAX(0,(nr_MEndP1-$G3010+0.5)/$C$2992))-MIN(1,MAX(0,(nr_MStartP1-1-$G3010+0.5)/$C$2992))</f>
        <v/>
      </c>
      <c r="S3010" s="208">
        <f>IF($L$2992,$N3010*IF($O$2992=1,$O3010/$F$2992,1),"")</f>
        <v/>
      </c>
      <c r="T3010" s="208">
        <f>IF(NOT($L$2992),"",IF($G3010&lt;nr_MStartP,$S3010,$T2998*(1+IF($G3010&lt;nr_MStartP1,$M$2992,$N$2992))))</f>
        <v/>
      </c>
      <c r="U3010" s="208">
        <f>IF($L$2992,$T3010,$N3010)</f>
        <v/>
      </c>
    </row>
    <row r="3011">
      <c r="A3011" s="145" t="n">
        <v>17</v>
      </c>
      <c r="B3011" s="204">
        <f>EDATE($B3010,1)</f>
        <v/>
      </c>
      <c r="C3011" s="205">
        <f>EOMONTH($B3011,0)</f>
        <v/>
      </c>
      <c r="D3011" s="201">
        <f>$C3011-$B3011+1</f>
        <v/>
      </c>
      <c r="E3011" s="201">
        <f>MONTH($B3011)</f>
        <v/>
      </c>
      <c r="F3011" s="235">
        <f>($B3011+$C3011+1)/2</f>
        <v/>
      </c>
      <c r="G3011" s="201">
        <f>YEAR($B3011)*12+MONTH($B3011)-1</f>
        <v/>
      </c>
      <c r="H3011" s="207">
        <f>IF(OR(nr_SeasonOn="OFF",$D$2992=0,$E$2992=0),1,12*INDEX(se_block,$D$2992,$E3011)/$E$2992)</f>
        <v/>
      </c>
      <c r="I3011" s="208">
        <f>EXP(SUMPRODUCT((rl_eff&lt;$B3011)*(rl_key=$A$2992)*rl_ln1p))</f>
        <v/>
      </c>
      <c r="J3011" s="208">
        <f>EXP(SUMPRODUCT((rl_eff&lt;=$C3011)*(rl_key=$A$2992)*rl_ln1p))</f>
        <v/>
      </c>
      <c r="K3011" s="201">
        <f>COUNTIFS(rl_key,$A$2992,rl_eff,"&gt;="&amp;$B3011,rl_eff,"&lt;="&amp;$C3011)</f>
        <v/>
      </c>
      <c r="L3011" s="201">
        <f>SUMIFS(rl_daysafter,rl_key,$A$2992,rl_effmonth,$B3011,rl_first,1)</f>
        <v/>
      </c>
      <c r="M3011" s="209">
        <f>IF($K3011=0,0,MIN(1,$L3011/$D3011))</f>
        <v/>
      </c>
      <c r="N3011" s="208">
        <f>IF($K3011=0,$J3011,(1-$M3011)*$I3011+$M3011*$J3011)</f>
        <v/>
      </c>
      <c r="O3011" s="209">
        <f>IF($F3011&lt;$B$2993,$E$2993+$I$2993*($F3011-$A$2993),IF($F3011&lt;$C$2993,$F$2993+$J$2993*($F3011-$B$2993),$G$2993+$K$2993*($F3011-$C$2993)))</f>
        <v/>
      </c>
      <c r="P3011" s="208">
        <f>MIN(1,MAX(0,(nr_MEndPm1-$G3011+0.5)/$C$2992))-MIN(1,MAX(0,(nr_MStartPm1-1-$G3011+0.5)/$C$2992))</f>
        <v/>
      </c>
      <c r="Q3011" s="208">
        <f>MIN(1,MAX(0,(nr_MEndP-$G3011+0.5)/$C$2992))-MIN(1,MAX(0,(nr_MStartP-1-$G3011+0.5)/$C$2992))</f>
        <v/>
      </c>
      <c r="R3011" s="208">
        <f>MIN(1,MAX(0,(nr_MEndP1-$G3011+0.5)/$C$2992))-MIN(1,MAX(0,(nr_MStartP1-1-$G3011+0.5)/$C$2992))</f>
        <v/>
      </c>
      <c r="S3011" s="208">
        <f>IF($L$2992,$N3011*IF($O$2992=1,$O3011/$F$2992,1),"")</f>
        <v/>
      </c>
      <c r="T3011" s="208">
        <f>IF(NOT($L$2992),"",IF($G3011&lt;nr_MStartP,$S3011,$T2999*(1+IF($G3011&lt;nr_MStartP1,$M$2992,$N$2992))))</f>
        <v/>
      </c>
      <c r="U3011" s="208">
        <f>IF($L$2992,$T3011,$N3011)</f>
        <v/>
      </c>
    </row>
    <row r="3012">
      <c r="A3012" s="145" t="n">
        <v>18</v>
      </c>
      <c r="B3012" s="204">
        <f>EDATE($B3011,1)</f>
        <v/>
      </c>
      <c r="C3012" s="205">
        <f>EOMONTH($B3012,0)</f>
        <v/>
      </c>
      <c r="D3012" s="201">
        <f>$C3012-$B3012+1</f>
        <v/>
      </c>
      <c r="E3012" s="201">
        <f>MONTH($B3012)</f>
        <v/>
      </c>
      <c r="F3012" s="235">
        <f>($B3012+$C3012+1)/2</f>
        <v/>
      </c>
      <c r="G3012" s="201">
        <f>YEAR($B3012)*12+MONTH($B3012)-1</f>
        <v/>
      </c>
      <c r="H3012" s="207">
        <f>IF(OR(nr_SeasonOn="OFF",$D$2992=0,$E$2992=0),1,12*INDEX(se_block,$D$2992,$E3012)/$E$2992)</f>
        <v/>
      </c>
      <c r="I3012" s="208">
        <f>EXP(SUMPRODUCT((rl_eff&lt;$B3012)*(rl_key=$A$2992)*rl_ln1p))</f>
        <v/>
      </c>
      <c r="J3012" s="208">
        <f>EXP(SUMPRODUCT((rl_eff&lt;=$C3012)*(rl_key=$A$2992)*rl_ln1p))</f>
        <v/>
      </c>
      <c r="K3012" s="201">
        <f>COUNTIFS(rl_key,$A$2992,rl_eff,"&gt;="&amp;$B3012,rl_eff,"&lt;="&amp;$C3012)</f>
        <v/>
      </c>
      <c r="L3012" s="201">
        <f>SUMIFS(rl_daysafter,rl_key,$A$2992,rl_effmonth,$B3012,rl_first,1)</f>
        <v/>
      </c>
      <c r="M3012" s="209">
        <f>IF($K3012=0,0,MIN(1,$L3012/$D3012))</f>
        <v/>
      </c>
      <c r="N3012" s="208">
        <f>IF($K3012=0,$J3012,(1-$M3012)*$I3012+$M3012*$J3012)</f>
        <v/>
      </c>
      <c r="O3012" s="209">
        <f>IF($F3012&lt;$B$2993,$E$2993+$I$2993*($F3012-$A$2993),IF($F3012&lt;$C$2993,$F$2993+$J$2993*($F3012-$B$2993),$G$2993+$K$2993*($F3012-$C$2993)))</f>
        <v/>
      </c>
      <c r="P3012" s="208">
        <f>MIN(1,MAX(0,(nr_MEndPm1-$G3012+0.5)/$C$2992))-MIN(1,MAX(0,(nr_MStartPm1-1-$G3012+0.5)/$C$2992))</f>
        <v/>
      </c>
      <c r="Q3012" s="208">
        <f>MIN(1,MAX(0,(nr_MEndP-$G3012+0.5)/$C$2992))-MIN(1,MAX(0,(nr_MStartP-1-$G3012+0.5)/$C$2992))</f>
        <v/>
      </c>
      <c r="R3012" s="208">
        <f>MIN(1,MAX(0,(nr_MEndP1-$G3012+0.5)/$C$2992))-MIN(1,MAX(0,(nr_MStartP1-1-$G3012+0.5)/$C$2992))</f>
        <v/>
      </c>
      <c r="S3012" s="208">
        <f>IF($L$2992,$N3012*IF($O$2992=1,$O3012/$F$2992,1),"")</f>
        <v/>
      </c>
      <c r="T3012" s="208">
        <f>IF(NOT($L$2992),"",IF($G3012&lt;nr_MStartP,$S3012,$T3000*(1+IF($G3012&lt;nr_MStartP1,$M$2992,$N$2992))))</f>
        <v/>
      </c>
      <c r="U3012" s="208">
        <f>IF($L$2992,$T3012,$N3012)</f>
        <v/>
      </c>
    </row>
    <row r="3013">
      <c r="A3013" s="145" t="n">
        <v>19</v>
      </c>
      <c r="B3013" s="204">
        <f>EDATE($B3012,1)</f>
        <v/>
      </c>
      <c r="C3013" s="205">
        <f>EOMONTH($B3013,0)</f>
        <v/>
      </c>
      <c r="D3013" s="201">
        <f>$C3013-$B3013+1</f>
        <v/>
      </c>
      <c r="E3013" s="201">
        <f>MONTH($B3013)</f>
        <v/>
      </c>
      <c r="F3013" s="235">
        <f>($B3013+$C3013+1)/2</f>
        <v/>
      </c>
      <c r="G3013" s="201">
        <f>YEAR($B3013)*12+MONTH($B3013)-1</f>
        <v/>
      </c>
      <c r="H3013" s="207">
        <f>IF(OR(nr_SeasonOn="OFF",$D$2992=0,$E$2992=0),1,12*INDEX(se_block,$D$2992,$E3013)/$E$2992)</f>
        <v/>
      </c>
      <c r="I3013" s="208">
        <f>EXP(SUMPRODUCT((rl_eff&lt;$B3013)*(rl_key=$A$2992)*rl_ln1p))</f>
        <v/>
      </c>
      <c r="J3013" s="208">
        <f>EXP(SUMPRODUCT((rl_eff&lt;=$C3013)*(rl_key=$A$2992)*rl_ln1p))</f>
        <v/>
      </c>
      <c r="K3013" s="201">
        <f>COUNTIFS(rl_key,$A$2992,rl_eff,"&gt;="&amp;$B3013,rl_eff,"&lt;="&amp;$C3013)</f>
        <v/>
      </c>
      <c r="L3013" s="201">
        <f>SUMIFS(rl_daysafter,rl_key,$A$2992,rl_effmonth,$B3013,rl_first,1)</f>
        <v/>
      </c>
      <c r="M3013" s="209">
        <f>IF($K3013=0,0,MIN(1,$L3013/$D3013))</f>
        <v/>
      </c>
      <c r="N3013" s="208">
        <f>IF($K3013=0,$J3013,(1-$M3013)*$I3013+$M3013*$J3013)</f>
        <v/>
      </c>
      <c r="O3013" s="209">
        <f>IF($F3013&lt;$B$2993,$E$2993+$I$2993*($F3013-$A$2993),IF($F3013&lt;$C$2993,$F$2993+$J$2993*($F3013-$B$2993),$G$2993+$K$2993*($F3013-$C$2993)))</f>
        <v/>
      </c>
      <c r="P3013" s="208">
        <f>MIN(1,MAX(0,(nr_MEndPm1-$G3013+0.5)/$C$2992))-MIN(1,MAX(0,(nr_MStartPm1-1-$G3013+0.5)/$C$2992))</f>
        <v/>
      </c>
      <c r="Q3013" s="208">
        <f>MIN(1,MAX(0,(nr_MEndP-$G3013+0.5)/$C$2992))-MIN(1,MAX(0,(nr_MStartP-1-$G3013+0.5)/$C$2992))</f>
        <v/>
      </c>
      <c r="R3013" s="208">
        <f>MIN(1,MAX(0,(nr_MEndP1-$G3013+0.5)/$C$2992))-MIN(1,MAX(0,(nr_MStartP1-1-$G3013+0.5)/$C$2992))</f>
        <v/>
      </c>
      <c r="S3013" s="208">
        <f>IF($L$2992,$N3013*IF($O$2992=1,$O3013/$F$2992,1),"")</f>
        <v/>
      </c>
      <c r="T3013" s="208">
        <f>IF(NOT($L$2992),"",IF($G3013&lt;nr_MStartP,$S3013,$T3001*(1+IF($G3013&lt;nr_MStartP1,$M$2992,$N$2992))))</f>
        <v/>
      </c>
      <c r="U3013" s="208">
        <f>IF($L$2992,$T3013,$N3013)</f>
        <v/>
      </c>
    </row>
    <row r="3014">
      <c r="A3014" s="145" t="n">
        <v>20</v>
      </c>
      <c r="B3014" s="204">
        <f>EDATE($B3013,1)</f>
        <v/>
      </c>
      <c r="C3014" s="205">
        <f>EOMONTH($B3014,0)</f>
        <v/>
      </c>
      <c r="D3014" s="201">
        <f>$C3014-$B3014+1</f>
        <v/>
      </c>
      <c r="E3014" s="201">
        <f>MONTH($B3014)</f>
        <v/>
      </c>
      <c r="F3014" s="235">
        <f>($B3014+$C3014+1)/2</f>
        <v/>
      </c>
      <c r="G3014" s="201">
        <f>YEAR($B3014)*12+MONTH($B3014)-1</f>
        <v/>
      </c>
      <c r="H3014" s="207">
        <f>IF(OR(nr_SeasonOn="OFF",$D$2992=0,$E$2992=0),1,12*INDEX(se_block,$D$2992,$E3014)/$E$2992)</f>
        <v/>
      </c>
      <c r="I3014" s="208">
        <f>EXP(SUMPRODUCT((rl_eff&lt;$B3014)*(rl_key=$A$2992)*rl_ln1p))</f>
        <v/>
      </c>
      <c r="J3014" s="208">
        <f>EXP(SUMPRODUCT((rl_eff&lt;=$C3014)*(rl_key=$A$2992)*rl_ln1p))</f>
        <v/>
      </c>
      <c r="K3014" s="201">
        <f>COUNTIFS(rl_key,$A$2992,rl_eff,"&gt;="&amp;$B3014,rl_eff,"&lt;="&amp;$C3014)</f>
        <v/>
      </c>
      <c r="L3014" s="201">
        <f>SUMIFS(rl_daysafter,rl_key,$A$2992,rl_effmonth,$B3014,rl_first,1)</f>
        <v/>
      </c>
      <c r="M3014" s="209">
        <f>IF($K3014=0,0,MIN(1,$L3014/$D3014))</f>
        <v/>
      </c>
      <c r="N3014" s="208">
        <f>IF($K3014=0,$J3014,(1-$M3014)*$I3014+$M3014*$J3014)</f>
        <v/>
      </c>
      <c r="O3014" s="209">
        <f>IF($F3014&lt;$B$2993,$E$2993+$I$2993*($F3014-$A$2993),IF($F3014&lt;$C$2993,$F$2993+$J$2993*($F3014-$B$2993),$G$2993+$K$2993*($F3014-$C$2993)))</f>
        <v/>
      </c>
      <c r="P3014" s="208">
        <f>MIN(1,MAX(0,(nr_MEndPm1-$G3014+0.5)/$C$2992))-MIN(1,MAX(0,(nr_MStartPm1-1-$G3014+0.5)/$C$2992))</f>
        <v/>
      </c>
      <c r="Q3014" s="208">
        <f>MIN(1,MAX(0,(nr_MEndP-$G3014+0.5)/$C$2992))-MIN(1,MAX(0,(nr_MStartP-1-$G3014+0.5)/$C$2992))</f>
        <v/>
      </c>
      <c r="R3014" s="208">
        <f>MIN(1,MAX(0,(nr_MEndP1-$G3014+0.5)/$C$2992))-MIN(1,MAX(0,(nr_MStartP1-1-$G3014+0.5)/$C$2992))</f>
        <v/>
      </c>
      <c r="S3014" s="208">
        <f>IF($L$2992,$N3014*IF($O$2992=1,$O3014/$F$2992,1),"")</f>
        <v/>
      </c>
      <c r="T3014" s="208">
        <f>IF(NOT($L$2992),"",IF($G3014&lt;nr_MStartP,$S3014,$T3002*(1+IF($G3014&lt;nr_MStartP1,$M$2992,$N$2992))))</f>
        <v/>
      </c>
      <c r="U3014" s="208">
        <f>IF($L$2992,$T3014,$N3014)</f>
        <v/>
      </c>
    </row>
    <row r="3015">
      <c r="A3015" s="145" t="n">
        <v>21</v>
      </c>
      <c r="B3015" s="204">
        <f>EDATE($B3014,1)</f>
        <v/>
      </c>
      <c r="C3015" s="205">
        <f>EOMONTH($B3015,0)</f>
        <v/>
      </c>
      <c r="D3015" s="201">
        <f>$C3015-$B3015+1</f>
        <v/>
      </c>
      <c r="E3015" s="201">
        <f>MONTH($B3015)</f>
        <v/>
      </c>
      <c r="F3015" s="235">
        <f>($B3015+$C3015+1)/2</f>
        <v/>
      </c>
      <c r="G3015" s="201">
        <f>YEAR($B3015)*12+MONTH($B3015)-1</f>
        <v/>
      </c>
      <c r="H3015" s="207">
        <f>IF(OR(nr_SeasonOn="OFF",$D$2992=0,$E$2992=0),1,12*INDEX(se_block,$D$2992,$E3015)/$E$2992)</f>
        <v/>
      </c>
      <c r="I3015" s="208">
        <f>EXP(SUMPRODUCT((rl_eff&lt;$B3015)*(rl_key=$A$2992)*rl_ln1p))</f>
        <v/>
      </c>
      <c r="J3015" s="208">
        <f>EXP(SUMPRODUCT((rl_eff&lt;=$C3015)*(rl_key=$A$2992)*rl_ln1p))</f>
        <v/>
      </c>
      <c r="K3015" s="201">
        <f>COUNTIFS(rl_key,$A$2992,rl_eff,"&gt;="&amp;$B3015,rl_eff,"&lt;="&amp;$C3015)</f>
        <v/>
      </c>
      <c r="L3015" s="201">
        <f>SUMIFS(rl_daysafter,rl_key,$A$2992,rl_effmonth,$B3015,rl_first,1)</f>
        <v/>
      </c>
      <c r="M3015" s="209">
        <f>IF($K3015=0,0,MIN(1,$L3015/$D3015))</f>
        <v/>
      </c>
      <c r="N3015" s="208">
        <f>IF($K3015=0,$J3015,(1-$M3015)*$I3015+$M3015*$J3015)</f>
        <v/>
      </c>
      <c r="O3015" s="209">
        <f>IF($F3015&lt;$B$2993,$E$2993+$I$2993*($F3015-$A$2993),IF($F3015&lt;$C$2993,$F$2993+$J$2993*($F3015-$B$2993),$G$2993+$K$2993*($F3015-$C$2993)))</f>
        <v/>
      </c>
      <c r="P3015" s="208">
        <f>MIN(1,MAX(0,(nr_MEndPm1-$G3015+0.5)/$C$2992))-MIN(1,MAX(0,(nr_MStartPm1-1-$G3015+0.5)/$C$2992))</f>
        <v/>
      </c>
      <c r="Q3015" s="208">
        <f>MIN(1,MAX(0,(nr_MEndP-$G3015+0.5)/$C$2992))-MIN(1,MAX(0,(nr_MStartP-1-$G3015+0.5)/$C$2992))</f>
        <v/>
      </c>
      <c r="R3015" s="208">
        <f>MIN(1,MAX(0,(nr_MEndP1-$G3015+0.5)/$C$2992))-MIN(1,MAX(0,(nr_MStartP1-1-$G3015+0.5)/$C$2992))</f>
        <v/>
      </c>
      <c r="S3015" s="208">
        <f>IF($L$2992,$N3015*IF($O$2992=1,$O3015/$F$2992,1),"")</f>
        <v/>
      </c>
      <c r="T3015" s="208">
        <f>IF(NOT($L$2992),"",IF($G3015&lt;nr_MStartP,$S3015,$T3003*(1+IF($G3015&lt;nr_MStartP1,$M$2992,$N$2992))))</f>
        <v/>
      </c>
      <c r="U3015" s="208">
        <f>IF($L$2992,$T3015,$N3015)</f>
        <v/>
      </c>
    </row>
    <row r="3016">
      <c r="A3016" s="145" t="n">
        <v>22</v>
      </c>
      <c r="B3016" s="204">
        <f>EDATE($B3015,1)</f>
        <v/>
      </c>
      <c r="C3016" s="205">
        <f>EOMONTH($B3016,0)</f>
        <v/>
      </c>
      <c r="D3016" s="201">
        <f>$C3016-$B3016+1</f>
        <v/>
      </c>
      <c r="E3016" s="201">
        <f>MONTH($B3016)</f>
        <v/>
      </c>
      <c r="F3016" s="235">
        <f>($B3016+$C3016+1)/2</f>
        <v/>
      </c>
      <c r="G3016" s="201">
        <f>YEAR($B3016)*12+MONTH($B3016)-1</f>
        <v/>
      </c>
      <c r="H3016" s="207">
        <f>IF(OR(nr_SeasonOn="OFF",$D$2992=0,$E$2992=0),1,12*INDEX(se_block,$D$2992,$E3016)/$E$2992)</f>
        <v/>
      </c>
      <c r="I3016" s="208">
        <f>EXP(SUMPRODUCT((rl_eff&lt;$B3016)*(rl_key=$A$2992)*rl_ln1p))</f>
        <v/>
      </c>
      <c r="J3016" s="208">
        <f>EXP(SUMPRODUCT((rl_eff&lt;=$C3016)*(rl_key=$A$2992)*rl_ln1p))</f>
        <v/>
      </c>
      <c r="K3016" s="201">
        <f>COUNTIFS(rl_key,$A$2992,rl_eff,"&gt;="&amp;$B3016,rl_eff,"&lt;="&amp;$C3016)</f>
        <v/>
      </c>
      <c r="L3016" s="201">
        <f>SUMIFS(rl_daysafter,rl_key,$A$2992,rl_effmonth,$B3016,rl_first,1)</f>
        <v/>
      </c>
      <c r="M3016" s="209">
        <f>IF($K3016=0,0,MIN(1,$L3016/$D3016))</f>
        <v/>
      </c>
      <c r="N3016" s="208">
        <f>IF($K3016=0,$J3016,(1-$M3016)*$I3016+$M3016*$J3016)</f>
        <v/>
      </c>
      <c r="O3016" s="209">
        <f>IF($F3016&lt;$B$2993,$E$2993+$I$2993*($F3016-$A$2993),IF($F3016&lt;$C$2993,$F$2993+$J$2993*($F3016-$B$2993),$G$2993+$K$2993*($F3016-$C$2993)))</f>
        <v/>
      </c>
      <c r="P3016" s="208">
        <f>MIN(1,MAX(0,(nr_MEndPm1-$G3016+0.5)/$C$2992))-MIN(1,MAX(0,(nr_MStartPm1-1-$G3016+0.5)/$C$2992))</f>
        <v/>
      </c>
      <c r="Q3016" s="208">
        <f>MIN(1,MAX(0,(nr_MEndP-$G3016+0.5)/$C$2992))-MIN(1,MAX(0,(nr_MStartP-1-$G3016+0.5)/$C$2992))</f>
        <v/>
      </c>
      <c r="R3016" s="208">
        <f>MIN(1,MAX(0,(nr_MEndP1-$G3016+0.5)/$C$2992))-MIN(1,MAX(0,(nr_MStartP1-1-$G3016+0.5)/$C$2992))</f>
        <v/>
      </c>
      <c r="S3016" s="208">
        <f>IF($L$2992,$N3016*IF($O$2992=1,$O3016/$F$2992,1),"")</f>
        <v/>
      </c>
      <c r="T3016" s="208">
        <f>IF(NOT($L$2992),"",IF($G3016&lt;nr_MStartP,$S3016,$T3004*(1+IF($G3016&lt;nr_MStartP1,$M$2992,$N$2992))))</f>
        <v/>
      </c>
      <c r="U3016" s="208">
        <f>IF($L$2992,$T3016,$N3016)</f>
        <v/>
      </c>
    </row>
    <row r="3017">
      <c r="A3017" s="145" t="n">
        <v>23</v>
      </c>
      <c r="B3017" s="204">
        <f>EDATE($B3016,1)</f>
        <v/>
      </c>
      <c r="C3017" s="205">
        <f>EOMONTH($B3017,0)</f>
        <v/>
      </c>
      <c r="D3017" s="201">
        <f>$C3017-$B3017+1</f>
        <v/>
      </c>
      <c r="E3017" s="201">
        <f>MONTH($B3017)</f>
        <v/>
      </c>
      <c r="F3017" s="235">
        <f>($B3017+$C3017+1)/2</f>
        <v/>
      </c>
      <c r="G3017" s="201">
        <f>YEAR($B3017)*12+MONTH($B3017)-1</f>
        <v/>
      </c>
      <c r="H3017" s="207">
        <f>IF(OR(nr_SeasonOn="OFF",$D$2992=0,$E$2992=0),1,12*INDEX(se_block,$D$2992,$E3017)/$E$2992)</f>
        <v/>
      </c>
      <c r="I3017" s="208">
        <f>EXP(SUMPRODUCT((rl_eff&lt;$B3017)*(rl_key=$A$2992)*rl_ln1p))</f>
        <v/>
      </c>
      <c r="J3017" s="208">
        <f>EXP(SUMPRODUCT((rl_eff&lt;=$C3017)*(rl_key=$A$2992)*rl_ln1p))</f>
        <v/>
      </c>
      <c r="K3017" s="201">
        <f>COUNTIFS(rl_key,$A$2992,rl_eff,"&gt;="&amp;$B3017,rl_eff,"&lt;="&amp;$C3017)</f>
        <v/>
      </c>
      <c r="L3017" s="201">
        <f>SUMIFS(rl_daysafter,rl_key,$A$2992,rl_effmonth,$B3017,rl_first,1)</f>
        <v/>
      </c>
      <c r="M3017" s="209">
        <f>IF($K3017=0,0,MIN(1,$L3017/$D3017))</f>
        <v/>
      </c>
      <c r="N3017" s="208">
        <f>IF($K3017=0,$J3017,(1-$M3017)*$I3017+$M3017*$J3017)</f>
        <v/>
      </c>
      <c r="O3017" s="209">
        <f>IF($F3017&lt;$B$2993,$E$2993+$I$2993*($F3017-$A$2993),IF($F3017&lt;$C$2993,$F$2993+$J$2993*($F3017-$B$2993),$G$2993+$K$2993*($F3017-$C$2993)))</f>
        <v/>
      </c>
      <c r="P3017" s="208">
        <f>MIN(1,MAX(0,(nr_MEndPm1-$G3017+0.5)/$C$2992))-MIN(1,MAX(0,(nr_MStartPm1-1-$G3017+0.5)/$C$2992))</f>
        <v/>
      </c>
      <c r="Q3017" s="208">
        <f>MIN(1,MAX(0,(nr_MEndP-$G3017+0.5)/$C$2992))-MIN(1,MAX(0,(nr_MStartP-1-$G3017+0.5)/$C$2992))</f>
        <v/>
      </c>
      <c r="R3017" s="208">
        <f>MIN(1,MAX(0,(nr_MEndP1-$G3017+0.5)/$C$2992))-MIN(1,MAX(0,(nr_MStartP1-1-$G3017+0.5)/$C$2992))</f>
        <v/>
      </c>
      <c r="S3017" s="208">
        <f>IF($L$2992,$N3017*IF($O$2992=1,$O3017/$F$2992,1),"")</f>
        <v/>
      </c>
      <c r="T3017" s="208">
        <f>IF(NOT($L$2992),"",IF($G3017&lt;nr_MStartP,$S3017,$T3005*(1+IF($G3017&lt;nr_MStartP1,$M$2992,$N$2992))))</f>
        <v/>
      </c>
      <c r="U3017" s="208">
        <f>IF($L$2992,$T3017,$N3017)</f>
        <v/>
      </c>
    </row>
    <row r="3018">
      <c r="A3018" s="145" t="n">
        <v>24</v>
      </c>
      <c r="B3018" s="204">
        <f>EDATE($B3017,1)</f>
        <v/>
      </c>
      <c r="C3018" s="205">
        <f>EOMONTH($B3018,0)</f>
        <v/>
      </c>
      <c r="D3018" s="201">
        <f>$C3018-$B3018+1</f>
        <v/>
      </c>
      <c r="E3018" s="201">
        <f>MONTH($B3018)</f>
        <v/>
      </c>
      <c r="F3018" s="235">
        <f>($B3018+$C3018+1)/2</f>
        <v/>
      </c>
      <c r="G3018" s="201">
        <f>YEAR($B3018)*12+MONTH($B3018)-1</f>
        <v/>
      </c>
      <c r="H3018" s="207">
        <f>IF(OR(nr_SeasonOn="OFF",$D$2992=0,$E$2992=0),1,12*INDEX(se_block,$D$2992,$E3018)/$E$2992)</f>
        <v/>
      </c>
      <c r="I3018" s="208">
        <f>EXP(SUMPRODUCT((rl_eff&lt;$B3018)*(rl_key=$A$2992)*rl_ln1p))</f>
        <v/>
      </c>
      <c r="J3018" s="208">
        <f>EXP(SUMPRODUCT((rl_eff&lt;=$C3018)*(rl_key=$A$2992)*rl_ln1p))</f>
        <v/>
      </c>
      <c r="K3018" s="201">
        <f>COUNTIFS(rl_key,$A$2992,rl_eff,"&gt;="&amp;$B3018,rl_eff,"&lt;="&amp;$C3018)</f>
        <v/>
      </c>
      <c r="L3018" s="201">
        <f>SUMIFS(rl_daysafter,rl_key,$A$2992,rl_effmonth,$B3018,rl_first,1)</f>
        <v/>
      </c>
      <c r="M3018" s="209">
        <f>IF($K3018=0,0,MIN(1,$L3018/$D3018))</f>
        <v/>
      </c>
      <c r="N3018" s="208">
        <f>IF($K3018=0,$J3018,(1-$M3018)*$I3018+$M3018*$J3018)</f>
        <v/>
      </c>
      <c r="O3018" s="209">
        <f>IF($F3018&lt;$B$2993,$E$2993+$I$2993*($F3018-$A$2993),IF($F3018&lt;$C$2993,$F$2993+$J$2993*($F3018-$B$2993),$G$2993+$K$2993*($F3018-$C$2993)))</f>
        <v/>
      </c>
      <c r="P3018" s="208">
        <f>MIN(1,MAX(0,(nr_MEndPm1-$G3018+0.5)/$C$2992))-MIN(1,MAX(0,(nr_MStartPm1-1-$G3018+0.5)/$C$2992))</f>
        <v/>
      </c>
      <c r="Q3018" s="208">
        <f>MIN(1,MAX(0,(nr_MEndP-$G3018+0.5)/$C$2992))-MIN(1,MAX(0,(nr_MStartP-1-$G3018+0.5)/$C$2992))</f>
        <v/>
      </c>
      <c r="R3018" s="208">
        <f>MIN(1,MAX(0,(nr_MEndP1-$G3018+0.5)/$C$2992))-MIN(1,MAX(0,(nr_MStartP1-1-$G3018+0.5)/$C$2992))</f>
        <v/>
      </c>
      <c r="S3018" s="208">
        <f>IF($L$2992,$N3018*IF($O$2992=1,$O3018/$F$2992,1),"")</f>
        <v/>
      </c>
      <c r="T3018" s="208">
        <f>IF(NOT($L$2992),"",IF($G3018&lt;nr_MStartP,$S3018,$T3006*(1+IF($G3018&lt;nr_MStartP1,$M$2992,$N$2992))))</f>
        <v/>
      </c>
      <c r="U3018" s="208">
        <f>IF($L$2992,$T3018,$N3018)</f>
        <v/>
      </c>
    </row>
    <row r="3019">
      <c r="A3019" s="145" t="n">
        <v>25</v>
      </c>
      <c r="B3019" s="204">
        <f>EDATE($B3018,1)</f>
        <v/>
      </c>
      <c r="C3019" s="205">
        <f>EOMONTH($B3019,0)</f>
        <v/>
      </c>
      <c r="D3019" s="201">
        <f>$C3019-$B3019+1</f>
        <v/>
      </c>
      <c r="E3019" s="201">
        <f>MONTH($B3019)</f>
        <v/>
      </c>
      <c r="F3019" s="235">
        <f>($B3019+$C3019+1)/2</f>
        <v/>
      </c>
      <c r="G3019" s="201">
        <f>YEAR($B3019)*12+MONTH($B3019)-1</f>
        <v/>
      </c>
      <c r="H3019" s="207">
        <f>IF(OR(nr_SeasonOn="OFF",$D$2992=0,$E$2992=0),1,12*INDEX(se_block,$D$2992,$E3019)/$E$2992)</f>
        <v/>
      </c>
      <c r="I3019" s="208">
        <f>EXP(SUMPRODUCT((rl_eff&lt;$B3019)*(rl_key=$A$2992)*rl_ln1p))</f>
        <v/>
      </c>
      <c r="J3019" s="208">
        <f>EXP(SUMPRODUCT((rl_eff&lt;=$C3019)*(rl_key=$A$2992)*rl_ln1p))</f>
        <v/>
      </c>
      <c r="K3019" s="201">
        <f>COUNTIFS(rl_key,$A$2992,rl_eff,"&gt;="&amp;$B3019,rl_eff,"&lt;="&amp;$C3019)</f>
        <v/>
      </c>
      <c r="L3019" s="201">
        <f>SUMIFS(rl_daysafter,rl_key,$A$2992,rl_effmonth,$B3019,rl_first,1)</f>
        <v/>
      </c>
      <c r="M3019" s="209">
        <f>IF($K3019=0,0,MIN(1,$L3019/$D3019))</f>
        <v/>
      </c>
      <c r="N3019" s="208">
        <f>IF($K3019=0,$J3019,(1-$M3019)*$I3019+$M3019*$J3019)</f>
        <v/>
      </c>
      <c r="O3019" s="209">
        <f>IF($F3019&lt;$B$2993,$E$2993+$I$2993*($F3019-$A$2993),IF($F3019&lt;$C$2993,$F$2993+$J$2993*($F3019-$B$2993),$G$2993+$K$2993*($F3019-$C$2993)))</f>
        <v/>
      </c>
      <c r="P3019" s="208">
        <f>MIN(1,MAX(0,(nr_MEndPm1-$G3019+0.5)/$C$2992))-MIN(1,MAX(0,(nr_MStartPm1-1-$G3019+0.5)/$C$2992))</f>
        <v/>
      </c>
      <c r="Q3019" s="208">
        <f>MIN(1,MAX(0,(nr_MEndP-$G3019+0.5)/$C$2992))-MIN(1,MAX(0,(nr_MStartP-1-$G3019+0.5)/$C$2992))</f>
        <v/>
      </c>
      <c r="R3019" s="208">
        <f>MIN(1,MAX(0,(nr_MEndP1-$G3019+0.5)/$C$2992))-MIN(1,MAX(0,(nr_MStartP1-1-$G3019+0.5)/$C$2992))</f>
        <v/>
      </c>
      <c r="S3019" s="208">
        <f>IF($L$2992,$N3019*IF($O$2992=1,$O3019/$F$2992,1),"")</f>
        <v/>
      </c>
      <c r="T3019" s="208">
        <f>IF(NOT($L$2992),"",IF($G3019&lt;nr_MStartP,$S3019,$T3007*(1+IF($G3019&lt;nr_MStartP1,$M$2992,$N$2992))))</f>
        <v/>
      </c>
      <c r="U3019" s="208">
        <f>IF($L$2992,$T3019,$N3019)</f>
        <v/>
      </c>
    </row>
    <row r="3020">
      <c r="A3020" s="145" t="n">
        <v>26</v>
      </c>
      <c r="B3020" s="204">
        <f>EDATE($B3019,1)</f>
        <v/>
      </c>
      <c r="C3020" s="205">
        <f>EOMONTH($B3020,0)</f>
        <v/>
      </c>
      <c r="D3020" s="201">
        <f>$C3020-$B3020+1</f>
        <v/>
      </c>
      <c r="E3020" s="201">
        <f>MONTH($B3020)</f>
        <v/>
      </c>
      <c r="F3020" s="235">
        <f>($B3020+$C3020+1)/2</f>
        <v/>
      </c>
      <c r="G3020" s="201">
        <f>YEAR($B3020)*12+MONTH($B3020)-1</f>
        <v/>
      </c>
      <c r="H3020" s="207">
        <f>IF(OR(nr_SeasonOn="OFF",$D$2992=0,$E$2992=0),1,12*INDEX(se_block,$D$2992,$E3020)/$E$2992)</f>
        <v/>
      </c>
      <c r="I3020" s="208">
        <f>EXP(SUMPRODUCT((rl_eff&lt;$B3020)*(rl_key=$A$2992)*rl_ln1p))</f>
        <v/>
      </c>
      <c r="J3020" s="208">
        <f>EXP(SUMPRODUCT((rl_eff&lt;=$C3020)*(rl_key=$A$2992)*rl_ln1p))</f>
        <v/>
      </c>
      <c r="K3020" s="201">
        <f>COUNTIFS(rl_key,$A$2992,rl_eff,"&gt;="&amp;$B3020,rl_eff,"&lt;="&amp;$C3020)</f>
        <v/>
      </c>
      <c r="L3020" s="201">
        <f>SUMIFS(rl_daysafter,rl_key,$A$2992,rl_effmonth,$B3020,rl_first,1)</f>
        <v/>
      </c>
      <c r="M3020" s="209">
        <f>IF($K3020=0,0,MIN(1,$L3020/$D3020))</f>
        <v/>
      </c>
      <c r="N3020" s="208">
        <f>IF($K3020=0,$J3020,(1-$M3020)*$I3020+$M3020*$J3020)</f>
        <v/>
      </c>
      <c r="O3020" s="209">
        <f>IF($F3020&lt;$B$2993,$E$2993+$I$2993*($F3020-$A$2993),IF($F3020&lt;$C$2993,$F$2993+$J$2993*($F3020-$B$2993),$G$2993+$K$2993*($F3020-$C$2993)))</f>
        <v/>
      </c>
      <c r="P3020" s="208">
        <f>MIN(1,MAX(0,(nr_MEndPm1-$G3020+0.5)/$C$2992))-MIN(1,MAX(0,(nr_MStartPm1-1-$G3020+0.5)/$C$2992))</f>
        <v/>
      </c>
      <c r="Q3020" s="208">
        <f>MIN(1,MAX(0,(nr_MEndP-$G3020+0.5)/$C$2992))-MIN(1,MAX(0,(nr_MStartP-1-$G3020+0.5)/$C$2992))</f>
        <v/>
      </c>
      <c r="R3020" s="208">
        <f>MIN(1,MAX(0,(nr_MEndP1-$G3020+0.5)/$C$2992))-MIN(1,MAX(0,(nr_MStartP1-1-$G3020+0.5)/$C$2992))</f>
        <v/>
      </c>
      <c r="S3020" s="208">
        <f>IF($L$2992,$N3020*IF($O$2992=1,$O3020/$F$2992,1),"")</f>
        <v/>
      </c>
      <c r="T3020" s="208">
        <f>IF(NOT($L$2992),"",IF($G3020&lt;nr_MStartP,$S3020,$T3008*(1+IF($G3020&lt;nr_MStartP1,$M$2992,$N$2992))))</f>
        <v/>
      </c>
      <c r="U3020" s="208">
        <f>IF($L$2992,$T3020,$N3020)</f>
        <v/>
      </c>
    </row>
    <row r="3021">
      <c r="A3021" s="145" t="n">
        <v>27</v>
      </c>
      <c r="B3021" s="204">
        <f>EDATE($B3020,1)</f>
        <v/>
      </c>
      <c r="C3021" s="205">
        <f>EOMONTH($B3021,0)</f>
        <v/>
      </c>
      <c r="D3021" s="201">
        <f>$C3021-$B3021+1</f>
        <v/>
      </c>
      <c r="E3021" s="201">
        <f>MONTH($B3021)</f>
        <v/>
      </c>
      <c r="F3021" s="235">
        <f>($B3021+$C3021+1)/2</f>
        <v/>
      </c>
      <c r="G3021" s="201">
        <f>YEAR($B3021)*12+MONTH($B3021)-1</f>
        <v/>
      </c>
      <c r="H3021" s="207">
        <f>IF(OR(nr_SeasonOn="OFF",$D$2992=0,$E$2992=0),1,12*INDEX(se_block,$D$2992,$E3021)/$E$2992)</f>
        <v/>
      </c>
      <c r="I3021" s="208">
        <f>EXP(SUMPRODUCT((rl_eff&lt;$B3021)*(rl_key=$A$2992)*rl_ln1p))</f>
        <v/>
      </c>
      <c r="J3021" s="208">
        <f>EXP(SUMPRODUCT((rl_eff&lt;=$C3021)*(rl_key=$A$2992)*rl_ln1p))</f>
        <v/>
      </c>
      <c r="K3021" s="201">
        <f>COUNTIFS(rl_key,$A$2992,rl_eff,"&gt;="&amp;$B3021,rl_eff,"&lt;="&amp;$C3021)</f>
        <v/>
      </c>
      <c r="L3021" s="201">
        <f>SUMIFS(rl_daysafter,rl_key,$A$2992,rl_effmonth,$B3021,rl_first,1)</f>
        <v/>
      </c>
      <c r="M3021" s="209">
        <f>IF($K3021=0,0,MIN(1,$L3021/$D3021))</f>
        <v/>
      </c>
      <c r="N3021" s="208">
        <f>IF($K3021=0,$J3021,(1-$M3021)*$I3021+$M3021*$J3021)</f>
        <v/>
      </c>
      <c r="O3021" s="209">
        <f>IF($F3021&lt;$B$2993,$E$2993+$I$2993*($F3021-$A$2993),IF($F3021&lt;$C$2993,$F$2993+$J$2993*($F3021-$B$2993),$G$2993+$K$2993*($F3021-$C$2993)))</f>
        <v/>
      </c>
      <c r="P3021" s="208">
        <f>MIN(1,MAX(0,(nr_MEndPm1-$G3021+0.5)/$C$2992))-MIN(1,MAX(0,(nr_MStartPm1-1-$G3021+0.5)/$C$2992))</f>
        <v/>
      </c>
      <c r="Q3021" s="208">
        <f>MIN(1,MAX(0,(nr_MEndP-$G3021+0.5)/$C$2992))-MIN(1,MAX(0,(nr_MStartP-1-$G3021+0.5)/$C$2992))</f>
        <v/>
      </c>
      <c r="R3021" s="208">
        <f>MIN(1,MAX(0,(nr_MEndP1-$G3021+0.5)/$C$2992))-MIN(1,MAX(0,(nr_MStartP1-1-$G3021+0.5)/$C$2992))</f>
        <v/>
      </c>
      <c r="S3021" s="208">
        <f>IF($L$2992,$N3021*IF($O$2992=1,$O3021/$F$2992,1),"")</f>
        <v/>
      </c>
      <c r="T3021" s="208">
        <f>IF(NOT($L$2992),"",IF($G3021&lt;nr_MStartP,$S3021,$T3009*(1+IF($G3021&lt;nr_MStartP1,$M$2992,$N$2992))))</f>
        <v/>
      </c>
      <c r="U3021" s="208">
        <f>IF($L$2992,$T3021,$N3021)</f>
        <v/>
      </c>
    </row>
    <row r="3022">
      <c r="A3022" s="145" t="n">
        <v>28</v>
      </c>
      <c r="B3022" s="204">
        <f>EDATE($B3021,1)</f>
        <v/>
      </c>
      <c r="C3022" s="205">
        <f>EOMONTH($B3022,0)</f>
        <v/>
      </c>
      <c r="D3022" s="201">
        <f>$C3022-$B3022+1</f>
        <v/>
      </c>
      <c r="E3022" s="201">
        <f>MONTH($B3022)</f>
        <v/>
      </c>
      <c r="F3022" s="235">
        <f>($B3022+$C3022+1)/2</f>
        <v/>
      </c>
      <c r="G3022" s="201">
        <f>YEAR($B3022)*12+MONTH($B3022)-1</f>
        <v/>
      </c>
      <c r="H3022" s="207">
        <f>IF(OR(nr_SeasonOn="OFF",$D$2992=0,$E$2992=0),1,12*INDEX(se_block,$D$2992,$E3022)/$E$2992)</f>
        <v/>
      </c>
      <c r="I3022" s="208">
        <f>EXP(SUMPRODUCT((rl_eff&lt;$B3022)*(rl_key=$A$2992)*rl_ln1p))</f>
        <v/>
      </c>
      <c r="J3022" s="208">
        <f>EXP(SUMPRODUCT((rl_eff&lt;=$C3022)*(rl_key=$A$2992)*rl_ln1p))</f>
        <v/>
      </c>
      <c r="K3022" s="201">
        <f>COUNTIFS(rl_key,$A$2992,rl_eff,"&gt;="&amp;$B3022,rl_eff,"&lt;="&amp;$C3022)</f>
        <v/>
      </c>
      <c r="L3022" s="201">
        <f>SUMIFS(rl_daysafter,rl_key,$A$2992,rl_effmonth,$B3022,rl_first,1)</f>
        <v/>
      </c>
      <c r="M3022" s="209">
        <f>IF($K3022=0,0,MIN(1,$L3022/$D3022))</f>
        <v/>
      </c>
      <c r="N3022" s="208">
        <f>IF($K3022=0,$J3022,(1-$M3022)*$I3022+$M3022*$J3022)</f>
        <v/>
      </c>
      <c r="O3022" s="209">
        <f>IF($F3022&lt;$B$2993,$E$2993+$I$2993*($F3022-$A$2993),IF($F3022&lt;$C$2993,$F$2993+$J$2993*($F3022-$B$2993),$G$2993+$K$2993*($F3022-$C$2993)))</f>
        <v/>
      </c>
      <c r="P3022" s="208">
        <f>MIN(1,MAX(0,(nr_MEndPm1-$G3022+0.5)/$C$2992))-MIN(1,MAX(0,(nr_MStartPm1-1-$G3022+0.5)/$C$2992))</f>
        <v/>
      </c>
      <c r="Q3022" s="208">
        <f>MIN(1,MAX(0,(nr_MEndP-$G3022+0.5)/$C$2992))-MIN(1,MAX(0,(nr_MStartP-1-$G3022+0.5)/$C$2992))</f>
        <v/>
      </c>
      <c r="R3022" s="208">
        <f>MIN(1,MAX(0,(nr_MEndP1-$G3022+0.5)/$C$2992))-MIN(1,MAX(0,(nr_MStartP1-1-$G3022+0.5)/$C$2992))</f>
        <v/>
      </c>
      <c r="S3022" s="208">
        <f>IF($L$2992,$N3022*IF($O$2992=1,$O3022/$F$2992,1),"")</f>
        <v/>
      </c>
      <c r="T3022" s="208">
        <f>IF(NOT($L$2992),"",IF($G3022&lt;nr_MStartP,$S3022,$T3010*(1+IF($G3022&lt;nr_MStartP1,$M$2992,$N$2992))))</f>
        <v/>
      </c>
      <c r="U3022" s="208">
        <f>IF($L$2992,$T3022,$N3022)</f>
        <v/>
      </c>
    </row>
    <row r="3023">
      <c r="A3023" s="145" t="n">
        <v>29</v>
      </c>
      <c r="B3023" s="204">
        <f>EDATE($B3022,1)</f>
        <v/>
      </c>
      <c r="C3023" s="205">
        <f>EOMONTH($B3023,0)</f>
        <v/>
      </c>
      <c r="D3023" s="201">
        <f>$C3023-$B3023+1</f>
        <v/>
      </c>
      <c r="E3023" s="201">
        <f>MONTH($B3023)</f>
        <v/>
      </c>
      <c r="F3023" s="235">
        <f>($B3023+$C3023+1)/2</f>
        <v/>
      </c>
      <c r="G3023" s="201">
        <f>YEAR($B3023)*12+MONTH($B3023)-1</f>
        <v/>
      </c>
      <c r="H3023" s="207">
        <f>IF(OR(nr_SeasonOn="OFF",$D$2992=0,$E$2992=0),1,12*INDEX(se_block,$D$2992,$E3023)/$E$2992)</f>
        <v/>
      </c>
      <c r="I3023" s="208">
        <f>EXP(SUMPRODUCT((rl_eff&lt;$B3023)*(rl_key=$A$2992)*rl_ln1p))</f>
        <v/>
      </c>
      <c r="J3023" s="208">
        <f>EXP(SUMPRODUCT((rl_eff&lt;=$C3023)*(rl_key=$A$2992)*rl_ln1p))</f>
        <v/>
      </c>
      <c r="K3023" s="201">
        <f>COUNTIFS(rl_key,$A$2992,rl_eff,"&gt;="&amp;$B3023,rl_eff,"&lt;="&amp;$C3023)</f>
        <v/>
      </c>
      <c r="L3023" s="201">
        <f>SUMIFS(rl_daysafter,rl_key,$A$2992,rl_effmonth,$B3023,rl_first,1)</f>
        <v/>
      </c>
      <c r="M3023" s="209">
        <f>IF($K3023=0,0,MIN(1,$L3023/$D3023))</f>
        <v/>
      </c>
      <c r="N3023" s="208">
        <f>IF($K3023=0,$J3023,(1-$M3023)*$I3023+$M3023*$J3023)</f>
        <v/>
      </c>
      <c r="O3023" s="209">
        <f>IF($F3023&lt;$B$2993,$E$2993+$I$2993*($F3023-$A$2993),IF($F3023&lt;$C$2993,$F$2993+$J$2993*($F3023-$B$2993),$G$2993+$K$2993*($F3023-$C$2993)))</f>
        <v/>
      </c>
      <c r="P3023" s="208">
        <f>MIN(1,MAX(0,(nr_MEndPm1-$G3023+0.5)/$C$2992))-MIN(1,MAX(0,(nr_MStartPm1-1-$G3023+0.5)/$C$2992))</f>
        <v/>
      </c>
      <c r="Q3023" s="208">
        <f>MIN(1,MAX(0,(nr_MEndP-$G3023+0.5)/$C$2992))-MIN(1,MAX(0,(nr_MStartP-1-$G3023+0.5)/$C$2992))</f>
        <v/>
      </c>
      <c r="R3023" s="208">
        <f>MIN(1,MAX(0,(nr_MEndP1-$G3023+0.5)/$C$2992))-MIN(1,MAX(0,(nr_MStartP1-1-$G3023+0.5)/$C$2992))</f>
        <v/>
      </c>
      <c r="S3023" s="208">
        <f>IF($L$2992,$N3023*IF($O$2992=1,$O3023/$F$2992,1),"")</f>
        <v/>
      </c>
      <c r="T3023" s="208">
        <f>IF(NOT($L$2992),"",IF($G3023&lt;nr_MStartP,$S3023,$T3011*(1+IF($G3023&lt;nr_MStartP1,$M$2992,$N$2992))))</f>
        <v/>
      </c>
      <c r="U3023" s="208">
        <f>IF($L$2992,$T3023,$N3023)</f>
        <v/>
      </c>
    </row>
    <row r="3024">
      <c r="A3024" s="145" t="n">
        <v>30</v>
      </c>
      <c r="B3024" s="204">
        <f>EDATE($B3023,1)</f>
        <v/>
      </c>
      <c r="C3024" s="205">
        <f>EOMONTH($B3024,0)</f>
        <v/>
      </c>
      <c r="D3024" s="201">
        <f>$C3024-$B3024+1</f>
        <v/>
      </c>
      <c r="E3024" s="201">
        <f>MONTH($B3024)</f>
        <v/>
      </c>
      <c r="F3024" s="235">
        <f>($B3024+$C3024+1)/2</f>
        <v/>
      </c>
      <c r="G3024" s="201">
        <f>YEAR($B3024)*12+MONTH($B3024)-1</f>
        <v/>
      </c>
      <c r="H3024" s="207">
        <f>IF(OR(nr_SeasonOn="OFF",$D$2992=0,$E$2992=0),1,12*INDEX(se_block,$D$2992,$E3024)/$E$2992)</f>
        <v/>
      </c>
      <c r="I3024" s="208">
        <f>EXP(SUMPRODUCT((rl_eff&lt;$B3024)*(rl_key=$A$2992)*rl_ln1p))</f>
        <v/>
      </c>
      <c r="J3024" s="208">
        <f>EXP(SUMPRODUCT((rl_eff&lt;=$C3024)*(rl_key=$A$2992)*rl_ln1p))</f>
        <v/>
      </c>
      <c r="K3024" s="201">
        <f>COUNTIFS(rl_key,$A$2992,rl_eff,"&gt;="&amp;$B3024,rl_eff,"&lt;="&amp;$C3024)</f>
        <v/>
      </c>
      <c r="L3024" s="201">
        <f>SUMIFS(rl_daysafter,rl_key,$A$2992,rl_effmonth,$B3024,rl_first,1)</f>
        <v/>
      </c>
      <c r="M3024" s="209">
        <f>IF($K3024=0,0,MIN(1,$L3024/$D3024))</f>
        <v/>
      </c>
      <c r="N3024" s="208">
        <f>IF($K3024=0,$J3024,(1-$M3024)*$I3024+$M3024*$J3024)</f>
        <v/>
      </c>
      <c r="O3024" s="209">
        <f>IF($F3024&lt;$B$2993,$E$2993+$I$2993*($F3024-$A$2993),IF($F3024&lt;$C$2993,$F$2993+$J$2993*($F3024-$B$2993),$G$2993+$K$2993*($F3024-$C$2993)))</f>
        <v/>
      </c>
      <c r="P3024" s="208">
        <f>MIN(1,MAX(0,(nr_MEndPm1-$G3024+0.5)/$C$2992))-MIN(1,MAX(0,(nr_MStartPm1-1-$G3024+0.5)/$C$2992))</f>
        <v/>
      </c>
      <c r="Q3024" s="208">
        <f>MIN(1,MAX(0,(nr_MEndP-$G3024+0.5)/$C$2992))-MIN(1,MAX(0,(nr_MStartP-1-$G3024+0.5)/$C$2992))</f>
        <v/>
      </c>
      <c r="R3024" s="208">
        <f>MIN(1,MAX(0,(nr_MEndP1-$G3024+0.5)/$C$2992))-MIN(1,MAX(0,(nr_MStartP1-1-$G3024+0.5)/$C$2992))</f>
        <v/>
      </c>
      <c r="S3024" s="208">
        <f>IF($L$2992,$N3024*IF($O$2992=1,$O3024/$F$2992,1),"")</f>
        <v/>
      </c>
      <c r="T3024" s="208">
        <f>IF(NOT($L$2992),"",IF($G3024&lt;nr_MStartP,$S3024,$T3012*(1+IF($G3024&lt;nr_MStartP1,$M$2992,$N$2992))))</f>
        <v/>
      </c>
      <c r="U3024" s="208">
        <f>IF($L$2992,$T3024,$N3024)</f>
        <v/>
      </c>
    </row>
    <row r="3025">
      <c r="A3025" s="145" t="n">
        <v>31</v>
      </c>
      <c r="B3025" s="204">
        <f>EDATE($B3024,1)</f>
        <v/>
      </c>
      <c r="C3025" s="205">
        <f>EOMONTH($B3025,0)</f>
        <v/>
      </c>
      <c r="D3025" s="201">
        <f>$C3025-$B3025+1</f>
        <v/>
      </c>
      <c r="E3025" s="201">
        <f>MONTH($B3025)</f>
        <v/>
      </c>
      <c r="F3025" s="235">
        <f>($B3025+$C3025+1)/2</f>
        <v/>
      </c>
      <c r="G3025" s="201">
        <f>YEAR($B3025)*12+MONTH($B3025)-1</f>
        <v/>
      </c>
      <c r="H3025" s="207">
        <f>IF(OR(nr_SeasonOn="OFF",$D$2992=0,$E$2992=0),1,12*INDEX(se_block,$D$2992,$E3025)/$E$2992)</f>
        <v/>
      </c>
      <c r="I3025" s="208">
        <f>EXP(SUMPRODUCT((rl_eff&lt;$B3025)*(rl_key=$A$2992)*rl_ln1p))</f>
        <v/>
      </c>
      <c r="J3025" s="208">
        <f>EXP(SUMPRODUCT((rl_eff&lt;=$C3025)*(rl_key=$A$2992)*rl_ln1p))</f>
        <v/>
      </c>
      <c r="K3025" s="201">
        <f>COUNTIFS(rl_key,$A$2992,rl_eff,"&gt;="&amp;$B3025,rl_eff,"&lt;="&amp;$C3025)</f>
        <v/>
      </c>
      <c r="L3025" s="201">
        <f>SUMIFS(rl_daysafter,rl_key,$A$2992,rl_effmonth,$B3025,rl_first,1)</f>
        <v/>
      </c>
      <c r="M3025" s="209">
        <f>IF($K3025=0,0,MIN(1,$L3025/$D3025))</f>
        <v/>
      </c>
      <c r="N3025" s="208">
        <f>IF($K3025=0,$J3025,(1-$M3025)*$I3025+$M3025*$J3025)</f>
        <v/>
      </c>
      <c r="O3025" s="209">
        <f>IF($F3025&lt;$B$2993,$E$2993+$I$2993*($F3025-$A$2993),IF($F3025&lt;$C$2993,$F$2993+$J$2993*($F3025-$B$2993),$G$2993+$K$2993*($F3025-$C$2993)))</f>
        <v/>
      </c>
      <c r="P3025" s="208">
        <f>MIN(1,MAX(0,(nr_MEndPm1-$G3025+0.5)/$C$2992))-MIN(1,MAX(0,(nr_MStartPm1-1-$G3025+0.5)/$C$2992))</f>
        <v/>
      </c>
      <c r="Q3025" s="208">
        <f>MIN(1,MAX(0,(nr_MEndP-$G3025+0.5)/$C$2992))-MIN(1,MAX(0,(nr_MStartP-1-$G3025+0.5)/$C$2992))</f>
        <v/>
      </c>
      <c r="R3025" s="208">
        <f>MIN(1,MAX(0,(nr_MEndP1-$G3025+0.5)/$C$2992))-MIN(1,MAX(0,(nr_MStartP1-1-$G3025+0.5)/$C$2992))</f>
        <v/>
      </c>
      <c r="S3025" s="208">
        <f>IF($L$2992,$N3025*IF($O$2992=1,$O3025/$F$2992,1),"")</f>
        <v/>
      </c>
      <c r="T3025" s="208">
        <f>IF(NOT($L$2992),"",IF($G3025&lt;nr_MStartP,$S3025,$T3013*(1+IF($G3025&lt;nr_MStartP1,$M$2992,$N$2992))))</f>
        <v/>
      </c>
      <c r="U3025" s="208">
        <f>IF($L$2992,$T3025,$N3025)</f>
        <v/>
      </c>
    </row>
    <row r="3026">
      <c r="A3026" s="145" t="n">
        <v>32</v>
      </c>
      <c r="B3026" s="204">
        <f>EDATE($B3025,1)</f>
        <v/>
      </c>
      <c r="C3026" s="205">
        <f>EOMONTH($B3026,0)</f>
        <v/>
      </c>
      <c r="D3026" s="201">
        <f>$C3026-$B3026+1</f>
        <v/>
      </c>
      <c r="E3026" s="201">
        <f>MONTH($B3026)</f>
        <v/>
      </c>
      <c r="F3026" s="235">
        <f>($B3026+$C3026+1)/2</f>
        <v/>
      </c>
      <c r="G3026" s="201">
        <f>YEAR($B3026)*12+MONTH($B3026)-1</f>
        <v/>
      </c>
      <c r="H3026" s="207">
        <f>IF(OR(nr_SeasonOn="OFF",$D$2992=0,$E$2992=0),1,12*INDEX(se_block,$D$2992,$E3026)/$E$2992)</f>
        <v/>
      </c>
      <c r="I3026" s="208">
        <f>EXP(SUMPRODUCT((rl_eff&lt;$B3026)*(rl_key=$A$2992)*rl_ln1p))</f>
        <v/>
      </c>
      <c r="J3026" s="208">
        <f>EXP(SUMPRODUCT((rl_eff&lt;=$C3026)*(rl_key=$A$2992)*rl_ln1p))</f>
        <v/>
      </c>
      <c r="K3026" s="201">
        <f>COUNTIFS(rl_key,$A$2992,rl_eff,"&gt;="&amp;$B3026,rl_eff,"&lt;="&amp;$C3026)</f>
        <v/>
      </c>
      <c r="L3026" s="201">
        <f>SUMIFS(rl_daysafter,rl_key,$A$2992,rl_effmonth,$B3026,rl_first,1)</f>
        <v/>
      </c>
      <c r="M3026" s="209">
        <f>IF($K3026=0,0,MIN(1,$L3026/$D3026))</f>
        <v/>
      </c>
      <c r="N3026" s="208">
        <f>IF($K3026=0,$J3026,(1-$M3026)*$I3026+$M3026*$J3026)</f>
        <v/>
      </c>
      <c r="O3026" s="209">
        <f>IF($F3026&lt;$B$2993,$E$2993+$I$2993*($F3026-$A$2993),IF($F3026&lt;$C$2993,$F$2993+$J$2993*($F3026-$B$2993),$G$2993+$K$2993*($F3026-$C$2993)))</f>
        <v/>
      </c>
      <c r="P3026" s="208">
        <f>MIN(1,MAX(0,(nr_MEndPm1-$G3026+0.5)/$C$2992))-MIN(1,MAX(0,(nr_MStartPm1-1-$G3026+0.5)/$C$2992))</f>
        <v/>
      </c>
      <c r="Q3026" s="208">
        <f>MIN(1,MAX(0,(nr_MEndP-$G3026+0.5)/$C$2992))-MIN(1,MAX(0,(nr_MStartP-1-$G3026+0.5)/$C$2992))</f>
        <v/>
      </c>
      <c r="R3026" s="208">
        <f>MIN(1,MAX(0,(nr_MEndP1-$G3026+0.5)/$C$2992))-MIN(1,MAX(0,(nr_MStartP1-1-$G3026+0.5)/$C$2992))</f>
        <v/>
      </c>
      <c r="S3026" s="208">
        <f>IF($L$2992,$N3026*IF($O$2992=1,$O3026/$F$2992,1),"")</f>
        <v/>
      </c>
      <c r="T3026" s="208">
        <f>IF(NOT($L$2992),"",IF($G3026&lt;nr_MStartP,$S3026,$T3014*(1+IF($G3026&lt;nr_MStartP1,$M$2992,$N$2992))))</f>
        <v/>
      </c>
      <c r="U3026" s="208">
        <f>IF($L$2992,$T3026,$N3026)</f>
        <v/>
      </c>
    </row>
    <row r="3027">
      <c r="A3027" s="145" t="n">
        <v>33</v>
      </c>
      <c r="B3027" s="204">
        <f>EDATE($B3026,1)</f>
        <v/>
      </c>
      <c r="C3027" s="205">
        <f>EOMONTH($B3027,0)</f>
        <v/>
      </c>
      <c r="D3027" s="201">
        <f>$C3027-$B3027+1</f>
        <v/>
      </c>
      <c r="E3027" s="201">
        <f>MONTH($B3027)</f>
        <v/>
      </c>
      <c r="F3027" s="235">
        <f>($B3027+$C3027+1)/2</f>
        <v/>
      </c>
      <c r="G3027" s="201">
        <f>YEAR($B3027)*12+MONTH($B3027)-1</f>
        <v/>
      </c>
      <c r="H3027" s="207">
        <f>IF(OR(nr_SeasonOn="OFF",$D$2992=0,$E$2992=0),1,12*INDEX(se_block,$D$2992,$E3027)/$E$2992)</f>
        <v/>
      </c>
      <c r="I3027" s="208">
        <f>EXP(SUMPRODUCT((rl_eff&lt;$B3027)*(rl_key=$A$2992)*rl_ln1p))</f>
        <v/>
      </c>
      <c r="J3027" s="208">
        <f>EXP(SUMPRODUCT((rl_eff&lt;=$C3027)*(rl_key=$A$2992)*rl_ln1p))</f>
        <v/>
      </c>
      <c r="K3027" s="201">
        <f>COUNTIFS(rl_key,$A$2992,rl_eff,"&gt;="&amp;$B3027,rl_eff,"&lt;="&amp;$C3027)</f>
        <v/>
      </c>
      <c r="L3027" s="201">
        <f>SUMIFS(rl_daysafter,rl_key,$A$2992,rl_effmonth,$B3027,rl_first,1)</f>
        <v/>
      </c>
      <c r="M3027" s="209">
        <f>IF($K3027=0,0,MIN(1,$L3027/$D3027))</f>
        <v/>
      </c>
      <c r="N3027" s="208">
        <f>IF($K3027=0,$J3027,(1-$M3027)*$I3027+$M3027*$J3027)</f>
        <v/>
      </c>
      <c r="O3027" s="209">
        <f>IF($F3027&lt;$B$2993,$E$2993+$I$2993*($F3027-$A$2993),IF($F3027&lt;$C$2993,$F$2993+$J$2993*($F3027-$B$2993),$G$2993+$K$2993*($F3027-$C$2993)))</f>
        <v/>
      </c>
      <c r="P3027" s="208">
        <f>MIN(1,MAX(0,(nr_MEndPm1-$G3027+0.5)/$C$2992))-MIN(1,MAX(0,(nr_MStartPm1-1-$G3027+0.5)/$C$2992))</f>
        <v/>
      </c>
      <c r="Q3027" s="208">
        <f>MIN(1,MAX(0,(nr_MEndP-$G3027+0.5)/$C$2992))-MIN(1,MAX(0,(nr_MStartP-1-$G3027+0.5)/$C$2992))</f>
        <v/>
      </c>
      <c r="R3027" s="208">
        <f>MIN(1,MAX(0,(nr_MEndP1-$G3027+0.5)/$C$2992))-MIN(1,MAX(0,(nr_MStartP1-1-$G3027+0.5)/$C$2992))</f>
        <v/>
      </c>
      <c r="S3027" s="208">
        <f>IF($L$2992,$N3027*IF($O$2992=1,$O3027/$F$2992,1),"")</f>
        <v/>
      </c>
      <c r="T3027" s="208">
        <f>IF(NOT($L$2992),"",IF($G3027&lt;nr_MStartP,$S3027,$T3015*(1+IF($G3027&lt;nr_MStartP1,$M$2992,$N$2992))))</f>
        <v/>
      </c>
      <c r="U3027" s="208">
        <f>IF($L$2992,$T3027,$N3027)</f>
        <v/>
      </c>
    </row>
    <row r="3028">
      <c r="A3028" s="145" t="n">
        <v>34</v>
      </c>
      <c r="B3028" s="204">
        <f>EDATE($B3027,1)</f>
        <v/>
      </c>
      <c r="C3028" s="205">
        <f>EOMONTH($B3028,0)</f>
        <v/>
      </c>
      <c r="D3028" s="201">
        <f>$C3028-$B3028+1</f>
        <v/>
      </c>
      <c r="E3028" s="201">
        <f>MONTH($B3028)</f>
        <v/>
      </c>
      <c r="F3028" s="235">
        <f>($B3028+$C3028+1)/2</f>
        <v/>
      </c>
      <c r="G3028" s="201">
        <f>YEAR($B3028)*12+MONTH($B3028)-1</f>
        <v/>
      </c>
      <c r="H3028" s="207">
        <f>IF(OR(nr_SeasonOn="OFF",$D$2992=0,$E$2992=0),1,12*INDEX(se_block,$D$2992,$E3028)/$E$2992)</f>
        <v/>
      </c>
      <c r="I3028" s="208">
        <f>EXP(SUMPRODUCT((rl_eff&lt;$B3028)*(rl_key=$A$2992)*rl_ln1p))</f>
        <v/>
      </c>
      <c r="J3028" s="208">
        <f>EXP(SUMPRODUCT((rl_eff&lt;=$C3028)*(rl_key=$A$2992)*rl_ln1p))</f>
        <v/>
      </c>
      <c r="K3028" s="201">
        <f>COUNTIFS(rl_key,$A$2992,rl_eff,"&gt;="&amp;$B3028,rl_eff,"&lt;="&amp;$C3028)</f>
        <v/>
      </c>
      <c r="L3028" s="201">
        <f>SUMIFS(rl_daysafter,rl_key,$A$2992,rl_effmonth,$B3028,rl_first,1)</f>
        <v/>
      </c>
      <c r="M3028" s="209">
        <f>IF($K3028=0,0,MIN(1,$L3028/$D3028))</f>
        <v/>
      </c>
      <c r="N3028" s="208">
        <f>IF($K3028=0,$J3028,(1-$M3028)*$I3028+$M3028*$J3028)</f>
        <v/>
      </c>
      <c r="O3028" s="209">
        <f>IF($F3028&lt;$B$2993,$E$2993+$I$2993*($F3028-$A$2993),IF($F3028&lt;$C$2993,$F$2993+$J$2993*($F3028-$B$2993),$G$2993+$K$2993*($F3028-$C$2993)))</f>
        <v/>
      </c>
      <c r="P3028" s="208">
        <f>MIN(1,MAX(0,(nr_MEndPm1-$G3028+0.5)/$C$2992))-MIN(1,MAX(0,(nr_MStartPm1-1-$G3028+0.5)/$C$2992))</f>
        <v/>
      </c>
      <c r="Q3028" s="208">
        <f>MIN(1,MAX(0,(nr_MEndP-$G3028+0.5)/$C$2992))-MIN(1,MAX(0,(nr_MStartP-1-$G3028+0.5)/$C$2992))</f>
        <v/>
      </c>
      <c r="R3028" s="208">
        <f>MIN(1,MAX(0,(nr_MEndP1-$G3028+0.5)/$C$2992))-MIN(1,MAX(0,(nr_MStartP1-1-$G3028+0.5)/$C$2992))</f>
        <v/>
      </c>
      <c r="S3028" s="208">
        <f>IF($L$2992,$N3028*IF($O$2992=1,$O3028/$F$2992,1),"")</f>
        <v/>
      </c>
      <c r="T3028" s="208">
        <f>IF(NOT($L$2992),"",IF($G3028&lt;nr_MStartP,$S3028,$T3016*(1+IF($G3028&lt;nr_MStartP1,$M$2992,$N$2992))))</f>
        <v/>
      </c>
      <c r="U3028" s="208">
        <f>IF($L$2992,$T3028,$N3028)</f>
        <v/>
      </c>
    </row>
    <row r="3029">
      <c r="A3029" s="145" t="n">
        <v>35</v>
      </c>
      <c r="B3029" s="204">
        <f>EDATE($B3028,1)</f>
        <v/>
      </c>
      <c r="C3029" s="205">
        <f>EOMONTH($B3029,0)</f>
        <v/>
      </c>
      <c r="D3029" s="201">
        <f>$C3029-$B3029+1</f>
        <v/>
      </c>
      <c r="E3029" s="201">
        <f>MONTH($B3029)</f>
        <v/>
      </c>
      <c r="F3029" s="235">
        <f>($B3029+$C3029+1)/2</f>
        <v/>
      </c>
      <c r="G3029" s="201">
        <f>YEAR($B3029)*12+MONTH($B3029)-1</f>
        <v/>
      </c>
      <c r="H3029" s="207">
        <f>IF(OR(nr_SeasonOn="OFF",$D$2992=0,$E$2992=0),1,12*INDEX(se_block,$D$2992,$E3029)/$E$2992)</f>
        <v/>
      </c>
      <c r="I3029" s="208">
        <f>EXP(SUMPRODUCT((rl_eff&lt;$B3029)*(rl_key=$A$2992)*rl_ln1p))</f>
        <v/>
      </c>
      <c r="J3029" s="208">
        <f>EXP(SUMPRODUCT((rl_eff&lt;=$C3029)*(rl_key=$A$2992)*rl_ln1p))</f>
        <v/>
      </c>
      <c r="K3029" s="201">
        <f>COUNTIFS(rl_key,$A$2992,rl_eff,"&gt;="&amp;$B3029,rl_eff,"&lt;="&amp;$C3029)</f>
        <v/>
      </c>
      <c r="L3029" s="201">
        <f>SUMIFS(rl_daysafter,rl_key,$A$2992,rl_effmonth,$B3029,rl_first,1)</f>
        <v/>
      </c>
      <c r="M3029" s="209">
        <f>IF($K3029=0,0,MIN(1,$L3029/$D3029))</f>
        <v/>
      </c>
      <c r="N3029" s="208">
        <f>IF($K3029=0,$J3029,(1-$M3029)*$I3029+$M3029*$J3029)</f>
        <v/>
      </c>
      <c r="O3029" s="209">
        <f>IF($F3029&lt;$B$2993,$E$2993+$I$2993*($F3029-$A$2993),IF($F3029&lt;$C$2993,$F$2993+$J$2993*($F3029-$B$2993),$G$2993+$K$2993*($F3029-$C$2993)))</f>
        <v/>
      </c>
      <c r="P3029" s="208">
        <f>MIN(1,MAX(0,(nr_MEndPm1-$G3029+0.5)/$C$2992))-MIN(1,MAX(0,(nr_MStartPm1-1-$G3029+0.5)/$C$2992))</f>
        <v/>
      </c>
      <c r="Q3029" s="208">
        <f>MIN(1,MAX(0,(nr_MEndP-$G3029+0.5)/$C$2992))-MIN(1,MAX(0,(nr_MStartP-1-$G3029+0.5)/$C$2992))</f>
        <v/>
      </c>
      <c r="R3029" s="208">
        <f>MIN(1,MAX(0,(nr_MEndP1-$G3029+0.5)/$C$2992))-MIN(1,MAX(0,(nr_MStartP1-1-$G3029+0.5)/$C$2992))</f>
        <v/>
      </c>
      <c r="S3029" s="208">
        <f>IF($L$2992,$N3029*IF($O$2992=1,$O3029/$F$2992,1),"")</f>
        <v/>
      </c>
      <c r="T3029" s="208">
        <f>IF(NOT($L$2992),"",IF($G3029&lt;nr_MStartP,$S3029,$T3017*(1+IF($G3029&lt;nr_MStartP1,$M$2992,$N$2992))))</f>
        <v/>
      </c>
      <c r="U3029" s="208">
        <f>IF($L$2992,$T3029,$N3029)</f>
        <v/>
      </c>
    </row>
    <row r="3030">
      <c r="A3030" s="145" t="n">
        <v>36</v>
      </c>
      <c r="B3030" s="204">
        <f>EDATE($B3029,1)</f>
        <v/>
      </c>
      <c r="C3030" s="205">
        <f>EOMONTH($B3030,0)</f>
        <v/>
      </c>
      <c r="D3030" s="201">
        <f>$C3030-$B3030+1</f>
        <v/>
      </c>
      <c r="E3030" s="201">
        <f>MONTH($B3030)</f>
        <v/>
      </c>
      <c r="F3030" s="235">
        <f>($B3030+$C3030+1)/2</f>
        <v/>
      </c>
      <c r="G3030" s="201">
        <f>YEAR($B3030)*12+MONTH($B3030)-1</f>
        <v/>
      </c>
      <c r="H3030" s="207">
        <f>IF(OR(nr_SeasonOn="OFF",$D$2992=0,$E$2992=0),1,12*INDEX(se_block,$D$2992,$E3030)/$E$2992)</f>
        <v/>
      </c>
      <c r="I3030" s="208">
        <f>EXP(SUMPRODUCT((rl_eff&lt;$B3030)*(rl_key=$A$2992)*rl_ln1p))</f>
        <v/>
      </c>
      <c r="J3030" s="208">
        <f>EXP(SUMPRODUCT((rl_eff&lt;=$C3030)*(rl_key=$A$2992)*rl_ln1p))</f>
        <v/>
      </c>
      <c r="K3030" s="201">
        <f>COUNTIFS(rl_key,$A$2992,rl_eff,"&gt;="&amp;$B3030,rl_eff,"&lt;="&amp;$C3030)</f>
        <v/>
      </c>
      <c r="L3030" s="201">
        <f>SUMIFS(rl_daysafter,rl_key,$A$2992,rl_effmonth,$B3030,rl_first,1)</f>
        <v/>
      </c>
      <c r="M3030" s="209">
        <f>IF($K3030=0,0,MIN(1,$L3030/$D3030))</f>
        <v/>
      </c>
      <c r="N3030" s="208">
        <f>IF($K3030=0,$J3030,(1-$M3030)*$I3030+$M3030*$J3030)</f>
        <v/>
      </c>
      <c r="O3030" s="209">
        <f>IF($F3030&lt;$B$2993,$E$2993+$I$2993*($F3030-$A$2993),IF($F3030&lt;$C$2993,$F$2993+$J$2993*($F3030-$B$2993),$G$2993+$K$2993*($F3030-$C$2993)))</f>
        <v/>
      </c>
      <c r="P3030" s="208">
        <f>MIN(1,MAX(0,(nr_MEndPm1-$G3030+0.5)/$C$2992))-MIN(1,MAX(0,(nr_MStartPm1-1-$G3030+0.5)/$C$2992))</f>
        <v/>
      </c>
      <c r="Q3030" s="208">
        <f>MIN(1,MAX(0,(nr_MEndP-$G3030+0.5)/$C$2992))-MIN(1,MAX(0,(nr_MStartP-1-$G3030+0.5)/$C$2992))</f>
        <v/>
      </c>
      <c r="R3030" s="208">
        <f>MIN(1,MAX(0,(nr_MEndP1-$G3030+0.5)/$C$2992))-MIN(1,MAX(0,(nr_MStartP1-1-$G3030+0.5)/$C$2992))</f>
        <v/>
      </c>
      <c r="S3030" s="208">
        <f>IF($L$2992,$N3030*IF($O$2992=1,$O3030/$F$2992,1),"")</f>
        <v/>
      </c>
      <c r="T3030" s="208">
        <f>IF(NOT($L$2992),"",IF($G3030&lt;nr_MStartP,$S3030,$T3018*(1+IF($G3030&lt;nr_MStartP1,$M$2992,$N$2992))))</f>
        <v/>
      </c>
      <c r="U3030" s="208">
        <f>IF($L$2992,$T3030,$N3030)</f>
        <v/>
      </c>
    </row>
    <row r="3031">
      <c r="A3031" s="145" t="n">
        <v>37</v>
      </c>
      <c r="B3031" s="204">
        <f>EDATE($B3030,1)</f>
        <v/>
      </c>
      <c r="C3031" s="205">
        <f>EOMONTH($B3031,0)</f>
        <v/>
      </c>
      <c r="D3031" s="201">
        <f>$C3031-$B3031+1</f>
        <v/>
      </c>
      <c r="E3031" s="201">
        <f>MONTH($B3031)</f>
        <v/>
      </c>
      <c r="F3031" s="235">
        <f>($B3031+$C3031+1)/2</f>
        <v/>
      </c>
      <c r="G3031" s="201">
        <f>YEAR($B3031)*12+MONTH($B3031)-1</f>
        <v/>
      </c>
      <c r="H3031" s="207">
        <f>IF(OR(nr_SeasonOn="OFF",$D$2992=0,$E$2992=0),1,12*INDEX(se_block,$D$2992,$E3031)/$E$2992)</f>
        <v/>
      </c>
      <c r="I3031" s="208">
        <f>EXP(SUMPRODUCT((rl_eff&lt;$B3031)*(rl_key=$A$2992)*rl_ln1p))</f>
        <v/>
      </c>
      <c r="J3031" s="208">
        <f>EXP(SUMPRODUCT((rl_eff&lt;=$C3031)*(rl_key=$A$2992)*rl_ln1p))</f>
        <v/>
      </c>
      <c r="K3031" s="201">
        <f>COUNTIFS(rl_key,$A$2992,rl_eff,"&gt;="&amp;$B3031,rl_eff,"&lt;="&amp;$C3031)</f>
        <v/>
      </c>
      <c r="L3031" s="201">
        <f>SUMIFS(rl_daysafter,rl_key,$A$2992,rl_effmonth,$B3031,rl_first,1)</f>
        <v/>
      </c>
      <c r="M3031" s="209">
        <f>IF($K3031=0,0,MIN(1,$L3031/$D3031))</f>
        <v/>
      </c>
      <c r="N3031" s="208">
        <f>IF($K3031=0,$J3031,(1-$M3031)*$I3031+$M3031*$J3031)</f>
        <v/>
      </c>
      <c r="O3031" s="209">
        <f>IF($F3031&lt;$B$2993,$E$2993+$I$2993*($F3031-$A$2993),IF($F3031&lt;$C$2993,$F$2993+$J$2993*($F3031-$B$2993),$G$2993+$K$2993*($F3031-$C$2993)))</f>
        <v/>
      </c>
      <c r="P3031" s="208">
        <f>MIN(1,MAX(0,(nr_MEndPm1-$G3031+0.5)/$C$2992))-MIN(1,MAX(0,(nr_MStartPm1-1-$G3031+0.5)/$C$2992))</f>
        <v/>
      </c>
      <c r="Q3031" s="208">
        <f>MIN(1,MAX(0,(nr_MEndP-$G3031+0.5)/$C$2992))-MIN(1,MAX(0,(nr_MStartP-1-$G3031+0.5)/$C$2992))</f>
        <v/>
      </c>
      <c r="R3031" s="208">
        <f>MIN(1,MAX(0,(nr_MEndP1-$G3031+0.5)/$C$2992))-MIN(1,MAX(0,(nr_MStartP1-1-$G3031+0.5)/$C$2992))</f>
        <v/>
      </c>
      <c r="S3031" s="208">
        <f>IF($L$2992,$N3031*IF($O$2992=1,$O3031/$F$2992,1),"")</f>
        <v/>
      </c>
      <c r="T3031" s="208">
        <f>IF(NOT($L$2992),"",IF($G3031&lt;nr_MStartP,$S3031,$T3019*(1+IF($G3031&lt;nr_MStartP1,$M$2992,$N$2992))))</f>
        <v/>
      </c>
      <c r="U3031" s="208">
        <f>IF($L$2992,$T3031,$N3031)</f>
        <v/>
      </c>
    </row>
    <row r="3032">
      <c r="A3032" s="145" t="n">
        <v>38</v>
      </c>
      <c r="B3032" s="204">
        <f>EDATE($B3031,1)</f>
        <v/>
      </c>
      <c r="C3032" s="205">
        <f>EOMONTH($B3032,0)</f>
        <v/>
      </c>
      <c r="D3032" s="201">
        <f>$C3032-$B3032+1</f>
        <v/>
      </c>
      <c r="E3032" s="201">
        <f>MONTH($B3032)</f>
        <v/>
      </c>
      <c r="F3032" s="235">
        <f>($B3032+$C3032+1)/2</f>
        <v/>
      </c>
      <c r="G3032" s="201">
        <f>YEAR($B3032)*12+MONTH($B3032)-1</f>
        <v/>
      </c>
      <c r="H3032" s="207">
        <f>IF(OR(nr_SeasonOn="OFF",$D$2992=0,$E$2992=0),1,12*INDEX(se_block,$D$2992,$E3032)/$E$2992)</f>
        <v/>
      </c>
      <c r="I3032" s="208">
        <f>EXP(SUMPRODUCT((rl_eff&lt;$B3032)*(rl_key=$A$2992)*rl_ln1p))</f>
        <v/>
      </c>
      <c r="J3032" s="208">
        <f>EXP(SUMPRODUCT((rl_eff&lt;=$C3032)*(rl_key=$A$2992)*rl_ln1p))</f>
        <v/>
      </c>
      <c r="K3032" s="201">
        <f>COUNTIFS(rl_key,$A$2992,rl_eff,"&gt;="&amp;$B3032,rl_eff,"&lt;="&amp;$C3032)</f>
        <v/>
      </c>
      <c r="L3032" s="201">
        <f>SUMIFS(rl_daysafter,rl_key,$A$2992,rl_effmonth,$B3032,rl_first,1)</f>
        <v/>
      </c>
      <c r="M3032" s="209">
        <f>IF($K3032=0,0,MIN(1,$L3032/$D3032))</f>
        <v/>
      </c>
      <c r="N3032" s="208">
        <f>IF($K3032=0,$J3032,(1-$M3032)*$I3032+$M3032*$J3032)</f>
        <v/>
      </c>
      <c r="O3032" s="209">
        <f>IF($F3032&lt;$B$2993,$E$2993+$I$2993*($F3032-$A$2993),IF($F3032&lt;$C$2993,$F$2993+$J$2993*($F3032-$B$2993),$G$2993+$K$2993*($F3032-$C$2993)))</f>
        <v/>
      </c>
      <c r="P3032" s="208">
        <f>MIN(1,MAX(0,(nr_MEndPm1-$G3032+0.5)/$C$2992))-MIN(1,MAX(0,(nr_MStartPm1-1-$G3032+0.5)/$C$2992))</f>
        <v/>
      </c>
      <c r="Q3032" s="208">
        <f>MIN(1,MAX(0,(nr_MEndP-$G3032+0.5)/$C$2992))-MIN(1,MAX(0,(nr_MStartP-1-$G3032+0.5)/$C$2992))</f>
        <v/>
      </c>
      <c r="R3032" s="208">
        <f>MIN(1,MAX(0,(nr_MEndP1-$G3032+0.5)/$C$2992))-MIN(1,MAX(0,(nr_MStartP1-1-$G3032+0.5)/$C$2992))</f>
        <v/>
      </c>
      <c r="S3032" s="208">
        <f>IF($L$2992,$N3032*IF($O$2992=1,$O3032/$F$2992,1),"")</f>
        <v/>
      </c>
      <c r="T3032" s="208">
        <f>IF(NOT($L$2992),"",IF($G3032&lt;nr_MStartP,$S3032,$T3020*(1+IF($G3032&lt;nr_MStartP1,$M$2992,$N$2992))))</f>
        <v/>
      </c>
      <c r="U3032" s="208">
        <f>IF($L$2992,$T3032,$N3032)</f>
        <v/>
      </c>
    </row>
    <row r="3033">
      <c r="A3033" s="145" t="n">
        <v>39</v>
      </c>
      <c r="B3033" s="204">
        <f>EDATE($B3032,1)</f>
        <v/>
      </c>
      <c r="C3033" s="205">
        <f>EOMONTH($B3033,0)</f>
        <v/>
      </c>
      <c r="D3033" s="201">
        <f>$C3033-$B3033+1</f>
        <v/>
      </c>
      <c r="E3033" s="201">
        <f>MONTH($B3033)</f>
        <v/>
      </c>
      <c r="F3033" s="235">
        <f>($B3033+$C3033+1)/2</f>
        <v/>
      </c>
      <c r="G3033" s="201">
        <f>YEAR($B3033)*12+MONTH($B3033)-1</f>
        <v/>
      </c>
      <c r="H3033" s="207">
        <f>IF(OR(nr_SeasonOn="OFF",$D$2992=0,$E$2992=0),1,12*INDEX(se_block,$D$2992,$E3033)/$E$2992)</f>
        <v/>
      </c>
      <c r="I3033" s="208">
        <f>EXP(SUMPRODUCT((rl_eff&lt;$B3033)*(rl_key=$A$2992)*rl_ln1p))</f>
        <v/>
      </c>
      <c r="J3033" s="208">
        <f>EXP(SUMPRODUCT((rl_eff&lt;=$C3033)*(rl_key=$A$2992)*rl_ln1p))</f>
        <v/>
      </c>
      <c r="K3033" s="201">
        <f>COUNTIFS(rl_key,$A$2992,rl_eff,"&gt;="&amp;$B3033,rl_eff,"&lt;="&amp;$C3033)</f>
        <v/>
      </c>
      <c r="L3033" s="201">
        <f>SUMIFS(rl_daysafter,rl_key,$A$2992,rl_effmonth,$B3033,rl_first,1)</f>
        <v/>
      </c>
      <c r="M3033" s="209">
        <f>IF($K3033=0,0,MIN(1,$L3033/$D3033))</f>
        <v/>
      </c>
      <c r="N3033" s="208">
        <f>IF($K3033=0,$J3033,(1-$M3033)*$I3033+$M3033*$J3033)</f>
        <v/>
      </c>
      <c r="O3033" s="209">
        <f>IF($F3033&lt;$B$2993,$E$2993+$I$2993*($F3033-$A$2993),IF($F3033&lt;$C$2993,$F$2993+$J$2993*($F3033-$B$2993),$G$2993+$K$2993*($F3033-$C$2993)))</f>
        <v/>
      </c>
      <c r="P3033" s="208">
        <f>MIN(1,MAX(0,(nr_MEndPm1-$G3033+0.5)/$C$2992))-MIN(1,MAX(0,(nr_MStartPm1-1-$G3033+0.5)/$C$2992))</f>
        <v/>
      </c>
      <c r="Q3033" s="208">
        <f>MIN(1,MAX(0,(nr_MEndP-$G3033+0.5)/$C$2992))-MIN(1,MAX(0,(nr_MStartP-1-$G3033+0.5)/$C$2992))</f>
        <v/>
      </c>
      <c r="R3033" s="208">
        <f>MIN(1,MAX(0,(nr_MEndP1-$G3033+0.5)/$C$2992))-MIN(1,MAX(0,(nr_MStartP1-1-$G3033+0.5)/$C$2992))</f>
        <v/>
      </c>
      <c r="S3033" s="208">
        <f>IF($L$2992,$N3033*IF($O$2992=1,$O3033/$F$2992,1),"")</f>
        <v/>
      </c>
      <c r="T3033" s="208">
        <f>IF(NOT($L$2992),"",IF($G3033&lt;nr_MStartP,$S3033,$T3021*(1+IF($G3033&lt;nr_MStartP1,$M$2992,$N$2992))))</f>
        <v/>
      </c>
      <c r="U3033" s="208">
        <f>IF($L$2992,$T3033,$N3033)</f>
        <v/>
      </c>
    </row>
    <row r="3034">
      <c r="A3034" s="145" t="n">
        <v>40</v>
      </c>
      <c r="B3034" s="204">
        <f>EDATE($B3033,1)</f>
        <v/>
      </c>
      <c r="C3034" s="205">
        <f>EOMONTH($B3034,0)</f>
        <v/>
      </c>
      <c r="D3034" s="201">
        <f>$C3034-$B3034+1</f>
        <v/>
      </c>
      <c r="E3034" s="201">
        <f>MONTH($B3034)</f>
        <v/>
      </c>
      <c r="F3034" s="235">
        <f>($B3034+$C3034+1)/2</f>
        <v/>
      </c>
      <c r="G3034" s="201">
        <f>YEAR($B3034)*12+MONTH($B3034)-1</f>
        <v/>
      </c>
      <c r="H3034" s="207">
        <f>IF(OR(nr_SeasonOn="OFF",$D$2992=0,$E$2992=0),1,12*INDEX(se_block,$D$2992,$E3034)/$E$2992)</f>
        <v/>
      </c>
      <c r="I3034" s="208">
        <f>EXP(SUMPRODUCT((rl_eff&lt;$B3034)*(rl_key=$A$2992)*rl_ln1p))</f>
        <v/>
      </c>
      <c r="J3034" s="208">
        <f>EXP(SUMPRODUCT((rl_eff&lt;=$C3034)*(rl_key=$A$2992)*rl_ln1p))</f>
        <v/>
      </c>
      <c r="K3034" s="201">
        <f>COUNTIFS(rl_key,$A$2992,rl_eff,"&gt;="&amp;$B3034,rl_eff,"&lt;="&amp;$C3034)</f>
        <v/>
      </c>
      <c r="L3034" s="201">
        <f>SUMIFS(rl_daysafter,rl_key,$A$2992,rl_effmonth,$B3034,rl_first,1)</f>
        <v/>
      </c>
      <c r="M3034" s="209">
        <f>IF($K3034=0,0,MIN(1,$L3034/$D3034))</f>
        <v/>
      </c>
      <c r="N3034" s="208">
        <f>IF($K3034=0,$J3034,(1-$M3034)*$I3034+$M3034*$J3034)</f>
        <v/>
      </c>
      <c r="O3034" s="209">
        <f>IF($F3034&lt;$B$2993,$E$2993+$I$2993*($F3034-$A$2993),IF($F3034&lt;$C$2993,$F$2993+$J$2993*($F3034-$B$2993),$G$2993+$K$2993*($F3034-$C$2993)))</f>
        <v/>
      </c>
      <c r="P3034" s="208">
        <f>MIN(1,MAX(0,(nr_MEndPm1-$G3034+0.5)/$C$2992))-MIN(1,MAX(0,(nr_MStartPm1-1-$G3034+0.5)/$C$2992))</f>
        <v/>
      </c>
      <c r="Q3034" s="208">
        <f>MIN(1,MAX(0,(nr_MEndP-$G3034+0.5)/$C$2992))-MIN(1,MAX(0,(nr_MStartP-1-$G3034+0.5)/$C$2992))</f>
        <v/>
      </c>
      <c r="R3034" s="208">
        <f>MIN(1,MAX(0,(nr_MEndP1-$G3034+0.5)/$C$2992))-MIN(1,MAX(0,(nr_MStartP1-1-$G3034+0.5)/$C$2992))</f>
        <v/>
      </c>
      <c r="S3034" s="208">
        <f>IF($L$2992,$N3034*IF($O$2992=1,$O3034/$F$2992,1),"")</f>
        <v/>
      </c>
      <c r="T3034" s="208">
        <f>IF(NOT($L$2992),"",IF($G3034&lt;nr_MStartP,$S3034,$T3022*(1+IF($G3034&lt;nr_MStartP1,$M$2992,$N$2992))))</f>
        <v/>
      </c>
      <c r="U3034" s="208">
        <f>IF($L$2992,$T3034,$N3034)</f>
        <v/>
      </c>
    </row>
    <row r="3035">
      <c r="A3035" s="145" t="n">
        <v>41</v>
      </c>
      <c r="B3035" s="204">
        <f>EDATE($B3034,1)</f>
        <v/>
      </c>
      <c r="C3035" s="205">
        <f>EOMONTH($B3035,0)</f>
        <v/>
      </c>
      <c r="D3035" s="201">
        <f>$C3035-$B3035+1</f>
        <v/>
      </c>
      <c r="E3035" s="201">
        <f>MONTH($B3035)</f>
        <v/>
      </c>
      <c r="F3035" s="235">
        <f>($B3035+$C3035+1)/2</f>
        <v/>
      </c>
      <c r="G3035" s="201">
        <f>YEAR($B3035)*12+MONTH($B3035)-1</f>
        <v/>
      </c>
      <c r="H3035" s="207">
        <f>IF(OR(nr_SeasonOn="OFF",$D$2992=0,$E$2992=0),1,12*INDEX(se_block,$D$2992,$E3035)/$E$2992)</f>
        <v/>
      </c>
      <c r="I3035" s="208">
        <f>EXP(SUMPRODUCT((rl_eff&lt;$B3035)*(rl_key=$A$2992)*rl_ln1p))</f>
        <v/>
      </c>
      <c r="J3035" s="208">
        <f>EXP(SUMPRODUCT((rl_eff&lt;=$C3035)*(rl_key=$A$2992)*rl_ln1p))</f>
        <v/>
      </c>
      <c r="K3035" s="201">
        <f>COUNTIFS(rl_key,$A$2992,rl_eff,"&gt;="&amp;$B3035,rl_eff,"&lt;="&amp;$C3035)</f>
        <v/>
      </c>
      <c r="L3035" s="201">
        <f>SUMIFS(rl_daysafter,rl_key,$A$2992,rl_effmonth,$B3035,rl_first,1)</f>
        <v/>
      </c>
      <c r="M3035" s="209">
        <f>IF($K3035=0,0,MIN(1,$L3035/$D3035))</f>
        <v/>
      </c>
      <c r="N3035" s="208">
        <f>IF($K3035=0,$J3035,(1-$M3035)*$I3035+$M3035*$J3035)</f>
        <v/>
      </c>
      <c r="O3035" s="209">
        <f>IF($F3035&lt;$B$2993,$E$2993+$I$2993*($F3035-$A$2993),IF($F3035&lt;$C$2993,$F$2993+$J$2993*($F3035-$B$2993),$G$2993+$K$2993*($F3035-$C$2993)))</f>
        <v/>
      </c>
      <c r="P3035" s="208">
        <f>MIN(1,MAX(0,(nr_MEndPm1-$G3035+0.5)/$C$2992))-MIN(1,MAX(0,(nr_MStartPm1-1-$G3035+0.5)/$C$2992))</f>
        <v/>
      </c>
      <c r="Q3035" s="208">
        <f>MIN(1,MAX(0,(nr_MEndP-$G3035+0.5)/$C$2992))-MIN(1,MAX(0,(nr_MStartP-1-$G3035+0.5)/$C$2992))</f>
        <v/>
      </c>
      <c r="R3035" s="208">
        <f>MIN(1,MAX(0,(nr_MEndP1-$G3035+0.5)/$C$2992))-MIN(1,MAX(0,(nr_MStartP1-1-$G3035+0.5)/$C$2992))</f>
        <v/>
      </c>
      <c r="S3035" s="208">
        <f>IF($L$2992,$N3035*IF($O$2992=1,$O3035/$F$2992,1),"")</f>
        <v/>
      </c>
      <c r="T3035" s="208">
        <f>IF(NOT($L$2992),"",IF($G3035&lt;nr_MStartP,$S3035,$T3023*(1+IF($G3035&lt;nr_MStartP1,$M$2992,$N$2992))))</f>
        <v/>
      </c>
      <c r="U3035" s="208">
        <f>IF($L$2992,$T3035,$N3035)</f>
        <v/>
      </c>
    </row>
    <row r="3036">
      <c r="A3036" s="145" t="n">
        <v>42</v>
      </c>
      <c r="B3036" s="204">
        <f>EDATE($B3035,1)</f>
        <v/>
      </c>
      <c r="C3036" s="205">
        <f>EOMONTH($B3036,0)</f>
        <v/>
      </c>
      <c r="D3036" s="201">
        <f>$C3036-$B3036+1</f>
        <v/>
      </c>
      <c r="E3036" s="201">
        <f>MONTH($B3036)</f>
        <v/>
      </c>
      <c r="F3036" s="235">
        <f>($B3036+$C3036+1)/2</f>
        <v/>
      </c>
      <c r="G3036" s="201">
        <f>YEAR($B3036)*12+MONTH($B3036)-1</f>
        <v/>
      </c>
      <c r="H3036" s="207">
        <f>IF(OR(nr_SeasonOn="OFF",$D$2992=0,$E$2992=0),1,12*INDEX(se_block,$D$2992,$E3036)/$E$2992)</f>
        <v/>
      </c>
      <c r="I3036" s="208">
        <f>EXP(SUMPRODUCT((rl_eff&lt;$B3036)*(rl_key=$A$2992)*rl_ln1p))</f>
        <v/>
      </c>
      <c r="J3036" s="208">
        <f>EXP(SUMPRODUCT((rl_eff&lt;=$C3036)*(rl_key=$A$2992)*rl_ln1p))</f>
        <v/>
      </c>
      <c r="K3036" s="201">
        <f>COUNTIFS(rl_key,$A$2992,rl_eff,"&gt;="&amp;$B3036,rl_eff,"&lt;="&amp;$C3036)</f>
        <v/>
      </c>
      <c r="L3036" s="201">
        <f>SUMIFS(rl_daysafter,rl_key,$A$2992,rl_effmonth,$B3036,rl_first,1)</f>
        <v/>
      </c>
      <c r="M3036" s="209">
        <f>IF($K3036=0,0,MIN(1,$L3036/$D3036))</f>
        <v/>
      </c>
      <c r="N3036" s="208">
        <f>IF($K3036=0,$J3036,(1-$M3036)*$I3036+$M3036*$J3036)</f>
        <v/>
      </c>
      <c r="O3036" s="209">
        <f>IF($F3036&lt;$B$2993,$E$2993+$I$2993*($F3036-$A$2993),IF($F3036&lt;$C$2993,$F$2993+$J$2993*($F3036-$B$2993),$G$2993+$K$2993*($F3036-$C$2993)))</f>
        <v/>
      </c>
      <c r="P3036" s="208">
        <f>MIN(1,MAX(0,(nr_MEndPm1-$G3036+0.5)/$C$2992))-MIN(1,MAX(0,(nr_MStartPm1-1-$G3036+0.5)/$C$2992))</f>
        <v/>
      </c>
      <c r="Q3036" s="208">
        <f>MIN(1,MAX(0,(nr_MEndP-$G3036+0.5)/$C$2992))-MIN(1,MAX(0,(nr_MStartP-1-$G3036+0.5)/$C$2992))</f>
        <v/>
      </c>
      <c r="R3036" s="208">
        <f>MIN(1,MAX(0,(nr_MEndP1-$G3036+0.5)/$C$2992))-MIN(1,MAX(0,(nr_MStartP1-1-$G3036+0.5)/$C$2992))</f>
        <v/>
      </c>
      <c r="S3036" s="208">
        <f>IF($L$2992,$N3036*IF($O$2992=1,$O3036/$F$2992,1),"")</f>
        <v/>
      </c>
      <c r="T3036" s="208">
        <f>IF(NOT($L$2992),"",IF($G3036&lt;nr_MStartP,$S3036,$T3024*(1+IF($G3036&lt;nr_MStartP1,$M$2992,$N$2992))))</f>
        <v/>
      </c>
      <c r="U3036" s="208">
        <f>IF($L$2992,$T3036,$N3036)</f>
        <v/>
      </c>
    </row>
    <row r="3037">
      <c r="A3037" s="145" t="n">
        <v>43</v>
      </c>
      <c r="B3037" s="204">
        <f>EDATE($B3036,1)</f>
        <v/>
      </c>
      <c r="C3037" s="205">
        <f>EOMONTH($B3037,0)</f>
        <v/>
      </c>
      <c r="D3037" s="201">
        <f>$C3037-$B3037+1</f>
        <v/>
      </c>
      <c r="E3037" s="201">
        <f>MONTH($B3037)</f>
        <v/>
      </c>
      <c r="F3037" s="235">
        <f>($B3037+$C3037+1)/2</f>
        <v/>
      </c>
      <c r="G3037" s="201">
        <f>YEAR($B3037)*12+MONTH($B3037)-1</f>
        <v/>
      </c>
      <c r="H3037" s="207">
        <f>IF(OR(nr_SeasonOn="OFF",$D$2992=0,$E$2992=0),1,12*INDEX(se_block,$D$2992,$E3037)/$E$2992)</f>
        <v/>
      </c>
      <c r="I3037" s="208">
        <f>EXP(SUMPRODUCT((rl_eff&lt;$B3037)*(rl_key=$A$2992)*rl_ln1p))</f>
        <v/>
      </c>
      <c r="J3037" s="208">
        <f>EXP(SUMPRODUCT((rl_eff&lt;=$C3037)*(rl_key=$A$2992)*rl_ln1p))</f>
        <v/>
      </c>
      <c r="K3037" s="201">
        <f>COUNTIFS(rl_key,$A$2992,rl_eff,"&gt;="&amp;$B3037,rl_eff,"&lt;="&amp;$C3037)</f>
        <v/>
      </c>
      <c r="L3037" s="201">
        <f>SUMIFS(rl_daysafter,rl_key,$A$2992,rl_effmonth,$B3037,rl_first,1)</f>
        <v/>
      </c>
      <c r="M3037" s="209">
        <f>IF($K3037=0,0,MIN(1,$L3037/$D3037))</f>
        <v/>
      </c>
      <c r="N3037" s="208">
        <f>IF($K3037=0,$J3037,(1-$M3037)*$I3037+$M3037*$J3037)</f>
        <v/>
      </c>
      <c r="O3037" s="209">
        <f>IF($F3037&lt;$B$2993,$E$2993+$I$2993*($F3037-$A$2993),IF($F3037&lt;$C$2993,$F$2993+$J$2993*($F3037-$B$2993),$G$2993+$K$2993*($F3037-$C$2993)))</f>
        <v/>
      </c>
      <c r="P3037" s="208">
        <f>MIN(1,MAX(0,(nr_MEndPm1-$G3037+0.5)/$C$2992))-MIN(1,MAX(0,(nr_MStartPm1-1-$G3037+0.5)/$C$2992))</f>
        <v/>
      </c>
      <c r="Q3037" s="208">
        <f>MIN(1,MAX(0,(nr_MEndP-$G3037+0.5)/$C$2992))-MIN(1,MAX(0,(nr_MStartP-1-$G3037+0.5)/$C$2992))</f>
        <v/>
      </c>
      <c r="R3037" s="208">
        <f>MIN(1,MAX(0,(nr_MEndP1-$G3037+0.5)/$C$2992))-MIN(1,MAX(0,(nr_MStartP1-1-$G3037+0.5)/$C$2992))</f>
        <v/>
      </c>
      <c r="S3037" s="208">
        <f>IF($L$2992,$N3037*IF($O$2992=1,$O3037/$F$2992,1),"")</f>
        <v/>
      </c>
      <c r="T3037" s="208">
        <f>IF(NOT($L$2992),"",IF($G3037&lt;nr_MStartP,$S3037,$T3025*(1+IF($G3037&lt;nr_MStartP1,$M$2992,$N$2992))))</f>
        <v/>
      </c>
      <c r="U3037" s="208">
        <f>IF($L$2992,$T3037,$N3037)</f>
        <v/>
      </c>
    </row>
    <row r="3038">
      <c r="A3038" s="145" t="n">
        <v>44</v>
      </c>
      <c r="B3038" s="204">
        <f>EDATE($B3037,1)</f>
        <v/>
      </c>
      <c r="C3038" s="205">
        <f>EOMONTH($B3038,0)</f>
        <v/>
      </c>
      <c r="D3038" s="201">
        <f>$C3038-$B3038+1</f>
        <v/>
      </c>
      <c r="E3038" s="201">
        <f>MONTH($B3038)</f>
        <v/>
      </c>
      <c r="F3038" s="235">
        <f>($B3038+$C3038+1)/2</f>
        <v/>
      </c>
      <c r="G3038" s="201">
        <f>YEAR($B3038)*12+MONTH($B3038)-1</f>
        <v/>
      </c>
      <c r="H3038" s="207">
        <f>IF(OR(nr_SeasonOn="OFF",$D$2992=0,$E$2992=0),1,12*INDEX(se_block,$D$2992,$E3038)/$E$2992)</f>
        <v/>
      </c>
      <c r="I3038" s="208">
        <f>EXP(SUMPRODUCT((rl_eff&lt;$B3038)*(rl_key=$A$2992)*rl_ln1p))</f>
        <v/>
      </c>
      <c r="J3038" s="208">
        <f>EXP(SUMPRODUCT((rl_eff&lt;=$C3038)*(rl_key=$A$2992)*rl_ln1p))</f>
        <v/>
      </c>
      <c r="K3038" s="201">
        <f>COUNTIFS(rl_key,$A$2992,rl_eff,"&gt;="&amp;$B3038,rl_eff,"&lt;="&amp;$C3038)</f>
        <v/>
      </c>
      <c r="L3038" s="201">
        <f>SUMIFS(rl_daysafter,rl_key,$A$2992,rl_effmonth,$B3038,rl_first,1)</f>
        <v/>
      </c>
      <c r="M3038" s="209">
        <f>IF($K3038=0,0,MIN(1,$L3038/$D3038))</f>
        <v/>
      </c>
      <c r="N3038" s="208">
        <f>IF($K3038=0,$J3038,(1-$M3038)*$I3038+$M3038*$J3038)</f>
        <v/>
      </c>
      <c r="O3038" s="209">
        <f>IF($F3038&lt;$B$2993,$E$2993+$I$2993*($F3038-$A$2993),IF($F3038&lt;$C$2993,$F$2993+$J$2993*($F3038-$B$2993),$G$2993+$K$2993*($F3038-$C$2993)))</f>
        <v/>
      </c>
      <c r="P3038" s="208">
        <f>MIN(1,MAX(0,(nr_MEndPm1-$G3038+0.5)/$C$2992))-MIN(1,MAX(0,(nr_MStartPm1-1-$G3038+0.5)/$C$2992))</f>
        <v/>
      </c>
      <c r="Q3038" s="208">
        <f>MIN(1,MAX(0,(nr_MEndP-$G3038+0.5)/$C$2992))-MIN(1,MAX(0,(nr_MStartP-1-$G3038+0.5)/$C$2992))</f>
        <v/>
      </c>
      <c r="R3038" s="208">
        <f>MIN(1,MAX(0,(nr_MEndP1-$G3038+0.5)/$C$2992))-MIN(1,MAX(0,(nr_MStartP1-1-$G3038+0.5)/$C$2992))</f>
        <v/>
      </c>
      <c r="S3038" s="208">
        <f>IF($L$2992,$N3038*IF($O$2992=1,$O3038/$F$2992,1),"")</f>
        <v/>
      </c>
      <c r="T3038" s="208">
        <f>IF(NOT($L$2992),"",IF($G3038&lt;nr_MStartP,$S3038,$T3026*(1+IF($G3038&lt;nr_MStartP1,$M$2992,$N$2992))))</f>
        <v/>
      </c>
      <c r="U3038" s="208">
        <f>IF($L$2992,$T3038,$N3038)</f>
        <v/>
      </c>
    </row>
    <row r="3039">
      <c r="A3039" s="145" t="n">
        <v>45</v>
      </c>
      <c r="B3039" s="204">
        <f>EDATE($B3038,1)</f>
        <v/>
      </c>
      <c r="C3039" s="205">
        <f>EOMONTH($B3039,0)</f>
        <v/>
      </c>
      <c r="D3039" s="201">
        <f>$C3039-$B3039+1</f>
        <v/>
      </c>
      <c r="E3039" s="201">
        <f>MONTH($B3039)</f>
        <v/>
      </c>
      <c r="F3039" s="235">
        <f>($B3039+$C3039+1)/2</f>
        <v/>
      </c>
      <c r="G3039" s="201">
        <f>YEAR($B3039)*12+MONTH($B3039)-1</f>
        <v/>
      </c>
      <c r="H3039" s="207">
        <f>IF(OR(nr_SeasonOn="OFF",$D$2992=0,$E$2992=0),1,12*INDEX(se_block,$D$2992,$E3039)/$E$2992)</f>
        <v/>
      </c>
      <c r="I3039" s="208">
        <f>EXP(SUMPRODUCT((rl_eff&lt;$B3039)*(rl_key=$A$2992)*rl_ln1p))</f>
        <v/>
      </c>
      <c r="J3039" s="208">
        <f>EXP(SUMPRODUCT((rl_eff&lt;=$C3039)*(rl_key=$A$2992)*rl_ln1p))</f>
        <v/>
      </c>
      <c r="K3039" s="201">
        <f>COUNTIFS(rl_key,$A$2992,rl_eff,"&gt;="&amp;$B3039,rl_eff,"&lt;="&amp;$C3039)</f>
        <v/>
      </c>
      <c r="L3039" s="201">
        <f>SUMIFS(rl_daysafter,rl_key,$A$2992,rl_effmonth,$B3039,rl_first,1)</f>
        <v/>
      </c>
      <c r="M3039" s="209">
        <f>IF($K3039=0,0,MIN(1,$L3039/$D3039))</f>
        <v/>
      </c>
      <c r="N3039" s="208">
        <f>IF($K3039=0,$J3039,(1-$M3039)*$I3039+$M3039*$J3039)</f>
        <v/>
      </c>
      <c r="O3039" s="209">
        <f>IF($F3039&lt;$B$2993,$E$2993+$I$2993*($F3039-$A$2993),IF($F3039&lt;$C$2993,$F$2993+$J$2993*($F3039-$B$2993),$G$2993+$K$2993*($F3039-$C$2993)))</f>
        <v/>
      </c>
      <c r="P3039" s="208">
        <f>MIN(1,MAX(0,(nr_MEndPm1-$G3039+0.5)/$C$2992))-MIN(1,MAX(0,(nr_MStartPm1-1-$G3039+0.5)/$C$2992))</f>
        <v/>
      </c>
      <c r="Q3039" s="208">
        <f>MIN(1,MAX(0,(nr_MEndP-$G3039+0.5)/$C$2992))-MIN(1,MAX(0,(nr_MStartP-1-$G3039+0.5)/$C$2992))</f>
        <v/>
      </c>
      <c r="R3039" s="208">
        <f>MIN(1,MAX(0,(nr_MEndP1-$G3039+0.5)/$C$2992))-MIN(1,MAX(0,(nr_MStartP1-1-$G3039+0.5)/$C$2992))</f>
        <v/>
      </c>
      <c r="S3039" s="208">
        <f>IF($L$2992,$N3039*IF($O$2992=1,$O3039/$F$2992,1),"")</f>
        <v/>
      </c>
      <c r="T3039" s="208">
        <f>IF(NOT($L$2992),"",IF($G3039&lt;nr_MStartP,$S3039,$T3027*(1+IF($G3039&lt;nr_MStartP1,$M$2992,$N$2992))))</f>
        <v/>
      </c>
      <c r="U3039" s="208">
        <f>IF($L$2992,$T3039,$N3039)</f>
        <v/>
      </c>
    </row>
    <row r="3040">
      <c r="A3040" s="145" t="n">
        <v>46</v>
      </c>
      <c r="B3040" s="204">
        <f>EDATE($B3039,1)</f>
        <v/>
      </c>
      <c r="C3040" s="205">
        <f>EOMONTH($B3040,0)</f>
        <v/>
      </c>
      <c r="D3040" s="201">
        <f>$C3040-$B3040+1</f>
        <v/>
      </c>
      <c r="E3040" s="201">
        <f>MONTH($B3040)</f>
        <v/>
      </c>
      <c r="F3040" s="235">
        <f>($B3040+$C3040+1)/2</f>
        <v/>
      </c>
      <c r="G3040" s="201">
        <f>YEAR($B3040)*12+MONTH($B3040)-1</f>
        <v/>
      </c>
      <c r="H3040" s="207">
        <f>IF(OR(nr_SeasonOn="OFF",$D$2992=0,$E$2992=0),1,12*INDEX(se_block,$D$2992,$E3040)/$E$2992)</f>
        <v/>
      </c>
      <c r="I3040" s="208">
        <f>EXP(SUMPRODUCT((rl_eff&lt;$B3040)*(rl_key=$A$2992)*rl_ln1p))</f>
        <v/>
      </c>
      <c r="J3040" s="208">
        <f>EXP(SUMPRODUCT((rl_eff&lt;=$C3040)*(rl_key=$A$2992)*rl_ln1p))</f>
        <v/>
      </c>
      <c r="K3040" s="201">
        <f>COUNTIFS(rl_key,$A$2992,rl_eff,"&gt;="&amp;$B3040,rl_eff,"&lt;="&amp;$C3040)</f>
        <v/>
      </c>
      <c r="L3040" s="201">
        <f>SUMIFS(rl_daysafter,rl_key,$A$2992,rl_effmonth,$B3040,rl_first,1)</f>
        <v/>
      </c>
      <c r="M3040" s="209">
        <f>IF($K3040=0,0,MIN(1,$L3040/$D3040))</f>
        <v/>
      </c>
      <c r="N3040" s="208">
        <f>IF($K3040=0,$J3040,(1-$M3040)*$I3040+$M3040*$J3040)</f>
        <v/>
      </c>
      <c r="O3040" s="209">
        <f>IF($F3040&lt;$B$2993,$E$2993+$I$2993*($F3040-$A$2993),IF($F3040&lt;$C$2993,$F$2993+$J$2993*($F3040-$B$2993),$G$2993+$K$2993*($F3040-$C$2993)))</f>
        <v/>
      </c>
      <c r="P3040" s="208">
        <f>MIN(1,MAX(0,(nr_MEndPm1-$G3040+0.5)/$C$2992))-MIN(1,MAX(0,(nr_MStartPm1-1-$G3040+0.5)/$C$2992))</f>
        <v/>
      </c>
      <c r="Q3040" s="208">
        <f>MIN(1,MAX(0,(nr_MEndP-$G3040+0.5)/$C$2992))-MIN(1,MAX(0,(nr_MStartP-1-$G3040+0.5)/$C$2992))</f>
        <v/>
      </c>
      <c r="R3040" s="208">
        <f>MIN(1,MAX(0,(nr_MEndP1-$G3040+0.5)/$C$2992))-MIN(1,MAX(0,(nr_MStartP1-1-$G3040+0.5)/$C$2992))</f>
        <v/>
      </c>
      <c r="S3040" s="208">
        <f>IF($L$2992,$N3040*IF($O$2992=1,$O3040/$F$2992,1),"")</f>
        <v/>
      </c>
      <c r="T3040" s="208">
        <f>IF(NOT($L$2992),"",IF($G3040&lt;nr_MStartP,$S3040,$T3028*(1+IF($G3040&lt;nr_MStartP1,$M$2992,$N$2992))))</f>
        <v/>
      </c>
      <c r="U3040" s="208">
        <f>IF($L$2992,$T3040,$N3040)</f>
        <v/>
      </c>
    </row>
    <row r="3041">
      <c r="A3041" s="145" t="n">
        <v>47</v>
      </c>
      <c r="B3041" s="204">
        <f>EDATE($B3040,1)</f>
        <v/>
      </c>
      <c r="C3041" s="205">
        <f>EOMONTH($B3041,0)</f>
        <v/>
      </c>
      <c r="D3041" s="201">
        <f>$C3041-$B3041+1</f>
        <v/>
      </c>
      <c r="E3041" s="201">
        <f>MONTH($B3041)</f>
        <v/>
      </c>
      <c r="F3041" s="235">
        <f>($B3041+$C3041+1)/2</f>
        <v/>
      </c>
      <c r="G3041" s="201">
        <f>YEAR($B3041)*12+MONTH($B3041)-1</f>
        <v/>
      </c>
      <c r="H3041" s="207">
        <f>IF(OR(nr_SeasonOn="OFF",$D$2992=0,$E$2992=0),1,12*INDEX(se_block,$D$2992,$E3041)/$E$2992)</f>
        <v/>
      </c>
      <c r="I3041" s="208">
        <f>EXP(SUMPRODUCT((rl_eff&lt;$B3041)*(rl_key=$A$2992)*rl_ln1p))</f>
        <v/>
      </c>
      <c r="J3041" s="208">
        <f>EXP(SUMPRODUCT((rl_eff&lt;=$C3041)*(rl_key=$A$2992)*rl_ln1p))</f>
        <v/>
      </c>
      <c r="K3041" s="201">
        <f>COUNTIFS(rl_key,$A$2992,rl_eff,"&gt;="&amp;$B3041,rl_eff,"&lt;="&amp;$C3041)</f>
        <v/>
      </c>
      <c r="L3041" s="201">
        <f>SUMIFS(rl_daysafter,rl_key,$A$2992,rl_effmonth,$B3041,rl_first,1)</f>
        <v/>
      </c>
      <c r="M3041" s="209">
        <f>IF($K3041=0,0,MIN(1,$L3041/$D3041))</f>
        <v/>
      </c>
      <c r="N3041" s="208">
        <f>IF($K3041=0,$J3041,(1-$M3041)*$I3041+$M3041*$J3041)</f>
        <v/>
      </c>
      <c r="O3041" s="209">
        <f>IF($F3041&lt;$B$2993,$E$2993+$I$2993*($F3041-$A$2993),IF($F3041&lt;$C$2993,$F$2993+$J$2993*($F3041-$B$2993),$G$2993+$K$2993*($F3041-$C$2993)))</f>
        <v/>
      </c>
      <c r="P3041" s="208">
        <f>MIN(1,MAX(0,(nr_MEndPm1-$G3041+0.5)/$C$2992))-MIN(1,MAX(0,(nr_MStartPm1-1-$G3041+0.5)/$C$2992))</f>
        <v/>
      </c>
      <c r="Q3041" s="208">
        <f>MIN(1,MAX(0,(nr_MEndP-$G3041+0.5)/$C$2992))-MIN(1,MAX(0,(nr_MStartP-1-$G3041+0.5)/$C$2992))</f>
        <v/>
      </c>
      <c r="R3041" s="208">
        <f>MIN(1,MAX(0,(nr_MEndP1-$G3041+0.5)/$C$2992))-MIN(1,MAX(0,(nr_MStartP1-1-$G3041+0.5)/$C$2992))</f>
        <v/>
      </c>
      <c r="S3041" s="208">
        <f>IF($L$2992,$N3041*IF($O$2992=1,$O3041/$F$2992,1),"")</f>
        <v/>
      </c>
      <c r="T3041" s="208">
        <f>IF(NOT($L$2992),"",IF($G3041&lt;nr_MStartP,$S3041,$T3029*(1+IF($G3041&lt;nr_MStartP1,$M$2992,$N$2992))))</f>
        <v/>
      </c>
      <c r="U3041" s="208">
        <f>IF($L$2992,$T3041,$N3041)</f>
        <v/>
      </c>
    </row>
    <row r="3042">
      <c r="A3042" s="145" t="n">
        <v>48</v>
      </c>
      <c r="B3042" s="204">
        <f>EDATE($B3041,1)</f>
        <v/>
      </c>
      <c r="C3042" s="205">
        <f>EOMONTH($B3042,0)</f>
        <v/>
      </c>
      <c r="D3042" s="201">
        <f>$C3042-$B3042+1</f>
        <v/>
      </c>
      <c r="E3042" s="201">
        <f>MONTH($B3042)</f>
        <v/>
      </c>
      <c r="F3042" s="235">
        <f>($B3042+$C3042+1)/2</f>
        <v/>
      </c>
      <c r="G3042" s="201">
        <f>YEAR($B3042)*12+MONTH($B3042)-1</f>
        <v/>
      </c>
      <c r="H3042" s="207">
        <f>IF(OR(nr_SeasonOn="OFF",$D$2992=0,$E$2992=0),1,12*INDEX(se_block,$D$2992,$E3042)/$E$2992)</f>
        <v/>
      </c>
      <c r="I3042" s="208">
        <f>EXP(SUMPRODUCT((rl_eff&lt;$B3042)*(rl_key=$A$2992)*rl_ln1p))</f>
        <v/>
      </c>
      <c r="J3042" s="208">
        <f>EXP(SUMPRODUCT((rl_eff&lt;=$C3042)*(rl_key=$A$2992)*rl_ln1p))</f>
        <v/>
      </c>
      <c r="K3042" s="201">
        <f>COUNTIFS(rl_key,$A$2992,rl_eff,"&gt;="&amp;$B3042,rl_eff,"&lt;="&amp;$C3042)</f>
        <v/>
      </c>
      <c r="L3042" s="201">
        <f>SUMIFS(rl_daysafter,rl_key,$A$2992,rl_effmonth,$B3042,rl_first,1)</f>
        <v/>
      </c>
      <c r="M3042" s="209">
        <f>IF($K3042=0,0,MIN(1,$L3042/$D3042))</f>
        <v/>
      </c>
      <c r="N3042" s="208">
        <f>IF($K3042=0,$J3042,(1-$M3042)*$I3042+$M3042*$J3042)</f>
        <v/>
      </c>
      <c r="O3042" s="209">
        <f>IF($F3042&lt;$B$2993,$E$2993+$I$2993*($F3042-$A$2993),IF($F3042&lt;$C$2993,$F$2993+$J$2993*($F3042-$B$2993),$G$2993+$K$2993*($F3042-$C$2993)))</f>
        <v/>
      </c>
      <c r="P3042" s="208">
        <f>MIN(1,MAX(0,(nr_MEndPm1-$G3042+0.5)/$C$2992))-MIN(1,MAX(0,(nr_MStartPm1-1-$G3042+0.5)/$C$2992))</f>
        <v/>
      </c>
      <c r="Q3042" s="208">
        <f>MIN(1,MAX(0,(nr_MEndP-$G3042+0.5)/$C$2992))-MIN(1,MAX(0,(nr_MStartP-1-$G3042+0.5)/$C$2992))</f>
        <v/>
      </c>
      <c r="R3042" s="208">
        <f>MIN(1,MAX(0,(nr_MEndP1-$G3042+0.5)/$C$2992))-MIN(1,MAX(0,(nr_MStartP1-1-$G3042+0.5)/$C$2992))</f>
        <v/>
      </c>
      <c r="S3042" s="208">
        <f>IF($L$2992,$N3042*IF($O$2992=1,$O3042/$F$2992,1),"")</f>
        <v/>
      </c>
      <c r="T3042" s="208">
        <f>IF(NOT($L$2992),"",IF($G3042&lt;nr_MStartP,$S3042,$T3030*(1+IF($G3042&lt;nr_MStartP1,$M$2992,$N$2992))))</f>
        <v/>
      </c>
      <c r="U3042" s="208">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184">
        <f>SUMPRODUCT($H$2995:$H$3042,$Q$2995:$Q$3042,$O$2995:$O$3042)/SUMPRODUCT($H$2995:$H$3042,$Q$2995:$Q$3042)</f>
        <v/>
      </c>
      <c r="G3043" s="184">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184">
        <f>IF(N(INDEX(lr_mind,56))=0,1,INDEX(lr_mind,56))</f>
        <v/>
      </c>
      <c r="G3046" s="184">
        <f>IF(N(INDEX(lr_m0,56))=0,1,INDEX(lr_m0,56))</f>
        <v/>
      </c>
      <c r="H3046" s="73">
        <f>IF(N(INDEX(lr_m0asof,56))=0,DATE(nr_PlanYear-1,10,1),INDEX(lr_m0asof,56))</f>
        <v/>
      </c>
      <c r="I3046" s="184">
        <f>IF(N(INDEX(lr_m1,56))=0,1,INDEX(lr_m1,56))</f>
        <v/>
      </c>
      <c r="J3046" s="184">
        <f>INDEX(lr_mprior,56)</f>
        <v/>
      </c>
      <c r="K3046" s="184">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145" t="n">
        <v>1</v>
      </c>
      <c r="B3049" s="204">
        <f>DATE(nr_PlanYear-2,1,1)</f>
        <v/>
      </c>
      <c r="C3049" s="205">
        <f>EOMONTH($B3049,0)</f>
        <v/>
      </c>
      <c r="D3049" s="201">
        <f>$C3049-$B3049+1</f>
        <v/>
      </c>
      <c r="E3049" s="201">
        <f>MONTH($B3049)</f>
        <v/>
      </c>
      <c r="F3049" s="235">
        <f>($B3049+$C3049+1)/2</f>
        <v/>
      </c>
      <c r="G3049" s="201">
        <f>YEAR($B3049)*12+MONTH($B3049)-1</f>
        <v/>
      </c>
      <c r="H3049" s="207">
        <f>IF(OR(nr_SeasonOn="OFF",$D$3046=0,$E$3046=0),1,12*INDEX(se_block,$D$3046,$E3049)/$E$3046)</f>
        <v/>
      </c>
      <c r="I3049" s="208">
        <f>EXP(SUMPRODUCT((rl_eff&lt;$B3049)*(rl_key=$A$3046)*rl_ln1p))</f>
        <v/>
      </c>
      <c r="J3049" s="208">
        <f>EXP(SUMPRODUCT((rl_eff&lt;=$C3049)*(rl_key=$A$3046)*rl_ln1p))</f>
        <v/>
      </c>
      <c r="K3049" s="201">
        <f>COUNTIFS(rl_key,$A$3046,rl_eff,"&gt;="&amp;$B3049,rl_eff,"&lt;="&amp;$C3049)</f>
        <v/>
      </c>
      <c r="L3049" s="201">
        <f>SUMIFS(rl_daysafter,rl_key,$A$3046,rl_effmonth,$B3049,rl_first,1)</f>
        <v/>
      </c>
      <c r="M3049" s="209">
        <f>IF($K3049=0,0,MIN(1,$L3049/$D3049))</f>
        <v/>
      </c>
      <c r="N3049" s="208">
        <f>IF($K3049=0,$J3049,(1-$M3049)*$I3049+$M3049*$J3049)</f>
        <v/>
      </c>
      <c r="O3049" s="209">
        <f>IF($F3049&lt;$B$3047,$E$3047+$I$3047*($F3049-$A$3047),IF($F3049&lt;$C$3047,$F$3047+$J$3047*($F3049-$B$3047),$G$3047+$K$3047*($F3049-$C$3047)))</f>
        <v/>
      </c>
      <c r="P3049" s="208">
        <f>MIN(1,MAX(0,(nr_MEndPm1-$G3049+0.5)/$C$3046))-MIN(1,MAX(0,(nr_MStartPm1-1-$G3049+0.5)/$C$3046))</f>
        <v/>
      </c>
      <c r="Q3049" s="208">
        <f>MIN(1,MAX(0,(nr_MEndP-$G3049+0.5)/$C$3046))-MIN(1,MAX(0,(nr_MStartP-1-$G3049+0.5)/$C$3046))</f>
        <v/>
      </c>
      <c r="R3049" s="208">
        <f>MIN(1,MAX(0,(nr_MEndP1-$G3049+0.5)/$C$3046))-MIN(1,MAX(0,(nr_MStartP1-1-$G3049+0.5)/$C$3046))</f>
        <v/>
      </c>
      <c r="S3049" s="208">
        <f>IF($L$3046,$N3049*IF($O$3046=1,$O3049/$F$3046,1),"")</f>
        <v/>
      </c>
      <c r="T3049" s="208">
        <f>IF(NOT($L$3046),"",IF($G3049&lt;nr_MStartP,$S3049,$T3037*(1+IF($G3049&lt;nr_MStartP1,$M$3046,$N$3046))))</f>
        <v/>
      </c>
      <c r="U3049" s="208">
        <f>IF($L$3046,$T3049,$N3049)</f>
        <v/>
      </c>
    </row>
    <row r="3050">
      <c r="A3050" s="145" t="n">
        <v>2</v>
      </c>
      <c r="B3050" s="204">
        <f>EDATE($B3049,1)</f>
        <v/>
      </c>
      <c r="C3050" s="205">
        <f>EOMONTH($B3050,0)</f>
        <v/>
      </c>
      <c r="D3050" s="201">
        <f>$C3050-$B3050+1</f>
        <v/>
      </c>
      <c r="E3050" s="201">
        <f>MONTH($B3050)</f>
        <v/>
      </c>
      <c r="F3050" s="235">
        <f>($B3050+$C3050+1)/2</f>
        <v/>
      </c>
      <c r="G3050" s="201">
        <f>YEAR($B3050)*12+MONTH($B3050)-1</f>
        <v/>
      </c>
      <c r="H3050" s="207">
        <f>IF(OR(nr_SeasonOn="OFF",$D$3046=0,$E$3046=0),1,12*INDEX(se_block,$D$3046,$E3050)/$E$3046)</f>
        <v/>
      </c>
      <c r="I3050" s="208">
        <f>EXP(SUMPRODUCT((rl_eff&lt;$B3050)*(rl_key=$A$3046)*rl_ln1p))</f>
        <v/>
      </c>
      <c r="J3050" s="208">
        <f>EXP(SUMPRODUCT((rl_eff&lt;=$C3050)*(rl_key=$A$3046)*rl_ln1p))</f>
        <v/>
      </c>
      <c r="K3050" s="201">
        <f>COUNTIFS(rl_key,$A$3046,rl_eff,"&gt;="&amp;$B3050,rl_eff,"&lt;="&amp;$C3050)</f>
        <v/>
      </c>
      <c r="L3050" s="201">
        <f>SUMIFS(rl_daysafter,rl_key,$A$3046,rl_effmonth,$B3050,rl_first,1)</f>
        <v/>
      </c>
      <c r="M3050" s="209">
        <f>IF($K3050=0,0,MIN(1,$L3050/$D3050))</f>
        <v/>
      </c>
      <c r="N3050" s="208">
        <f>IF($K3050=0,$J3050,(1-$M3050)*$I3050+$M3050*$J3050)</f>
        <v/>
      </c>
      <c r="O3050" s="209">
        <f>IF($F3050&lt;$B$3047,$E$3047+$I$3047*($F3050-$A$3047),IF($F3050&lt;$C$3047,$F$3047+$J$3047*($F3050-$B$3047),$G$3047+$K$3047*($F3050-$C$3047)))</f>
        <v/>
      </c>
      <c r="P3050" s="208">
        <f>MIN(1,MAX(0,(nr_MEndPm1-$G3050+0.5)/$C$3046))-MIN(1,MAX(0,(nr_MStartPm1-1-$G3050+0.5)/$C$3046))</f>
        <v/>
      </c>
      <c r="Q3050" s="208">
        <f>MIN(1,MAX(0,(nr_MEndP-$G3050+0.5)/$C$3046))-MIN(1,MAX(0,(nr_MStartP-1-$G3050+0.5)/$C$3046))</f>
        <v/>
      </c>
      <c r="R3050" s="208">
        <f>MIN(1,MAX(0,(nr_MEndP1-$G3050+0.5)/$C$3046))-MIN(1,MAX(0,(nr_MStartP1-1-$G3050+0.5)/$C$3046))</f>
        <v/>
      </c>
      <c r="S3050" s="208">
        <f>IF($L$3046,$N3050*IF($O$3046=1,$O3050/$F$3046,1),"")</f>
        <v/>
      </c>
      <c r="T3050" s="208">
        <f>IF(NOT($L$3046),"",IF($G3050&lt;nr_MStartP,$S3050,$T3038*(1+IF($G3050&lt;nr_MStartP1,$M$3046,$N$3046))))</f>
        <v/>
      </c>
      <c r="U3050" s="208">
        <f>IF($L$3046,$T3050,$N3050)</f>
        <v/>
      </c>
    </row>
    <row r="3051">
      <c r="A3051" s="145" t="n">
        <v>3</v>
      </c>
      <c r="B3051" s="204">
        <f>EDATE($B3050,1)</f>
        <v/>
      </c>
      <c r="C3051" s="205">
        <f>EOMONTH($B3051,0)</f>
        <v/>
      </c>
      <c r="D3051" s="201">
        <f>$C3051-$B3051+1</f>
        <v/>
      </c>
      <c r="E3051" s="201">
        <f>MONTH($B3051)</f>
        <v/>
      </c>
      <c r="F3051" s="235">
        <f>($B3051+$C3051+1)/2</f>
        <v/>
      </c>
      <c r="G3051" s="201">
        <f>YEAR($B3051)*12+MONTH($B3051)-1</f>
        <v/>
      </c>
      <c r="H3051" s="207">
        <f>IF(OR(nr_SeasonOn="OFF",$D$3046=0,$E$3046=0),1,12*INDEX(se_block,$D$3046,$E3051)/$E$3046)</f>
        <v/>
      </c>
      <c r="I3051" s="208">
        <f>EXP(SUMPRODUCT((rl_eff&lt;$B3051)*(rl_key=$A$3046)*rl_ln1p))</f>
        <v/>
      </c>
      <c r="J3051" s="208">
        <f>EXP(SUMPRODUCT((rl_eff&lt;=$C3051)*(rl_key=$A$3046)*rl_ln1p))</f>
        <v/>
      </c>
      <c r="K3051" s="201">
        <f>COUNTIFS(rl_key,$A$3046,rl_eff,"&gt;="&amp;$B3051,rl_eff,"&lt;="&amp;$C3051)</f>
        <v/>
      </c>
      <c r="L3051" s="201">
        <f>SUMIFS(rl_daysafter,rl_key,$A$3046,rl_effmonth,$B3051,rl_first,1)</f>
        <v/>
      </c>
      <c r="M3051" s="209">
        <f>IF($K3051=0,0,MIN(1,$L3051/$D3051))</f>
        <v/>
      </c>
      <c r="N3051" s="208">
        <f>IF($K3051=0,$J3051,(1-$M3051)*$I3051+$M3051*$J3051)</f>
        <v/>
      </c>
      <c r="O3051" s="209">
        <f>IF($F3051&lt;$B$3047,$E$3047+$I$3047*($F3051-$A$3047),IF($F3051&lt;$C$3047,$F$3047+$J$3047*($F3051-$B$3047),$G$3047+$K$3047*($F3051-$C$3047)))</f>
        <v/>
      </c>
      <c r="P3051" s="208">
        <f>MIN(1,MAX(0,(nr_MEndPm1-$G3051+0.5)/$C$3046))-MIN(1,MAX(0,(nr_MStartPm1-1-$G3051+0.5)/$C$3046))</f>
        <v/>
      </c>
      <c r="Q3051" s="208">
        <f>MIN(1,MAX(0,(nr_MEndP-$G3051+0.5)/$C$3046))-MIN(1,MAX(0,(nr_MStartP-1-$G3051+0.5)/$C$3046))</f>
        <v/>
      </c>
      <c r="R3051" s="208">
        <f>MIN(1,MAX(0,(nr_MEndP1-$G3051+0.5)/$C$3046))-MIN(1,MAX(0,(nr_MStartP1-1-$G3051+0.5)/$C$3046))</f>
        <v/>
      </c>
      <c r="S3051" s="208">
        <f>IF($L$3046,$N3051*IF($O$3046=1,$O3051/$F$3046,1),"")</f>
        <v/>
      </c>
      <c r="T3051" s="208">
        <f>IF(NOT($L$3046),"",IF($G3051&lt;nr_MStartP,$S3051,$T3039*(1+IF($G3051&lt;nr_MStartP1,$M$3046,$N$3046))))</f>
        <v/>
      </c>
      <c r="U3051" s="208">
        <f>IF($L$3046,$T3051,$N3051)</f>
        <v/>
      </c>
    </row>
    <row r="3052">
      <c r="A3052" s="145" t="n">
        <v>4</v>
      </c>
      <c r="B3052" s="204">
        <f>EDATE($B3051,1)</f>
        <v/>
      </c>
      <c r="C3052" s="205">
        <f>EOMONTH($B3052,0)</f>
        <v/>
      </c>
      <c r="D3052" s="201">
        <f>$C3052-$B3052+1</f>
        <v/>
      </c>
      <c r="E3052" s="201">
        <f>MONTH($B3052)</f>
        <v/>
      </c>
      <c r="F3052" s="235">
        <f>($B3052+$C3052+1)/2</f>
        <v/>
      </c>
      <c r="G3052" s="201">
        <f>YEAR($B3052)*12+MONTH($B3052)-1</f>
        <v/>
      </c>
      <c r="H3052" s="207">
        <f>IF(OR(nr_SeasonOn="OFF",$D$3046=0,$E$3046=0),1,12*INDEX(se_block,$D$3046,$E3052)/$E$3046)</f>
        <v/>
      </c>
      <c r="I3052" s="208">
        <f>EXP(SUMPRODUCT((rl_eff&lt;$B3052)*(rl_key=$A$3046)*rl_ln1p))</f>
        <v/>
      </c>
      <c r="J3052" s="208">
        <f>EXP(SUMPRODUCT((rl_eff&lt;=$C3052)*(rl_key=$A$3046)*rl_ln1p))</f>
        <v/>
      </c>
      <c r="K3052" s="201">
        <f>COUNTIFS(rl_key,$A$3046,rl_eff,"&gt;="&amp;$B3052,rl_eff,"&lt;="&amp;$C3052)</f>
        <v/>
      </c>
      <c r="L3052" s="201">
        <f>SUMIFS(rl_daysafter,rl_key,$A$3046,rl_effmonth,$B3052,rl_first,1)</f>
        <v/>
      </c>
      <c r="M3052" s="209">
        <f>IF($K3052=0,0,MIN(1,$L3052/$D3052))</f>
        <v/>
      </c>
      <c r="N3052" s="208">
        <f>IF($K3052=0,$J3052,(1-$M3052)*$I3052+$M3052*$J3052)</f>
        <v/>
      </c>
      <c r="O3052" s="209">
        <f>IF($F3052&lt;$B$3047,$E$3047+$I$3047*($F3052-$A$3047),IF($F3052&lt;$C$3047,$F$3047+$J$3047*($F3052-$B$3047),$G$3047+$K$3047*($F3052-$C$3047)))</f>
        <v/>
      </c>
      <c r="P3052" s="208">
        <f>MIN(1,MAX(0,(nr_MEndPm1-$G3052+0.5)/$C$3046))-MIN(1,MAX(0,(nr_MStartPm1-1-$G3052+0.5)/$C$3046))</f>
        <v/>
      </c>
      <c r="Q3052" s="208">
        <f>MIN(1,MAX(0,(nr_MEndP-$G3052+0.5)/$C$3046))-MIN(1,MAX(0,(nr_MStartP-1-$G3052+0.5)/$C$3046))</f>
        <v/>
      </c>
      <c r="R3052" s="208">
        <f>MIN(1,MAX(0,(nr_MEndP1-$G3052+0.5)/$C$3046))-MIN(1,MAX(0,(nr_MStartP1-1-$G3052+0.5)/$C$3046))</f>
        <v/>
      </c>
      <c r="S3052" s="208">
        <f>IF($L$3046,$N3052*IF($O$3046=1,$O3052/$F$3046,1),"")</f>
        <v/>
      </c>
      <c r="T3052" s="208">
        <f>IF(NOT($L$3046),"",IF($G3052&lt;nr_MStartP,$S3052,$T3040*(1+IF($G3052&lt;nr_MStartP1,$M$3046,$N$3046))))</f>
        <v/>
      </c>
      <c r="U3052" s="208">
        <f>IF($L$3046,$T3052,$N3052)</f>
        <v/>
      </c>
    </row>
    <row r="3053">
      <c r="A3053" s="145" t="n">
        <v>5</v>
      </c>
      <c r="B3053" s="204">
        <f>EDATE($B3052,1)</f>
        <v/>
      </c>
      <c r="C3053" s="205">
        <f>EOMONTH($B3053,0)</f>
        <v/>
      </c>
      <c r="D3053" s="201">
        <f>$C3053-$B3053+1</f>
        <v/>
      </c>
      <c r="E3053" s="201">
        <f>MONTH($B3053)</f>
        <v/>
      </c>
      <c r="F3053" s="235">
        <f>($B3053+$C3053+1)/2</f>
        <v/>
      </c>
      <c r="G3053" s="201">
        <f>YEAR($B3053)*12+MONTH($B3053)-1</f>
        <v/>
      </c>
      <c r="H3053" s="207">
        <f>IF(OR(nr_SeasonOn="OFF",$D$3046=0,$E$3046=0),1,12*INDEX(se_block,$D$3046,$E3053)/$E$3046)</f>
        <v/>
      </c>
      <c r="I3053" s="208">
        <f>EXP(SUMPRODUCT((rl_eff&lt;$B3053)*(rl_key=$A$3046)*rl_ln1p))</f>
        <v/>
      </c>
      <c r="J3053" s="208">
        <f>EXP(SUMPRODUCT((rl_eff&lt;=$C3053)*(rl_key=$A$3046)*rl_ln1p))</f>
        <v/>
      </c>
      <c r="K3053" s="201">
        <f>COUNTIFS(rl_key,$A$3046,rl_eff,"&gt;="&amp;$B3053,rl_eff,"&lt;="&amp;$C3053)</f>
        <v/>
      </c>
      <c r="L3053" s="201">
        <f>SUMIFS(rl_daysafter,rl_key,$A$3046,rl_effmonth,$B3053,rl_first,1)</f>
        <v/>
      </c>
      <c r="M3053" s="209">
        <f>IF($K3053=0,0,MIN(1,$L3053/$D3053))</f>
        <v/>
      </c>
      <c r="N3053" s="208">
        <f>IF($K3053=0,$J3053,(1-$M3053)*$I3053+$M3053*$J3053)</f>
        <v/>
      </c>
      <c r="O3053" s="209">
        <f>IF($F3053&lt;$B$3047,$E$3047+$I$3047*($F3053-$A$3047),IF($F3053&lt;$C$3047,$F$3047+$J$3047*($F3053-$B$3047),$G$3047+$K$3047*($F3053-$C$3047)))</f>
        <v/>
      </c>
      <c r="P3053" s="208">
        <f>MIN(1,MAX(0,(nr_MEndPm1-$G3053+0.5)/$C$3046))-MIN(1,MAX(0,(nr_MStartPm1-1-$G3053+0.5)/$C$3046))</f>
        <v/>
      </c>
      <c r="Q3053" s="208">
        <f>MIN(1,MAX(0,(nr_MEndP-$G3053+0.5)/$C$3046))-MIN(1,MAX(0,(nr_MStartP-1-$G3053+0.5)/$C$3046))</f>
        <v/>
      </c>
      <c r="R3053" s="208">
        <f>MIN(1,MAX(0,(nr_MEndP1-$G3053+0.5)/$C$3046))-MIN(1,MAX(0,(nr_MStartP1-1-$G3053+0.5)/$C$3046))</f>
        <v/>
      </c>
      <c r="S3053" s="208">
        <f>IF($L$3046,$N3053*IF($O$3046=1,$O3053/$F$3046,1),"")</f>
        <v/>
      </c>
      <c r="T3053" s="208">
        <f>IF(NOT($L$3046),"",IF($G3053&lt;nr_MStartP,$S3053,$T3041*(1+IF($G3053&lt;nr_MStartP1,$M$3046,$N$3046))))</f>
        <v/>
      </c>
      <c r="U3053" s="208">
        <f>IF($L$3046,$T3053,$N3053)</f>
        <v/>
      </c>
    </row>
    <row r="3054">
      <c r="A3054" s="145" t="n">
        <v>6</v>
      </c>
      <c r="B3054" s="204">
        <f>EDATE($B3053,1)</f>
        <v/>
      </c>
      <c r="C3054" s="205">
        <f>EOMONTH($B3054,0)</f>
        <v/>
      </c>
      <c r="D3054" s="201">
        <f>$C3054-$B3054+1</f>
        <v/>
      </c>
      <c r="E3054" s="201">
        <f>MONTH($B3054)</f>
        <v/>
      </c>
      <c r="F3054" s="235">
        <f>($B3054+$C3054+1)/2</f>
        <v/>
      </c>
      <c r="G3054" s="201">
        <f>YEAR($B3054)*12+MONTH($B3054)-1</f>
        <v/>
      </c>
      <c r="H3054" s="207">
        <f>IF(OR(nr_SeasonOn="OFF",$D$3046=0,$E$3046=0),1,12*INDEX(se_block,$D$3046,$E3054)/$E$3046)</f>
        <v/>
      </c>
      <c r="I3054" s="208">
        <f>EXP(SUMPRODUCT((rl_eff&lt;$B3054)*(rl_key=$A$3046)*rl_ln1p))</f>
        <v/>
      </c>
      <c r="J3054" s="208">
        <f>EXP(SUMPRODUCT((rl_eff&lt;=$C3054)*(rl_key=$A$3046)*rl_ln1p))</f>
        <v/>
      </c>
      <c r="K3054" s="201">
        <f>COUNTIFS(rl_key,$A$3046,rl_eff,"&gt;="&amp;$B3054,rl_eff,"&lt;="&amp;$C3054)</f>
        <v/>
      </c>
      <c r="L3054" s="201">
        <f>SUMIFS(rl_daysafter,rl_key,$A$3046,rl_effmonth,$B3054,rl_first,1)</f>
        <v/>
      </c>
      <c r="M3054" s="209">
        <f>IF($K3054=0,0,MIN(1,$L3054/$D3054))</f>
        <v/>
      </c>
      <c r="N3054" s="208">
        <f>IF($K3054=0,$J3054,(1-$M3054)*$I3054+$M3054*$J3054)</f>
        <v/>
      </c>
      <c r="O3054" s="209">
        <f>IF($F3054&lt;$B$3047,$E$3047+$I$3047*($F3054-$A$3047),IF($F3054&lt;$C$3047,$F$3047+$J$3047*($F3054-$B$3047),$G$3047+$K$3047*($F3054-$C$3047)))</f>
        <v/>
      </c>
      <c r="P3054" s="208">
        <f>MIN(1,MAX(0,(nr_MEndPm1-$G3054+0.5)/$C$3046))-MIN(1,MAX(0,(nr_MStartPm1-1-$G3054+0.5)/$C$3046))</f>
        <v/>
      </c>
      <c r="Q3054" s="208">
        <f>MIN(1,MAX(0,(nr_MEndP-$G3054+0.5)/$C$3046))-MIN(1,MAX(0,(nr_MStartP-1-$G3054+0.5)/$C$3046))</f>
        <v/>
      </c>
      <c r="R3054" s="208">
        <f>MIN(1,MAX(0,(nr_MEndP1-$G3054+0.5)/$C$3046))-MIN(1,MAX(0,(nr_MStartP1-1-$G3054+0.5)/$C$3046))</f>
        <v/>
      </c>
      <c r="S3054" s="208">
        <f>IF($L$3046,$N3054*IF($O$3046=1,$O3054/$F$3046,1),"")</f>
        <v/>
      </c>
      <c r="T3054" s="208">
        <f>IF(NOT($L$3046),"",IF($G3054&lt;nr_MStartP,$S3054,$T3042*(1+IF($G3054&lt;nr_MStartP1,$M$3046,$N$3046))))</f>
        <v/>
      </c>
      <c r="U3054" s="208">
        <f>IF($L$3046,$T3054,$N3054)</f>
        <v/>
      </c>
    </row>
    <row r="3055">
      <c r="A3055" s="145" t="n">
        <v>7</v>
      </c>
      <c r="B3055" s="204">
        <f>EDATE($B3054,1)</f>
        <v/>
      </c>
      <c r="C3055" s="205">
        <f>EOMONTH($B3055,0)</f>
        <v/>
      </c>
      <c r="D3055" s="201">
        <f>$C3055-$B3055+1</f>
        <v/>
      </c>
      <c r="E3055" s="201">
        <f>MONTH($B3055)</f>
        <v/>
      </c>
      <c r="F3055" s="235">
        <f>($B3055+$C3055+1)/2</f>
        <v/>
      </c>
      <c r="G3055" s="201">
        <f>YEAR($B3055)*12+MONTH($B3055)-1</f>
        <v/>
      </c>
      <c r="H3055" s="207">
        <f>IF(OR(nr_SeasonOn="OFF",$D$3046=0,$E$3046=0),1,12*INDEX(se_block,$D$3046,$E3055)/$E$3046)</f>
        <v/>
      </c>
      <c r="I3055" s="208">
        <f>EXP(SUMPRODUCT((rl_eff&lt;$B3055)*(rl_key=$A$3046)*rl_ln1p))</f>
        <v/>
      </c>
      <c r="J3055" s="208">
        <f>EXP(SUMPRODUCT((rl_eff&lt;=$C3055)*(rl_key=$A$3046)*rl_ln1p))</f>
        <v/>
      </c>
      <c r="K3055" s="201">
        <f>COUNTIFS(rl_key,$A$3046,rl_eff,"&gt;="&amp;$B3055,rl_eff,"&lt;="&amp;$C3055)</f>
        <v/>
      </c>
      <c r="L3055" s="201">
        <f>SUMIFS(rl_daysafter,rl_key,$A$3046,rl_effmonth,$B3055,rl_first,1)</f>
        <v/>
      </c>
      <c r="M3055" s="209">
        <f>IF($K3055=0,0,MIN(1,$L3055/$D3055))</f>
        <v/>
      </c>
      <c r="N3055" s="208">
        <f>IF($K3055=0,$J3055,(1-$M3055)*$I3055+$M3055*$J3055)</f>
        <v/>
      </c>
      <c r="O3055" s="209">
        <f>IF($F3055&lt;$B$3047,$E$3047+$I$3047*($F3055-$A$3047),IF($F3055&lt;$C$3047,$F$3047+$J$3047*($F3055-$B$3047),$G$3047+$K$3047*($F3055-$C$3047)))</f>
        <v/>
      </c>
      <c r="P3055" s="208">
        <f>MIN(1,MAX(0,(nr_MEndPm1-$G3055+0.5)/$C$3046))-MIN(1,MAX(0,(nr_MStartPm1-1-$G3055+0.5)/$C$3046))</f>
        <v/>
      </c>
      <c r="Q3055" s="208">
        <f>MIN(1,MAX(0,(nr_MEndP-$G3055+0.5)/$C$3046))-MIN(1,MAX(0,(nr_MStartP-1-$G3055+0.5)/$C$3046))</f>
        <v/>
      </c>
      <c r="R3055" s="208">
        <f>MIN(1,MAX(0,(nr_MEndP1-$G3055+0.5)/$C$3046))-MIN(1,MAX(0,(nr_MStartP1-1-$G3055+0.5)/$C$3046))</f>
        <v/>
      </c>
      <c r="S3055" s="208">
        <f>IF($L$3046,$N3055*IF($O$3046=1,$O3055/$F$3046,1),"")</f>
        <v/>
      </c>
      <c r="T3055" s="208">
        <f>IF(NOT($L$3046),"",IF($G3055&lt;nr_MStartP,$S3055,$T3043*(1+IF($G3055&lt;nr_MStartP1,$M$3046,$N$3046))))</f>
        <v/>
      </c>
      <c r="U3055" s="208">
        <f>IF($L$3046,$T3055,$N3055)</f>
        <v/>
      </c>
    </row>
    <row r="3056">
      <c r="A3056" s="145" t="n">
        <v>8</v>
      </c>
      <c r="B3056" s="204">
        <f>EDATE($B3055,1)</f>
        <v/>
      </c>
      <c r="C3056" s="205">
        <f>EOMONTH($B3056,0)</f>
        <v/>
      </c>
      <c r="D3056" s="201">
        <f>$C3056-$B3056+1</f>
        <v/>
      </c>
      <c r="E3056" s="201">
        <f>MONTH($B3056)</f>
        <v/>
      </c>
      <c r="F3056" s="235">
        <f>($B3056+$C3056+1)/2</f>
        <v/>
      </c>
      <c r="G3056" s="201">
        <f>YEAR($B3056)*12+MONTH($B3056)-1</f>
        <v/>
      </c>
      <c r="H3056" s="207">
        <f>IF(OR(nr_SeasonOn="OFF",$D$3046=0,$E$3046=0),1,12*INDEX(se_block,$D$3046,$E3056)/$E$3046)</f>
        <v/>
      </c>
      <c r="I3056" s="208">
        <f>EXP(SUMPRODUCT((rl_eff&lt;$B3056)*(rl_key=$A$3046)*rl_ln1p))</f>
        <v/>
      </c>
      <c r="J3056" s="208">
        <f>EXP(SUMPRODUCT((rl_eff&lt;=$C3056)*(rl_key=$A$3046)*rl_ln1p))</f>
        <v/>
      </c>
      <c r="K3056" s="201">
        <f>COUNTIFS(rl_key,$A$3046,rl_eff,"&gt;="&amp;$B3056,rl_eff,"&lt;="&amp;$C3056)</f>
        <v/>
      </c>
      <c r="L3056" s="201">
        <f>SUMIFS(rl_daysafter,rl_key,$A$3046,rl_effmonth,$B3056,rl_first,1)</f>
        <v/>
      </c>
      <c r="M3056" s="209">
        <f>IF($K3056=0,0,MIN(1,$L3056/$D3056))</f>
        <v/>
      </c>
      <c r="N3056" s="208">
        <f>IF($K3056=0,$J3056,(1-$M3056)*$I3056+$M3056*$J3056)</f>
        <v/>
      </c>
      <c r="O3056" s="209">
        <f>IF($F3056&lt;$B$3047,$E$3047+$I$3047*($F3056-$A$3047),IF($F3056&lt;$C$3047,$F$3047+$J$3047*($F3056-$B$3047),$G$3047+$K$3047*($F3056-$C$3047)))</f>
        <v/>
      </c>
      <c r="P3056" s="208">
        <f>MIN(1,MAX(0,(nr_MEndPm1-$G3056+0.5)/$C$3046))-MIN(1,MAX(0,(nr_MStartPm1-1-$G3056+0.5)/$C$3046))</f>
        <v/>
      </c>
      <c r="Q3056" s="208">
        <f>MIN(1,MAX(0,(nr_MEndP-$G3056+0.5)/$C$3046))-MIN(1,MAX(0,(nr_MStartP-1-$G3056+0.5)/$C$3046))</f>
        <v/>
      </c>
      <c r="R3056" s="208">
        <f>MIN(1,MAX(0,(nr_MEndP1-$G3056+0.5)/$C$3046))-MIN(1,MAX(0,(nr_MStartP1-1-$G3056+0.5)/$C$3046))</f>
        <v/>
      </c>
      <c r="S3056" s="208">
        <f>IF($L$3046,$N3056*IF($O$3046=1,$O3056/$F$3046,1),"")</f>
        <v/>
      </c>
      <c r="T3056" s="208">
        <f>IF(NOT($L$3046),"",IF($G3056&lt;nr_MStartP,$S3056,$T3044*(1+IF($G3056&lt;nr_MStartP1,$M$3046,$N$3046))))</f>
        <v/>
      </c>
      <c r="U3056" s="208">
        <f>IF($L$3046,$T3056,$N3056)</f>
        <v/>
      </c>
    </row>
    <row r="3057">
      <c r="A3057" s="145" t="n">
        <v>9</v>
      </c>
      <c r="B3057" s="204">
        <f>EDATE($B3056,1)</f>
        <v/>
      </c>
      <c r="C3057" s="205">
        <f>EOMONTH($B3057,0)</f>
        <v/>
      </c>
      <c r="D3057" s="201">
        <f>$C3057-$B3057+1</f>
        <v/>
      </c>
      <c r="E3057" s="201">
        <f>MONTH($B3057)</f>
        <v/>
      </c>
      <c r="F3057" s="235">
        <f>($B3057+$C3057+1)/2</f>
        <v/>
      </c>
      <c r="G3057" s="201">
        <f>YEAR($B3057)*12+MONTH($B3057)-1</f>
        <v/>
      </c>
      <c r="H3057" s="207">
        <f>IF(OR(nr_SeasonOn="OFF",$D$3046=0,$E$3046=0),1,12*INDEX(se_block,$D$3046,$E3057)/$E$3046)</f>
        <v/>
      </c>
      <c r="I3057" s="208">
        <f>EXP(SUMPRODUCT((rl_eff&lt;$B3057)*(rl_key=$A$3046)*rl_ln1p))</f>
        <v/>
      </c>
      <c r="J3057" s="208">
        <f>EXP(SUMPRODUCT((rl_eff&lt;=$C3057)*(rl_key=$A$3046)*rl_ln1p))</f>
        <v/>
      </c>
      <c r="K3057" s="201">
        <f>COUNTIFS(rl_key,$A$3046,rl_eff,"&gt;="&amp;$B3057,rl_eff,"&lt;="&amp;$C3057)</f>
        <v/>
      </c>
      <c r="L3057" s="201">
        <f>SUMIFS(rl_daysafter,rl_key,$A$3046,rl_effmonth,$B3057,rl_first,1)</f>
        <v/>
      </c>
      <c r="M3057" s="209">
        <f>IF($K3057=0,0,MIN(1,$L3057/$D3057))</f>
        <v/>
      </c>
      <c r="N3057" s="208">
        <f>IF($K3057=0,$J3057,(1-$M3057)*$I3057+$M3057*$J3057)</f>
        <v/>
      </c>
      <c r="O3057" s="209">
        <f>IF($F3057&lt;$B$3047,$E$3047+$I$3047*($F3057-$A$3047),IF($F3057&lt;$C$3047,$F$3047+$J$3047*($F3057-$B$3047),$G$3047+$K$3047*($F3057-$C$3047)))</f>
        <v/>
      </c>
      <c r="P3057" s="208">
        <f>MIN(1,MAX(0,(nr_MEndPm1-$G3057+0.5)/$C$3046))-MIN(1,MAX(0,(nr_MStartPm1-1-$G3057+0.5)/$C$3046))</f>
        <v/>
      </c>
      <c r="Q3057" s="208">
        <f>MIN(1,MAX(0,(nr_MEndP-$G3057+0.5)/$C$3046))-MIN(1,MAX(0,(nr_MStartP-1-$G3057+0.5)/$C$3046))</f>
        <v/>
      </c>
      <c r="R3057" s="208">
        <f>MIN(1,MAX(0,(nr_MEndP1-$G3057+0.5)/$C$3046))-MIN(1,MAX(0,(nr_MStartP1-1-$G3057+0.5)/$C$3046))</f>
        <v/>
      </c>
      <c r="S3057" s="208">
        <f>IF($L$3046,$N3057*IF($O$3046=1,$O3057/$F$3046,1),"")</f>
        <v/>
      </c>
      <c r="T3057" s="208">
        <f>IF(NOT($L$3046),"",IF($G3057&lt;nr_MStartP,$S3057,$T3045*(1+IF($G3057&lt;nr_MStartP1,$M$3046,$N$3046))))</f>
        <v/>
      </c>
      <c r="U3057" s="208">
        <f>IF($L$3046,$T3057,$N3057)</f>
        <v/>
      </c>
    </row>
    <row r="3058">
      <c r="A3058" s="145" t="n">
        <v>10</v>
      </c>
      <c r="B3058" s="204">
        <f>EDATE($B3057,1)</f>
        <v/>
      </c>
      <c r="C3058" s="205">
        <f>EOMONTH($B3058,0)</f>
        <v/>
      </c>
      <c r="D3058" s="201">
        <f>$C3058-$B3058+1</f>
        <v/>
      </c>
      <c r="E3058" s="201">
        <f>MONTH($B3058)</f>
        <v/>
      </c>
      <c r="F3058" s="235">
        <f>($B3058+$C3058+1)/2</f>
        <v/>
      </c>
      <c r="G3058" s="201">
        <f>YEAR($B3058)*12+MONTH($B3058)-1</f>
        <v/>
      </c>
      <c r="H3058" s="207">
        <f>IF(OR(nr_SeasonOn="OFF",$D$3046=0,$E$3046=0),1,12*INDEX(se_block,$D$3046,$E3058)/$E$3046)</f>
        <v/>
      </c>
      <c r="I3058" s="208">
        <f>EXP(SUMPRODUCT((rl_eff&lt;$B3058)*(rl_key=$A$3046)*rl_ln1p))</f>
        <v/>
      </c>
      <c r="J3058" s="208">
        <f>EXP(SUMPRODUCT((rl_eff&lt;=$C3058)*(rl_key=$A$3046)*rl_ln1p))</f>
        <v/>
      </c>
      <c r="K3058" s="201">
        <f>COUNTIFS(rl_key,$A$3046,rl_eff,"&gt;="&amp;$B3058,rl_eff,"&lt;="&amp;$C3058)</f>
        <v/>
      </c>
      <c r="L3058" s="201">
        <f>SUMIFS(rl_daysafter,rl_key,$A$3046,rl_effmonth,$B3058,rl_first,1)</f>
        <v/>
      </c>
      <c r="M3058" s="209">
        <f>IF($K3058=0,0,MIN(1,$L3058/$D3058))</f>
        <v/>
      </c>
      <c r="N3058" s="208">
        <f>IF($K3058=0,$J3058,(1-$M3058)*$I3058+$M3058*$J3058)</f>
        <v/>
      </c>
      <c r="O3058" s="209">
        <f>IF($F3058&lt;$B$3047,$E$3047+$I$3047*($F3058-$A$3047),IF($F3058&lt;$C$3047,$F$3047+$J$3047*($F3058-$B$3047),$G$3047+$K$3047*($F3058-$C$3047)))</f>
        <v/>
      </c>
      <c r="P3058" s="208">
        <f>MIN(1,MAX(0,(nr_MEndPm1-$G3058+0.5)/$C$3046))-MIN(1,MAX(0,(nr_MStartPm1-1-$G3058+0.5)/$C$3046))</f>
        <v/>
      </c>
      <c r="Q3058" s="208">
        <f>MIN(1,MAX(0,(nr_MEndP-$G3058+0.5)/$C$3046))-MIN(1,MAX(0,(nr_MStartP-1-$G3058+0.5)/$C$3046))</f>
        <v/>
      </c>
      <c r="R3058" s="208">
        <f>MIN(1,MAX(0,(nr_MEndP1-$G3058+0.5)/$C$3046))-MIN(1,MAX(0,(nr_MStartP1-1-$G3058+0.5)/$C$3046))</f>
        <v/>
      </c>
      <c r="S3058" s="208">
        <f>IF($L$3046,$N3058*IF($O$3046=1,$O3058/$F$3046,1),"")</f>
        <v/>
      </c>
      <c r="T3058" s="208">
        <f>IF(NOT($L$3046),"",IF($G3058&lt;nr_MStartP,$S3058,$T3046*(1+IF($G3058&lt;nr_MStartP1,$M$3046,$N$3046))))</f>
        <v/>
      </c>
      <c r="U3058" s="208">
        <f>IF($L$3046,$T3058,$N3058)</f>
        <v/>
      </c>
    </row>
    <row r="3059">
      <c r="A3059" s="145" t="n">
        <v>11</v>
      </c>
      <c r="B3059" s="204">
        <f>EDATE($B3058,1)</f>
        <v/>
      </c>
      <c r="C3059" s="205">
        <f>EOMONTH($B3059,0)</f>
        <v/>
      </c>
      <c r="D3059" s="201">
        <f>$C3059-$B3059+1</f>
        <v/>
      </c>
      <c r="E3059" s="201">
        <f>MONTH($B3059)</f>
        <v/>
      </c>
      <c r="F3059" s="235">
        <f>($B3059+$C3059+1)/2</f>
        <v/>
      </c>
      <c r="G3059" s="201">
        <f>YEAR($B3059)*12+MONTH($B3059)-1</f>
        <v/>
      </c>
      <c r="H3059" s="207">
        <f>IF(OR(nr_SeasonOn="OFF",$D$3046=0,$E$3046=0),1,12*INDEX(se_block,$D$3046,$E3059)/$E$3046)</f>
        <v/>
      </c>
      <c r="I3059" s="208">
        <f>EXP(SUMPRODUCT((rl_eff&lt;$B3059)*(rl_key=$A$3046)*rl_ln1p))</f>
        <v/>
      </c>
      <c r="J3059" s="208">
        <f>EXP(SUMPRODUCT((rl_eff&lt;=$C3059)*(rl_key=$A$3046)*rl_ln1p))</f>
        <v/>
      </c>
      <c r="K3059" s="201">
        <f>COUNTIFS(rl_key,$A$3046,rl_eff,"&gt;="&amp;$B3059,rl_eff,"&lt;="&amp;$C3059)</f>
        <v/>
      </c>
      <c r="L3059" s="201">
        <f>SUMIFS(rl_daysafter,rl_key,$A$3046,rl_effmonth,$B3059,rl_first,1)</f>
        <v/>
      </c>
      <c r="M3059" s="209">
        <f>IF($K3059=0,0,MIN(1,$L3059/$D3059))</f>
        <v/>
      </c>
      <c r="N3059" s="208">
        <f>IF($K3059=0,$J3059,(1-$M3059)*$I3059+$M3059*$J3059)</f>
        <v/>
      </c>
      <c r="O3059" s="209">
        <f>IF($F3059&lt;$B$3047,$E$3047+$I$3047*($F3059-$A$3047),IF($F3059&lt;$C$3047,$F$3047+$J$3047*($F3059-$B$3047),$G$3047+$K$3047*($F3059-$C$3047)))</f>
        <v/>
      </c>
      <c r="P3059" s="208">
        <f>MIN(1,MAX(0,(nr_MEndPm1-$G3059+0.5)/$C$3046))-MIN(1,MAX(0,(nr_MStartPm1-1-$G3059+0.5)/$C$3046))</f>
        <v/>
      </c>
      <c r="Q3059" s="208">
        <f>MIN(1,MAX(0,(nr_MEndP-$G3059+0.5)/$C$3046))-MIN(1,MAX(0,(nr_MStartP-1-$G3059+0.5)/$C$3046))</f>
        <v/>
      </c>
      <c r="R3059" s="208">
        <f>MIN(1,MAX(0,(nr_MEndP1-$G3059+0.5)/$C$3046))-MIN(1,MAX(0,(nr_MStartP1-1-$G3059+0.5)/$C$3046))</f>
        <v/>
      </c>
      <c r="S3059" s="208">
        <f>IF($L$3046,$N3059*IF($O$3046=1,$O3059/$F$3046,1),"")</f>
        <v/>
      </c>
      <c r="T3059" s="208">
        <f>IF(NOT($L$3046),"",IF($G3059&lt;nr_MStartP,$S3059,$T3047*(1+IF($G3059&lt;nr_MStartP1,$M$3046,$N$3046))))</f>
        <v/>
      </c>
      <c r="U3059" s="208">
        <f>IF($L$3046,$T3059,$N3059)</f>
        <v/>
      </c>
    </row>
    <row r="3060">
      <c r="A3060" s="145" t="n">
        <v>12</v>
      </c>
      <c r="B3060" s="204">
        <f>EDATE($B3059,1)</f>
        <v/>
      </c>
      <c r="C3060" s="205">
        <f>EOMONTH($B3060,0)</f>
        <v/>
      </c>
      <c r="D3060" s="201">
        <f>$C3060-$B3060+1</f>
        <v/>
      </c>
      <c r="E3060" s="201">
        <f>MONTH($B3060)</f>
        <v/>
      </c>
      <c r="F3060" s="235">
        <f>($B3060+$C3060+1)/2</f>
        <v/>
      </c>
      <c r="G3060" s="201">
        <f>YEAR($B3060)*12+MONTH($B3060)-1</f>
        <v/>
      </c>
      <c r="H3060" s="207">
        <f>IF(OR(nr_SeasonOn="OFF",$D$3046=0,$E$3046=0),1,12*INDEX(se_block,$D$3046,$E3060)/$E$3046)</f>
        <v/>
      </c>
      <c r="I3060" s="208">
        <f>EXP(SUMPRODUCT((rl_eff&lt;$B3060)*(rl_key=$A$3046)*rl_ln1p))</f>
        <v/>
      </c>
      <c r="J3060" s="208">
        <f>EXP(SUMPRODUCT((rl_eff&lt;=$C3060)*(rl_key=$A$3046)*rl_ln1p))</f>
        <v/>
      </c>
      <c r="K3060" s="201">
        <f>COUNTIFS(rl_key,$A$3046,rl_eff,"&gt;="&amp;$B3060,rl_eff,"&lt;="&amp;$C3060)</f>
        <v/>
      </c>
      <c r="L3060" s="201">
        <f>SUMIFS(rl_daysafter,rl_key,$A$3046,rl_effmonth,$B3060,rl_first,1)</f>
        <v/>
      </c>
      <c r="M3060" s="209">
        <f>IF($K3060=0,0,MIN(1,$L3060/$D3060))</f>
        <v/>
      </c>
      <c r="N3060" s="208">
        <f>IF($K3060=0,$J3060,(1-$M3060)*$I3060+$M3060*$J3060)</f>
        <v/>
      </c>
      <c r="O3060" s="209">
        <f>IF($F3060&lt;$B$3047,$E$3047+$I$3047*($F3060-$A$3047),IF($F3060&lt;$C$3047,$F$3047+$J$3047*($F3060-$B$3047),$G$3047+$K$3047*($F3060-$C$3047)))</f>
        <v/>
      </c>
      <c r="P3060" s="208">
        <f>MIN(1,MAX(0,(nr_MEndPm1-$G3060+0.5)/$C$3046))-MIN(1,MAX(0,(nr_MStartPm1-1-$G3060+0.5)/$C$3046))</f>
        <v/>
      </c>
      <c r="Q3060" s="208">
        <f>MIN(1,MAX(0,(nr_MEndP-$G3060+0.5)/$C$3046))-MIN(1,MAX(0,(nr_MStartP-1-$G3060+0.5)/$C$3046))</f>
        <v/>
      </c>
      <c r="R3060" s="208">
        <f>MIN(1,MAX(0,(nr_MEndP1-$G3060+0.5)/$C$3046))-MIN(1,MAX(0,(nr_MStartP1-1-$G3060+0.5)/$C$3046))</f>
        <v/>
      </c>
      <c r="S3060" s="208">
        <f>IF($L$3046,$N3060*IF($O$3046=1,$O3060/$F$3046,1),"")</f>
        <v/>
      </c>
      <c r="T3060" s="208">
        <f>IF(NOT($L$3046),"",IF($G3060&lt;nr_MStartP,$S3060,$T3048*(1+IF($G3060&lt;nr_MStartP1,$M$3046,$N$3046))))</f>
        <v/>
      </c>
      <c r="U3060" s="208">
        <f>IF($L$3046,$T3060,$N3060)</f>
        <v/>
      </c>
    </row>
    <row r="3061">
      <c r="A3061" s="145" t="n">
        <v>13</v>
      </c>
      <c r="B3061" s="204">
        <f>EDATE($B3060,1)</f>
        <v/>
      </c>
      <c r="C3061" s="205">
        <f>EOMONTH($B3061,0)</f>
        <v/>
      </c>
      <c r="D3061" s="201">
        <f>$C3061-$B3061+1</f>
        <v/>
      </c>
      <c r="E3061" s="201">
        <f>MONTH($B3061)</f>
        <v/>
      </c>
      <c r="F3061" s="235">
        <f>($B3061+$C3061+1)/2</f>
        <v/>
      </c>
      <c r="G3061" s="201">
        <f>YEAR($B3061)*12+MONTH($B3061)-1</f>
        <v/>
      </c>
      <c r="H3061" s="207">
        <f>IF(OR(nr_SeasonOn="OFF",$D$3046=0,$E$3046=0),1,12*INDEX(se_block,$D$3046,$E3061)/$E$3046)</f>
        <v/>
      </c>
      <c r="I3061" s="208">
        <f>EXP(SUMPRODUCT((rl_eff&lt;$B3061)*(rl_key=$A$3046)*rl_ln1p))</f>
        <v/>
      </c>
      <c r="J3061" s="208">
        <f>EXP(SUMPRODUCT((rl_eff&lt;=$C3061)*(rl_key=$A$3046)*rl_ln1p))</f>
        <v/>
      </c>
      <c r="K3061" s="201">
        <f>COUNTIFS(rl_key,$A$3046,rl_eff,"&gt;="&amp;$B3061,rl_eff,"&lt;="&amp;$C3061)</f>
        <v/>
      </c>
      <c r="L3061" s="201">
        <f>SUMIFS(rl_daysafter,rl_key,$A$3046,rl_effmonth,$B3061,rl_first,1)</f>
        <v/>
      </c>
      <c r="M3061" s="209">
        <f>IF($K3061=0,0,MIN(1,$L3061/$D3061))</f>
        <v/>
      </c>
      <c r="N3061" s="208">
        <f>IF($K3061=0,$J3061,(1-$M3061)*$I3061+$M3061*$J3061)</f>
        <v/>
      </c>
      <c r="O3061" s="209">
        <f>IF($F3061&lt;$B$3047,$E$3047+$I$3047*($F3061-$A$3047),IF($F3061&lt;$C$3047,$F$3047+$J$3047*($F3061-$B$3047),$G$3047+$K$3047*($F3061-$C$3047)))</f>
        <v/>
      </c>
      <c r="P3061" s="208">
        <f>MIN(1,MAX(0,(nr_MEndPm1-$G3061+0.5)/$C$3046))-MIN(1,MAX(0,(nr_MStartPm1-1-$G3061+0.5)/$C$3046))</f>
        <v/>
      </c>
      <c r="Q3061" s="208">
        <f>MIN(1,MAX(0,(nr_MEndP-$G3061+0.5)/$C$3046))-MIN(1,MAX(0,(nr_MStartP-1-$G3061+0.5)/$C$3046))</f>
        <v/>
      </c>
      <c r="R3061" s="208">
        <f>MIN(1,MAX(0,(nr_MEndP1-$G3061+0.5)/$C$3046))-MIN(1,MAX(0,(nr_MStartP1-1-$G3061+0.5)/$C$3046))</f>
        <v/>
      </c>
      <c r="S3061" s="208">
        <f>IF($L$3046,$N3061*IF($O$3046=1,$O3061/$F$3046,1),"")</f>
        <v/>
      </c>
      <c r="T3061" s="208">
        <f>IF(NOT($L$3046),"",IF($G3061&lt;nr_MStartP,$S3061,$T3049*(1+IF($G3061&lt;nr_MStartP1,$M$3046,$N$3046))))</f>
        <v/>
      </c>
      <c r="U3061" s="208">
        <f>IF($L$3046,$T3061,$N3061)</f>
        <v/>
      </c>
    </row>
    <row r="3062">
      <c r="A3062" s="145" t="n">
        <v>14</v>
      </c>
      <c r="B3062" s="204">
        <f>EDATE($B3061,1)</f>
        <v/>
      </c>
      <c r="C3062" s="205">
        <f>EOMONTH($B3062,0)</f>
        <v/>
      </c>
      <c r="D3062" s="201">
        <f>$C3062-$B3062+1</f>
        <v/>
      </c>
      <c r="E3062" s="201">
        <f>MONTH($B3062)</f>
        <v/>
      </c>
      <c r="F3062" s="235">
        <f>($B3062+$C3062+1)/2</f>
        <v/>
      </c>
      <c r="G3062" s="201">
        <f>YEAR($B3062)*12+MONTH($B3062)-1</f>
        <v/>
      </c>
      <c r="H3062" s="207">
        <f>IF(OR(nr_SeasonOn="OFF",$D$3046=0,$E$3046=0),1,12*INDEX(se_block,$D$3046,$E3062)/$E$3046)</f>
        <v/>
      </c>
      <c r="I3062" s="208">
        <f>EXP(SUMPRODUCT((rl_eff&lt;$B3062)*(rl_key=$A$3046)*rl_ln1p))</f>
        <v/>
      </c>
      <c r="J3062" s="208">
        <f>EXP(SUMPRODUCT((rl_eff&lt;=$C3062)*(rl_key=$A$3046)*rl_ln1p))</f>
        <v/>
      </c>
      <c r="K3062" s="201">
        <f>COUNTIFS(rl_key,$A$3046,rl_eff,"&gt;="&amp;$B3062,rl_eff,"&lt;="&amp;$C3062)</f>
        <v/>
      </c>
      <c r="L3062" s="201">
        <f>SUMIFS(rl_daysafter,rl_key,$A$3046,rl_effmonth,$B3062,rl_first,1)</f>
        <v/>
      </c>
      <c r="M3062" s="209">
        <f>IF($K3062=0,0,MIN(1,$L3062/$D3062))</f>
        <v/>
      </c>
      <c r="N3062" s="208">
        <f>IF($K3062=0,$J3062,(1-$M3062)*$I3062+$M3062*$J3062)</f>
        <v/>
      </c>
      <c r="O3062" s="209">
        <f>IF($F3062&lt;$B$3047,$E$3047+$I$3047*($F3062-$A$3047),IF($F3062&lt;$C$3047,$F$3047+$J$3047*($F3062-$B$3047),$G$3047+$K$3047*($F3062-$C$3047)))</f>
        <v/>
      </c>
      <c r="P3062" s="208">
        <f>MIN(1,MAX(0,(nr_MEndPm1-$G3062+0.5)/$C$3046))-MIN(1,MAX(0,(nr_MStartPm1-1-$G3062+0.5)/$C$3046))</f>
        <v/>
      </c>
      <c r="Q3062" s="208">
        <f>MIN(1,MAX(0,(nr_MEndP-$G3062+0.5)/$C$3046))-MIN(1,MAX(0,(nr_MStartP-1-$G3062+0.5)/$C$3046))</f>
        <v/>
      </c>
      <c r="R3062" s="208">
        <f>MIN(1,MAX(0,(nr_MEndP1-$G3062+0.5)/$C$3046))-MIN(1,MAX(0,(nr_MStartP1-1-$G3062+0.5)/$C$3046))</f>
        <v/>
      </c>
      <c r="S3062" s="208">
        <f>IF($L$3046,$N3062*IF($O$3046=1,$O3062/$F$3046,1),"")</f>
        <v/>
      </c>
      <c r="T3062" s="208">
        <f>IF(NOT($L$3046),"",IF($G3062&lt;nr_MStartP,$S3062,$T3050*(1+IF($G3062&lt;nr_MStartP1,$M$3046,$N$3046))))</f>
        <v/>
      </c>
      <c r="U3062" s="208">
        <f>IF($L$3046,$T3062,$N3062)</f>
        <v/>
      </c>
    </row>
    <row r="3063">
      <c r="A3063" s="145" t="n">
        <v>15</v>
      </c>
      <c r="B3063" s="204">
        <f>EDATE($B3062,1)</f>
        <v/>
      </c>
      <c r="C3063" s="205">
        <f>EOMONTH($B3063,0)</f>
        <v/>
      </c>
      <c r="D3063" s="201">
        <f>$C3063-$B3063+1</f>
        <v/>
      </c>
      <c r="E3063" s="201">
        <f>MONTH($B3063)</f>
        <v/>
      </c>
      <c r="F3063" s="235">
        <f>($B3063+$C3063+1)/2</f>
        <v/>
      </c>
      <c r="G3063" s="201">
        <f>YEAR($B3063)*12+MONTH($B3063)-1</f>
        <v/>
      </c>
      <c r="H3063" s="207">
        <f>IF(OR(nr_SeasonOn="OFF",$D$3046=0,$E$3046=0),1,12*INDEX(se_block,$D$3046,$E3063)/$E$3046)</f>
        <v/>
      </c>
      <c r="I3063" s="208">
        <f>EXP(SUMPRODUCT((rl_eff&lt;$B3063)*(rl_key=$A$3046)*rl_ln1p))</f>
        <v/>
      </c>
      <c r="J3063" s="208">
        <f>EXP(SUMPRODUCT((rl_eff&lt;=$C3063)*(rl_key=$A$3046)*rl_ln1p))</f>
        <v/>
      </c>
      <c r="K3063" s="201">
        <f>COUNTIFS(rl_key,$A$3046,rl_eff,"&gt;="&amp;$B3063,rl_eff,"&lt;="&amp;$C3063)</f>
        <v/>
      </c>
      <c r="L3063" s="201">
        <f>SUMIFS(rl_daysafter,rl_key,$A$3046,rl_effmonth,$B3063,rl_first,1)</f>
        <v/>
      </c>
      <c r="M3063" s="209">
        <f>IF($K3063=0,0,MIN(1,$L3063/$D3063))</f>
        <v/>
      </c>
      <c r="N3063" s="208">
        <f>IF($K3063=0,$J3063,(1-$M3063)*$I3063+$M3063*$J3063)</f>
        <v/>
      </c>
      <c r="O3063" s="209">
        <f>IF($F3063&lt;$B$3047,$E$3047+$I$3047*($F3063-$A$3047),IF($F3063&lt;$C$3047,$F$3047+$J$3047*($F3063-$B$3047),$G$3047+$K$3047*($F3063-$C$3047)))</f>
        <v/>
      </c>
      <c r="P3063" s="208">
        <f>MIN(1,MAX(0,(nr_MEndPm1-$G3063+0.5)/$C$3046))-MIN(1,MAX(0,(nr_MStartPm1-1-$G3063+0.5)/$C$3046))</f>
        <v/>
      </c>
      <c r="Q3063" s="208">
        <f>MIN(1,MAX(0,(nr_MEndP-$G3063+0.5)/$C$3046))-MIN(1,MAX(0,(nr_MStartP-1-$G3063+0.5)/$C$3046))</f>
        <v/>
      </c>
      <c r="R3063" s="208">
        <f>MIN(1,MAX(0,(nr_MEndP1-$G3063+0.5)/$C$3046))-MIN(1,MAX(0,(nr_MStartP1-1-$G3063+0.5)/$C$3046))</f>
        <v/>
      </c>
      <c r="S3063" s="208">
        <f>IF($L$3046,$N3063*IF($O$3046=1,$O3063/$F$3046,1),"")</f>
        <v/>
      </c>
      <c r="T3063" s="208">
        <f>IF(NOT($L$3046),"",IF($G3063&lt;nr_MStartP,$S3063,$T3051*(1+IF($G3063&lt;nr_MStartP1,$M$3046,$N$3046))))</f>
        <v/>
      </c>
      <c r="U3063" s="208">
        <f>IF($L$3046,$T3063,$N3063)</f>
        <v/>
      </c>
    </row>
    <row r="3064">
      <c r="A3064" s="145" t="n">
        <v>16</v>
      </c>
      <c r="B3064" s="204">
        <f>EDATE($B3063,1)</f>
        <v/>
      </c>
      <c r="C3064" s="205">
        <f>EOMONTH($B3064,0)</f>
        <v/>
      </c>
      <c r="D3064" s="201">
        <f>$C3064-$B3064+1</f>
        <v/>
      </c>
      <c r="E3064" s="201">
        <f>MONTH($B3064)</f>
        <v/>
      </c>
      <c r="F3064" s="235">
        <f>($B3064+$C3064+1)/2</f>
        <v/>
      </c>
      <c r="G3064" s="201">
        <f>YEAR($B3064)*12+MONTH($B3064)-1</f>
        <v/>
      </c>
      <c r="H3064" s="207">
        <f>IF(OR(nr_SeasonOn="OFF",$D$3046=0,$E$3046=0),1,12*INDEX(se_block,$D$3046,$E3064)/$E$3046)</f>
        <v/>
      </c>
      <c r="I3064" s="208">
        <f>EXP(SUMPRODUCT((rl_eff&lt;$B3064)*(rl_key=$A$3046)*rl_ln1p))</f>
        <v/>
      </c>
      <c r="J3064" s="208">
        <f>EXP(SUMPRODUCT((rl_eff&lt;=$C3064)*(rl_key=$A$3046)*rl_ln1p))</f>
        <v/>
      </c>
      <c r="K3064" s="201">
        <f>COUNTIFS(rl_key,$A$3046,rl_eff,"&gt;="&amp;$B3064,rl_eff,"&lt;="&amp;$C3064)</f>
        <v/>
      </c>
      <c r="L3064" s="201">
        <f>SUMIFS(rl_daysafter,rl_key,$A$3046,rl_effmonth,$B3064,rl_first,1)</f>
        <v/>
      </c>
      <c r="M3064" s="209">
        <f>IF($K3064=0,0,MIN(1,$L3064/$D3064))</f>
        <v/>
      </c>
      <c r="N3064" s="208">
        <f>IF($K3064=0,$J3064,(1-$M3064)*$I3064+$M3064*$J3064)</f>
        <v/>
      </c>
      <c r="O3064" s="209">
        <f>IF($F3064&lt;$B$3047,$E$3047+$I$3047*($F3064-$A$3047),IF($F3064&lt;$C$3047,$F$3047+$J$3047*($F3064-$B$3047),$G$3047+$K$3047*($F3064-$C$3047)))</f>
        <v/>
      </c>
      <c r="P3064" s="208">
        <f>MIN(1,MAX(0,(nr_MEndPm1-$G3064+0.5)/$C$3046))-MIN(1,MAX(0,(nr_MStartPm1-1-$G3064+0.5)/$C$3046))</f>
        <v/>
      </c>
      <c r="Q3064" s="208">
        <f>MIN(1,MAX(0,(nr_MEndP-$G3064+0.5)/$C$3046))-MIN(1,MAX(0,(nr_MStartP-1-$G3064+0.5)/$C$3046))</f>
        <v/>
      </c>
      <c r="R3064" s="208">
        <f>MIN(1,MAX(0,(nr_MEndP1-$G3064+0.5)/$C$3046))-MIN(1,MAX(0,(nr_MStartP1-1-$G3064+0.5)/$C$3046))</f>
        <v/>
      </c>
      <c r="S3064" s="208">
        <f>IF($L$3046,$N3064*IF($O$3046=1,$O3064/$F$3046,1),"")</f>
        <v/>
      </c>
      <c r="T3064" s="208">
        <f>IF(NOT($L$3046),"",IF($G3064&lt;nr_MStartP,$S3064,$T3052*(1+IF($G3064&lt;nr_MStartP1,$M$3046,$N$3046))))</f>
        <v/>
      </c>
      <c r="U3064" s="208">
        <f>IF($L$3046,$T3064,$N3064)</f>
        <v/>
      </c>
    </row>
    <row r="3065">
      <c r="A3065" s="145" t="n">
        <v>17</v>
      </c>
      <c r="B3065" s="204">
        <f>EDATE($B3064,1)</f>
        <v/>
      </c>
      <c r="C3065" s="205">
        <f>EOMONTH($B3065,0)</f>
        <v/>
      </c>
      <c r="D3065" s="201">
        <f>$C3065-$B3065+1</f>
        <v/>
      </c>
      <c r="E3065" s="201">
        <f>MONTH($B3065)</f>
        <v/>
      </c>
      <c r="F3065" s="235">
        <f>($B3065+$C3065+1)/2</f>
        <v/>
      </c>
      <c r="G3065" s="201">
        <f>YEAR($B3065)*12+MONTH($B3065)-1</f>
        <v/>
      </c>
      <c r="H3065" s="207">
        <f>IF(OR(nr_SeasonOn="OFF",$D$3046=0,$E$3046=0),1,12*INDEX(se_block,$D$3046,$E3065)/$E$3046)</f>
        <v/>
      </c>
      <c r="I3065" s="208">
        <f>EXP(SUMPRODUCT((rl_eff&lt;$B3065)*(rl_key=$A$3046)*rl_ln1p))</f>
        <v/>
      </c>
      <c r="J3065" s="208">
        <f>EXP(SUMPRODUCT((rl_eff&lt;=$C3065)*(rl_key=$A$3046)*rl_ln1p))</f>
        <v/>
      </c>
      <c r="K3065" s="201">
        <f>COUNTIFS(rl_key,$A$3046,rl_eff,"&gt;="&amp;$B3065,rl_eff,"&lt;="&amp;$C3065)</f>
        <v/>
      </c>
      <c r="L3065" s="201">
        <f>SUMIFS(rl_daysafter,rl_key,$A$3046,rl_effmonth,$B3065,rl_first,1)</f>
        <v/>
      </c>
      <c r="M3065" s="209">
        <f>IF($K3065=0,0,MIN(1,$L3065/$D3065))</f>
        <v/>
      </c>
      <c r="N3065" s="208">
        <f>IF($K3065=0,$J3065,(1-$M3065)*$I3065+$M3065*$J3065)</f>
        <v/>
      </c>
      <c r="O3065" s="209">
        <f>IF($F3065&lt;$B$3047,$E$3047+$I$3047*($F3065-$A$3047),IF($F3065&lt;$C$3047,$F$3047+$J$3047*($F3065-$B$3047),$G$3047+$K$3047*($F3065-$C$3047)))</f>
        <v/>
      </c>
      <c r="P3065" s="208">
        <f>MIN(1,MAX(0,(nr_MEndPm1-$G3065+0.5)/$C$3046))-MIN(1,MAX(0,(nr_MStartPm1-1-$G3065+0.5)/$C$3046))</f>
        <v/>
      </c>
      <c r="Q3065" s="208">
        <f>MIN(1,MAX(0,(nr_MEndP-$G3065+0.5)/$C$3046))-MIN(1,MAX(0,(nr_MStartP-1-$G3065+0.5)/$C$3046))</f>
        <v/>
      </c>
      <c r="R3065" s="208">
        <f>MIN(1,MAX(0,(nr_MEndP1-$G3065+0.5)/$C$3046))-MIN(1,MAX(0,(nr_MStartP1-1-$G3065+0.5)/$C$3046))</f>
        <v/>
      </c>
      <c r="S3065" s="208">
        <f>IF($L$3046,$N3065*IF($O$3046=1,$O3065/$F$3046,1),"")</f>
        <v/>
      </c>
      <c r="T3065" s="208">
        <f>IF(NOT($L$3046),"",IF($G3065&lt;nr_MStartP,$S3065,$T3053*(1+IF($G3065&lt;nr_MStartP1,$M$3046,$N$3046))))</f>
        <v/>
      </c>
      <c r="U3065" s="208">
        <f>IF($L$3046,$T3065,$N3065)</f>
        <v/>
      </c>
    </row>
    <row r="3066">
      <c r="A3066" s="145" t="n">
        <v>18</v>
      </c>
      <c r="B3066" s="204">
        <f>EDATE($B3065,1)</f>
        <v/>
      </c>
      <c r="C3066" s="205">
        <f>EOMONTH($B3066,0)</f>
        <v/>
      </c>
      <c r="D3066" s="201">
        <f>$C3066-$B3066+1</f>
        <v/>
      </c>
      <c r="E3066" s="201">
        <f>MONTH($B3066)</f>
        <v/>
      </c>
      <c r="F3066" s="235">
        <f>($B3066+$C3066+1)/2</f>
        <v/>
      </c>
      <c r="G3066" s="201">
        <f>YEAR($B3066)*12+MONTH($B3066)-1</f>
        <v/>
      </c>
      <c r="H3066" s="207">
        <f>IF(OR(nr_SeasonOn="OFF",$D$3046=0,$E$3046=0),1,12*INDEX(se_block,$D$3046,$E3066)/$E$3046)</f>
        <v/>
      </c>
      <c r="I3066" s="208">
        <f>EXP(SUMPRODUCT((rl_eff&lt;$B3066)*(rl_key=$A$3046)*rl_ln1p))</f>
        <v/>
      </c>
      <c r="J3066" s="208">
        <f>EXP(SUMPRODUCT((rl_eff&lt;=$C3066)*(rl_key=$A$3046)*rl_ln1p))</f>
        <v/>
      </c>
      <c r="K3066" s="201">
        <f>COUNTIFS(rl_key,$A$3046,rl_eff,"&gt;="&amp;$B3066,rl_eff,"&lt;="&amp;$C3066)</f>
        <v/>
      </c>
      <c r="L3066" s="201">
        <f>SUMIFS(rl_daysafter,rl_key,$A$3046,rl_effmonth,$B3066,rl_first,1)</f>
        <v/>
      </c>
      <c r="M3066" s="209">
        <f>IF($K3066=0,0,MIN(1,$L3066/$D3066))</f>
        <v/>
      </c>
      <c r="N3066" s="208">
        <f>IF($K3066=0,$J3066,(1-$M3066)*$I3066+$M3066*$J3066)</f>
        <v/>
      </c>
      <c r="O3066" s="209">
        <f>IF($F3066&lt;$B$3047,$E$3047+$I$3047*($F3066-$A$3047),IF($F3066&lt;$C$3047,$F$3047+$J$3047*($F3066-$B$3047),$G$3047+$K$3047*($F3066-$C$3047)))</f>
        <v/>
      </c>
      <c r="P3066" s="208">
        <f>MIN(1,MAX(0,(nr_MEndPm1-$G3066+0.5)/$C$3046))-MIN(1,MAX(0,(nr_MStartPm1-1-$G3066+0.5)/$C$3046))</f>
        <v/>
      </c>
      <c r="Q3066" s="208">
        <f>MIN(1,MAX(0,(nr_MEndP-$G3066+0.5)/$C$3046))-MIN(1,MAX(0,(nr_MStartP-1-$G3066+0.5)/$C$3046))</f>
        <v/>
      </c>
      <c r="R3066" s="208">
        <f>MIN(1,MAX(0,(nr_MEndP1-$G3066+0.5)/$C$3046))-MIN(1,MAX(0,(nr_MStartP1-1-$G3066+0.5)/$C$3046))</f>
        <v/>
      </c>
      <c r="S3066" s="208">
        <f>IF($L$3046,$N3066*IF($O$3046=1,$O3066/$F$3046,1),"")</f>
        <v/>
      </c>
      <c r="T3066" s="208">
        <f>IF(NOT($L$3046),"",IF($G3066&lt;nr_MStartP,$S3066,$T3054*(1+IF($G3066&lt;nr_MStartP1,$M$3046,$N$3046))))</f>
        <v/>
      </c>
      <c r="U3066" s="208">
        <f>IF($L$3046,$T3066,$N3066)</f>
        <v/>
      </c>
    </row>
    <row r="3067">
      <c r="A3067" s="145" t="n">
        <v>19</v>
      </c>
      <c r="B3067" s="204">
        <f>EDATE($B3066,1)</f>
        <v/>
      </c>
      <c r="C3067" s="205">
        <f>EOMONTH($B3067,0)</f>
        <v/>
      </c>
      <c r="D3067" s="201">
        <f>$C3067-$B3067+1</f>
        <v/>
      </c>
      <c r="E3067" s="201">
        <f>MONTH($B3067)</f>
        <v/>
      </c>
      <c r="F3067" s="235">
        <f>($B3067+$C3067+1)/2</f>
        <v/>
      </c>
      <c r="G3067" s="201">
        <f>YEAR($B3067)*12+MONTH($B3067)-1</f>
        <v/>
      </c>
      <c r="H3067" s="207">
        <f>IF(OR(nr_SeasonOn="OFF",$D$3046=0,$E$3046=0),1,12*INDEX(se_block,$D$3046,$E3067)/$E$3046)</f>
        <v/>
      </c>
      <c r="I3067" s="208">
        <f>EXP(SUMPRODUCT((rl_eff&lt;$B3067)*(rl_key=$A$3046)*rl_ln1p))</f>
        <v/>
      </c>
      <c r="J3067" s="208">
        <f>EXP(SUMPRODUCT((rl_eff&lt;=$C3067)*(rl_key=$A$3046)*rl_ln1p))</f>
        <v/>
      </c>
      <c r="K3067" s="201">
        <f>COUNTIFS(rl_key,$A$3046,rl_eff,"&gt;="&amp;$B3067,rl_eff,"&lt;="&amp;$C3067)</f>
        <v/>
      </c>
      <c r="L3067" s="201">
        <f>SUMIFS(rl_daysafter,rl_key,$A$3046,rl_effmonth,$B3067,rl_first,1)</f>
        <v/>
      </c>
      <c r="M3067" s="209">
        <f>IF($K3067=0,0,MIN(1,$L3067/$D3067))</f>
        <v/>
      </c>
      <c r="N3067" s="208">
        <f>IF($K3067=0,$J3067,(1-$M3067)*$I3067+$M3067*$J3067)</f>
        <v/>
      </c>
      <c r="O3067" s="209">
        <f>IF($F3067&lt;$B$3047,$E$3047+$I$3047*($F3067-$A$3047),IF($F3067&lt;$C$3047,$F$3047+$J$3047*($F3067-$B$3047),$G$3047+$K$3047*($F3067-$C$3047)))</f>
        <v/>
      </c>
      <c r="P3067" s="208">
        <f>MIN(1,MAX(0,(nr_MEndPm1-$G3067+0.5)/$C$3046))-MIN(1,MAX(0,(nr_MStartPm1-1-$G3067+0.5)/$C$3046))</f>
        <v/>
      </c>
      <c r="Q3067" s="208">
        <f>MIN(1,MAX(0,(nr_MEndP-$G3067+0.5)/$C$3046))-MIN(1,MAX(0,(nr_MStartP-1-$G3067+0.5)/$C$3046))</f>
        <v/>
      </c>
      <c r="R3067" s="208">
        <f>MIN(1,MAX(0,(nr_MEndP1-$G3067+0.5)/$C$3046))-MIN(1,MAX(0,(nr_MStartP1-1-$G3067+0.5)/$C$3046))</f>
        <v/>
      </c>
      <c r="S3067" s="208">
        <f>IF($L$3046,$N3067*IF($O$3046=1,$O3067/$F$3046,1),"")</f>
        <v/>
      </c>
      <c r="T3067" s="208">
        <f>IF(NOT($L$3046),"",IF($G3067&lt;nr_MStartP,$S3067,$T3055*(1+IF($G3067&lt;nr_MStartP1,$M$3046,$N$3046))))</f>
        <v/>
      </c>
      <c r="U3067" s="208">
        <f>IF($L$3046,$T3067,$N3067)</f>
        <v/>
      </c>
    </row>
    <row r="3068">
      <c r="A3068" s="145" t="n">
        <v>20</v>
      </c>
      <c r="B3068" s="204">
        <f>EDATE($B3067,1)</f>
        <v/>
      </c>
      <c r="C3068" s="205">
        <f>EOMONTH($B3068,0)</f>
        <v/>
      </c>
      <c r="D3068" s="201">
        <f>$C3068-$B3068+1</f>
        <v/>
      </c>
      <c r="E3068" s="201">
        <f>MONTH($B3068)</f>
        <v/>
      </c>
      <c r="F3068" s="235">
        <f>($B3068+$C3068+1)/2</f>
        <v/>
      </c>
      <c r="G3068" s="201">
        <f>YEAR($B3068)*12+MONTH($B3068)-1</f>
        <v/>
      </c>
      <c r="H3068" s="207">
        <f>IF(OR(nr_SeasonOn="OFF",$D$3046=0,$E$3046=0),1,12*INDEX(se_block,$D$3046,$E3068)/$E$3046)</f>
        <v/>
      </c>
      <c r="I3068" s="208">
        <f>EXP(SUMPRODUCT((rl_eff&lt;$B3068)*(rl_key=$A$3046)*rl_ln1p))</f>
        <v/>
      </c>
      <c r="J3068" s="208">
        <f>EXP(SUMPRODUCT((rl_eff&lt;=$C3068)*(rl_key=$A$3046)*rl_ln1p))</f>
        <v/>
      </c>
      <c r="K3068" s="201">
        <f>COUNTIFS(rl_key,$A$3046,rl_eff,"&gt;="&amp;$B3068,rl_eff,"&lt;="&amp;$C3068)</f>
        <v/>
      </c>
      <c r="L3068" s="201">
        <f>SUMIFS(rl_daysafter,rl_key,$A$3046,rl_effmonth,$B3068,rl_first,1)</f>
        <v/>
      </c>
      <c r="M3068" s="209">
        <f>IF($K3068=0,0,MIN(1,$L3068/$D3068))</f>
        <v/>
      </c>
      <c r="N3068" s="208">
        <f>IF($K3068=0,$J3068,(1-$M3068)*$I3068+$M3068*$J3068)</f>
        <v/>
      </c>
      <c r="O3068" s="209">
        <f>IF($F3068&lt;$B$3047,$E$3047+$I$3047*($F3068-$A$3047),IF($F3068&lt;$C$3047,$F$3047+$J$3047*($F3068-$B$3047),$G$3047+$K$3047*($F3068-$C$3047)))</f>
        <v/>
      </c>
      <c r="P3068" s="208">
        <f>MIN(1,MAX(0,(nr_MEndPm1-$G3068+0.5)/$C$3046))-MIN(1,MAX(0,(nr_MStartPm1-1-$G3068+0.5)/$C$3046))</f>
        <v/>
      </c>
      <c r="Q3068" s="208">
        <f>MIN(1,MAX(0,(nr_MEndP-$G3068+0.5)/$C$3046))-MIN(1,MAX(0,(nr_MStartP-1-$G3068+0.5)/$C$3046))</f>
        <v/>
      </c>
      <c r="R3068" s="208">
        <f>MIN(1,MAX(0,(nr_MEndP1-$G3068+0.5)/$C$3046))-MIN(1,MAX(0,(nr_MStartP1-1-$G3068+0.5)/$C$3046))</f>
        <v/>
      </c>
      <c r="S3068" s="208">
        <f>IF($L$3046,$N3068*IF($O$3046=1,$O3068/$F$3046,1),"")</f>
        <v/>
      </c>
      <c r="T3068" s="208">
        <f>IF(NOT($L$3046),"",IF($G3068&lt;nr_MStartP,$S3068,$T3056*(1+IF($G3068&lt;nr_MStartP1,$M$3046,$N$3046))))</f>
        <v/>
      </c>
      <c r="U3068" s="208">
        <f>IF($L$3046,$T3068,$N3068)</f>
        <v/>
      </c>
    </row>
    <row r="3069">
      <c r="A3069" s="145" t="n">
        <v>21</v>
      </c>
      <c r="B3069" s="204">
        <f>EDATE($B3068,1)</f>
        <v/>
      </c>
      <c r="C3069" s="205">
        <f>EOMONTH($B3069,0)</f>
        <v/>
      </c>
      <c r="D3069" s="201">
        <f>$C3069-$B3069+1</f>
        <v/>
      </c>
      <c r="E3069" s="201">
        <f>MONTH($B3069)</f>
        <v/>
      </c>
      <c r="F3069" s="235">
        <f>($B3069+$C3069+1)/2</f>
        <v/>
      </c>
      <c r="G3069" s="201">
        <f>YEAR($B3069)*12+MONTH($B3069)-1</f>
        <v/>
      </c>
      <c r="H3069" s="207">
        <f>IF(OR(nr_SeasonOn="OFF",$D$3046=0,$E$3046=0),1,12*INDEX(se_block,$D$3046,$E3069)/$E$3046)</f>
        <v/>
      </c>
      <c r="I3069" s="208">
        <f>EXP(SUMPRODUCT((rl_eff&lt;$B3069)*(rl_key=$A$3046)*rl_ln1p))</f>
        <v/>
      </c>
      <c r="J3069" s="208">
        <f>EXP(SUMPRODUCT((rl_eff&lt;=$C3069)*(rl_key=$A$3046)*rl_ln1p))</f>
        <v/>
      </c>
      <c r="K3069" s="201">
        <f>COUNTIFS(rl_key,$A$3046,rl_eff,"&gt;="&amp;$B3069,rl_eff,"&lt;="&amp;$C3069)</f>
        <v/>
      </c>
      <c r="L3069" s="201">
        <f>SUMIFS(rl_daysafter,rl_key,$A$3046,rl_effmonth,$B3069,rl_first,1)</f>
        <v/>
      </c>
      <c r="M3069" s="209">
        <f>IF($K3069=0,0,MIN(1,$L3069/$D3069))</f>
        <v/>
      </c>
      <c r="N3069" s="208">
        <f>IF($K3069=0,$J3069,(1-$M3069)*$I3069+$M3069*$J3069)</f>
        <v/>
      </c>
      <c r="O3069" s="209">
        <f>IF($F3069&lt;$B$3047,$E$3047+$I$3047*($F3069-$A$3047),IF($F3069&lt;$C$3047,$F$3047+$J$3047*($F3069-$B$3047),$G$3047+$K$3047*($F3069-$C$3047)))</f>
        <v/>
      </c>
      <c r="P3069" s="208">
        <f>MIN(1,MAX(0,(nr_MEndPm1-$G3069+0.5)/$C$3046))-MIN(1,MAX(0,(nr_MStartPm1-1-$G3069+0.5)/$C$3046))</f>
        <v/>
      </c>
      <c r="Q3069" s="208">
        <f>MIN(1,MAX(0,(nr_MEndP-$G3069+0.5)/$C$3046))-MIN(1,MAX(0,(nr_MStartP-1-$G3069+0.5)/$C$3046))</f>
        <v/>
      </c>
      <c r="R3069" s="208">
        <f>MIN(1,MAX(0,(nr_MEndP1-$G3069+0.5)/$C$3046))-MIN(1,MAX(0,(nr_MStartP1-1-$G3069+0.5)/$C$3046))</f>
        <v/>
      </c>
      <c r="S3069" s="208">
        <f>IF($L$3046,$N3069*IF($O$3046=1,$O3069/$F$3046,1),"")</f>
        <v/>
      </c>
      <c r="T3069" s="208">
        <f>IF(NOT($L$3046),"",IF($G3069&lt;nr_MStartP,$S3069,$T3057*(1+IF($G3069&lt;nr_MStartP1,$M$3046,$N$3046))))</f>
        <v/>
      </c>
      <c r="U3069" s="208">
        <f>IF($L$3046,$T3069,$N3069)</f>
        <v/>
      </c>
    </row>
    <row r="3070">
      <c r="A3070" s="145" t="n">
        <v>22</v>
      </c>
      <c r="B3070" s="204">
        <f>EDATE($B3069,1)</f>
        <v/>
      </c>
      <c r="C3070" s="205">
        <f>EOMONTH($B3070,0)</f>
        <v/>
      </c>
      <c r="D3070" s="201">
        <f>$C3070-$B3070+1</f>
        <v/>
      </c>
      <c r="E3070" s="201">
        <f>MONTH($B3070)</f>
        <v/>
      </c>
      <c r="F3070" s="235">
        <f>($B3070+$C3070+1)/2</f>
        <v/>
      </c>
      <c r="G3070" s="201">
        <f>YEAR($B3070)*12+MONTH($B3070)-1</f>
        <v/>
      </c>
      <c r="H3070" s="207">
        <f>IF(OR(nr_SeasonOn="OFF",$D$3046=0,$E$3046=0),1,12*INDEX(se_block,$D$3046,$E3070)/$E$3046)</f>
        <v/>
      </c>
      <c r="I3070" s="208">
        <f>EXP(SUMPRODUCT((rl_eff&lt;$B3070)*(rl_key=$A$3046)*rl_ln1p))</f>
        <v/>
      </c>
      <c r="J3070" s="208">
        <f>EXP(SUMPRODUCT((rl_eff&lt;=$C3070)*(rl_key=$A$3046)*rl_ln1p))</f>
        <v/>
      </c>
      <c r="K3070" s="201">
        <f>COUNTIFS(rl_key,$A$3046,rl_eff,"&gt;="&amp;$B3070,rl_eff,"&lt;="&amp;$C3070)</f>
        <v/>
      </c>
      <c r="L3070" s="201">
        <f>SUMIFS(rl_daysafter,rl_key,$A$3046,rl_effmonth,$B3070,rl_first,1)</f>
        <v/>
      </c>
      <c r="M3070" s="209">
        <f>IF($K3070=0,0,MIN(1,$L3070/$D3070))</f>
        <v/>
      </c>
      <c r="N3070" s="208">
        <f>IF($K3070=0,$J3070,(1-$M3070)*$I3070+$M3070*$J3070)</f>
        <v/>
      </c>
      <c r="O3070" s="209">
        <f>IF($F3070&lt;$B$3047,$E$3047+$I$3047*($F3070-$A$3047),IF($F3070&lt;$C$3047,$F$3047+$J$3047*($F3070-$B$3047),$G$3047+$K$3047*($F3070-$C$3047)))</f>
        <v/>
      </c>
      <c r="P3070" s="208">
        <f>MIN(1,MAX(0,(nr_MEndPm1-$G3070+0.5)/$C$3046))-MIN(1,MAX(0,(nr_MStartPm1-1-$G3070+0.5)/$C$3046))</f>
        <v/>
      </c>
      <c r="Q3070" s="208">
        <f>MIN(1,MAX(0,(nr_MEndP-$G3070+0.5)/$C$3046))-MIN(1,MAX(0,(nr_MStartP-1-$G3070+0.5)/$C$3046))</f>
        <v/>
      </c>
      <c r="R3070" s="208">
        <f>MIN(1,MAX(0,(nr_MEndP1-$G3070+0.5)/$C$3046))-MIN(1,MAX(0,(nr_MStartP1-1-$G3070+0.5)/$C$3046))</f>
        <v/>
      </c>
      <c r="S3070" s="208">
        <f>IF($L$3046,$N3070*IF($O$3046=1,$O3070/$F$3046,1),"")</f>
        <v/>
      </c>
      <c r="T3070" s="208">
        <f>IF(NOT($L$3046),"",IF($G3070&lt;nr_MStartP,$S3070,$T3058*(1+IF($G3070&lt;nr_MStartP1,$M$3046,$N$3046))))</f>
        <v/>
      </c>
      <c r="U3070" s="208">
        <f>IF($L$3046,$T3070,$N3070)</f>
        <v/>
      </c>
    </row>
    <row r="3071">
      <c r="A3071" s="145" t="n">
        <v>23</v>
      </c>
      <c r="B3071" s="204">
        <f>EDATE($B3070,1)</f>
        <v/>
      </c>
      <c r="C3071" s="205">
        <f>EOMONTH($B3071,0)</f>
        <v/>
      </c>
      <c r="D3071" s="201">
        <f>$C3071-$B3071+1</f>
        <v/>
      </c>
      <c r="E3071" s="201">
        <f>MONTH($B3071)</f>
        <v/>
      </c>
      <c r="F3071" s="235">
        <f>($B3071+$C3071+1)/2</f>
        <v/>
      </c>
      <c r="G3071" s="201">
        <f>YEAR($B3071)*12+MONTH($B3071)-1</f>
        <v/>
      </c>
      <c r="H3071" s="207">
        <f>IF(OR(nr_SeasonOn="OFF",$D$3046=0,$E$3046=0),1,12*INDEX(se_block,$D$3046,$E3071)/$E$3046)</f>
        <v/>
      </c>
      <c r="I3071" s="208">
        <f>EXP(SUMPRODUCT((rl_eff&lt;$B3071)*(rl_key=$A$3046)*rl_ln1p))</f>
        <v/>
      </c>
      <c r="J3071" s="208">
        <f>EXP(SUMPRODUCT((rl_eff&lt;=$C3071)*(rl_key=$A$3046)*rl_ln1p))</f>
        <v/>
      </c>
      <c r="K3071" s="201">
        <f>COUNTIFS(rl_key,$A$3046,rl_eff,"&gt;="&amp;$B3071,rl_eff,"&lt;="&amp;$C3071)</f>
        <v/>
      </c>
      <c r="L3071" s="201">
        <f>SUMIFS(rl_daysafter,rl_key,$A$3046,rl_effmonth,$B3071,rl_first,1)</f>
        <v/>
      </c>
      <c r="M3071" s="209">
        <f>IF($K3071=0,0,MIN(1,$L3071/$D3071))</f>
        <v/>
      </c>
      <c r="N3071" s="208">
        <f>IF($K3071=0,$J3071,(1-$M3071)*$I3071+$M3071*$J3071)</f>
        <v/>
      </c>
      <c r="O3071" s="209">
        <f>IF($F3071&lt;$B$3047,$E$3047+$I$3047*($F3071-$A$3047),IF($F3071&lt;$C$3047,$F$3047+$J$3047*($F3071-$B$3047),$G$3047+$K$3047*($F3071-$C$3047)))</f>
        <v/>
      </c>
      <c r="P3071" s="208">
        <f>MIN(1,MAX(0,(nr_MEndPm1-$G3071+0.5)/$C$3046))-MIN(1,MAX(0,(nr_MStartPm1-1-$G3071+0.5)/$C$3046))</f>
        <v/>
      </c>
      <c r="Q3071" s="208">
        <f>MIN(1,MAX(0,(nr_MEndP-$G3071+0.5)/$C$3046))-MIN(1,MAX(0,(nr_MStartP-1-$G3071+0.5)/$C$3046))</f>
        <v/>
      </c>
      <c r="R3071" s="208">
        <f>MIN(1,MAX(0,(nr_MEndP1-$G3071+0.5)/$C$3046))-MIN(1,MAX(0,(nr_MStartP1-1-$G3071+0.5)/$C$3046))</f>
        <v/>
      </c>
      <c r="S3071" s="208">
        <f>IF($L$3046,$N3071*IF($O$3046=1,$O3071/$F$3046,1),"")</f>
        <v/>
      </c>
      <c r="T3071" s="208">
        <f>IF(NOT($L$3046),"",IF($G3071&lt;nr_MStartP,$S3071,$T3059*(1+IF($G3071&lt;nr_MStartP1,$M$3046,$N$3046))))</f>
        <v/>
      </c>
      <c r="U3071" s="208">
        <f>IF($L$3046,$T3071,$N3071)</f>
        <v/>
      </c>
    </row>
    <row r="3072">
      <c r="A3072" s="145" t="n">
        <v>24</v>
      </c>
      <c r="B3072" s="204">
        <f>EDATE($B3071,1)</f>
        <v/>
      </c>
      <c r="C3072" s="205">
        <f>EOMONTH($B3072,0)</f>
        <v/>
      </c>
      <c r="D3072" s="201">
        <f>$C3072-$B3072+1</f>
        <v/>
      </c>
      <c r="E3072" s="201">
        <f>MONTH($B3072)</f>
        <v/>
      </c>
      <c r="F3072" s="235">
        <f>($B3072+$C3072+1)/2</f>
        <v/>
      </c>
      <c r="G3072" s="201">
        <f>YEAR($B3072)*12+MONTH($B3072)-1</f>
        <v/>
      </c>
      <c r="H3072" s="207">
        <f>IF(OR(nr_SeasonOn="OFF",$D$3046=0,$E$3046=0),1,12*INDEX(se_block,$D$3046,$E3072)/$E$3046)</f>
        <v/>
      </c>
      <c r="I3072" s="208">
        <f>EXP(SUMPRODUCT((rl_eff&lt;$B3072)*(rl_key=$A$3046)*rl_ln1p))</f>
        <v/>
      </c>
      <c r="J3072" s="208">
        <f>EXP(SUMPRODUCT((rl_eff&lt;=$C3072)*(rl_key=$A$3046)*rl_ln1p))</f>
        <v/>
      </c>
      <c r="K3072" s="201">
        <f>COUNTIFS(rl_key,$A$3046,rl_eff,"&gt;="&amp;$B3072,rl_eff,"&lt;="&amp;$C3072)</f>
        <v/>
      </c>
      <c r="L3072" s="201">
        <f>SUMIFS(rl_daysafter,rl_key,$A$3046,rl_effmonth,$B3072,rl_first,1)</f>
        <v/>
      </c>
      <c r="M3072" s="209">
        <f>IF($K3072=0,0,MIN(1,$L3072/$D3072))</f>
        <v/>
      </c>
      <c r="N3072" s="208">
        <f>IF($K3072=0,$J3072,(1-$M3072)*$I3072+$M3072*$J3072)</f>
        <v/>
      </c>
      <c r="O3072" s="209">
        <f>IF($F3072&lt;$B$3047,$E$3047+$I$3047*($F3072-$A$3047),IF($F3072&lt;$C$3047,$F$3047+$J$3047*($F3072-$B$3047),$G$3047+$K$3047*($F3072-$C$3047)))</f>
        <v/>
      </c>
      <c r="P3072" s="208">
        <f>MIN(1,MAX(0,(nr_MEndPm1-$G3072+0.5)/$C$3046))-MIN(1,MAX(0,(nr_MStartPm1-1-$G3072+0.5)/$C$3046))</f>
        <v/>
      </c>
      <c r="Q3072" s="208">
        <f>MIN(1,MAX(0,(nr_MEndP-$G3072+0.5)/$C$3046))-MIN(1,MAX(0,(nr_MStartP-1-$G3072+0.5)/$C$3046))</f>
        <v/>
      </c>
      <c r="R3072" s="208">
        <f>MIN(1,MAX(0,(nr_MEndP1-$G3072+0.5)/$C$3046))-MIN(1,MAX(0,(nr_MStartP1-1-$G3072+0.5)/$C$3046))</f>
        <v/>
      </c>
      <c r="S3072" s="208">
        <f>IF($L$3046,$N3072*IF($O$3046=1,$O3072/$F$3046,1),"")</f>
        <v/>
      </c>
      <c r="T3072" s="208">
        <f>IF(NOT($L$3046),"",IF($G3072&lt;nr_MStartP,$S3072,$T3060*(1+IF($G3072&lt;nr_MStartP1,$M$3046,$N$3046))))</f>
        <v/>
      </c>
      <c r="U3072" s="208">
        <f>IF($L$3046,$T3072,$N3072)</f>
        <v/>
      </c>
    </row>
    <row r="3073">
      <c r="A3073" s="145" t="n">
        <v>25</v>
      </c>
      <c r="B3073" s="204">
        <f>EDATE($B3072,1)</f>
        <v/>
      </c>
      <c r="C3073" s="205">
        <f>EOMONTH($B3073,0)</f>
        <v/>
      </c>
      <c r="D3073" s="201">
        <f>$C3073-$B3073+1</f>
        <v/>
      </c>
      <c r="E3073" s="201">
        <f>MONTH($B3073)</f>
        <v/>
      </c>
      <c r="F3073" s="235">
        <f>($B3073+$C3073+1)/2</f>
        <v/>
      </c>
      <c r="G3073" s="201">
        <f>YEAR($B3073)*12+MONTH($B3073)-1</f>
        <v/>
      </c>
      <c r="H3073" s="207">
        <f>IF(OR(nr_SeasonOn="OFF",$D$3046=0,$E$3046=0),1,12*INDEX(se_block,$D$3046,$E3073)/$E$3046)</f>
        <v/>
      </c>
      <c r="I3073" s="208">
        <f>EXP(SUMPRODUCT((rl_eff&lt;$B3073)*(rl_key=$A$3046)*rl_ln1p))</f>
        <v/>
      </c>
      <c r="J3073" s="208">
        <f>EXP(SUMPRODUCT((rl_eff&lt;=$C3073)*(rl_key=$A$3046)*rl_ln1p))</f>
        <v/>
      </c>
      <c r="K3073" s="201">
        <f>COUNTIFS(rl_key,$A$3046,rl_eff,"&gt;="&amp;$B3073,rl_eff,"&lt;="&amp;$C3073)</f>
        <v/>
      </c>
      <c r="L3073" s="201">
        <f>SUMIFS(rl_daysafter,rl_key,$A$3046,rl_effmonth,$B3073,rl_first,1)</f>
        <v/>
      </c>
      <c r="M3073" s="209">
        <f>IF($K3073=0,0,MIN(1,$L3073/$D3073))</f>
        <v/>
      </c>
      <c r="N3073" s="208">
        <f>IF($K3073=0,$J3073,(1-$M3073)*$I3073+$M3073*$J3073)</f>
        <v/>
      </c>
      <c r="O3073" s="209">
        <f>IF($F3073&lt;$B$3047,$E$3047+$I$3047*($F3073-$A$3047),IF($F3073&lt;$C$3047,$F$3047+$J$3047*($F3073-$B$3047),$G$3047+$K$3047*($F3073-$C$3047)))</f>
        <v/>
      </c>
      <c r="P3073" s="208">
        <f>MIN(1,MAX(0,(nr_MEndPm1-$G3073+0.5)/$C$3046))-MIN(1,MAX(0,(nr_MStartPm1-1-$G3073+0.5)/$C$3046))</f>
        <v/>
      </c>
      <c r="Q3073" s="208">
        <f>MIN(1,MAX(0,(nr_MEndP-$G3073+0.5)/$C$3046))-MIN(1,MAX(0,(nr_MStartP-1-$G3073+0.5)/$C$3046))</f>
        <v/>
      </c>
      <c r="R3073" s="208">
        <f>MIN(1,MAX(0,(nr_MEndP1-$G3073+0.5)/$C$3046))-MIN(1,MAX(0,(nr_MStartP1-1-$G3073+0.5)/$C$3046))</f>
        <v/>
      </c>
      <c r="S3073" s="208">
        <f>IF($L$3046,$N3073*IF($O$3046=1,$O3073/$F$3046,1),"")</f>
        <v/>
      </c>
      <c r="T3073" s="208">
        <f>IF(NOT($L$3046),"",IF($G3073&lt;nr_MStartP,$S3073,$T3061*(1+IF($G3073&lt;nr_MStartP1,$M$3046,$N$3046))))</f>
        <v/>
      </c>
      <c r="U3073" s="208">
        <f>IF($L$3046,$T3073,$N3073)</f>
        <v/>
      </c>
    </row>
    <row r="3074">
      <c r="A3074" s="145" t="n">
        <v>26</v>
      </c>
      <c r="B3074" s="204">
        <f>EDATE($B3073,1)</f>
        <v/>
      </c>
      <c r="C3074" s="205">
        <f>EOMONTH($B3074,0)</f>
        <v/>
      </c>
      <c r="D3074" s="201">
        <f>$C3074-$B3074+1</f>
        <v/>
      </c>
      <c r="E3074" s="201">
        <f>MONTH($B3074)</f>
        <v/>
      </c>
      <c r="F3074" s="235">
        <f>($B3074+$C3074+1)/2</f>
        <v/>
      </c>
      <c r="G3074" s="201">
        <f>YEAR($B3074)*12+MONTH($B3074)-1</f>
        <v/>
      </c>
      <c r="H3074" s="207">
        <f>IF(OR(nr_SeasonOn="OFF",$D$3046=0,$E$3046=0),1,12*INDEX(se_block,$D$3046,$E3074)/$E$3046)</f>
        <v/>
      </c>
      <c r="I3074" s="208">
        <f>EXP(SUMPRODUCT((rl_eff&lt;$B3074)*(rl_key=$A$3046)*rl_ln1p))</f>
        <v/>
      </c>
      <c r="J3074" s="208">
        <f>EXP(SUMPRODUCT((rl_eff&lt;=$C3074)*(rl_key=$A$3046)*rl_ln1p))</f>
        <v/>
      </c>
      <c r="K3074" s="201">
        <f>COUNTIFS(rl_key,$A$3046,rl_eff,"&gt;="&amp;$B3074,rl_eff,"&lt;="&amp;$C3074)</f>
        <v/>
      </c>
      <c r="L3074" s="201">
        <f>SUMIFS(rl_daysafter,rl_key,$A$3046,rl_effmonth,$B3074,rl_first,1)</f>
        <v/>
      </c>
      <c r="M3074" s="209">
        <f>IF($K3074=0,0,MIN(1,$L3074/$D3074))</f>
        <v/>
      </c>
      <c r="N3074" s="208">
        <f>IF($K3074=0,$J3074,(1-$M3074)*$I3074+$M3074*$J3074)</f>
        <v/>
      </c>
      <c r="O3074" s="209">
        <f>IF($F3074&lt;$B$3047,$E$3047+$I$3047*($F3074-$A$3047),IF($F3074&lt;$C$3047,$F$3047+$J$3047*($F3074-$B$3047),$G$3047+$K$3047*($F3074-$C$3047)))</f>
        <v/>
      </c>
      <c r="P3074" s="208">
        <f>MIN(1,MAX(0,(nr_MEndPm1-$G3074+0.5)/$C$3046))-MIN(1,MAX(0,(nr_MStartPm1-1-$G3074+0.5)/$C$3046))</f>
        <v/>
      </c>
      <c r="Q3074" s="208">
        <f>MIN(1,MAX(0,(nr_MEndP-$G3074+0.5)/$C$3046))-MIN(1,MAX(0,(nr_MStartP-1-$G3074+0.5)/$C$3046))</f>
        <v/>
      </c>
      <c r="R3074" s="208">
        <f>MIN(1,MAX(0,(nr_MEndP1-$G3074+0.5)/$C$3046))-MIN(1,MAX(0,(nr_MStartP1-1-$G3074+0.5)/$C$3046))</f>
        <v/>
      </c>
      <c r="S3074" s="208">
        <f>IF($L$3046,$N3074*IF($O$3046=1,$O3074/$F$3046,1),"")</f>
        <v/>
      </c>
      <c r="T3074" s="208">
        <f>IF(NOT($L$3046),"",IF($G3074&lt;nr_MStartP,$S3074,$T3062*(1+IF($G3074&lt;nr_MStartP1,$M$3046,$N$3046))))</f>
        <v/>
      </c>
      <c r="U3074" s="208">
        <f>IF($L$3046,$T3074,$N3074)</f>
        <v/>
      </c>
    </row>
    <row r="3075">
      <c r="A3075" s="145" t="n">
        <v>27</v>
      </c>
      <c r="B3075" s="204">
        <f>EDATE($B3074,1)</f>
        <v/>
      </c>
      <c r="C3075" s="205">
        <f>EOMONTH($B3075,0)</f>
        <v/>
      </c>
      <c r="D3075" s="201">
        <f>$C3075-$B3075+1</f>
        <v/>
      </c>
      <c r="E3075" s="201">
        <f>MONTH($B3075)</f>
        <v/>
      </c>
      <c r="F3075" s="235">
        <f>($B3075+$C3075+1)/2</f>
        <v/>
      </c>
      <c r="G3075" s="201">
        <f>YEAR($B3075)*12+MONTH($B3075)-1</f>
        <v/>
      </c>
      <c r="H3075" s="207">
        <f>IF(OR(nr_SeasonOn="OFF",$D$3046=0,$E$3046=0),1,12*INDEX(se_block,$D$3046,$E3075)/$E$3046)</f>
        <v/>
      </c>
      <c r="I3075" s="208">
        <f>EXP(SUMPRODUCT((rl_eff&lt;$B3075)*(rl_key=$A$3046)*rl_ln1p))</f>
        <v/>
      </c>
      <c r="J3075" s="208">
        <f>EXP(SUMPRODUCT((rl_eff&lt;=$C3075)*(rl_key=$A$3046)*rl_ln1p))</f>
        <v/>
      </c>
      <c r="K3075" s="201">
        <f>COUNTIFS(rl_key,$A$3046,rl_eff,"&gt;="&amp;$B3075,rl_eff,"&lt;="&amp;$C3075)</f>
        <v/>
      </c>
      <c r="L3075" s="201">
        <f>SUMIFS(rl_daysafter,rl_key,$A$3046,rl_effmonth,$B3075,rl_first,1)</f>
        <v/>
      </c>
      <c r="M3075" s="209">
        <f>IF($K3075=0,0,MIN(1,$L3075/$D3075))</f>
        <v/>
      </c>
      <c r="N3075" s="208">
        <f>IF($K3075=0,$J3075,(1-$M3075)*$I3075+$M3075*$J3075)</f>
        <v/>
      </c>
      <c r="O3075" s="209">
        <f>IF($F3075&lt;$B$3047,$E$3047+$I$3047*($F3075-$A$3047),IF($F3075&lt;$C$3047,$F$3047+$J$3047*($F3075-$B$3047),$G$3047+$K$3047*($F3075-$C$3047)))</f>
        <v/>
      </c>
      <c r="P3075" s="208">
        <f>MIN(1,MAX(0,(nr_MEndPm1-$G3075+0.5)/$C$3046))-MIN(1,MAX(0,(nr_MStartPm1-1-$G3075+0.5)/$C$3046))</f>
        <v/>
      </c>
      <c r="Q3075" s="208">
        <f>MIN(1,MAX(0,(nr_MEndP-$G3075+0.5)/$C$3046))-MIN(1,MAX(0,(nr_MStartP-1-$G3075+0.5)/$C$3046))</f>
        <v/>
      </c>
      <c r="R3075" s="208">
        <f>MIN(1,MAX(0,(nr_MEndP1-$G3075+0.5)/$C$3046))-MIN(1,MAX(0,(nr_MStartP1-1-$G3075+0.5)/$C$3046))</f>
        <v/>
      </c>
      <c r="S3075" s="208">
        <f>IF($L$3046,$N3075*IF($O$3046=1,$O3075/$F$3046,1),"")</f>
        <v/>
      </c>
      <c r="T3075" s="208">
        <f>IF(NOT($L$3046),"",IF($G3075&lt;nr_MStartP,$S3075,$T3063*(1+IF($G3075&lt;nr_MStartP1,$M$3046,$N$3046))))</f>
        <v/>
      </c>
      <c r="U3075" s="208">
        <f>IF($L$3046,$T3075,$N3075)</f>
        <v/>
      </c>
    </row>
    <row r="3076">
      <c r="A3076" s="145" t="n">
        <v>28</v>
      </c>
      <c r="B3076" s="204">
        <f>EDATE($B3075,1)</f>
        <v/>
      </c>
      <c r="C3076" s="205">
        <f>EOMONTH($B3076,0)</f>
        <v/>
      </c>
      <c r="D3076" s="201">
        <f>$C3076-$B3076+1</f>
        <v/>
      </c>
      <c r="E3076" s="201">
        <f>MONTH($B3076)</f>
        <v/>
      </c>
      <c r="F3076" s="235">
        <f>($B3076+$C3076+1)/2</f>
        <v/>
      </c>
      <c r="G3076" s="201">
        <f>YEAR($B3076)*12+MONTH($B3076)-1</f>
        <v/>
      </c>
      <c r="H3076" s="207">
        <f>IF(OR(nr_SeasonOn="OFF",$D$3046=0,$E$3046=0),1,12*INDEX(se_block,$D$3046,$E3076)/$E$3046)</f>
        <v/>
      </c>
      <c r="I3076" s="208">
        <f>EXP(SUMPRODUCT((rl_eff&lt;$B3076)*(rl_key=$A$3046)*rl_ln1p))</f>
        <v/>
      </c>
      <c r="J3076" s="208">
        <f>EXP(SUMPRODUCT((rl_eff&lt;=$C3076)*(rl_key=$A$3046)*rl_ln1p))</f>
        <v/>
      </c>
      <c r="K3076" s="201">
        <f>COUNTIFS(rl_key,$A$3046,rl_eff,"&gt;="&amp;$B3076,rl_eff,"&lt;="&amp;$C3076)</f>
        <v/>
      </c>
      <c r="L3076" s="201">
        <f>SUMIFS(rl_daysafter,rl_key,$A$3046,rl_effmonth,$B3076,rl_first,1)</f>
        <v/>
      </c>
      <c r="M3076" s="209">
        <f>IF($K3076=0,0,MIN(1,$L3076/$D3076))</f>
        <v/>
      </c>
      <c r="N3076" s="208">
        <f>IF($K3076=0,$J3076,(1-$M3076)*$I3076+$M3076*$J3076)</f>
        <v/>
      </c>
      <c r="O3076" s="209">
        <f>IF($F3076&lt;$B$3047,$E$3047+$I$3047*($F3076-$A$3047),IF($F3076&lt;$C$3047,$F$3047+$J$3047*($F3076-$B$3047),$G$3047+$K$3047*($F3076-$C$3047)))</f>
        <v/>
      </c>
      <c r="P3076" s="208">
        <f>MIN(1,MAX(0,(nr_MEndPm1-$G3076+0.5)/$C$3046))-MIN(1,MAX(0,(nr_MStartPm1-1-$G3076+0.5)/$C$3046))</f>
        <v/>
      </c>
      <c r="Q3076" s="208">
        <f>MIN(1,MAX(0,(nr_MEndP-$G3076+0.5)/$C$3046))-MIN(1,MAX(0,(nr_MStartP-1-$G3076+0.5)/$C$3046))</f>
        <v/>
      </c>
      <c r="R3076" s="208">
        <f>MIN(1,MAX(0,(nr_MEndP1-$G3076+0.5)/$C$3046))-MIN(1,MAX(0,(nr_MStartP1-1-$G3076+0.5)/$C$3046))</f>
        <v/>
      </c>
      <c r="S3076" s="208">
        <f>IF($L$3046,$N3076*IF($O$3046=1,$O3076/$F$3046,1),"")</f>
        <v/>
      </c>
      <c r="T3076" s="208">
        <f>IF(NOT($L$3046),"",IF($G3076&lt;nr_MStartP,$S3076,$T3064*(1+IF($G3076&lt;nr_MStartP1,$M$3046,$N$3046))))</f>
        <v/>
      </c>
      <c r="U3076" s="208">
        <f>IF($L$3046,$T3076,$N3076)</f>
        <v/>
      </c>
    </row>
    <row r="3077">
      <c r="A3077" s="145" t="n">
        <v>29</v>
      </c>
      <c r="B3077" s="204">
        <f>EDATE($B3076,1)</f>
        <v/>
      </c>
      <c r="C3077" s="205">
        <f>EOMONTH($B3077,0)</f>
        <v/>
      </c>
      <c r="D3077" s="201">
        <f>$C3077-$B3077+1</f>
        <v/>
      </c>
      <c r="E3077" s="201">
        <f>MONTH($B3077)</f>
        <v/>
      </c>
      <c r="F3077" s="235">
        <f>($B3077+$C3077+1)/2</f>
        <v/>
      </c>
      <c r="G3077" s="201">
        <f>YEAR($B3077)*12+MONTH($B3077)-1</f>
        <v/>
      </c>
      <c r="H3077" s="207">
        <f>IF(OR(nr_SeasonOn="OFF",$D$3046=0,$E$3046=0),1,12*INDEX(se_block,$D$3046,$E3077)/$E$3046)</f>
        <v/>
      </c>
      <c r="I3077" s="208">
        <f>EXP(SUMPRODUCT((rl_eff&lt;$B3077)*(rl_key=$A$3046)*rl_ln1p))</f>
        <v/>
      </c>
      <c r="J3077" s="208">
        <f>EXP(SUMPRODUCT((rl_eff&lt;=$C3077)*(rl_key=$A$3046)*rl_ln1p))</f>
        <v/>
      </c>
      <c r="K3077" s="201">
        <f>COUNTIFS(rl_key,$A$3046,rl_eff,"&gt;="&amp;$B3077,rl_eff,"&lt;="&amp;$C3077)</f>
        <v/>
      </c>
      <c r="L3077" s="201">
        <f>SUMIFS(rl_daysafter,rl_key,$A$3046,rl_effmonth,$B3077,rl_first,1)</f>
        <v/>
      </c>
      <c r="M3077" s="209">
        <f>IF($K3077=0,0,MIN(1,$L3077/$D3077))</f>
        <v/>
      </c>
      <c r="N3077" s="208">
        <f>IF($K3077=0,$J3077,(1-$M3077)*$I3077+$M3077*$J3077)</f>
        <v/>
      </c>
      <c r="O3077" s="209">
        <f>IF($F3077&lt;$B$3047,$E$3047+$I$3047*($F3077-$A$3047),IF($F3077&lt;$C$3047,$F$3047+$J$3047*($F3077-$B$3047),$G$3047+$K$3047*($F3077-$C$3047)))</f>
        <v/>
      </c>
      <c r="P3077" s="208">
        <f>MIN(1,MAX(0,(nr_MEndPm1-$G3077+0.5)/$C$3046))-MIN(1,MAX(0,(nr_MStartPm1-1-$G3077+0.5)/$C$3046))</f>
        <v/>
      </c>
      <c r="Q3077" s="208">
        <f>MIN(1,MAX(0,(nr_MEndP-$G3077+0.5)/$C$3046))-MIN(1,MAX(0,(nr_MStartP-1-$G3077+0.5)/$C$3046))</f>
        <v/>
      </c>
      <c r="R3077" s="208">
        <f>MIN(1,MAX(0,(nr_MEndP1-$G3077+0.5)/$C$3046))-MIN(1,MAX(0,(nr_MStartP1-1-$G3077+0.5)/$C$3046))</f>
        <v/>
      </c>
      <c r="S3077" s="208">
        <f>IF($L$3046,$N3077*IF($O$3046=1,$O3077/$F$3046,1),"")</f>
        <v/>
      </c>
      <c r="T3077" s="208">
        <f>IF(NOT($L$3046),"",IF($G3077&lt;nr_MStartP,$S3077,$T3065*(1+IF($G3077&lt;nr_MStartP1,$M$3046,$N$3046))))</f>
        <v/>
      </c>
      <c r="U3077" s="208">
        <f>IF($L$3046,$T3077,$N3077)</f>
        <v/>
      </c>
    </row>
    <row r="3078">
      <c r="A3078" s="145" t="n">
        <v>30</v>
      </c>
      <c r="B3078" s="204">
        <f>EDATE($B3077,1)</f>
        <v/>
      </c>
      <c r="C3078" s="205">
        <f>EOMONTH($B3078,0)</f>
        <v/>
      </c>
      <c r="D3078" s="201">
        <f>$C3078-$B3078+1</f>
        <v/>
      </c>
      <c r="E3078" s="201">
        <f>MONTH($B3078)</f>
        <v/>
      </c>
      <c r="F3078" s="235">
        <f>($B3078+$C3078+1)/2</f>
        <v/>
      </c>
      <c r="G3078" s="201">
        <f>YEAR($B3078)*12+MONTH($B3078)-1</f>
        <v/>
      </c>
      <c r="H3078" s="207">
        <f>IF(OR(nr_SeasonOn="OFF",$D$3046=0,$E$3046=0),1,12*INDEX(se_block,$D$3046,$E3078)/$E$3046)</f>
        <v/>
      </c>
      <c r="I3078" s="208">
        <f>EXP(SUMPRODUCT((rl_eff&lt;$B3078)*(rl_key=$A$3046)*rl_ln1p))</f>
        <v/>
      </c>
      <c r="J3078" s="208">
        <f>EXP(SUMPRODUCT((rl_eff&lt;=$C3078)*(rl_key=$A$3046)*rl_ln1p))</f>
        <v/>
      </c>
      <c r="K3078" s="201">
        <f>COUNTIFS(rl_key,$A$3046,rl_eff,"&gt;="&amp;$B3078,rl_eff,"&lt;="&amp;$C3078)</f>
        <v/>
      </c>
      <c r="L3078" s="201">
        <f>SUMIFS(rl_daysafter,rl_key,$A$3046,rl_effmonth,$B3078,rl_first,1)</f>
        <v/>
      </c>
      <c r="M3078" s="209">
        <f>IF($K3078=0,0,MIN(1,$L3078/$D3078))</f>
        <v/>
      </c>
      <c r="N3078" s="208">
        <f>IF($K3078=0,$J3078,(1-$M3078)*$I3078+$M3078*$J3078)</f>
        <v/>
      </c>
      <c r="O3078" s="209">
        <f>IF($F3078&lt;$B$3047,$E$3047+$I$3047*($F3078-$A$3047),IF($F3078&lt;$C$3047,$F$3047+$J$3047*($F3078-$B$3047),$G$3047+$K$3047*($F3078-$C$3047)))</f>
        <v/>
      </c>
      <c r="P3078" s="208">
        <f>MIN(1,MAX(0,(nr_MEndPm1-$G3078+0.5)/$C$3046))-MIN(1,MAX(0,(nr_MStartPm1-1-$G3078+0.5)/$C$3046))</f>
        <v/>
      </c>
      <c r="Q3078" s="208">
        <f>MIN(1,MAX(0,(nr_MEndP-$G3078+0.5)/$C$3046))-MIN(1,MAX(0,(nr_MStartP-1-$G3078+0.5)/$C$3046))</f>
        <v/>
      </c>
      <c r="R3078" s="208">
        <f>MIN(1,MAX(0,(nr_MEndP1-$G3078+0.5)/$C$3046))-MIN(1,MAX(0,(nr_MStartP1-1-$G3078+0.5)/$C$3046))</f>
        <v/>
      </c>
      <c r="S3078" s="208">
        <f>IF($L$3046,$N3078*IF($O$3046=1,$O3078/$F$3046,1),"")</f>
        <v/>
      </c>
      <c r="T3078" s="208">
        <f>IF(NOT($L$3046),"",IF($G3078&lt;nr_MStartP,$S3078,$T3066*(1+IF($G3078&lt;nr_MStartP1,$M$3046,$N$3046))))</f>
        <v/>
      </c>
      <c r="U3078" s="208">
        <f>IF($L$3046,$T3078,$N3078)</f>
        <v/>
      </c>
    </row>
    <row r="3079">
      <c r="A3079" s="145" t="n">
        <v>31</v>
      </c>
      <c r="B3079" s="204">
        <f>EDATE($B3078,1)</f>
        <v/>
      </c>
      <c r="C3079" s="205">
        <f>EOMONTH($B3079,0)</f>
        <v/>
      </c>
      <c r="D3079" s="201">
        <f>$C3079-$B3079+1</f>
        <v/>
      </c>
      <c r="E3079" s="201">
        <f>MONTH($B3079)</f>
        <v/>
      </c>
      <c r="F3079" s="235">
        <f>($B3079+$C3079+1)/2</f>
        <v/>
      </c>
      <c r="G3079" s="201">
        <f>YEAR($B3079)*12+MONTH($B3079)-1</f>
        <v/>
      </c>
      <c r="H3079" s="207">
        <f>IF(OR(nr_SeasonOn="OFF",$D$3046=0,$E$3046=0),1,12*INDEX(se_block,$D$3046,$E3079)/$E$3046)</f>
        <v/>
      </c>
      <c r="I3079" s="208">
        <f>EXP(SUMPRODUCT((rl_eff&lt;$B3079)*(rl_key=$A$3046)*rl_ln1p))</f>
        <v/>
      </c>
      <c r="J3079" s="208">
        <f>EXP(SUMPRODUCT((rl_eff&lt;=$C3079)*(rl_key=$A$3046)*rl_ln1p))</f>
        <v/>
      </c>
      <c r="K3079" s="201">
        <f>COUNTIFS(rl_key,$A$3046,rl_eff,"&gt;="&amp;$B3079,rl_eff,"&lt;="&amp;$C3079)</f>
        <v/>
      </c>
      <c r="L3079" s="201">
        <f>SUMIFS(rl_daysafter,rl_key,$A$3046,rl_effmonth,$B3079,rl_first,1)</f>
        <v/>
      </c>
      <c r="M3079" s="209">
        <f>IF($K3079=0,0,MIN(1,$L3079/$D3079))</f>
        <v/>
      </c>
      <c r="N3079" s="208">
        <f>IF($K3079=0,$J3079,(1-$M3079)*$I3079+$M3079*$J3079)</f>
        <v/>
      </c>
      <c r="O3079" s="209">
        <f>IF($F3079&lt;$B$3047,$E$3047+$I$3047*($F3079-$A$3047),IF($F3079&lt;$C$3047,$F$3047+$J$3047*($F3079-$B$3047),$G$3047+$K$3047*($F3079-$C$3047)))</f>
        <v/>
      </c>
      <c r="P3079" s="208">
        <f>MIN(1,MAX(0,(nr_MEndPm1-$G3079+0.5)/$C$3046))-MIN(1,MAX(0,(nr_MStartPm1-1-$G3079+0.5)/$C$3046))</f>
        <v/>
      </c>
      <c r="Q3079" s="208">
        <f>MIN(1,MAX(0,(nr_MEndP-$G3079+0.5)/$C$3046))-MIN(1,MAX(0,(nr_MStartP-1-$G3079+0.5)/$C$3046))</f>
        <v/>
      </c>
      <c r="R3079" s="208">
        <f>MIN(1,MAX(0,(nr_MEndP1-$G3079+0.5)/$C$3046))-MIN(1,MAX(0,(nr_MStartP1-1-$G3079+0.5)/$C$3046))</f>
        <v/>
      </c>
      <c r="S3079" s="208">
        <f>IF($L$3046,$N3079*IF($O$3046=1,$O3079/$F$3046,1),"")</f>
        <v/>
      </c>
      <c r="T3079" s="208">
        <f>IF(NOT($L$3046),"",IF($G3079&lt;nr_MStartP,$S3079,$T3067*(1+IF($G3079&lt;nr_MStartP1,$M$3046,$N$3046))))</f>
        <v/>
      </c>
      <c r="U3079" s="208">
        <f>IF($L$3046,$T3079,$N3079)</f>
        <v/>
      </c>
    </row>
    <row r="3080">
      <c r="A3080" s="145" t="n">
        <v>32</v>
      </c>
      <c r="B3080" s="204">
        <f>EDATE($B3079,1)</f>
        <v/>
      </c>
      <c r="C3080" s="205">
        <f>EOMONTH($B3080,0)</f>
        <v/>
      </c>
      <c r="D3080" s="201">
        <f>$C3080-$B3080+1</f>
        <v/>
      </c>
      <c r="E3080" s="201">
        <f>MONTH($B3080)</f>
        <v/>
      </c>
      <c r="F3080" s="235">
        <f>($B3080+$C3080+1)/2</f>
        <v/>
      </c>
      <c r="G3080" s="201">
        <f>YEAR($B3080)*12+MONTH($B3080)-1</f>
        <v/>
      </c>
      <c r="H3080" s="207">
        <f>IF(OR(nr_SeasonOn="OFF",$D$3046=0,$E$3046=0),1,12*INDEX(se_block,$D$3046,$E3080)/$E$3046)</f>
        <v/>
      </c>
      <c r="I3080" s="208">
        <f>EXP(SUMPRODUCT((rl_eff&lt;$B3080)*(rl_key=$A$3046)*rl_ln1p))</f>
        <v/>
      </c>
      <c r="J3080" s="208">
        <f>EXP(SUMPRODUCT((rl_eff&lt;=$C3080)*(rl_key=$A$3046)*rl_ln1p))</f>
        <v/>
      </c>
      <c r="K3080" s="201">
        <f>COUNTIFS(rl_key,$A$3046,rl_eff,"&gt;="&amp;$B3080,rl_eff,"&lt;="&amp;$C3080)</f>
        <v/>
      </c>
      <c r="L3080" s="201">
        <f>SUMIFS(rl_daysafter,rl_key,$A$3046,rl_effmonth,$B3080,rl_first,1)</f>
        <v/>
      </c>
      <c r="M3080" s="209">
        <f>IF($K3080=0,0,MIN(1,$L3080/$D3080))</f>
        <v/>
      </c>
      <c r="N3080" s="208">
        <f>IF($K3080=0,$J3080,(1-$M3080)*$I3080+$M3080*$J3080)</f>
        <v/>
      </c>
      <c r="O3080" s="209">
        <f>IF($F3080&lt;$B$3047,$E$3047+$I$3047*($F3080-$A$3047),IF($F3080&lt;$C$3047,$F$3047+$J$3047*($F3080-$B$3047),$G$3047+$K$3047*($F3080-$C$3047)))</f>
        <v/>
      </c>
      <c r="P3080" s="208">
        <f>MIN(1,MAX(0,(nr_MEndPm1-$G3080+0.5)/$C$3046))-MIN(1,MAX(0,(nr_MStartPm1-1-$G3080+0.5)/$C$3046))</f>
        <v/>
      </c>
      <c r="Q3080" s="208">
        <f>MIN(1,MAX(0,(nr_MEndP-$G3080+0.5)/$C$3046))-MIN(1,MAX(0,(nr_MStartP-1-$G3080+0.5)/$C$3046))</f>
        <v/>
      </c>
      <c r="R3080" s="208">
        <f>MIN(1,MAX(0,(nr_MEndP1-$G3080+0.5)/$C$3046))-MIN(1,MAX(0,(nr_MStartP1-1-$G3080+0.5)/$C$3046))</f>
        <v/>
      </c>
      <c r="S3080" s="208">
        <f>IF($L$3046,$N3080*IF($O$3046=1,$O3080/$F$3046,1),"")</f>
        <v/>
      </c>
      <c r="T3080" s="208">
        <f>IF(NOT($L$3046),"",IF($G3080&lt;nr_MStartP,$S3080,$T3068*(1+IF($G3080&lt;nr_MStartP1,$M$3046,$N$3046))))</f>
        <v/>
      </c>
      <c r="U3080" s="208">
        <f>IF($L$3046,$T3080,$N3080)</f>
        <v/>
      </c>
    </row>
    <row r="3081">
      <c r="A3081" s="145" t="n">
        <v>33</v>
      </c>
      <c r="B3081" s="204">
        <f>EDATE($B3080,1)</f>
        <v/>
      </c>
      <c r="C3081" s="205">
        <f>EOMONTH($B3081,0)</f>
        <v/>
      </c>
      <c r="D3081" s="201">
        <f>$C3081-$B3081+1</f>
        <v/>
      </c>
      <c r="E3081" s="201">
        <f>MONTH($B3081)</f>
        <v/>
      </c>
      <c r="F3081" s="235">
        <f>($B3081+$C3081+1)/2</f>
        <v/>
      </c>
      <c r="G3081" s="201">
        <f>YEAR($B3081)*12+MONTH($B3081)-1</f>
        <v/>
      </c>
      <c r="H3081" s="207">
        <f>IF(OR(nr_SeasonOn="OFF",$D$3046=0,$E$3046=0),1,12*INDEX(se_block,$D$3046,$E3081)/$E$3046)</f>
        <v/>
      </c>
      <c r="I3081" s="208">
        <f>EXP(SUMPRODUCT((rl_eff&lt;$B3081)*(rl_key=$A$3046)*rl_ln1p))</f>
        <v/>
      </c>
      <c r="J3081" s="208">
        <f>EXP(SUMPRODUCT((rl_eff&lt;=$C3081)*(rl_key=$A$3046)*rl_ln1p))</f>
        <v/>
      </c>
      <c r="K3081" s="201">
        <f>COUNTIFS(rl_key,$A$3046,rl_eff,"&gt;="&amp;$B3081,rl_eff,"&lt;="&amp;$C3081)</f>
        <v/>
      </c>
      <c r="L3081" s="201">
        <f>SUMIFS(rl_daysafter,rl_key,$A$3046,rl_effmonth,$B3081,rl_first,1)</f>
        <v/>
      </c>
      <c r="M3081" s="209">
        <f>IF($K3081=0,0,MIN(1,$L3081/$D3081))</f>
        <v/>
      </c>
      <c r="N3081" s="208">
        <f>IF($K3081=0,$J3081,(1-$M3081)*$I3081+$M3081*$J3081)</f>
        <v/>
      </c>
      <c r="O3081" s="209">
        <f>IF($F3081&lt;$B$3047,$E$3047+$I$3047*($F3081-$A$3047),IF($F3081&lt;$C$3047,$F$3047+$J$3047*($F3081-$B$3047),$G$3047+$K$3047*($F3081-$C$3047)))</f>
        <v/>
      </c>
      <c r="P3081" s="208">
        <f>MIN(1,MAX(0,(nr_MEndPm1-$G3081+0.5)/$C$3046))-MIN(1,MAX(0,(nr_MStartPm1-1-$G3081+0.5)/$C$3046))</f>
        <v/>
      </c>
      <c r="Q3081" s="208">
        <f>MIN(1,MAX(0,(nr_MEndP-$G3081+0.5)/$C$3046))-MIN(1,MAX(0,(nr_MStartP-1-$G3081+0.5)/$C$3046))</f>
        <v/>
      </c>
      <c r="R3081" s="208">
        <f>MIN(1,MAX(0,(nr_MEndP1-$G3081+0.5)/$C$3046))-MIN(1,MAX(0,(nr_MStartP1-1-$G3081+0.5)/$C$3046))</f>
        <v/>
      </c>
      <c r="S3081" s="208">
        <f>IF($L$3046,$N3081*IF($O$3046=1,$O3081/$F$3046,1),"")</f>
        <v/>
      </c>
      <c r="T3081" s="208">
        <f>IF(NOT($L$3046),"",IF($G3081&lt;nr_MStartP,$S3081,$T3069*(1+IF($G3081&lt;nr_MStartP1,$M$3046,$N$3046))))</f>
        <v/>
      </c>
      <c r="U3081" s="208">
        <f>IF($L$3046,$T3081,$N3081)</f>
        <v/>
      </c>
    </row>
    <row r="3082">
      <c r="A3082" s="145" t="n">
        <v>34</v>
      </c>
      <c r="B3082" s="204">
        <f>EDATE($B3081,1)</f>
        <v/>
      </c>
      <c r="C3082" s="205">
        <f>EOMONTH($B3082,0)</f>
        <v/>
      </c>
      <c r="D3082" s="201">
        <f>$C3082-$B3082+1</f>
        <v/>
      </c>
      <c r="E3082" s="201">
        <f>MONTH($B3082)</f>
        <v/>
      </c>
      <c r="F3082" s="235">
        <f>($B3082+$C3082+1)/2</f>
        <v/>
      </c>
      <c r="G3082" s="201">
        <f>YEAR($B3082)*12+MONTH($B3082)-1</f>
        <v/>
      </c>
      <c r="H3082" s="207">
        <f>IF(OR(nr_SeasonOn="OFF",$D$3046=0,$E$3046=0),1,12*INDEX(se_block,$D$3046,$E3082)/$E$3046)</f>
        <v/>
      </c>
      <c r="I3082" s="208">
        <f>EXP(SUMPRODUCT((rl_eff&lt;$B3082)*(rl_key=$A$3046)*rl_ln1p))</f>
        <v/>
      </c>
      <c r="J3082" s="208">
        <f>EXP(SUMPRODUCT((rl_eff&lt;=$C3082)*(rl_key=$A$3046)*rl_ln1p))</f>
        <v/>
      </c>
      <c r="K3082" s="201">
        <f>COUNTIFS(rl_key,$A$3046,rl_eff,"&gt;="&amp;$B3082,rl_eff,"&lt;="&amp;$C3082)</f>
        <v/>
      </c>
      <c r="L3082" s="201">
        <f>SUMIFS(rl_daysafter,rl_key,$A$3046,rl_effmonth,$B3082,rl_first,1)</f>
        <v/>
      </c>
      <c r="M3082" s="209">
        <f>IF($K3082=0,0,MIN(1,$L3082/$D3082))</f>
        <v/>
      </c>
      <c r="N3082" s="208">
        <f>IF($K3082=0,$J3082,(1-$M3082)*$I3082+$M3082*$J3082)</f>
        <v/>
      </c>
      <c r="O3082" s="209">
        <f>IF($F3082&lt;$B$3047,$E$3047+$I$3047*($F3082-$A$3047),IF($F3082&lt;$C$3047,$F$3047+$J$3047*($F3082-$B$3047),$G$3047+$K$3047*($F3082-$C$3047)))</f>
        <v/>
      </c>
      <c r="P3082" s="208">
        <f>MIN(1,MAX(0,(nr_MEndPm1-$G3082+0.5)/$C$3046))-MIN(1,MAX(0,(nr_MStartPm1-1-$G3082+0.5)/$C$3046))</f>
        <v/>
      </c>
      <c r="Q3082" s="208">
        <f>MIN(1,MAX(0,(nr_MEndP-$G3082+0.5)/$C$3046))-MIN(1,MAX(0,(nr_MStartP-1-$G3082+0.5)/$C$3046))</f>
        <v/>
      </c>
      <c r="R3082" s="208">
        <f>MIN(1,MAX(0,(nr_MEndP1-$G3082+0.5)/$C$3046))-MIN(1,MAX(0,(nr_MStartP1-1-$G3082+0.5)/$C$3046))</f>
        <v/>
      </c>
      <c r="S3082" s="208">
        <f>IF($L$3046,$N3082*IF($O$3046=1,$O3082/$F$3046,1),"")</f>
        <v/>
      </c>
      <c r="T3082" s="208">
        <f>IF(NOT($L$3046),"",IF($G3082&lt;nr_MStartP,$S3082,$T3070*(1+IF($G3082&lt;nr_MStartP1,$M$3046,$N$3046))))</f>
        <v/>
      </c>
      <c r="U3082" s="208">
        <f>IF($L$3046,$T3082,$N3082)</f>
        <v/>
      </c>
    </row>
    <row r="3083">
      <c r="A3083" s="145" t="n">
        <v>35</v>
      </c>
      <c r="B3083" s="204">
        <f>EDATE($B3082,1)</f>
        <v/>
      </c>
      <c r="C3083" s="205">
        <f>EOMONTH($B3083,0)</f>
        <v/>
      </c>
      <c r="D3083" s="201">
        <f>$C3083-$B3083+1</f>
        <v/>
      </c>
      <c r="E3083" s="201">
        <f>MONTH($B3083)</f>
        <v/>
      </c>
      <c r="F3083" s="235">
        <f>($B3083+$C3083+1)/2</f>
        <v/>
      </c>
      <c r="G3083" s="201">
        <f>YEAR($B3083)*12+MONTH($B3083)-1</f>
        <v/>
      </c>
      <c r="H3083" s="207">
        <f>IF(OR(nr_SeasonOn="OFF",$D$3046=0,$E$3046=0),1,12*INDEX(se_block,$D$3046,$E3083)/$E$3046)</f>
        <v/>
      </c>
      <c r="I3083" s="208">
        <f>EXP(SUMPRODUCT((rl_eff&lt;$B3083)*(rl_key=$A$3046)*rl_ln1p))</f>
        <v/>
      </c>
      <c r="J3083" s="208">
        <f>EXP(SUMPRODUCT((rl_eff&lt;=$C3083)*(rl_key=$A$3046)*rl_ln1p))</f>
        <v/>
      </c>
      <c r="K3083" s="201">
        <f>COUNTIFS(rl_key,$A$3046,rl_eff,"&gt;="&amp;$B3083,rl_eff,"&lt;="&amp;$C3083)</f>
        <v/>
      </c>
      <c r="L3083" s="201">
        <f>SUMIFS(rl_daysafter,rl_key,$A$3046,rl_effmonth,$B3083,rl_first,1)</f>
        <v/>
      </c>
      <c r="M3083" s="209">
        <f>IF($K3083=0,0,MIN(1,$L3083/$D3083))</f>
        <v/>
      </c>
      <c r="N3083" s="208">
        <f>IF($K3083=0,$J3083,(1-$M3083)*$I3083+$M3083*$J3083)</f>
        <v/>
      </c>
      <c r="O3083" s="209">
        <f>IF($F3083&lt;$B$3047,$E$3047+$I$3047*($F3083-$A$3047),IF($F3083&lt;$C$3047,$F$3047+$J$3047*($F3083-$B$3047),$G$3047+$K$3047*($F3083-$C$3047)))</f>
        <v/>
      </c>
      <c r="P3083" s="208">
        <f>MIN(1,MAX(0,(nr_MEndPm1-$G3083+0.5)/$C$3046))-MIN(1,MAX(0,(nr_MStartPm1-1-$G3083+0.5)/$C$3046))</f>
        <v/>
      </c>
      <c r="Q3083" s="208">
        <f>MIN(1,MAX(0,(nr_MEndP-$G3083+0.5)/$C$3046))-MIN(1,MAX(0,(nr_MStartP-1-$G3083+0.5)/$C$3046))</f>
        <v/>
      </c>
      <c r="R3083" s="208">
        <f>MIN(1,MAX(0,(nr_MEndP1-$G3083+0.5)/$C$3046))-MIN(1,MAX(0,(nr_MStartP1-1-$G3083+0.5)/$C$3046))</f>
        <v/>
      </c>
      <c r="S3083" s="208">
        <f>IF($L$3046,$N3083*IF($O$3046=1,$O3083/$F$3046,1),"")</f>
        <v/>
      </c>
      <c r="T3083" s="208">
        <f>IF(NOT($L$3046),"",IF($G3083&lt;nr_MStartP,$S3083,$T3071*(1+IF($G3083&lt;nr_MStartP1,$M$3046,$N$3046))))</f>
        <v/>
      </c>
      <c r="U3083" s="208">
        <f>IF($L$3046,$T3083,$N3083)</f>
        <v/>
      </c>
    </row>
    <row r="3084">
      <c r="A3084" s="145" t="n">
        <v>36</v>
      </c>
      <c r="B3084" s="204">
        <f>EDATE($B3083,1)</f>
        <v/>
      </c>
      <c r="C3084" s="205">
        <f>EOMONTH($B3084,0)</f>
        <v/>
      </c>
      <c r="D3084" s="201">
        <f>$C3084-$B3084+1</f>
        <v/>
      </c>
      <c r="E3084" s="201">
        <f>MONTH($B3084)</f>
        <v/>
      </c>
      <c r="F3084" s="235">
        <f>($B3084+$C3084+1)/2</f>
        <v/>
      </c>
      <c r="G3084" s="201">
        <f>YEAR($B3084)*12+MONTH($B3084)-1</f>
        <v/>
      </c>
      <c r="H3084" s="207">
        <f>IF(OR(nr_SeasonOn="OFF",$D$3046=0,$E$3046=0),1,12*INDEX(se_block,$D$3046,$E3084)/$E$3046)</f>
        <v/>
      </c>
      <c r="I3084" s="208">
        <f>EXP(SUMPRODUCT((rl_eff&lt;$B3084)*(rl_key=$A$3046)*rl_ln1p))</f>
        <v/>
      </c>
      <c r="J3084" s="208">
        <f>EXP(SUMPRODUCT((rl_eff&lt;=$C3084)*(rl_key=$A$3046)*rl_ln1p))</f>
        <v/>
      </c>
      <c r="K3084" s="201">
        <f>COUNTIFS(rl_key,$A$3046,rl_eff,"&gt;="&amp;$B3084,rl_eff,"&lt;="&amp;$C3084)</f>
        <v/>
      </c>
      <c r="L3084" s="201">
        <f>SUMIFS(rl_daysafter,rl_key,$A$3046,rl_effmonth,$B3084,rl_first,1)</f>
        <v/>
      </c>
      <c r="M3084" s="209">
        <f>IF($K3084=0,0,MIN(1,$L3084/$D3084))</f>
        <v/>
      </c>
      <c r="N3084" s="208">
        <f>IF($K3084=0,$J3084,(1-$M3084)*$I3084+$M3084*$J3084)</f>
        <v/>
      </c>
      <c r="O3084" s="209">
        <f>IF($F3084&lt;$B$3047,$E$3047+$I$3047*($F3084-$A$3047),IF($F3084&lt;$C$3047,$F$3047+$J$3047*($F3084-$B$3047),$G$3047+$K$3047*($F3084-$C$3047)))</f>
        <v/>
      </c>
      <c r="P3084" s="208">
        <f>MIN(1,MAX(0,(nr_MEndPm1-$G3084+0.5)/$C$3046))-MIN(1,MAX(0,(nr_MStartPm1-1-$G3084+0.5)/$C$3046))</f>
        <v/>
      </c>
      <c r="Q3084" s="208">
        <f>MIN(1,MAX(0,(nr_MEndP-$G3084+0.5)/$C$3046))-MIN(1,MAX(0,(nr_MStartP-1-$G3084+0.5)/$C$3046))</f>
        <v/>
      </c>
      <c r="R3084" s="208">
        <f>MIN(1,MAX(0,(nr_MEndP1-$G3084+0.5)/$C$3046))-MIN(1,MAX(0,(nr_MStartP1-1-$G3084+0.5)/$C$3046))</f>
        <v/>
      </c>
      <c r="S3084" s="208">
        <f>IF($L$3046,$N3084*IF($O$3046=1,$O3084/$F$3046,1),"")</f>
        <v/>
      </c>
      <c r="T3084" s="208">
        <f>IF(NOT($L$3046),"",IF($G3084&lt;nr_MStartP,$S3084,$T3072*(1+IF($G3084&lt;nr_MStartP1,$M$3046,$N$3046))))</f>
        <v/>
      </c>
      <c r="U3084" s="208">
        <f>IF($L$3046,$T3084,$N3084)</f>
        <v/>
      </c>
    </row>
    <row r="3085">
      <c r="A3085" s="145" t="n">
        <v>37</v>
      </c>
      <c r="B3085" s="204">
        <f>EDATE($B3084,1)</f>
        <v/>
      </c>
      <c r="C3085" s="205">
        <f>EOMONTH($B3085,0)</f>
        <v/>
      </c>
      <c r="D3085" s="201">
        <f>$C3085-$B3085+1</f>
        <v/>
      </c>
      <c r="E3085" s="201">
        <f>MONTH($B3085)</f>
        <v/>
      </c>
      <c r="F3085" s="235">
        <f>($B3085+$C3085+1)/2</f>
        <v/>
      </c>
      <c r="G3085" s="201">
        <f>YEAR($B3085)*12+MONTH($B3085)-1</f>
        <v/>
      </c>
      <c r="H3085" s="207">
        <f>IF(OR(nr_SeasonOn="OFF",$D$3046=0,$E$3046=0),1,12*INDEX(se_block,$D$3046,$E3085)/$E$3046)</f>
        <v/>
      </c>
      <c r="I3085" s="208">
        <f>EXP(SUMPRODUCT((rl_eff&lt;$B3085)*(rl_key=$A$3046)*rl_ln1p))</f>
        <v/>
      </c>
      <c r="J3085" s="208">
        <f>EXP(SUMPRODUCT((rl_eff&lt;=$C3085)*(rl_key=$A$3046)*rl_ln1p))</f>
        <v/>
      </c>
      <c r="K3085" s="201">
        <f>COUNTIFS(rl_key,$A$3046,rl_eff,"&gt;="&amp;$B3085,rl_eff,"&lt;="&amp;$C3085)</f>
        <v/>
      </c>
      <c r="L3085" s="201">
        <f>SUMIFS(rl_daysafter,rl_key,$A$3046,rl_effmonth,$B3085,rl_first,1)</f>
        <v/>
      </c>
      <c r="M3085" s="209">
        <f>IF($K3085=0,0,MIN(1,$L3085/$D3085))</f>
        <v/>
      </c>
      <c r="N3085" s="208">
        <f>IF($K3085=0,$J3085,(1-$M3085)*$I3085+$M3085*$J3085)</f>
        <v/>
      </c>
      <c r="O3085" s="209">
        <f>IF($F3085&lt;$B$3047,$E$3047+$I$3047*($F3085-$A$3047),IF($F3085&lt;$C$3047,$F$3047+$J$3047*($F3085-$B$3047),$G$3047+$K$3047*($F3085-$C$3047)))</f>
        <v/>
      </c>
      <c r="P3085" s="208">
        <f>MIN(1,MAX(0,(nr_MEndPm1-$G3085+0.5)/$C$3046))-MIN(1,MAX(0,(nr_MStartPm1-1-$G3085+0.5)/$C$3046))</f>
        <v/>
      </c>
      <c r="Q3085" s="208">
        <f>MIN(1,MAX(0,(nr_MEndP-$G3085+0.5)/$C$3046))-MIN(1,MAX(0,(nr_MStartP-1-$G3085+0.5)/$C$3046))</f>
        <v/>
      </c>
      <c r="R3085" s="208">
        <f>MIN(1,MAX(0,(nr_MEndP1-$G3085+0.5)/$C$3046))-MIN(1,MAX(0,(nr_MStartP1-1-$G3085+0.5)/$C$3046))</f>
        <v/>
      </c>
      <c r="S3085" s="208">
        <f>IF($L$3046,$N3085*IF($O$3046=1,$O3085/$F$3046,1),"")</f>
        <v/>
      </c>
      <c r="T3085" s="208">
        <f>IF(NOT($L$3046),"",IF($G3085&lt;nr_MStartP,$S3085,$T3073*(1+IF($G3085&lt;nr_MStartP1,$M$3046,$N$3046))))</f>
        <v/>
      </c>
      <c r="U3085" s="208">
        <f>IF($L$3046,$T3085,$N3085)</f>
        <v/>
      </c>
    </row>
    <row r="3086">
      <c r="A3086" s="145" t="n">
        <v>38</v>
      </c>
      <c r="B3086" s="204">
        <f>EDATE($B3085,1)</f>
        <v/>
      </c>
      <c r="C3086" s="205">
        <f>EOMONTH($B3086,0)</f>
        <v/>
      </c>
      <c r="D3086" s="201">
        <f>$C3086-$B3086+1</f>
        <v/>
      </c>
      <c r="E3086" s="201">
        <f>MONTH($B3086)</f>
        <v/>
      </c>
      <c r="F3086" s="235">
        <f>($B3086+$C3086+1)/2</f>
        <v/>
      </c>
      <c r="G3086" s="201">
        <f>YEAR($B3086)*12+MONTH($B3086)-1</f>
        <v/>
      </c>
      <c r="H3086" s="207">
        <f>IF(OR(nr_SeasonOn="OFF",$D$3046=0,$E$3046=0),1,12*INDEX(se_block,$D$3046,$E3086)/$E$3046)</f>
        <v/>
      </c>
      <c r="I3086" s="208">
        <f>EXP(SUMPRODUCT((rl_eff&lt;$B3086)*(rl_key=$A$3046)*rl_ln1p))</f>
        <v/>
      </c>
      <c r="J3086" s="208">
        <f>EXP(SUMPRODUCT((rl_eff&lt;=$C3086)*(rl_key=$A$3046)*rl_ln1p))</f>
        <v/>
      </c>
      <c r="K3086" s="201">
        <f>COUNTIFS(rl_key,$A$3046,rl_eff,"&gt;="&amp;$B3086,rl_eff,"&lt;="&amp;$C3086)</f>
        <v/>
      </c>
      <c r="L3086" s="201">
        <f>SUMIFS(rl_daysafter,rl_key,$A$3046,rl_effmonth,$B3086,rl_first,1)</f>
        <v/>
      </c>
      <c r="M3086" s="209">
        <f>IF($K3086=0,0,MIN(1,$L3086/$D3086))</f>
        <v/>
      </c>
      <c r="N3086" s="208">
        <f>IF($K3086=0,$J3086,(1-$M3086)*$I3086+$M3086*$J3086)</f>
        <v/>
      </c>
      <c r="O3086" s="209">
        <f>IF($F3086&lt;$B$3047,$E$3047+$I$3047*($F3086-$A$3047),IF($F3086&lt;$C$3047,$F$3047+$J$3047*($F3086-$B$3047),$G$3047+$K$3047*($F3086-$C$3047)))</f>
        <v/>
      </c>
      <c r="P3086" s="208">
        <f>MIN(1,MAX(0,(nr_MEndPm1-$G3086+0.5)/$C$3046))-MIN(1,MAX(0,(nr_MStartPm1-1-$G3086+0.5)/$C$3046))</f>
        <v/>
      </c>
      <c r="Q3086" s="208">
        <f>MIN(1,MAX(0,(nr_MEndP-$G3086+0.5)/$C$3046))-MIN(1,MAX(0,(nr_MStartP-1-$G3086+0.5)/$C$3046))</f>
        <v/>
      </c>
      <c r="R3086" s="208">
        <f>MIN(1,MAX(0,(nr_MEndP1-$G3086+0.5)/$C$3046))-MIN(1,MAX(0,(nr_MStartP1-1-$G3086+0.5)/$C$3046))</f>
        <v/>
      </c>
      <c r="S3086" s="208">
        <f>IF($L$3046,$N3086*IF($O$3046=1,$O3086/$F$3046,1),"")</f>
        <v/>
      </c>
      <c r="T3086" s="208">
        <f>IF(NOT($L$3046),"",IF($G3086&lt;nr_MStartP,$S3086,$T3074*(1+IF($G3086&lt;nr_MStartP1,$M$3046,$N$3046))))</f>
        <v/>
      </c>
      <c r="U3086" s="208">
        <f>IF($L$3046,$T3086,$N3086)</f>
        <v/>
      </c>
    </row>
    <row r="3087">
      <c r="A3087" s="145" t="n">
        <v>39</v>
      </c>
      <c r="B3087" s="204">
        <f>EDATE($B3086,1)</f>
        <v/>
      </c>
      <c r="C3087" s="205">
        <f>EOMONTH($B3087,0)</f>
        <v/>
      </c>
      <c r="D3087" s="201">
        <f>$C3087-$B3087+1</f>
        <v/>
      </c>
      <c r="E3087" s="201">
        <f>MONTH($B3087)</f>
        <v/>
      </c>
      <c r="F3087" s="235">
        <f>($B3087+$C3087+1)/2</f>
        <v/>
      </c>
      <c r="G3087" s="201">
        <f>YEAR($B3087)*12+MONTH($B3087)-1</f>
        <v/>
      </c>
      <c r="H3087" s="207">
        <f>IF(OR(nr_SeasonOn="OFF",$D$3046=0,$E$3046=0),1,12*INDEX(se_block,$D$3046,$E3087)/$E$3046)</f>
        <v/>
      </c>
      <c r="I3087" s="208">
        <f>EXP(SUMPRODUCT((rl_eff&lt;$B3087)*(rl_key=$A$3046)*rl_ln1p))</f>
        <v/>
      </c>
      <c r="J3087" s="208">
        <f>EXP(SUMPRODUCT((rl_eff&lt;=$C3087)*(rl_key=$A$3046)*rl_ln1p))</f>
        <v/>
      </c>
      <c r="K3087" s="201">
        <f>COUNTIFS(rl_key,$A$3046,rl_eff,"&gt;="&amp;$B3087,rl_eff,"&lt;="&amp;$C3087)</f>
        <v/>
      </c>
      <c r="L3087" s="201">
        <f>SUMIFS(rl_daysafter,rl_key,$A$3046,rl_effmonth,$B3087,rl_first,1)</f>
        <v/>
      </c>
      <c r="M3087" s="209">
        <f>IF($K3087=0,0,MIN(1,$L3087/$D3087))</f>
        <v/>
      </c>
      <c r="N3087" s="208">
        <f>IF($K3087=0,$J3087,(1-$M3087)*$I3087+$M3087*$J3087)</f>
        <v/>
      </c>
      <c r="O3087" s="209">
        <f>IF($F3087&lt;$B$3047,$E$3047+$I$3047*($F3087-$A$3047),IF($F3087&lt;$C$3047,$F$3047+$J$3047*($F3087-$B$3047),$G$3047+$K$3047*($F3087-$C$3047)))</f>
        <v/>
      </c>
      <c r="P3087" s="208">
        <f>MIN(1,MAX(0,(nr_MEndPm1-$G3087+0.5)/$C$3046))-MIN(1,MAX(0,(nr_MStartPm1-1-$G3087+0.5)/$C$3046))</f>
        <v/>
      </c>
      <c r="Q3087" s="208">
        <f>MIN(1,MAX(0,(nr_MEndP-$G3087+0.5)/$C$3046))-MIN(1,MAX(0,(nr_MStartP-1-$G3087+0.5)/$C$3046))</f>
        <v/>
      </c>
      <c r="R3087" s="208">
        <f>MIN(1,MAX(0,(nr_MEndP1-$G3087+0.5)/$C$3046))-MIN(1,MAX(0,(nr_MStartP1-1-$G3087+0.5)/$C$3046))</f>
        <v/>
      </c>
      <c r="S3087" s="208">
        <f>IF($L$3046,$N3087*IF($O$3046=1,$O3087/$F$3046,1),"")</f>
        <v/>
      </c>
      <c r="T3087" s="208">
        <f>IF(NOT($L$3046),"",IF($G3087&lt;nr_MStartP,$S3087,$T3075*(1+IF($G3087&lt;nr_MStartP1,$M$3046,$N$3046))))</f>
        <v/>
      </c>
      <c r="U3087" s="208">
        <f>IF($L$3046,$T3087,$N3087)</f>
        <v/>
      </c>
    </row>
    <row r="3088">
      <c r="A3088" s="145" t="n">
        <v>40</v>
      </c>
      <c r="B3088" s="204">
        <f>EDATE($B3087,1)</f>
        <v/>
      </c>
      <c r="C3088" s="205">
        <f>EOMONTH($B3088,0)</f>
        <v/>
      </c>
      <c r="D3088" s="201">
        <f>$C3088-$B3088+1</f>
        <v/>
      </c>
      <c r="E3088" s="201">
        <f>MONTH($B3088)</f>
        <v/>
      </c>
      <c r="F3088" s="235">
        <f>($B3088+$C3088+1)/2</f>
        <v/>
      </c>
      <c r="G3088" s="201">
        <f>YEAR($B3088)*12+MONTH($B3088)-1</f>
        <v/>
      </c>
      <c r="H3088" s="207">
        <f>IF(OR(nr_SeasonOn="OFF",$D$3046=0,$E$3046=0),1,12*INDEX(se_block,$D$3046,$E3088)/$E$3046)</f>
        <v/>
      </c>
      <c r="I3088" s="208">
        <f>EXP(SUMPRODUCT((rl_eff&lt;$B3088)*(rl_key=$A$3046)*rl_ln1p))</f>
        <v/>
      </c>
      <c r="J3088" s="208">
        <f>EXP(SUMPRODUCT((rl_eff&lt;=$C3088)*(rl_key=$A$3046)*rl_ln1p))</f>
        <v/>
      </c>
      <c r="K3088" s="201">
        <f>COUNTIFS(rl_key,$A$3046,rl_eff,"&gt;="&amp;$B3088,rl_eff,"&lt;="&amp;$C3088)</f>
        <v/>
      </c>
      <c r="L3088" s="201">
        <f>SUMIFS(rl_daysafter,rl_key,$A$3046,rl_effmonth,$B3088,rl_first,1)</f>
        <v/>
      </c>
      <c r="M3088" s="209">
        <f>IF($K3088=0,0,MIN(1,$L3088/$D3088))</f>
        <v/>
      </c>
      <c r="N3088" s="208">
        <f>IF($K3088=0,$J3088,(1-$M3088)*$I3088+$M3088*$J3088)</f>
        <v/>
      </c>
      <c r="O3088" s="209">
        <f>IF($F3088&lt;$B$3047,$E$3047+$I$3047*($F3088-$A$3047),IF($F3088&lt;$C$3047,$F$3047+$J$3047*($F3088-$B$3047),$G$3047+$K$3047*($F3088-$C$3047)))</f>
        <v/>
      </c>
      <c r="P3088" s="208">
        <f>MIN(1,MAX(0,(nr_MEndPm1-$G3088+0.5)/$C$3046))-MIN(1,MAX(0,(nr_MStartPm1-1-$G3088+0.5)/$C$3046))</f>
        <v/>
      </c>
      <c r="Q3088" s="208">
        <f>MIN(1,MAX(0,(nr_MEndP-$G3088+0.5)/$C$3046))-MIN(1,MAX(0,(nr_MStartP-1-$G3088+0.5)/$C$3046))</f>
        <v/>
      </c>
      <c r="R3088" s="208">
        <f>MIN(1,MAX(0,(nr_MEndP1-$G3088+0.5)/$C$3046))-MIN(1,MAX(0,(nr_MStartP1-1-$G3088+0.5)/$C$3046))</f>
        <v/>
      </c>
      <c r="S3088" s="208">
        <f>IF($L$3046,$N3088*IF($O$3046=1,$O3088/$F$3046,1),"")</f>
        <v/>
      </c>
      <c r="T3088" s="208">
        <f>IF(NOT($L$3046),"",IF($G3088&lt;nr_MStartP,$S3088,$T3076*(1+IF($G3088&lt;nr_MStartP1,$M$3046,$N$3046))))</f>
        <v/>
      </c>
      <c r="U3088" s="208">
        <f>IF($L$3046,$T3088,$N3088)</f>
        <v/>
      </c>
    </row>
    <row r="3089">
      <c r="A3089" s="145" t="n">
        <v>41</v>
      </c>
      <c r="B3089" s="204">
        <f>EDATE($B3088,1)</f>
        <v/>
      </c>
      <c r="C3089" s="205">
        <f>EOMONTH($B3089,0)</f>
        <v/>
      </c>
      <c r="D3089" s="201">
        <f>$C3089-$B3089+1</f>
        <v/>
      </c>
      <c r="E3089" s="201">
        <f>MONTH($B3089)</f>
        <v/>
      </c>
      <c r="F3089" s="235">
        <f>($B3089+$C3089+1)/2</f>
        <v/>
      </c>
      <c r="G3089" s="201">
        <f>YEAR($B3089)*12+MONTH($B3089)-1</f>
        <v/>
      </c>
      <c r="H3089" s="207">
        <f>IF(OR(nr_SeasonOn="OFF",$D$3046=0,$E$3046=0),1,12*INDEX(se_block,$D$3046,$E3089)/$E$3046)</f>
        <v/>
      </c>
      <c r="I3089" s="208">
        <f>EXP(SUMPRODUCT((rl_eff&lt;$B3089)*(rl_key=$A$3046)*rl_ln1p))</f>
        <v/>
      </c>
      <c r="J3089" s="208">
        <f>EXP(SUMPRODUCT((rl_eff&lt;=$C3089)*(rl_key=$A$3046)*rl_ln1p))</f>
        <v/>
      </c>
      <c r="K3089" s="201">
        <f>COUNTIFS(rl_key,$A$3046,rl_eff,"&gt;="&amp;$B3089,rl_eff,"&lt;="&amp;$C3089)</f>
        <v/>
      </c>
      <c r="L3089" s="201">
        <f>SUMIFS(rl_daysafter,rl_key,$A$3046,rl_effmonth,$B3089,rl_first,1)</f>
        <v/>
      </c>
      <c r="M3089" s="209">
        <f>IF($K3089=0,0,MIN(1,$L3089/$D3089))</f>
        <v/>
      </c>
      <c r="N3089" s="208">
        <f>IF($K3089=0,$J3089,(1-$M3089)*$I3089+$M3089*$J3089)</f>
        <v/>
      </c>
      <c r="O3089" s="209">
        <f>IF($F3089&lt;$B$3047,$E$3047+$I$3047*($F3089-$A$3047),IF($F3089&lt;$C$3047,$F$3047+$J$3047*($F3089-$B$3047),$G$3047+$K$3047*($F3089-$C$3047)))</f>
        <v/>
      </c>
      <c r="P3089" s="208">
        <f>MIN(1,MAX(0,(nr_MEndPm1-$G3089+0.5)/$C$3046))-MIN(1,MAX(0,(nr_MStartPm1-1-$G3089+0.5)/$C$3046))</f>
        <v/>
      </c>
      <c r="Q3089" s="208">
        <f>MIN(1,MAX(0,(nr_MEndP-$G3089+0.5)/$C$3046))-MIN(1,MAX(0,(nr_MStartP-1-$G3089+0.5)/$C$3046))</f>
        <v/>
      </c>
      <c r="R3089" s="208">
        <f>MIN(1,MAX(0,(nr_MEndP1-$G3089+0.5)/$C$3046))-MIN(1,MAX(0,(nr_MStartP1-1-$G3089+0.5)/$C$3046))</f>
        <v/>
      </c>
      <c r="S3089" s="208">
        <f>IF($L$3046,$N3089*IF($O$3046=1,$O3089/$F$3046,1),"")</f>
        <v/>
      </c>
      <c r="T3089" s="208">
        <f>IF(NOT($L$3046),"",IF($G3089&lt;nr_MStartP,$S3089,$T3077*(1+IF($G3089&lt;nr_MStartP1,$M$3046,$N$3046))))</f>
        <v/>
      </c>
      <c r="U3089" s="208">
        <f>IF($L$3046,$T3089,$N3089)</f>
        <v/>
      </c>
    </row>
    <row r="3090">
      <c r="A3090" s="145" t="n">
        <v>42</v>
      </c>
      <c r="B3090" s="204">
        <f>EDATE($B3089,1)</f>
        <v/>
      </c>
      <c r="C3090" s="205">
        <f>EOMONTH($B3090,0)</f>
        <v/>
      </c>
      <c r="D3090" s="201">
        <f>$C3090-$B3090+1</f>
        <v/>
      </c>
      <c r="E3090" s="201">
        <f>MONTH($B3090)</f>
        <v/>
      </c>
      <c r="F3090" s="235">
        <f>($B3090+$C3090+1)/2</f>
        <v/>
      </c>
      <c r="G3090" s="201">
        <f>YEAR($B3090)*12+MONTH($B3090)-1</f>
        <v/>
      </c>
      <c r="H3090" s="207">
        <f>IF(OR(nr_SeasonOn="OFF",$D$3046=0,$E$3046=0),1,12*INDEX(se_block,$D$3046,$E3090)/$E$3046)</f>
        <v/>
      </c>
      <c r="I3090" s="208">
        <f>EXP(SUMPRODUCT((rl_eff&lt;$B3090)*(rl_key=$A$3046)*rl_ln1p))</f>
        <v/>
      </c>
      <c r="J3090" s="208">
        <f>EXP(SUMPRODUCT((rl_eff&lt;=$C3090)*(rl_key=$A$3046)*rl_ln1p))</f>
        <v/>
      </c>
      <c r="K3090" s="201">
        <f>COUNTIFS(rl_key,$A$3046,rl_eff,"&gt;="&amp;$B3090,rl_eff,"&lt;="&amp;$C3090)</f>
        <v/>
      </c>
      <c r="L3090" s="201">
        <f>SUMIFS(rl_daysafter,rl_key,$A$3046,rl_effmonth,$B3090,rl_first,1)</f>
        <v/>
      </c>
      <c r="M3090" s="209">
        <f>IF($K3090=0,0,MIN(1,$L3090/$D3090))</f>
        <v/>
      </c>
      <c r="N3090" s="208">
        <f>IF($K3090=0,$J3090,(1-$M3090)*$I3090+$M3090*$J3090)</f>
        <v/>
      </c>
      <c r="O3090" s="209">
        <f>IF($F3090&lt;$B$3047,$E$3047+$I$3047*($F3090-$A$3047),IF($F3090&lt;$C$3047,$F$3047+$J$3047*($F3090-$B$3047),$G$3047+$K$3047*($F3090-$C$3047)))</f>
        <v/>
      </c>
      <c r="P3090" s="208">
        <f>MIN(1,MAX(0,(nr_MEndPm1-$G3090+0.5)/$C$3046))-MIN(1,MAX(0,(nr_MStartPm1-1-$G3090+0.5)/$C$3046))</f>
        <v/>
      </c>
      <c r="Q3090" s="208">
        <f>MIN(1,MAX(0,(nr_MEndP-$G3090+0.5)/$C$3046))-MIN(1,MAX(0,(nr_MStartP-1-$G3090+0.5)/$C$3046))</f>
        <v/>
      </c>
      <c r="R3090" s="208">
        <f>MIN(1,MAX(0,(nr_MEndP1-$G3090+0.5)/$C$3046))-MIN(1,MAX(0,(nr_MStartP1-1-$G3090+0.5)/$C$3046))</f>
        <v/>
      </c>
      <c r="S3090" s="208">
        <f>IF($L$3046,$N3090*IF($O$3046=1,$O3090/$F$3046,1),"")</f>
        <v/>
      </c>
      <c r="T3090" s="208">
        <f>IF(NOT($L$3046),"",IF($G3090&lt;nr_MStartP,$S3090,$T3078*(1+IF($G3090&lt;nr_MStartP1,$M$3046,$N$3046))))</f>
        <v/>
      </c>
      <c r="U3090" s="208">
        <f>IF($L$3046,$T3090,$N3090)</f>
        <v/>
      </c>
    </row>
    <row r="3091">
      <c r="A3091" s="145" t="n">
        <v>43</v>
      </c>
      <c r="B3091" s="204">
        <f>EDATE($B3090,1)</f>
        <v/>
      </c>
      <c r="C3091" s="205">
        <f>EOMONTH($B3091,0)</f>
        <v/>
      </c>
      <c r="D3091" s="201">
        <f>$C3091-$B3091+1</f>
        <v/>
      </c>
      <c r="E3091" s="201">
        <f>MONTH($B3091)</f>
        <v/>
      </c>
      <c r="F3091" s="235">
        <f>($B3091+$C3091+1)/2</f>
        <v/>
      </c>
      <c r="G3091" s="201">
        <f>YEAR($B3091)*12+MONTH($B3091)-1</f>
        <v/>
      </c>
      <c r="H3091" s="207">
        <f>IF(OR(nr_SeasonOn="OFF",$D$3046=0,$E$3046=0),1,12*INDEX(se_block,$D$3046,$E3091)/$E$3046)</f>
        <v/>
      </c>
      <c r="I3091" s="208">
        <f>EXP(SUMPRODUCT((rl_eff&lt;$B3091)*(rl_key=$A$3046)*rl_ln1p))</f>
        <v/>
      </c>
      <c r="J3091" s="208">
        <f>EXP(SUMPRODUCT((rl_eff&lt;=$C3091)*(rl_key=$A$3046)*rl_ln1p))</f>
        <v/>
      </c>
      <c r="K3091" s="201">
        <f>COUNTIFS(rl_key,$A$3046,rl_eff,"&gt;="&amp;$B3091,rl_eff,"&lt;="&amp;$C3091)</f>
        <v/>
      </c>
      <c r="L3091" s="201">
        <f>SUMIFS(rl_daysafter,rl_key,$A$3046,rl_effmonth,$B3091,rl_first,1)</f>
        <v/>
      </c>
      <c r="M3091" s="209">
        <f>IF($K3091=0,0,MIN(1,$L3091/$D3091))</f>
        <v/>
      </c>
      <c r="N3091" s="208">
        <f>IF($K3091=0,$J3091,(1-$M3091)*$I3091+$M3091*$J3091)</f>
        <v/>
      </c>
      <c r="O3091" s="209">
        <f>IF($F3091&lt;$B$3047,$E$3047+$I$3047*($F3091-$A$3047),IF($F3091&lt;$C$3047,$F$3047+$J$3047*($F3091-$B$3047),$G$3047+$K$3047*($F3091-$C$3047)))</f>
        <v/>
      </c>
      <c r="P3091" s="208">
        <f>MIN(1,MAX(0,(nr_MEndPm1-$G3091+0.5)/$C$3046))-MIN(1,MAX(0,(nr_MStartPm1-1-$G3091+0.5)/$C$3046))</f>
        <v/>
      </c>
      <c r="Q3091" s="208">
        <f>MIN(1,MAX(0,(nr_MEndP-$G3091+0.5)/$C$3046))-MIN(1,MAX(0,(nr_MStartP-1-$G3091+0.5)/$C$3046))</f>
        <v/>
      </c>
      <c r="R3091" s="208">
        <f>MIN(1,MAX(0,(nr_MEndP1-$G3091+0.5)/$C$3046))-MIN(1,MAX(0,(nr_MStartP1-1-$G3091+0.5)/$C$3046))</f>
        <v/>
      </c>
      <c r="S3091" s="208">
        <f>IF($L$3046,$N3091*IF($O$3046=1,$O3091/$F$3046,1),"")</f>
        <v/>
      </c>
      <c r="T3091" s="208">
        <f>IF(NOT($L$3046),"",IF($G3091&lt;nr_MStartP,$S3091,$T3079*(1+IF($G3091&lt;nr_MStartP1,$M$3046,$N$3046))))</f>
        <v/>
      </c>
      <c r="U3091" s="208">
        <f>IF($L$3046,$T3091,$N3091)</f>
        <v/>
      </c>
    </row>
    <row r="3092">
      <c r="A3092" s="145" t="n">
        <v>44</v>
      </c>
      <c r="B3092" s="204">
        <f>EDATE($B3091,1)</f>
        <v/>
      </c>
      <c r="C3092" s="205">
        <f>EOMONTH($B3092,0)</f>
        <v/>
      </c>
      <c r="D3092" s="201">
        <f>$C3092-$B3092+1</f>
        <v/>
      </c>
      <c r="E3092" s="201">
        <f>MONTH($B3092)</f>
        <v/>
      </c>
      <c r="F3092" s="235">
        <f>($B3092+$C3092+1)/2</f>
        <v/>
      </c>
      <c r="G3092" s="201">
        <f>YEAR($B3092)*12+MONTH($B3092)-1</f>
        <v/>
      </c>
      <c r="H3092" s="207">
        <f>IF(OR(nr_SeasonOn="OFF",$D$3046=0,$E$3046=0),1,12*INDEX(se_block,$D$3046,$E3092)/$E$3046)</f>
        <v/>
      </c>
      <c r="I3092" s="208">
        <f>EXP(SUMPRODUCT((rl_eff&lt;$B3092)*(rl_key=$A$3046)*rl_ln1p))</f>
        <v/>
      </c>
      <c r="J3092" s="208">
        <f>EXP(SUMPRODUCT((rl_eff&lt;=$C3092)*(rl_key=$A$3046)*rl_ln1p))</f>
        <v/>
      </c>
      <c r="K3092" s="201">
        <f>COUNTIFS(rl_key,$A$3046,rl_eff,"&gt;="&amp;$B3092,rl_eff,"&lt;="&amp;$C3092)</f>
        <v/>
      </c>
      <c r="L3092" s="201">
        <f>SUMIFS(rl_daysafter,rl_key,$A$3046,rl_effmonth,$B3092,rl_first,1)</f>
        <v/>
      </c>
      <c r="M3092" s="209">
        <f>IF($K3092=0,0,MIN(1,$L3092/$D3092))</f>
        <v/>
      </c>
      <c r="N3092" s="208">
        <f>IF($K3092=0,$J3092,(1-$M3092)*$I3092+$M3092*$J3092)</f>
        <v/>
      </c>
      <c r="O3092" s="209">
        <f>IF($F3092&lt;$B$3047,$E$3047+$I$3047*($F3092-$A$3047),IF($F3092&lt;$C$3047,$F$3047+$J$3047*($F3092-$B$3047),$G$3047+$K$3047*($F3092-$C$3047)))</f>
        <v/>
      </c>
      <c r="P3092" s="208">
        <f>MIN(1,MAX(0,(nr_MEndPm1-$G3092+0.5)/$C$3046))-MIN(1,MAX(0,(nr_MStartPm1-1-$G3092+0.5)/$C$3046))</f>
        <v/>
      </c>
      <c r="Q3092" s="208">
        <f>MIN(1,MAX(0,(nr_MEndP-$G3092+0.5)/$C$3046))-MIN(1,MAX(0,(nr_MStartP-1-$G3092+0.5)/$C$3046))</f>
        <v/>
      </c>
      <c r="R3092" s="208">
        <f>MIN(1,MAX(0,(nr_MEndP1-$G3092+0.5)/$C$3046))-MIN(1,MAX(0,(nr_MStartP1-1-$G3092+0.5)/$C$3046))</f>
        <v/>
      </c>
      <c r="S3092" s="208">
        <f>IF($L$3046,$N3092*IF($O$3046=1,$O3092/$F$3046,1),"")</f>
        <v/>
      </c>
      <c r="T3092" s="208">
        <f>IF(NOT($L$3046),"",IF($G3092&lt;nr_MStartP,$S3092,$T3080*(1+IF($G3092&lt;nr_MStartP1,$M$3046,$N$3046))))</f>
        <v/>
      </c>
      <c r="U3092" s="208">
        <f>IF($L$3046,$T3092,$N3092)</f>
        <v/>
      </c>
    </row>
    <row r="3093">
      <c r="A3093" s="145" t="n">
        <v>45</v>
      </c>
      <c r="B3093" s="204">
        <f>EDATE($B3092,1)</f>
        <v/>
      </c>
      <c r="C3093" s="205">
        <f>EOMONTH($B3093,0)</f>
        <v/>
      </c>
      <c r="D3093" s="201">
        <f>$C3093-$B3093+1</f>
        <v/>
      </c>
      <c r="E3093" s="201">
        <f>MONTH($B3093)</f>
        <v/>
      </c>
      <c r="F3093" s="235">
        <f>($B3093+$C3093+1)/2</f>
        <v/>
      </c>
      <c r="G3093" s="201">
        <f>YEAR($B3093)*12+MONTH($B3093)-1</f>
        <v/>
      </c>
      <c r="H3093" s="207">
        <f>IF(OR(nr_SeasonOn="OFF",$D$3046=0,$E$3046=0),1,12*INDEX(se_block,$D$3046,$E3093)/$E$3046)</f>
        <v/>
      </c>
      <c r="I3093" s="208">
        <f>EXP(SUMPRODUCT((rl_eff&lt;$B3093)*(rl_key=$A$3046)*rl_ln1p))</f>
        <v/>
      </c>
      <c r="J3093" s="208">
        <f>EXP(SUMPRODUCT((rl_eff&lt;=$C3093)*(rl_key=$A$3046)*rl_ln1p))</f>
        <v/>
      </c>
      <c r="K3093" s="201">
        <f>COUNTIFS(rl_key,$A$3046,rl_eff,"&gt;="&amp;$B3093,rl_eff,"&lt;="&amp;$C3093)</f>
        <v/>
      </c>
      <c r="L3093" s="201">
        <f>SUMIFS(rl_daysafter,rl_key,$A$3046,rl_effmonth,$B3093,rl_first,1)</f>
        <v/>
      </c>
      <c r="M3093" s="209">
        <f>IF($K3093=0,0,MIN(1,$L3093/$D3093))</f>
        <v/>
      </c>
      <c r="N3093" s="208">
        <f>IF($K3093=0,$J3093,(1-$M3093)*$I3093+$M3093*$J3093)</f>
        <v/>
      </c>
      <c r="O3093" s="209">
        <f>IF($F3093&lt;$B$3047,$E$3047+$I$3047*($F3093-$A$3047),IF($F3093&lt;$C$3047,$F$3047+$J$3047*($F3093-$B$3047),$G$3047+$K$3047*($F3093-$C$3047)))</f>
        <v/>
      </c>
      <c r="P3093" s="208">
        <f>MIN(1,MAX(0,(nr_MEndPm1-$G3093+0.5)/$C$3046))-MIN(1,MAX(0,(nr_MStartPm1-1-$G3093+0.5)/$C$3046))</f>
        <v/>
      </c>
      <c r="Q3093" s="208">
        <f>MIN(1,MAX(0,(nr_MEndP-$G3093+0.5)/$C$3046))-MIN(1,MAX(0,(nr_MStartP-1-$G3093+0.5)/$C$3046))</f>
        <v/>
      </c>
      <c r="R3093" s="208">
        <f>MIN(1,MAX(0,(nr_MEndP1-$G3093+0.5)/$C$3046))-MIN(1,MAX(0,(nr_MStartP1-1-$G3093+0.5)/$C$3046))</f>
        <v/>
      </c>
      <c r="S3093" s="208">
        <f>IF($L$3046,$N3093*IF($O$3046=1,$O3093/$F$3046,1),"")</f>
        <v/>
      </c>
      <c r="T3093" s="208">
        <f>IF(NOT($L$3046),"",IF($G3093&lt;nr_MStartP,$S3093,$T3081*(1+IF($G3093&lt;nr_MStartP1,$M$3046,$N$3046))))</f>
        <v/>
      </c>
      <c r="U3093" s="208">
        <f>IF($L$3046,$T3093,$N3093)</f>
        <v/>
      </c>
    </row>
    <row r="3094">
      <c r="A3094" s="145" t="n">
        <v>46</v>
      </c>
      <c r="B3094" s="204">
        <f>EDATE($B3093,1)</f>
        <v/>
      </c>
      <c r="C3094" s="205">
        <f>EOMONTH($B3094,0)</f>
        <v/>
      </c>
      <c r="D3094" s="201">
        <f>$C3094-$B3094+1</f>
        <v/>
      </c>
      <c r="E3094" s="201">
        <f>MONTH($B3094)</f>
        <v/>
      </c>
      <c r="F3094" s="235">
        <f>($B3094+$C3094+1)/2</f>
        <v/>
      </c>
      <c r="G3094" s="201">
        <f>YEAR($B3094)*12+MONTH($B3094)-1</f>
        <v/>
      </c>
      <c r="H3094" s="207">
        <f>IF(OR(nr_SeasonOn="OFF",$D$3046=0,$E$3046=0),1,12*INDEX(se_block,$D$3046,$E3094)/$E$3046)</f>
        <v/>
      </c>
      <c r="I3094" s="208">
        <f>EXP(SUMPRODUCT((rl_eff&lt;$B3094)*(rl_key=$A$3046)*rl_ln1p))</f>
        <v/>
      </c>
      <c r="J3094" s="208">
        <f>EXP(SUMPRODUCT((rl_eff&lt;=$C3094)*(rl_key=$A$3046)*rl_ln1p))</f>
        <v/>
      </c>
      <c r="K3094" s="201">
        <f>COUNTIFS(rl_key,$A$3046,rl_eff,"&gt;="&amp;$B3094,rl_eff,"&lt;="&amp;$C3094)</f>
        <v/>
      </c>
      <c r="L3094" s="201">
        <f>SUMIFS(rl_daysafter,rl_key,$A$3046,rl_effmonth,$B3094,rl_first,1)</f>
        <v/>
      </c>
      <c r="M3094" s="209">
        <f>IF($K3094=0,0,MIN(1,$L3094/$D3094))</f>
        <v/>
      </c>
      <c r="N3094" s="208">
        <f>IF($K3094=0,$J3094,(1-$M3094)*$I3094+$M3094*$J3094)</f>
        <v/>
      </c>
      <c r="O3094" s="209">
        <f>IF($F3094&lt;$B$3047,$E$3047+$I$3047*($F3094-$A$3047),IF($F3094&lt;$C$3047,$F$3047+$J$3047*($F3094-$B$3047),$G$3047+$K$3047*($F3094-$C$3047)))</f>
        <v/>
      </c>
      <c r="P3094" s="208">
        <f>MIN(1,MAX(0,(nr_MEndPm1-$G3094+0.5)/$C$3046))-MIN(1,MAX(0,(nr_MStartPm1-1-$G3094+0.5)/$C$3046))</f>
        <v/>
      </c>
      <c r="Q3094" s="208">
        <f>MIN(1,MAX(0,(nr_MEndP-$G3094+0.5)/$C$3046))-MIN(1,MAX(0,(nr_MStartP-1-$G3094+0.5)/$C$3046))</f>
        <v/>
      </c>
      <c r="R3094" s="208">
        <f>MIN(1,MAX(0,(nr_MEndP1-$G3094+0.5)/$C$3046))-MIN(1,MAX(0,(nr_MStartP1-1-$G3094+0.5)/$C$3046))</f>
        <v/>
      </c>
      <c r="S3094" s="208">
        <f>IF($L$3046,$N3094*IF($O$3046=1,$O3094/$F$3046,1),"")</f>
        <v/>
      </c>
      <c r="T3094" s="208">
        <f>IF(NOT($L$3046),"",IF($G3094&lt;nr_MStartP,$S3094,$T3082*(1+IF($G3094&lt;nr_MStartP1,$M$3046,$N$3046))))</f>
        <v/>
      </c>
      <c r="U3094" s="208">
        <f>IF($L$3046,$T3094,$N3094)</f>
        <v/>
      </c>
    </row>
    <row r="3095">
      <c r="A3095" s="145" t="n">
        <v>47</v>
      </c>
      <c r="B3095" s="204">
        <f>EDATE($B3094,1)</f>
        <v/>
      </c>
      <c r="C3095" s="205">
        <f>EOMONTH($B3095,0)</f>
        <v/>
      </c>
      <c r="D3095" s="201">
        <f>$C3095-$B3095+1</f>
        <v/>
      </c>
      <c r="E3095" s="201">
        <f>MONTH($B3095)</f>
        <v/>
      </c>
      <c r="F3095" s="235">
        <f>($B3095+$C3095+1)/2</f>
        <v/>
      </c>
      <c r="G3095" s="201">
        <f>YEAR($B3095)*12+MONTH($B3095)-1</f>
        <v/>
      </c>
      <c r="H3095" s="207">
        <f>IF(OR(nr_SeasonOn="OFF",$D$3046=0,$E$3046=0),1,12*INDEX(se_block,$D$3046,$E3095)/$E$3046)</f>
        <v/>
      </c>
      <c r="I3095" s="208">
        <f>EXP(SUMPRODUCT((rl_eff&lt;$B3095)*(rl_key=$A$3046)*rl_ln1p))</f>
        <v/>
      </c>
      <c r="J3095" s="208">
        <f>EXP(SUMPRODUCT((rl_eff&lt;=$C3095)*(rl_key=$A$3046)*rl_ln1p))</f>
        <v/>
      </c>
      <c r="K3095" s="201">
        <f>COUNTIFS(rl_key,$A$3046,rl_eff,"&gt;="&amp;$B3095,rl_eff,"&lt;="&amp;$C3095)</f>
        <v/>
      </c>
      <c r="L3095" s="201">
        <f>SUMIFS(rl_daysafter,rl_key,$A$3046,rl_effmonth,$B3095,rl_first,1)</f>
        <v/>
      </c>
      <c r="M3095" s="209">
        <f>IF($K3095=0,0,MIN(1,$L3095/$D3095))</f>
        <v/>
      </c>
      <c r="N3095" s="208">
        <f>IF($K3095=0,$J3095,(1-$M3095)*$I3095+$M3095*$J3095)</f>
        <v/>
      </c>
      <c r="O3095" s="209">
        <f>IF($F3095&lt;$B$3047,$E$3047+$I$3047*($F3095-$A$3047),IF($F3095&lt;$C$3047,$F$3047+$J$3047*($F3095-$B$3047),$G$3047+$K$3047*($F3095-$C$3047)))</f>
        <v/>
      </c>
      <c r="P3095" s="208">
        <f>MIN(1,MAX(0,(nr_MEndPm1-$G3095+0.5)/$C$3046))-MIN(1,MAX(0,(nr_MStartPm1-1-$G3095+0.5)/$C$3046))</f>
        <v/>
      </c>
      <c r="Q3095" s="208">
        <f>MIN(1,MAX(0,(nr_MEndP-$G3095+0.5)/$C$3046))-MIN(1,MAX(0,(nr_MStartP-1-$G3095+0.5)/$C$3046))</f>
        <v/>
      </c>
      <c r="R3095" s="208">
        <f>MIN(1,MAX(0,(nr_MEndP1-$G3095+0.5)/$C$3046))-MIN(1,MAX(0,(nr_MStartP1-1-$G3095+0.5)/$C$3046))</f>
        <v/>
      </c>
      <c r="S3095" s="208">
        <f>IF($L$3046,$N3095*IF($O$3046=1,$O3095/$F$3046,1),"")</f>
        <v/>
      </c>
      <c r="T3095" s="208">
        <f>IF(NOT($L$3046),"",IF($G3095&lt;nr_MStartP,$S3095,$T3083*(1+IF($G3095&lt;nr_MStartP1,$M$3046,$N$3046))))</f>
        <v/>
      </c>
      <c r="U3095" s="208">
        <f>IF($L$3046,$T3095,$N3095)</f>
        <v/>
      </c>
    </row>
    <row r="3096">
      <c r="A3096" s="145" t="n">
        <v>48</v>
      </c>
      <c r="B3096" s="204">
        <f>EDATE($B3095,1)</f>
        <v/>
      </c>
      <c r="C3096" s="205">
        <f>EOMONTH($B3096,0)</f>
        <v/>
      </c>
      <c r="D3096" s="201">
        <f>$C3096-$B3096+1</f>
        <v/>
      </c>
      <c r="E3096" s="201">
        <f>MONTH($B3096)</f>
        <v/>
      </c>
      <c r="F3096" s="235">
        <f>($B3096+$C3096+1)/2</f>
        <v/>
      </c>
      <c r="G3096" s="201">
        <f>YEAR($B3096)*12+MONTH($B3096)-1</f>
        <v/>
      </c>
      <c r="H3096" s="207">
        <f>IF(OR(nr_SeasonOn="OFF",$D$3046=0,$E$3046=0),1,12*INDEX(se_block,$D$3046,$E3096)/$E$3046)</f>
        <v/>
      </c>
      <c r="I3096" s="208">
        <f>EXP(SUMPRODUCT((rl_eff&lt;$B3096)*(rl_key=$A$3046)*rl_ln1p))</f>
        <v/>
      </c>
      <c r="J3096" s="208">
        <f>EXP(SUMPRODUCT((rl_eff&lt;=$C3096)*(rl_key=$A$3046)*rl_ln1p))</f>
        <v/>
      </c>
      <c r="K3096" s="201">
        <f>COUNTIFS(rl_key,$A$3046,rl_eff,"&gt;="&amp;$B3096,rl_eff,"&lt;="&amp;$C3096)</f>
        <v/>
      </c>
      <c r="L3096" s="201">
        <f>SUMIFS(rl_daysafter,rl_key,$A$3046,rl_effmonth,$B3096,rl_first,1)</f>
        <v/>
      </c>
      <c r="M3096" s="209">
        <f>IF($K3096=0,0,MIN(1,$L3096/$D3096))</f>
        <v/>
      </c>
      <c r="N3096" s="208">
        <f>IF($K3096=0,$J3096,(1-$M3096)*$I3096+$M3096*$J3096)</f>
        <v/>
      </c>
      <c r="O3096" s="209">
        <f>IF($F3096&lt;$B$3047,$E$3047+$I$3047*($F3096-$A$3047),IF($F3096&lt;$C$3047,$F$3047+$J$3047*($F3096-$B$3047),$G$3047+$K$3047*($F3096-$C$3047)))</f>
        <v/>
      </c>
      <c r="P3096" s="208">
        <f>MIN(1,MAX(0,(nr_MEndPm1-$G3096+0.5)/$C$3046))-MIN(1,MAX(0,(nr_MStartPm1-1-$G3096+0.5)/$C$3046))</f>
        <v/>
      </c>
      <c r="Q3096" s="208">
        <f>MIN(1,MAX(0,(nr_MEndP-$G3096+0.5)/$C$3046))-MIN(1,MAX(0,(nr_MStartP-1-$G3096+0.5)/$C$3046))</f>
        <v/>
      </c>
      <c r="R3096" s="208">
        <f>MIN(1,MAX(0,(nr_MEndP1-$G3096+0.5)/$C$3046))-MIN(1,MAX(0,(nr_MStartP1-1-$G3096+0.5)/$C$3046))</f>
        <v/>
      </c>
      <c r="S3096" s="208">
        <f>IF($L$3046,$N3096*IF($O$3046=1,$O3096/$F$3046,1),"")</f>
        <v/>
      </c>
      <c r="T3096" s="208">
        <f>IF(NOT($L$3046),"",IF($G3096&lt;nr_MStartP,$S3096,$T3084*(1+IF($G3096&lt;nr_MStartP1,$M$3046,$N$3046))))</f>
        <v/>
      </c>
      <c r="U3096" s="208">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184">
        <f>SUMPRODUCT($H$3049:$H$3096,$Q$3049:$Q$3096,$O$3049:$O$3096)/SUMPRODUCT($H$3049:$H$3096,$Q$3049:$Q$3096)</f>
        <v/>
      </c>
      <c r="G3097" s="184">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184">
        <f>IF(N(INDEX(lr_mind,57))=0,1,INDEX(lr_mind,57))</f>
        <v/>
      </c>
      <c r="G3100" s="184">
        <f>IF(N(INDEX(lr_m0,57))=0,1,INDEX(lr_m0,57))</f>
        <v/>
      </c>
      <c r="H3100" s="73">
        <f>IF(N(INDEX(lr_m0asof,57))=0,DATE(nr_PlanYear-1,10,1),INDEX(lr_m0asof,57))</f>
        <v/>
      </c>
      <c r="I3100" s="184">
        <f>IF(N(INDEX(lr_m1,57))=0,1,INDEX(lr_m1,57))</f>
        <v/>
      </c>
      <c r="J3100" s="184">
        <f>INDEX(lr_mprior,57)</f>
        <v/>
      </c>
      <c r="K3100" s="184">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145" t="n">
        <v>1</v>
      </c>
      <c r="B3103" s="204">
        <f>DATE(nr_PlanYear-2,1,1)</f>
        <v/>
      </c>
      <c r="C3103" s="205">
        <f>EOMONTH($B3103,0)</f>
        <v/>
      </c>
      <c r="D3103" s="201">
        <f>$C3103-$B3103+1</f>
        <v/>
      </c>
      <c r="E3103" s="201">
        <f>MONTH($B3103)</f>
        <v/>
      </c>
      <c r="F3103" s="235">
        <f>($B3103+$C3103+1)/2</f>
        <v/>
      </c>
      <c r="G3103" s="201">
        <f>YEAR($B3103)*12+MONTH($B3103)-1</f>
        <v/>
      </c>
      <c r="H3103" s="207">
        <f>IF(OR(nr_SeasonOn="OFF",$D$3100=0,$E$3100=0),1,12*INDEX(se_block,$D$3100,$E3103)/$E$3100)</f>
        <v/>
      </c>
      <c r="I3103" s="208">
        <f>EXP(SUMPRODUCT((rl_eff&lt;$B3103)*(rl_key=$A$3100)*rl_ln1p))</f>
        <v/>
      </c>
      <c r="J3103" s="208">
        <f>EXP(SUMPRODUCT((rl_eff&lt;=$C3103)*(rl_key=$A$3100)*rl_ln1p))</f>
        <v/>
      </c>
      <c r="K3103" s="201">
        <f>COUNTIFS(rl_key,$A$3100,rl_eff,"&gt;="&amp;$B3103,rl_eff,"&lt;="&amp;$C3103)</f>
        <v/>
      </c>
      <c r="L3103" s="201">
        <f>SUMIFS(rl_daysafter,rl_key,$A$3100,rl_effmonth,$B3103,rl_first,1)</f>
        <v/>
      </c>
      <c r="M3103" s="209">
        <f>IF($K3103=0,0,MIN(1,$L3103/$D3103))</f>
        <v/>
      </c>
      <c r="N3103" s="208">
        <f>IF($K3103=0,$J3103,(1-$M3103)*$I3103+$M3103*$J3103)</f>
        <v/>
      </c>
      <c r="O3103" s="209">
        <f>IF($F3103&lt;$B$3101,$E$3101+$I$3101*($F3103-$A$3101),IF($F3103&lt;$C$3101,$F$3101+$J$3101*($F3103-$B$3101),$G$3101+$K$3101*($F3103-$C$3101)))</f>
        <v/>
      </c>
      <c r="P3103" s="208">
        <f>MIN(1,MAX(0,(nr_MEndPm1-$G3103+0.5)/$C$3100))-MIN(1,MAX(0,(nr_MStartPm1-1-$G3103+0.5)/$C$3100))</f>
        <v/>
      </c>
      <c r="Q3103" s="208">
        <f>MIN(1,MAX(0,(nr_MEndP-$G3103+0.5)/$C$3100))-MIN(1,MAX(0,(nr_MStartP-1-$G3103+0.5)/$C$3100))</f>
        <v/>
      </c>
      <c r="R3103" s="208">
        <f>MIN(1,MAX(0,(nr_MEndP1-$G3103+0.5)/$C$3100))-MIN(1,MAX(0,(nr_MStartP1-1-$G3103+0.5)/$C$3100))</f>
        <v/>
      </c>
      <c r="S3103" s="208">
        <f>IF($L$3100,$N3103*IF($O$3100=1,$O3103/$F$3100,1),"")</f>
        <v/>
      </c>
      <c r="T3103" s="208">
        <f>IF(NOT($L$3100),"",IF($G3103&lt;nr_MStartP,$S3103,$T3091*(1+IF($G3103&lt;nr_MStartP1,$M$3100,$N$3100))))</f>
        <v/>
      </c>
      <c r="U3103" s="208">
        <f>IF($L$3100,$T3103,$N3103)</f>
        <v/>
      </c>
    </row>
    <row r="3104">
      <c r="A3104" s="145" t="n">
        <v>2</v>
      </c>
      <c r="B3104" s="204">
        <f>EDATE($B3103,1)</f>
        <v/>
      </c>
      <c r="C3104" s="205">
        <f>EOMONTH($B3104,0)</f>
        <v/>
      </c>
      <c r="D3104" s="201">
        <f>$C3104-$B3104+1</f>
        <v/>
      </c>
      <c r="E3104" s="201">
        <f>MONTH($B3104)</f>
        <v/>
      </c>
      <c r="F3104" s="235">
        <f>($B3104+$C3104+1)/2</f>
        <v/>
      </c>
      <c r="G3104" s="201">
        <f>YEAR($B3104)*12+MONTH($B3104)-1</f>
        <v/>
      </c>
      <c r="H3104" s="207">
        <f>IF(OR(nr_SeasonOn="OFF",$D$3100=0,$E$3100=0),1,12*INDEX(se_block,$D$3100,$E3104)/$E$3100)</f>
        <v/>
      </c>
      <c r="I3104" s="208">
        <f>EXP(SUMPRODUCT((rl_eff&lt;$B3104)*(rl_key=$A$3100)*rl_ln1p))</f>
        <v/>
      </c>
      <c r="J3104" s="208">
        <f>EXP(SUMPRODUCT((rl_eff&lt;=$C3104)*(rl_key=$A$3100)*rl_ln1p))</f>
        <v/>
      </c>
      <c r="K3104" s="201">
        <f>COUNTIFS(rl_key,$A$3100,rl_eff,"&gt;="&amp;$B3104,rl_eff,"&lt;="&amp;$C3104)</f>
        <v/>
      </c>
      <c r="L3104" s="201">
        <f>SUMIFS(rl_daysafter,rl_key,$A$3100,rl_effmonth,$B3104,rl_first,1)</f>
        <v/>
      </c>
      <c r="M3104" s="209">
        <f>IF($K3104=0,0,MIN(1,$L3104/$D3104))</f>
        <v/>
      </c>
      <c r="N3104" s="208">
        <f>IF($K3104=0,$J3104,(1-$M3104)*$I3104+$M3104*$J3104)</f>
        <v/>
      </c>
      <c r="O3104" s="209">
        <f>IF($F3104&lt;$B$3101,$E$3101+$I$3101*($F3104-$A$3101),IF($F3104&lt;$C$3101,$F$3101+$J$3101*($F3104-$B$3101),$G$3101+$K$3101*($F3104-$C$3101)))</f>
        <v/>
      </c>
      <c r="P3104" s="208">
        <f>MIN(1,MAX(0,(nr_MEndPm1-$G3104+0.5)/$C$3100))-MIN(1,MAX(0,(nr_MStartPm1-1-$G3104+0.5)/$C$3100))</f>
        <v/>
      </c>
      <c r="Q3104" s="208">
        <f>MIN(1,MAX(0,(nr_MEndP-$G3104+0.5)/$C$3100))-MIN(1,MAX(0,(nr_MStartP-1-$G3104+0.5)/$C$3100))</f>
        <v/>
      </c>
      <c r="R3104" s="208">
        <f>MIN(1,MAX(0,(nr_MEndP1-$G3104+0.5)/$C$3100))-MIN(1,MAX(0,(nr_MStartP1-1-$G3104+0.5)/$C$3100))</f>
        <v/>
      </c>
      <c r="S3104" s="208">
        <f>IF($L$3100,$N3104*IF($O$3100=1,$O3104/$F$3100,1),"")</f>
        <v/>
      </c>
      <c r="T3104" s="208">
        <f>IF(NOT($L$3100),"",IF($G3104&lt;nr_MStartP,$S3104,$T3092*(1+IF($G3104&lt;nr_MStartP1,$M$3100,$N$3100))))</f>
        <v/>
      </c>
      <c r="U3104" s="208">
        <f>IF($L$3100,$T3104,$N3104)</f>
        <v/>
      </c>
    </row>
    <row r="3105">
      <c r="A3105" s="145" t="n">
        <v>3</v>
      </c>
      <c r="B3105" s="204">
        <f>EDATE($B3104,1)</f>
        <v/>
      </c>
      <c r="C3105" s="205">
        <f>EOMONTH($B3105,0)</f>
        <v/>
      </c>
      <c r="D3105" s="201">
        <f>$C3105-$B3105+1</f>
        <v/>
      </c>
      <c r="E3105" s="201">
        <f>MONTH($B3105)</f>
        <v/>
      </c>
      <c r="F3105" s="235">
        <f>($B3105+$C3105+1)/2</f>
        <v/>
      </c>
      <c r="G3105" s="201">
        <f>YEAR($B3105)*12+MONTH($B3105)-1</f>
        <v/>
      </c>
      <c r="H3105" s="207">
        <f>IF(OR(nr_SeasonOn="OFF",$D$3100=0,$E$3100=0),1,12*INDEX(se_block,$D$3100,$E3105)/$E$3100)</f>
        <v/>
      </c>
      <c r="I3105" s="208">
        <f>EXP(SUMPRODUCT((rl_eff&lt;$B3105)*(rl_key=$A$3100)*rl_ln1p))</f>
        <v/>
      </c>
      <c r="J3105" s="208">
        <f>EXP(SUMPRODUCT((rl_eff&lt;=$C3105)*(rl_key=$A$3100)*rl_ln1p))</f>
        <v/>
      </c>
      <c r="K3105" s="201">
        <f>COUNTIFS(rl_key,$A$3100,rl_eff,"&gt;="&amp;$B3105,rl_eff,"&lt;="&amp;$C3105)</f>
        <v/>
      </c>
      <c r="L3105" s="201">
        <f>SUMIFS(rl_daysafter,rl_key,$A$3100,rl_effmonth,$B3105,rl_first,1)</f>
        <v/>
      </c>
      <c r="M3105" s="209">
        <f>IF($K3105=0,0,MIN(1,$L3105/$D3105))</f>
        <v/>
      </c>
      <c r="N3105" s="208">
        <f>IF($K3105=0,$J3105,(1-$M3105)*$I3105+$M3105*$J3105)</f>
        <v/>
      </c>
      <c r="O3105" s="209">
        <f>IF($F3105&lt;$B$3101,$E$3101+$I$3101*($F3105-$A$3101),IF($F3105&lt;$C$3101,$F$3101+$J$3101*($F3105-$B$3101),$G$3101+$K$3101*($F3105-$C$3101)))</f>
        <v/>
      </c>
      <c r="P3105" s="208">
        <f>MIN(1,MAX(0,(nr_MEndPm1-$G3105+0.5)/$C$3100))-MIN(1,MAX(0,(nr_MStartPm1-1-$G3105+0.5)/$C$3100))</f>
        <v/>
      </c>
      <c r="Q3105" s="208">
        <f>MIN(1,MAX(0,(nr_MEndP-$G3105+0.5)/$C$3100))-MIN(1,MAX(0,(nr_MStartP-1-$G3105+0.5)/$C$3100))</f>
        <v/>
      </c>
      <c r="R3105" s="208">
        <f>MIN(1,MAX(0,(nr_MEndP1-$G3105+0.5)/$C$3100))-MIN(1,MAX(0,(nr_MStartP1-1-$G3105+0.5)/$C$3100))</f>
        <v/>
      </c>
      <c r="S3105" s="208">
        <f>IF($L$3100,$N3105*IF($O$3100=1,$O3105/$F$3100,1),"")</f>
        <v/>
      </c>
      <c r="T3105" s="208">
        <f>IF(NOT($L$3100),"",IF($G3105&lt;nr_MStartP,$S3105,$T3093*(1+IF($G3105&lt;nr_MStartP1,$M$3100,$N$3100))))</f>
        <v/>
      </c>
      <c r="U3105" s="208">
        <f>IF($L$3100,$T3105,$N3105)</f>
        <v/>
      </c>
    </row>
    <row r="3106">
      <c r="A3106" s="145" t="n">
        <v>4</v>
      </c>
      <c r="B3106" s="204">
        <f>EDATE($B3105,1)</f>
        <v/>
      </c>
      <c r="C3106" s="205">
        <f>EOMONTH($B3106,0)</f>
        <v/>
      </c>
      <c r="D3106" s="201">
        <f>$C3106-$B3106+1</f>
        <v/>
      </c>
      <c r="E3106" s="201">
        <f>MONTH($B3106)</f>
        <v/>
      </c>
      <c r="F3106" s="235">
        <f>($B3106+$C3106+1)/2</f>
        <v/>
      </c>
      <c r="G3106" s="201">
        <f>YEAR($B3106)*12+MONTH($B3106)-1</f>
        <v/>
      </c>
      <c r="H3106" s="207">
        <f>IF(OR(nr_SeasonOn="OFF",$D$3100=0,$E$3100=0),1,12*INDEX(se_block,$D$3100,$E3106)/$E$3100)</f>
        <v/>
      </c>
      <c r="I3106" s="208">
        <f>EXP(SUMPRODUCT((rl_eff&lt;$B3106)*(rl_key=$A$3100)*rl_ln1p))</f>
        <v/>
      </c>
      <c r="J3106" s="208">
        <f>EXP(SUMPRODUCT((rl_eff&lt;=$C3106)*(rl_key=$A$3100)*rl_ln1p))</f>
        <v/>
      </c>
      <c r="K3106" s="201">
        <f>COUNTIFS(rl_key,$A$3100,rl_eff,"&gt;="&amp;$B3106,rl_eff,"&lt;="&amp;$C3106)</f>
        <v/>
      </c>
      <c r="L3106" s="201">
        <f>SUMIFS(rl_daysafter,rl_key,$A$3100,rl_effmonth,$B3106,rl_first,1)</f>
        <v/>
      </c>
      <c r="M3106" s="209">
        <f>IF($K3106=0,0,MIN(1,$L3106/$D3106))</f>
        <v/>
      </c>
      <c r="N3106" s="208">
        <f>IF($K3106=0,$J3106,(1-$M3106)*$I3106+$M3106*$J3106)</f>
        <v/>
      </c>
      <c r="O3106" s="209">
        <f>IF($F3106&lt;$B$3101,$E$3101+$I$3101*($F3106-$A$3101),IF($F3106&lt;$C$3101,$F$3101+$J$3101*($F3106-$B$3101),$G$3101+$K$3101*($F3106-$C$3101)))</f>
        <v/>
      </c>
      <c r="P3106" s="208">
        <f>MIN(1,MAX(0,(nr_MEndPm1-$G3106+0.5)/$C$3100))-MIN(1,MAX(0,(nr_MStartPm1-1-$G3106+0.5)/$C$3100))</f>
        <v/>
      </c>
      <c r="Q3106" s="208">
        <f>MIN(1,MAX(0,(nr_MEndP-$G3106+0.5)/$C$3100))-MIN(1,MAX(0,(nr_MStartP-1-$G3106+0.5)/$C$3100))</f>
        <v/>
      </c>
      <c r="R3106" s="208">
        <f>MIN(1,MAX(0,(nr_MEndP1-$G3106+0.5)/$C$3100))-MIN(1,MAX(0,(nr_MStartP1-1-$G3106+0.5)/$C$3100))</f>
        <v/>
      </c>
      <c r="S3106" s="208">
        <f>IF($L$3100,$N3106*IF($O$3100=1,$O3106/$F$3100,1),"")</f>
        <v/>
      </c>
      <c r="T3106" s="208">
        <f>IF(NOT($L$3100),"",IF($G3106&lt;nr_MStartP,$S3106,$T3094*(1+IF($G3106&lt;nr_MStartP1,$M$3100,$N$3100))))</f>
        <v/>
      </c>
      <c r="U3106" s="208">
        <f>IF($L$3100,$T3106,$N3106)</f>
        <v/>
      </c>
    </row>
    <row r="3107">
      <c r="A3107" s="145" t="n">
        <v>5</v>
      </c>
      <c r="B3107" s="204">
        <f>EDATE($B3106,1)</f>
        <v/>
      </c>
      <c r="C3107" s="205">
        <f>EOMONTH($B3107,0)</f>
        <v/>
      </c>
      <c r="D3107" s="201">
        <f>$C3107-$B3107+1</f>
        <v/>
      </c>
      <c r="E3107" s="201">
        <f>MONTH($B3107)</f>
        <v/>
      </c>
      <c r="F3107" s="235">
        <f>($B3107+$C3107+1)/2</f>
        <v/>
      </c>
      <c r="G3107" s="201">
        <f>YEAR($B3107)*12+MONTH($B3107)-1</f>
        <v/>
      </c>
      <c r="H3107" s="207">
        <f>IF(OR(nr_SeasonOn="OFF",$D$3100=0,$E$3100=0),1,12*INDEX(se_block,$D$3100,$E3107)/$E$3100)</f>
        <v/>
      </c>
      <c r="I3107" s="208">
        <f>EXP(SUMPRODUCT((rl_eff&lt;$B3107)*(rl_key=$A$3100)*rl_ln1p))</f>
        <v/>
      </c>
      <c r="J3107" s="208">
        <f>EXP(SUMPRODUCT((rl_eff&lt;=$C3107)*(rl_key=$A$3100)*rl_ln1p))</f>
        <v/>
      </c>
      <c r="K3107" s="201">
        <f>COUNTIFS(rl_key,$A$3100,rl_eff,"&gt;="&amp;$B3107,rl_eff,"&lt;="&amp;$C3107)</f>
        <v/>
      </c>
      <c r="L3107" s="201">
        <f>SUMIFS(rl_daysafter,rl_key,$A$3100,rl_effmonth,$B3107,rl_first,1)</f>
        <v/>
      </c>
      <c r="M3107" s="209">
        <f>IF($K3107=0,0,MIN(1,$L3107/$D3107))</f>
        <v/>
      </c>
      <c r="N3107" s="208">
        <f>IF($K3107=0,$J3107,(1-$M3107)*$I3107+$M3107*$J3107)</f>
        <v/>
      </c>
      <c r="O3107" s="209">
        <f>IF($F3107&lt;$B$3101,$E$3101+$I$3101*($F3107-$A$3101),IF($F3107&lt;$C$3101,$F$3101+$J$3101*($F3107-$B$3101),$G$3101+$K$3101*($F3107-$C$3101)))</f>
        <v/>
      </c>
      <c r="P3107" s="208">
        <f>MIN(1,MAX(0,(nr_MEndPm1-$G3107+0.5)/$C$3100))-MIN(1,MAX(0,(nr_MStartPm1-1-$G3107+0.5)/$C$3100))</f>
        <v/>
      </c>
      <c r="Q3107" s="208">
        <f>MIN(1,MAX(0,(nr_MEndP-$G3107+0.5)/$C$3100))-MIN(1,MAX(0,(nr_MStartP-1-$G3107+0.5)/$C$3100))</f>
        <v/>
      </c>
      <c r="R3107" s="208">
        <f>MIN(1,MAX(0,(nr_MEndP1-$G3107+0.5)/$C$3100))-MIN(1,MAX(0,(nr_MStartP1-1-$G3107+0.5)/$C$3100))</f>
        <v/>
      </c>
      <c r="S3107" s="208">
        <f>IF($L$3100,$N3107*IF($O$3100=1,$O3107/$F$3100,1),"")</f>
        <v/>
      </c>
      <c r="T3107" s="208">
        <f>IF(NOT($L$3100),"",IF($G3107&lt;nr_MStartP,$S3107,$T3095*(1+IF($G3107&lt;nr_MStartP1,$M$3100,$N$3100))))</f>
        <v/>
      </c>
      <c r="U3107" s="208">
        <f>IF($L$3100,$T3107,$N3107)</f>
        <v/>
      </c>
    </row>
    <row r="3108">
      <c r="A3108" s="145" t="n">
        <v>6</v>
      </c>
      <c r="B3108" s="204">
        <f>EDATE($B3107,1)</f>
        <v/>
      </c>
      <c r="C3108" s="205">
        <f>EOMONTH($B3108,0)</f>
        <v/>
      </c>
      <c r="D3108" s="201">
        <f>$C3108-$B3108+1</f>
        <v/>
      </c>
      <c r="E3108" s="201">
        <f>MONTH($B3108)</f>
        <v/>
      </c>
      <c r="F3108" s="235">
        <f>($B3108+$C3108+1)/2</f>
        <v/>
      </c>
      <c r="G3108" s="201">
        <f>YEAR($B3108)*12+MONTH($B3108)-1</f>
        <v/>
      </c>
      <c r="H3108" s="207">
        <f>IF(OR(nr_SeasonOn="OFF",$D$3100=0,$E$3100=0),1,12*INDEX(se_block,$D$3100,$E3108)/$E$3100)</f>
        <v/>
      </c>
      <c r="I3108" s="208">
        <f>EXP(SUMPRODUCT((rl_eff&lt;$B3108)*(rl_key=$A$3100)*rl_ln1p))</f>
        <v/>
      </c>
      <c r="J3108" s="208">
        <f>EXP(SUMPRODUCT((rl_eff&lt;=$C3108)*(rl_key=$A$3100)*rl_ln1p))</f>
        <v/>
      </c>
      <c r="K3108" s="201">
        <f>COUNTIFS(rl_key,$A$3100,rl_eff,"&gt;="&amp;$B3108,rl_eff,"&lt;="&amp;$C3108)</f>
        <v/>
      </c>
      <c r="L3108" s="201">
        <f>SUMIFS(rl_daysafter,rl_key,$A$3100,rl_effmonth,$B3108,rl_first,1)</f>
        <v/>
      </c>
      <c r="M3108" s="209">
        <f>IF($K3108=0,0,MIN(1,$L3108/$D3108))</f>
        <v/>
      </c>
      <c r="N3108" s="208">
        <f>IF($K3108=0,$J3108,(1-$M3108)*$I3108+$M3108*$J3108)</f>
        <v/>
      </c>
      <c r="O3108" s="209">
        <f>IF($F3108&lt;$B$3101,$E$3101+$I$3101*($F3108-$A$3101),IF($F3108&lt;$C$3101,$F$3101+$J$3101*($F3108-$B$3101),$G$3101+$K$3101*($F3108-$C$3101)))</f>
        <v/>
      </c>
      <c r="P3108" s="208">
        <f>MIN(1,MAX(0,(nr_MEndPm1-$G3108+0.5)/$C$3100))-MIN(1,MAX(0,(nr_MStartPm1-1-$G3108+0.5)/$C$3100))</f>
        <v/>
      </c>
      <c r="Q3108" s="208">
        <f>MIN(1,MAX(0,(nr_MEndP-$G3108+0.5)/$C$3100))-MIN(1,MAX(0,(nr_MStartP-1-$G3108+0.5)/$C$3100))</f>
        <v/>
      </c>
      <c r="R3108" s="208">
        <f>MIN(1,MAX(0,(nr_MEndP1-$G3108+0.5)/$C$3100))-MIN(1,MAX(0,(nr_MStartP1-1-$G3108+0.5)/$C$3100))</f>
        <v/>
      </c>
      <c r="S3108" s="208">
        <f>IF($L$3100,$N3108*IF($O$3100=1,$O3108/$F$3100,1),"")</f>
        <v/>
      </c>
      <c r="T3108" s="208">
        <f>IF(NOT($L$3100),"",IF($G3108&lt;nr_MStartP,$S3108,$T3096*(1+IF($G3108&lt;nr_MStartP1,$M$3100,$N$3100))))</f>
        <v/>
      </c>
      <c r="U3108" s="208">
        <f>IF($L$3100,$T3108,$N3108)</f>
        <v/>
      </c>
    </row>
    <row r="3109">
      <c r="A3109" s="145" t="n">
        <v>7</v>
      </c>
      <c r="B3109" s="204">
        <f>EDATE($B3108,1)</f>
        <v/>
      </c>
      <c r="C3109" s="205">
        <f>EOMONTH($B3109,0)</f>
        <v/>
      </c>
      <c r="D3109" s="201">
        <f>$C3109-$B3109+1</f>
        <v/>
      </c>
      <c r="E3109" s="201">
        <f>MONTH($B3109)</f>
        <v/>
      </c>
      <c r="F3109" s="235">
        <f>($B3109+$C3109+1)/2</f>
        <v/>
      </c>
      <c r="G3109" s="201">
        <f>YEAR($B3109)*12+MONTH($B3109)-1</f>
        <v/>
      </c>
      <c r="H3109" s="207">
        <f>IF(OR(nr_SeasonOn="OFF",$D$3100=0,$E$3100=0),1,12*INDEX(se_block,$D$3100,$E3109)/$E$3100)</f>
        <v/>
      </c>
      <c r="I3109" s="208">
        <f>EXP(SUMPRODUCT((rl_eff&lt;$B3109)*(rl_key=$A$3100)*rl_ln1p))</f>
        <v/>
      </c>
      <c r="J3109" s="208">
        <f>EXP(SUMPRODUCT((rl_eff&lt;=$C3109)*(rl_key=$A$3100)*rl_ln1p))</f>
        <v/>
      </c>
      <c r="K3109" s="201">
        <f>COUNTIFS(rl_key,$A$3100,rl_eff,"&gt;="&amp;$B3109,rl_eff,"&lt;="&amp;$C3109)</f>
        <v/>
      </c>
      <c r="L3109" s="201">
        <f>SUMIFS(rl_daysafter,rl_key,$A$3100,rl_effmonth,$B3109,rl_first,1)</f>
        <v/>
      </c>
      <c r="M3109" s="209">
        <f>IF($K3109=0,0,MIN(1,$L3109/$D3109))</f>
        <v/>
      </c>
      <c r="N3109" s="208">
        <f>IF($K3109=0,$J3109,(1-$M3109)*$I3109+$M3109*$J3109)</f>
        <v/>
      </c>
      <c r="O3109" s="209">
        <f>IF($F3109&lt;$B$3101,$E$3101+$I$3101*($F3109-$A$3101),IF($F3109&lt;$C$3101,$F$3101+$J$3101*($F3109-$B$3101),$G$3101+$K$3101*($F3109-$C$3101)))</f>
        <v/>
      </c>
      <c r="P3109" s="208">
        <f>MIN(1,MAX(0,(nr_MEndPm1-$G3109+0.5)/$C$3100))-MIN(1,MAX(0,(nr_MStartPm1-1-$G3109+0.5)/$C$3100))</f>
        <v/>
      </c>
      <c r="Q3109" s="208">
        <f>MIN(1,MAX(0,(nr_MEndP-$G3109+0.5)/$C$3100))-MIN(1,MAX(0,(nr_MStartP-1-$G3109+0.5)/$C$3100))</f>
        <v/>
      </c>
      <c r="R3109" s="208">
        <f>MIN(1,MAX(0,(nr_MEndP1-$G3109+0.5)/$C$3100))-MIN(1,MAX(0,(nr_MStartP1-1-$G3109+0.5)/$C$3100))</f>
        <v/>
      </c>
      <c r="S3109" s="208">
        <f>IF($L$3100,$N3109*IF($O$3100=1,$O3109/$F$3100,1),"")</f>
        <v/>
      </c>
      <c r="T3109" s="208">
        <f>IF(NOT($L$3100),"",IF($G3109&lt;nr_MStartP,$S3109,$T3097*(1+IF($G3109&lt;nr_MStartP1,$M$3100,$N$3100))))</f>
        <v/>
      </c>
      <c r="U3109" s="208">
        <f>IF($L$3100,$T3109,$N3109)</f>
        <v/>
      </c>
    </row>
    <row r="3110">
      <c r="A3110" s="145" t="n">
        <v>8</v>
      </c>
      <c r="B3110" s="204">
        <f>EDATE($B3109,1)</f>
        <v/>
      </c>
      <c r="C3110" s="205">
        <f>EOMONTH($B3110,0)</f>
        <v/>
      </c>
      <c r="D3110" s="201">
        <f>$C3110-$B3110+1</f>
        <v/>
      </c>
      <c r="E3110" s="201">
        <f>MONTH($B3110)</f>
        <v/>
      </c>
      <c r="F3110" s="235">
        <f>($B3110+$C3110+1)/2</f>
        <v/>
      </c>
      <c r="G3110" s="201">
        <f>YEAR($B3110)*12+MONTH($B3110)-1</f>
        <v/>
      </c>
      <c r="H3110" s="207">
        <f>IF(OR(nr_SeasonOn="OFF",$D$3100=0,$E$3100=0),1,12*INDEX(se_block,$D$3100,$E3110)/$E$3100)</f>
        <v/>
      </c>
      <c r="I3110" s="208">
        <f>EXP(SUMPRODUCT((rl_eff&lt;$B3110)*(rl_key=$A$3100)*rl_ln1p))</f>
        <v/>
      </c>
      <c r="J3110" s="208">
        <f>EXP(SUMPRODUCT((rl_eff&lt;=$C3110)*(rl_key=$A$3100)*rl_ln1p))</f>
        <v/>
      </c>
      <c r="K3110" s="201">
        <f>COUNTIFS(rl_key,$A$3100,rl_eff,"&gt;="&amp;$B3110,rl_eff,"&lt;="&amp;$C3110)</f>
        <v/>
      </c>
      <c r="L3110" s="201">
        <f>SUMIFS(rl_daysafter,rl_key,$A$3100,rl_effmonth,$B3110,rl_first,1)</f>
        <v/>
      </c>
      <c r="M3110" s="209">
        <f>IF($K3110=0,0,MIN(1,$L3110/$D3110))</f>
        <v/>
      </c>
      <c r="N3110" s="208">
        <f>IF($K3110=0,$J3110,(1-$M3110)*$I3110+$M3110*$J3110)</f>
        <v/>
      </c>
      <c r="O3110" s="209">
        <f>IF($F3110&lt;$B$3101,$E$3101+$I$3101*($F3110-$A$3101),IF($F3110&lt;$C$3101,$F$3101+$J$3101*($F3110-$B$3101),$G$3101+$K$3101*($F3110-$C$3101)))</f>
        <v/>
      </c>
      <c r="P3110" s="208">
        <f>MIN(1,MAX(0,(nr_MEndPm1-$G3110+0.5)/$C$3100))-MIN(1,MAX(0,(nr_MStartPm1-1-$G3110+0.5)/$C$3100))</f>
        <v/>
      </c>
      <c r="Q3110" s="208">
        <f>MIN(1,MAX(0,(nr_MEndP-$G3110+0.5)/$C$3100))-MIN(1,MAX(0,(nr_MStartP-1-$G3110+0.5)/$C$3100))</f>
        <v/>
      </c>
      <c r="R3110" s="208">
        <f>MIN(1,MAX(0,(nr_MEndP1-$G3110+0.5)/$C$3100))-MIN(1,MAX(0,(nr_MStartP1-1-$G3110+0.5)/$C$3100))</f>
        <v/>
      </c>
      <c r="S3110" s="208">
        <f>IF($L$3100,$N3110*IF($O$3100=1,$O3110/$F$3100,1),"")</f>
        <v/>
      </c>
      <c r="T3110" s="208">
        <f>IF(NOT($L$3100),"",IF($G3110&lt;nr_MStartP,$S3110,$T3098*(1+IF($G3110&lt;nr_MStartP1,$M$3100,$N$3100))))</f>
        <v/>
      </c>
      <c r="U3110" s="208">
        <f>IF($L$3100,$T3110,$N3110)</f>
        <v/>
      </c>
    </row>
    <row r="3111">
      <c r="A3111" s="145" t="n">
        <v>9</v>
      </c>
      <c r="B3111" s="204">
        <f>EDATE($B3110,1)</f>
        <v/>
      </c>
      <c r="C3111" s="205">
        <f>EOMONTH($B3111,0)</f>
        <v/>
      </c>
      <c r="D3111" s="201">
        <f>$C3111-$B3111+1</f>
        <v/>
      </c>
      <c r="E3111" s="201">
        <f>MONTH($B3111)</f>
        <v/>
      </c>
      <c r="F3111" s="235">
        <f>($B3111+$C3111+1)/2</f>
        <v/>
      </c>
      <c r="G3111" s="201">
        <f>YEAR($B3111)*12+MONTH($B3111)-1</f>
        <v/>
      </c>
      <c r="H3111" s="207">
        <f>IF(OR(nr_SeasonOn="OFF",$D$3100=0,$E$3100=0),1,12*INDEX(se_block,$D$3100,$E3111)/$E$3100)</f>
        <v/>
      </c>
      <c r="I3111" s="208">
        <f>EXP(SUMPRODUCT((rl_eff&lt;$B3111)*(rl_key=$A$3100)*rl_ln1p))</f>
        <v/>
      </c>
      <c r="J3111" s="208">
        <f>EXP(SUMPRODUCT((rl_eff&lt;=$C3111)*(rl_key=$A$3100)*rl_ln1p))</f>
        <v/>
      </c>
      <c r="K3111" s="201">
        <f>COUNTIFS(rl_key,$A$3100,rl_eff,"&gt;="&amp;$B3111,rl_eff,"&lt;="&amp;$C3111)</f>
        <v/>
      </c>
      <c r="L3111" s="201">
        <f>SUMIFS(rl_daysafter,rl_key,$A$3100,rl_effmonth,$B3111,rl_first,1)</f>
        <v/>
      </c>
      <c r="M3111" s="209">
        <f>IF($K3111=0,0,MIN(1,$L3111/$D3111))</f>
        <v/>
      </c>
      <c r="N3111" s="208">
        <f>IF($K3111=0,$J3111,(1-$M3111)*$I3111+$M3111*$J3111)</f>
        <v/>
      </c>
      <c r="O3111" s="209">
        <f>IF($F3111&lt;$B$3101,$E$3101+$I$3101*($F3111-$A$3101),IF($F3111&lt;$C$3101,$F$3101+$J$3101*($F3111-$B$3101),$G$3101+$K$3101*($F3111-$C$3101)))</f>
        <v/>
      </c>
      <c r="P3111" s="208">
        <f>MIN(1,MAX(0,(nr_MEndPm1-$G3111+0.5)/$C$3100))-MIN(1,MAX(0,(nr_MStartPm1-1-$G3111+0.5)/$C$3100))</f>
        <v/>
      </c>
      <c r="Q3111" s="208">
        <f>MIN(1,MAX(0,(nr_MEndP-$G3111+0.5)/$C$3100))-MIN(1,MAX(0,(nr_MStartP-1-$G3111+0.5)/$C$3100))</f>
        <v/>
      </c>
      <c r="R3111" s="208">
        <f>MIN(1,MAX(0,(nr_MEndP1-$G3111+0.5)/$C$3100))-MIN(1,MAX(0,(nr_MStartP1-1-$G3111+0.5)/$C$3100))</f>
        <v/>
      </c>
      <c r="S3111" s="208">
        <f>IF($L$3100,$N3111*IF($O$3100=1,$O3111/$F$3100,1),"")</f>
        <v/>
      </c>
      <c r="T3111" s="208">
        <f>IF(NOT($L$3100),"",IF($G3111&lt;nr_MStartP,$S3111,$T3099*(1+IF($G3111&lt;nr_MStartP1,$M$3100,$N$3100))))</f>
        <v/>
      </c>
      <c r="U3111" s="208">
        <f>IF($L$3100,$T3111,$N3111)</f>
        <v/>
      </c>
    </row>
    <row r="3112">
      <c r="A3112" s="145" t="n">
        <v>10</v>
      </c>
      <c r="B3112" s="204">
        <f>EDATE($B3111,1)</f>
        <v/>
      </c>
      <c r="C3112" s="205">
        <f>EOMONTH($B3112,0)</f>
        <v/>
      </c>
      <c r="D3112" s="201">
        <f>$C3112-$B3112+1</f>
        <v/>
      </c>
      <c r="E3112" s="201">
        <f>MONTH($B3112)</f>
        <v/>
      </c>
      <c r="F3112" s="235">
        <f>($B3112+$C3112+1)/2</f>
        <v/>
      </c>
      <c r="G3112" s="201">
        <f>YEAR($B3112)*12+MONTH($B3112)-1</f>
        <v/>
      </c>
      <c r="H3112" s="207">
        <f>IF(OR(nr_SeasonOn="OFF",$D$3100=0,$E$3100=0),1,12*INDEX(se_block,$D$3100,$E3112)/$E$3100)</f>
        <v/>
      </c>
      <c r="I3112" s="208">
        <f>EXP(SUMPRODUCT((rl_eff&lt;$B3112)*(rl_key=$A$3100)*rl_ln1p))</f>
        <v/>
      </c>
      <c r="J3112" s="208">
        <f>EXP(SUMPRODUCT((rl_eff&lt;=$C3112)*(rl_key=$A$3100)*rl_ln1p))</f>
        <v/>
      </c>
      <c r="K3112" s="201">
        <f>COUNTIFS(rl_key,$A$3100,rl_eff,"&gt;="&amp;$B3112,rl_eff,"&lt;="&amp;$C3112)</f>
        <v/>
      </c>
      <c r="L3112" s="201">
        <f>SUMIFS(rl_daysafter,rl_key,$A$3100,rl_effmonth,$B3112,rl_first,1)</f>
        <v/>
      </c>
      <c r="M3112" s="209">
        <f>IF($K3112=0,0,MIN(1,$L3112/$D3112))</f>
        <v/>
      </c>
      <c r="N3112" s="208">
        <f>IF($K3112=0,$J3112,(1-$M3112)*$I3112+$M3112*$J3112)</f>
        <v/>
      </c>
      <c r="O3112" s="209">
        <f>IF($F3112&lt;$B$3101,$E$3101+$I$3101*($F3112-$A$3101),IF($F3112&lt;$C$3101,$F$3101+$J$3101*($F3112-$B$3101),$G$3101+$K$3101*($F3112-$C$3101)))</f>
        <v/>
      </c>
      <c r="P3112" s="208">
        <f>MIN(1,MAX(0,(nr_MEndPm1-$G3112+0.5)/$C$3100))-MIN(1,MAX(0,(nr_MStartPm1-1-$G3112+0.5)/$C$3100))</f>
        <v/>
      </c>
      <c r="Q3112" s="208">
        <f>MIN(1,MAX(0,(nr_MEndP-$G3112+0.5)/$C$3100))-MIN(1,MAX(0,(nr_MStartP-1-$G3112+0.5)/$C$3100))</f>
        <v/>
      </c>
      <c r="R3112" s="208">
        <f>MIN(1,MAX(0,(nr_MEndP1-$G3112+0.5)/$C$3100))-MIN(1,MAX(0,(nr_MStartP1-1-$G3112+0.5)/$C$3100))</f>
        <v/>
      </c>
      <c r="S3112" s="208">
        <f>IF($L$3100,$N3112*IF($O$3100=1,$O3112/$F$3100,1),"")</f>
        <v/>
      </c>
      <c r="T3112" s="208">
        <f>IF(NOT($L$3100),"",IF($G3112&lt;nr_MStartP,$S3112,$T3100*(1+IF($G3112&lt;nr_MStartP1,$M$3100,$N$3100))))</f>
        <v/>
      </c>
      <c r="U3112" s="208">
        <f>IF($L$3100,$T3112,$N3112)</f>
        <v/>
      </c>
    </row>
    <row r="3113">
      <c r="A3113" s="145" t="n">
        <v>11</v>
      </c>
      <c r="B3113" s="204">
        <f>EDATE($B3112,1)</f>
        <v/>
      </c>
      <c r="C3113" s="205">
        <f>EOMONTH($B3113,0)</f>
        <v/>
      </c>
      <c r="D3113" s="201">
        <f>$C3113-$B3113+1</f>
        <v/>
      </c>
      <c r="E3113" s="201">
        <f>MONTH($B3113)</f>
        <v/>
      </c>
      <c r="F3113" s="235">
        <f>($B3113+$C3113+1)/2</f>
        <v/>
      </c>
      <c r="G3113" s="201">
        <f>YEAR($B3113)*12+MONTH($B3113)-1</f>
        <v/>
      </c>
      <c r="H3113" s="207">
        <f>IF(OR(nr_SeasonOn="OFF",$D$3100=0,$E$3100=0),1,12*INDEX(se_block,$D$3100,$E3113)/$E$3100)</f>
        <v/>
      </c>
      <c r="I3113" s="208">
        <f>EXP(SUMPRODUCT((rl_eff&lt;$B3113)*(rl_key=$A$3100)*rl_ln1p))</f>
        <v/>
      </c>
      <c r="J3113" s="208">
        <f>EXP(SUMPRODUCT((rl_eff&lt;=$C3113)*(rl_key=$A$3100)*rl_ln1p))</f>
        <v/>
      </c>
      <c r="K3113" s="201">
        <f>COUNTIFS(rl_key,$A$3100,rl_eff,"&gt;="&amp;$B3113,rl_eff,"&lt;="&amp;$C3113)</f>
        <v/>
      </c>
      <c r="L3113" s="201">
        <f>SUMIFS(rl_daysafter,rl_key,$A$3100,rl_effmonth,$B3113,rl_first,1)</f>
        <v/>
      </c>
      <c r="M3113" s="209">
        <f>IF($K3113=0,0,MIN(1,$L3113/$D3113))</f>
        <v/>
      </c>
      <c r="N3113" s="208">
        <f>IF($K3113=0,$J3113,(1-$M3113)*$I3113+$M3113*$J3113)</f>
        <v/>
      </c>
      <c r="O3113" s="209">
        <f>IF($F3113&lt;$B$3101,$E$3101+$I$3101*($F3113-$A$3101),IF($F3113&lt;$C$3101,$F$3101+$J$3101*($F3113-$B$3101),$G$3101+$K$3101*($F3113-$C$3101)))</f>
        <v/>
      </c>
      <c r="P3113" s="208">
        <f>MIN(1,MAX(0,(nr_MEndPm1-$G3113+0.5)/$C$3100))-MIN(1,MAX(0,(nr_MStartPm1-1-$G3113+0.5)/$C$3100))</f>
        <v/>
      </c>
      <c r="Q3113" s="208">
        <f>MIN(1,MAX(0,(nr_MEndP-$G3113+0.5)/$C$3100))-MIN(1,MAX(0,(nr_MStartP-1-$G3113+0.5)/$C$3100))</f>
        <v/>
      </c>
      <c r="R3113" s="208">
        <f>MIN(1,MAX(0,(nr_MEndP1-$G3113+0.5)/$C$3100))-MIN(1,MAX(0,(nr_MStartP1-1-$G3113+0.5)/$C$3100))</f>
        <v/>
      </c>
      <c r="S3113" s="208">
        <f>IF($L$3100,$N3113*IF($O$3100=1,$O3113/$F$3100,1),"")</f>
        <v/>
      </c>
      <c r="T3113" s="208">
        <f>IF(NOT($L$3100),"",IF($G3113&lt;nr_MStartP,$S3113,$T3101*(1+IF($G3113&lt;nr_MStartP1,$M$3100,$N$3100))))</f>
        <v/>
      </c>
      <c r="U3113" s="208">
        <f>IF($L$3100,$T3113,$N3113)</f>
        <v/>
      </c>
    </row>
    <row r="3114">
      <c r="A3114" s="145" t="n">
        <v>12</v>
      </c>
      <c r="B3114" s="204">
        <f>EDATE($B3113,1)</f>
        <v/>
      </c>
      <c r="C3114" s="205">
        <f>EOMONTH($B3114,0)</f>
        <v/>
      </c>
      <c r="D3114" s="201">
        <f>$C3114-$B3114+1</f>
        <v/>
      </c>
      <c r="E3114" s="201">
        <f>MONTH($B3114)</f>
        <v/>
      </c>
      <c r="F3114" s="235">
        <f>($B3114+$C3114+1)/2</f>
        <v/>
      </c>
      <c r="G3114" s="201">
        <f>YEAR($B3114)*12+MONTH($B3114)-1</f>
        <v/>
      </c>
      <c r="H3114" s="207">
        <f>IF(OR(nr_SeasonOn="OFF",$D$3100=0,$E$3100=0),1,12*INDEX(se_block,$D$3100,$E3114)/$E$3100)</f>
        <v/>
      </c>
      <c r="I3114" s="208">
        <f>EXP(SUMPRODUCT((rl_eff&lt;$B3114)*(rl_key=$A$3100)*rl_ln1p))</f>
        <v/>
      </c>
      <c r="J3114" s="208">
        <f>EXP(SUMPRODUCT((rl_eff&lt;=$C3114)*(rl_key=$A$3100)*rl_ln1p))</f>
        <v/>
      </c>
      <c r="K3114" s="201">
        <f>COUNTIFS(rl_key,$A$3100,rl_eff,"&gt;="&amp;$B3114,rl_eff,"&lt;="&amp;$C3114)</f>
        <v/>
      </c>
      <c r="L3114" s="201">
        <f>SUMIFS(rl_daysafter,rl_key,$A$3100,rl_effmonth,$B3114,rl_first,1)</f>
        <v/>
      </c>
      <c r="M3114" s="209">
        <f>IF($K3114=0,0,MIN(1,$L3114/$D3114))</f>
        <v/>
      </c>
      <c r="N3114" s="208">
        <f>IF($K3114=0,$J3114,(1-$M3114)*$I3114+$M3114*$J3114)</f>
        <v/>
      </c>
      <c r="O3114" s="209">
        <f>IF($F3114&lt;$B$3101,$E$3101+$I$3101*($F3114-$A$3101),IF($F3114&lt;$C$3101,$F$3101+$J$3101*($F3114-$B$3101),$G$3101+$K$3101*($F3114-$C$3101)))</f>
        <v/>
      </c>
      <c r="P3114" s="208">
        <f>MIN(1,MAX(0,(nr_MEndPm1-$G3114+0.5)/$C$3100))-MIN(1,MAX(0,(nr_MStartPm1-1-$G3114+0.5)/$C$3100))</f>
        <v/>
      </c>
      <c r="Q3114" s="208">
        <f>MIN(1,MAX(0,(nr_MEndP-$G3114+0.5)/$C$3100))-MIN(1,MAX(0,(nr_MStartP-1-$G3114+0.5)/$C$3100))</f>
        <v/>
      </c>
      <c r="R3114" s="208">
        <f>MIN(1,MAX(0,(nr_MEndP1-$G3114+0.5)/$C$3100))-MIN(1,MAX(0,(nr_MStartP1-1-$G3114+0.5)/$C$3100))</f>
        <v/>
      </c>
      <c r="S3114" s="208">
        <f>IF($L$3100,$N3114*IF($O$3100=1,$O3114/$F$3100,1),"")</f>
        <v/>
      </c>
      <c r="T3114" s="208">
        <f>IF(NOT($L$3100),"",IF($G3114&lt;nr_MStartP,$S3114,$T3102*(1+IF($G3114&lt;nr_MStartP1,$M$3100,$N$3100))))</f>
        <v/>
      </c>
      <c r="U3114" s="208">
        <f>IF($L$3100,$T3114,$N3114)</f>
        <v/>
      </c>
    </row>
    <row r="3115">
      <c r="A3115" s="145" t="n">
        <v>13</v>
      </c>
      <c r="B3115" s="204">
        <f>EDATE($B3114,1)</f>
        <v/>
      </c>
      <c r="C3115" s="205">
        <f>EOMONTH($B3115,0)</f>
        <v/>
      </c>
      <c r="D3115" s="201">
        <f>$C3115-$B3115+1</f>
        <v/>
      </c>
      <c r="E3115" s="201">
        <f>MONTH($B3115)</f>
        <v/>
      </c>
      <c r="F3115" s="235">
        <f>($B3115+$C3115+1)/2</f>
        <v/>
      </c>
      <c r="G3115" s="201">
        <f>YEAR($B3115)*12+MONTH($B3115)-1</f>
        <v/>
      </c>
      <c r="H3115" s="207">
        <f>IF(OR(nr_SeasonOn="OFF",$D$3100=0,$E$3100=0),1,12*INDEX(se_block,$D$3100,$E3115)/$E$3100)</f>
        <v/>
      </c>
      <c r="I3115" s="208">
        <f>EXP(SUMPRODUCT((rl_eff&lt;$B3115)*(rl_key=$A$3100)*rl_ln1p))</f>
        <v/>
      </c>
      <c r="J3115" s="208">
        <f>EXP(SUMPRODUCT((rl_eff&lt;=$C3115)*(rl_key=$A$3100)*rl_ln1p))</f>
        <v/>
      </c>
      <c r="K3115" s="201">
        <f>COUNTIFS(rl_key,$A$3100,rl_eff,"&gt;="&amp;$B3115,rl_eff,"&lt;="&amp;$C3115)</f>
        <v/>
      </c>
      <c r="L3115" s="201">
        <f>SUMIFS(rl_daysafter,rl_key,$A$3100,rl_effmonth,$B3115,rl_first,1)</f>
        <v/>
      </c>
      <c r="M3115" s="209">
        <f>IF($K3115=0,0,MIN(1,$L3115/$D3115))</f>
        <v/>
      </c>
      <c r="N3115" s="208">
        <f>IF($K3115=0,$J3115,(1-$M3115)*$I3115+$M3115*$J3115)</f>
        <v/>
      </c>
      <c r="O3115" s="209">
        <f>IF($F3115&lt;$B$3101,$E$3101+$I$3101*($F3115-$A$3101),IF($F3115&lt;$C$3101,$F$3101+$J$3101*($F3115-$B$3101),$G$3101+$K$3101*($F3115-$C$3101)))</f>
        <v/>
      </c>
      <c r="P3115" s="208">
        <f>MIN(1,MAX(0,(nr_MEndPm1-$G3115+0.5)/$C$3100))-MIN(1,MAX(0,(nr_MStartPm1-1-$G3115+0.5)/$C$3100))</f>
        <v/>
      </c>
      <c r="Q3115" s="208">
        <f>MIN(1,MAX(0,(nr_MEndP-$G3115+0.5)/$C$3100))-MIN(1,MAX(0,(nr_MStartP-1-$G3115+0.5)/$C$3100))</f>
        <v/>
      </c>
      <c r="R3115" s="208">
        <f>MIN(1,MAX(0,(nr_MEndP1-$G3115+0.5)/$C$3100))-MIN(1,MAX(0,(nr_MStartP1-1-$G3115+0.5)/$C$3100))</f>
        <v/>
      </c>
      <c r="S3115" s="208">
        <f>IF($L$3100,$N3115*IF($O$3100=1,$O3115/$F$3100,1),"")</f>
        <v/>
      </c>
      <c r="T3115" s="208">
        <f>IF(NOT($L$3100),"",IF($G3115&lt;nr_MStartP,$S3115,$T3103*(1+IF($G3115&lt;nr_MStartP1,$M$3100,$N$3100))))</f>
        <v/>
      </c>
      <c r="U3115" s="208">
        <f>IF($L$3100,$T3115,$N3115)</f>
        <v/>
      </c>
    </row>
    <row r="3116">
      <c r="A3116" s="145" t="n">
        <v>14</v>
      </c>
      <c r="B3116" s="204">
        <f>EDATE($B3115,1)</f>
        <v/>
      </c>
      <c r="C3116" s="205">
        <f>EOMONTH($B3116,0)</f>
        <v/>
      </c>
      <c r="D3116" s="201">
        <f>$C3116-$B3116+1</f>
        <v/>
      </c>
      <c r="E3116" s="201">
        <f>MONTH($B3116)</f>
        <v/>
      </c>
      <c r="F3116" s="235">
        <f>($B3116+$C3116+1)/2</f>
        <v/>
      </c>
      <c r="G3116" s="201">
        <f>YEAR($B3116)*12+MONTH($B3116)-1</f>
        <v/>
      </c>
      <c r="H3116" s="207">
        <f>IF(OR(nr_SeasonOn="OFF",$D$3100=0,$E$3100=0),1,12*INDEX(se_block,$D$3100,$E3116)/$E$3100)</f>
        <v/>
      </c>
      <c r="I3116" s="208">
        <f>EXP(SUMPRODUCT((rl_eff&lt;$B3116)*(rl_key=$A$3100)*rl_ln1p))</f>
        <v/>
      </c>
      <c r="J3116" s="208">
        <f>EXP(SUMPRODUCT((rl_eff&lt;=$C3116)*(rl_key=$A$3100)*rl_ln1p))</f>
        <v/>
      </c>
      <c r="K3116" s="201">
        <f>COUNTIFS(rl_key,$A$3100,rl_eff,"&gt;="&amp;$B3116,rl_eff,"&lt;="&amp;$C3116)</f>
        <v/>
      </c>
      <c r="L3116" s="201">
        <f>SUMIFS(rl_daysafter,rl_key,$A$3100,rl_effmonth,$B3116,rl_first,1)</f>
        <v/>
      </c>
      <c r="M3116" s="209">
        <f>IF($K3116=0,0,MIN(1,$L3116/$D3116))</f>
        <v/>
      </c>
      <c r="N3116" s="208">
        <f>IF($K3116=0,$J3116,(1-$M3116)*$I3116+$M3116*$J3116)</f>
        <v/>
      </c>
      <c r="O3116" s="209">
        <f>IF($F3116&lt;$B$3101,$E$3101+$I$3101*($F3116-$A$3101),IF($F3116&lt;$C$3101,$F$3101+$J$3101*($F3116-$B$3101),$G$3101+$K$3101*($F3116-$C$3101)))</f>
        <v/>
      </c>
      <c r="P3116" s="208">
        <f>MIN(1,MAX(0,(nr_MEndPm1-$G3116+0.5)/$C$3100))-MIN(1,MAX(0,(nr_MStartPm1-1-$G3116+0.5)/$C$3100))</f>
        <v/>
      </c>
      <c r="Q3116" s="208">
        <f>MIN(1,MAX(0,(nr_MEndP-$G3116+0.5)/$C$3100))-MIN(1,MAX(0,(nr_MStartP-1-$G3116+0.5)/$C$3100))</f>
        <v/>
      </c>
      <c r="R3116" s="208">
        <f>MIN(1,MAX(0,(nr_MEndP1-$G3116+0.5)/$C$3100))-MIN(1,MAX(0,(nr_MStartP1-1-$G3116+0.5)/$C$3100))</f>
        <v/>
      </c>
      <c r="S3116" s="208">
        <f>IF($L$3100,$N3116*IF($O$3100=1,$O3116/$F$3100,1),"")</f>
        <v/>
      </c>
      <c r="T3116" s="208">
        <f>IF(NOT($L$3100),"",IF($G3116&lt;nr_MStartP,$S3116,$T3104*(1+IF($G3116&lt;nr_MStartP1,$M$3100,$N$3100))))</f>
        <v/>
      </c>
      <c r="U3116" s="208">
        <f>IF($L$3100,$T3116,$N3116)</f>
        <v/>
      </c>
    </row>
    <row r="3117">
      <c r="A3117" s="145" t="n">
        <v>15</v>
      </c>
      <c r="B3117" s="204">
        <f>EDATE($B3116,1)</f>
        <v/>
      </c>
      <c r="C3117" s="205">
        <f>EOMONTH($B3117,0)</f>
        <v/>
      </c>
      <c r="D3117" s="201">
        <f>$C3117-$B3117+1</f>
        <v/>
      </c>
      <c r="E3117" s="201">
        <f>MONTH($B3117)</f>
        <v/>
      </c>
      <c r="F3117" s="235">
        <f>($B3117+$C3117+1)/2</f>
        <v/>
      </c>
      <c r="G3117" s="201">
        <f>YEAR($B3117)*12+MONTH($B3117)-1</f>
        <v/>
      </c>
      <c r="H3117" s="207">
        <f>IF(OR(nr_SeasonOn="OFF",$D$3100=0,$E$3100=0),1,12*INDEX(se_block,$D$3100,$E3117)/$E$3100)</f>
        <v/>
      </c>
      <c r="I3117" s="208">
        <f>EXP(SUMPRODUCT((rl_eff&lt;$B3117)*(rl_key=$A$3100)*rl_ln1p))</f>
        <v/>
      </c>
      <c r="J3117" s="208">
        <f>EXP(SUMPRODUCT((rl_eff&lt;=$C3117)*(rl_key=$A$3100)*rl_ln1p))</f>
        <v/>
      </c>
      <c r="K3117" s="201">
        <f>COUNTIFS(rl_key,$A$3100,rl_eff,"&gt;="&amp;$B3117,rl_eff,"&lt;="&amp;$C3117)</f>
        <v/>
      </c>
      <c r="L3117" s="201">
        <f>SUMIFS(rl_daysafter,rl_key,$A$3100,rl_effmonth,$B3117,rl_first,1)</f>
        <v/>
      </c>
      <c r="M3117" s="209">
        <f>IF($K3117=0,0,MIN(1,$L3117/$D3117))</f>
        <v/>
      </c>
      <c r="N3117" s="208">
        <f>IF($K3117=0,$J3117,(1-$M3117)*$I3117+$M3117*$J3117)</f>
        <v/>
      </c>
      <c r="O3117" s="209">
        <f>IF($F3117&lt;$B$3101,$E$3101+$I$3101*($F3117-$A$3101),IF($F3117&lt;$C$3101,$F$3101+$J$3101*($F3117-$B$3101),$G$3101+$K$3101*($F3117-$C$3101)))</f>
        <v/>
      </c>
      <c r="P3117" s="208">
        <f>MIN(1,MAX(0,(nr_MEndPm1-$G3117+0.5)/$C$3100))-MIN(1,MAX(0,(nr_MStartPm1-1-$G3117+0.5)/$C$3100))</f>
        <v/>
      </c>
      <c r="Q3117" s="208">
        <f>MIN(1,MAX(0,(nr_MEndP-$G3117+0.5)/$C$3100))-MIN(1,MAX(0,(nr_MStartP-1-$G3117+0.5)/$C$3100))</f>
        <v/>
      </c>
      <c r="R3117" s="208">
        <f>MIN(1,MAX(0,(nr_MEndP1-$G3117+0.5)/$C$3100))-MIN(1,MAX(0,(nr_MStartP1-1-$G3117+0.5)/$C$3100))</f>
        <v/>
      </c>
      <c r="S3117" s="208">
        <f>IF($L$3100,$N3117*IF($O$3100=1,$O3117/$F$3100,1),"")</f>
        <v/>
      </c>
      <c r="T3117" s="208">
        <f>IF(NOT($L$3100),"",IF($G3117&lt;nr_MStartP,$S3117,$T3105*(1+IF($G3117&lt;nr_MStartP1,$M$3100,$N$3100))))</f>
        <v/>
      </c>
      <c r="U3117" s="208">
        <f>IF($L$3100,$T3117,$N3117)</f>
        <v/>
      </c>
    </row>
    <row r="3118">
      <c r="A3118" s="145" t="n">
        <v>16</v>
      </c>
      <c r="B3118" s="204">
        <f>EDATE($B3117,1)</f>
        <v/>
      </c>
      <c r="C3118" s="205">
        <f>EOMONTH($B3118,0)</f>
        <v/>
      </c>
      <c r="D3118" s="201">
        <f>$C3118-$B3118+1</f>
        <v/>
      </c>
      <c r="E3118" s="201">
        <f>MONTH($B3118)</f>
        <v/>
      </c>
      <c r="F3118" s="235">
        <f>($B3118+$C3118+1)/2</f>
        <v/>
      </c>
      <c r="G3118" s="201">
        <f>YEAR($B3118)*12+MONTH($B3118)-1</f>
        <v/>
      </c>
      <c r="H3118" s="207">
        <f>IF(OR(nr_SeasonOn="OFF",$D$3100=0,$E$3100=0),1,12*INDEX(se_block,$D$3100,$E3118)/$E$3100)</f>
        <v/>
      </c>
      <c r="I3118" s="208">
        <f>EXP(SUMPRODUCT((rl_eff&lt;$B3118)*(rl_key=$A$3100)*rl_ln1p))</f>
        <v/>
      </c>
      <c r="J3118" s="208">
        <f>EXP(SUMPRODUCT((rl_eff&lt;=$C3118)*(rl_key=$A$3100)*rl_ln1p))</f>
        <v/>
      </c>
      <c r="K3118" s="201">
        <f>COUNTIFS(rl_key,$A$3100,rl_eff,"&gt;="&amp;$B3118,rl_eff,"&lt;="&amp;$C3118)</f>
        <v/>
      </c>
      <c r="L3118" s="201">
        <f>SUMIFS(rl_daysafter,rl_key,$A$3100,rl_effmonth,$B3118,rl_first,1)</f>
        <v/>
      </c>
      <c r="M3118" s="209">
        <f>IF($K3118=0,0,MIN(1,$L3118/$D3118))</f>
        <v/>
      </c>
      <c r="N3118" s="208">
        <f>IF($K3118=0,$J3118,(1-$M3118)*$I3118+$M3118*$J3118)</f>
        <v/>
      </c>
      <c r="O3118" s="209">
        <f>IF($F3118&lt;$B$3101,$E$3101+$I$3101*($F3118-$A$3101),IF($F3118&lt;$C$3101,$F$3101+$J$3101*($F3118-$B$3101),$G$3101+$K$3101*($F3118-$C$3101)))</f>
        <v/>
      </c>
      <c r="P3118" s="208">
        <f>MIN(1,MAX(0,(nr_MEndPm1-$G3118+0.5)/$C$3100))-MIN(1,MAX(0,(nr_MStartPm1-1-$G3118+0.5)/$C$3100))</f>
        <v/>
      </c>
      <c r="Q3118" s="208">
        <f>MIN(1,MAX(0,(nr_MEndP-$G3118+0.5)/$C$3100))-MIN(1,MAX(0,(nr_MStartP-1-$G3118+0.5)/$C$3100))</f>
        <v/>
      </c>
      <c r="R3118" s="208">
        <f>MIN(1,MAX(0,(nr_MEndP1-$G3118+0.5)/$C$3100))-MIN(1,MAX(0,(nr_MStartP1-1-$G3118+0.5)/$C$3100))</f>
        <v/>
      </c>
      <c r="S3118" s="208">
        <f>IF($L$3100,$N3118*IF($O$3100=1,$O3118/$F$3100,1),"")</f>
        <v/>
      </c>
      <c r="T3118" s="208">
        <f>IF(NOT($L$3100),"",IF($G3118&lt;nr_MStartP,$S3118,$T3106*(1+IF($G3118&lt;nr_MStartP1,$M$3100,$N$3100))))</f>
        <v/>
      </c>
      <c r="U3118" s="208">
        <f>IF($L$3100,$T3118,$N3118)</f>
        <v/>
      </c>
    </row>
    <row r="3119">
      <c r="A3119" s="145" t="n">
        <v>17</v>
      </c>
      <c r="B3119" s="204">
        <f>EDATE($B3118,1)</f>
        <v/>
      </c>
      <c r="C3119" s="205">
        <f>EOMONTH($B3119,0)</f>
        <v/>
      </c>
      <c r="D3119" s="201">
        <f>$C3119-$B3119+1</f>
        <v/>
      </c>
      <c r="E3119" s="201">
        <f>MONTH($B3119)</f>
        <v/>
      </c>
      <c r="F3119" s="235">
        <f>($B3119+$C3119+1)/2</f>
        <v/>
      </c>
      <c r="G3119" s="201">
        <f>YEAR($B3119)*12+MONTH($B3119)-1</f>
        <v/>
      </c>
      <c r="H3119" s="207">
        <f>IF(OR(nr_SeasonOn="OFF",$D$3100=0,$E$3100=0),1,12*INDEX(se_block,$D$3100,$E3119)/$E$3100)</f>
        <v/>
      </c>
      <c r="I3119" s="208">
        <f>EXP(SUMPRODUCT((rl_eff&lt;$B3119)*(rl_key=$A$3100)*rl_ln1p))</f>
        <v/>
      </c>
      <c r="J3119" s="208">
        <f>EXP(SUMPRODUCT((rl_eff&lt;=$C3119)*(rl_key=$A$3100)*rl_ln1p))</f>
        <v/>
      </c>
      <c r="K3119" s="201">
        <f>COUNTIFS(rl_key,$A$3100,rl_eff,"&gt;="&amp;$B3119,rl_eff,"&lt;="&amp;$C3119)</f>
        <v/>
      </c>
      <c r="L3119" s="201">
        <f>SUMIFS(rl_daysafter,rl_key,$A$3100,rl_effmonth,$B3119,rl_first,1)</f>
        <v/>
      </c>
      <c r="M3119" s="209">
        <f>IF($K3119=0,0,MIN(1,$L3119/$D3119))</f>
        <v/>
      </c>
      <c r="N3119" s="208">
        <f>IF($K3119=0,$J3119,(1-$M3119)*$I3119+$M3119*$J3119)</f>
        <v/>
      </c>
      <c r="O3119" s="209">
        <f>IF($F3119&lt;$B$3101,$E$3101+$I$3101*($F3119-$A$3101),IF($F3119&lt;$C$3101,$F$3101+$J$3101*($F3119-$B$3101),$G$3101+$K$3101*($F3119-$C$3101)))</f>
        <v/>
      </c>
      <c r="P3119" s="208">
        <f>MIN(1,MAX(0,(nr_MEndPm1-$G3119+0.5)/$C$3100))-MIN(1,MAX(0,(nr_MStartPm1-1-$G3119+0.5)/$C$3100))</f>
        <v/>
      </c>
      <c r="Q3119" s="208">
        <f>MIN(1,MAX(0,(nr_MEndP-$G3119+0.5)/$C$3100))-MIN(1,MAX(0,(nr_MStartP-1-$G3119+0.5)/$C$3100))</f>
        <v/>
      </c>
      <c r="R3119" s="208">
        <f>MIN(1,MAX(0,(nr_MEndP1-$G3119+0.5)/$C$3100))-MIN(1,MAX(0,(nr_MStartP1-1-$G3119+0.5)/$C$3100))</f>
        <v/>
      </c>
      <c r="S3119" s="208">
        <f>IF($L$3100,$N3119*IF($O$3100=1,$O3119/$F$3100,1),"")</f>
        <v/>
      </c>
      <c r="T3119" s="208">
        <f>IF(NOT($L$3100),"",IF($G3119&lt;nr_MStartP,$S3119,$T3107*(1+IF($G3119&lt;nr_MStartP1,$M$3100,$N$3100))))</f>
        <v/>
      </c>
      <c r="U3119" s="208">
        <f>IF($L$3100,$T3119,$N3119)</f>
        <v/>
      </c>
    </row>
    <row r="3120">
      <c r="A3120" s="145" t="n">
        <v>18</v>
      </c>
      <c r="B3120" s="204">
        <f>EDATE($B3119,1)</f>
        <v/>
      </c>
      <c r="C3120" s="205">
        <f>EOMONTH($B3120,0)</f>
        <v/>
      </c>
      <c r="D3120" s="201">
        <f>$C3120-$B3120+1</f>
        <v/>
      </c>
      <c r="E3120" s="201">
        <f>MONTH($B3120)</f>
        <v/>
      </c>
      <c r="F3120" s="235">
        <f>($B3120+$C3120+1)/2</f>
        <v/>
      </c>
      <c r="G3120" s="201">
        <f>YEAR($B3120)*12+MONTH($B3120)-1</f>
        <v/>
      </c>
      <c r="H3120" s="207">
        <f>IF(OR(nr_SeasonOn="OFF",$D$3100=0,$E$3100=0),1,12*INDEX(se_block,$D$3100,$E3120)/$E$3100)</f>
        <v/>
      </c>
      <c r="I3120" s="208">
        <f>EXP(SUMPRODUCT((rl_eff&lt;$B3120)*(rl_key=$A$3100)*rl_ln1p))</f>
        <v/>
      </c>
      <c r="J3120" s="208">
        <f>EXP(SUMPRODUCT((rl_eff&lt;=$C3120)*(rl_key=$A$3100)*rl_ln1p))</f>
        <v/>
      </c>
      <c r="K3120" s="201">
        <f>COUNTIFS(rl_key,$A$3100,rl_eff,"&gt;="&amp;$B3120,rl_eff,"&lt;="&amp;$C3120)</f>
        <v/>
      </c>
      <c r="L3120" s="201">
        <f>SUMIFS(rl_daysafter,rl_key,$A$3100,rl_effmonth,$B3120,rl_first,1)</f>
        <v/>
      </c>
      <c r="M3120" s="209">
        <f>IF($K3120=0,0,MIN(1,$L3120/$D3120))</f>
        <v/>
      </c>
      <c r="N3120" s="208">
        <f>IF($K3120=0,$J3120,(1-$M3120)*$I3120+$M3120*$J3120)</f>
        <v/>
      </c>
      <c r="O3120" s="209">
        <f>IF($F3120&lt;$B$3101,$E$3101+$I$3101*($F3120-$A$3101),IF($F3120&lt;$C$3101,$F$3101+$J$3101*($F3120-$B$3101),$G$3101+$K$3101*($F3120-$C$3101)))</f>
        <v/>
      </c>
      <c r="P3120" s="208">
        <f>MIN(1,MAX(0,(nr_MEndPm1-$G3120+0.5)/$C$3100))-MIN(1,MAX(0,(nr_MStartPm1-1-$G3120+0.5)/$C$3100))</f>
        <v/>
      </c>
      <c r="Q3120" s="208">
        <f>MIN(1,MAX(0,(nr_MEndP-$G3120+0.5)/$C$3100))-MIN(1,MAX(0,(nr_MStartP-1-$G3120+0.5)/$C$3100))</f>
        <v/>
      </c>
      <c r="R3120" s="208">
        <f>MIN(1,MAX(0,(nr_MEndP1-$G3120+0.5)/$C$3100))-MIN(1,MAX(0,(nr_MStartP1-1-$G3120+0.5)/$C$3100))</f>
        <v/>
      </c>
      <c r="S3120" s="208">
        <f>IF($L$3100,$N3120*IF($O$3100=1,$O3120/$F$3100,1),"")</f>
        <v/>
      </c>
      <c r="T3120" s="208">
        <f>IF(NOT($L$3100),"",IF($G3120&lt;nr_MStartP,$S3120,$T3108*(1+IF($G3120&lt;nr_MStartP1,$M$3100,$N$3100))))</f>
        <v/>
      </c>
      <c r="U3120" s="208">
        <f>IF($L$3100,$T3120,$N3120)</f>
        <v/>
      </c>
    </row>
    <row r="3121">
      <c r="A3121" s="145" t="n">
        <v>19</v>
      </c>
      <c r="B3121" s="204">
        <f>EDATE($B3120,1)</f>
        <v/>
      </c>
      <c r="C3121" s="205">
        <f>EOMONTH($B3121,0)</f>
        <v/>
      </c>
      <c r="D3121" s="201">
        <f>$C3121-$B3121+1</f>
        <v/>
      </c>
      <c r="E3121" s="201">
        <f>MONTH($B3121)</f>
        <v/>
      </c>
      <c r="F3121" s="235">
        <f>($B3121+$C3121+1)/2</f>
        <v/>
      </c>
      <c r="G3121" s="201">
        <f>YEAR($B3121)*12+MONTH($B3121)-1</f>
        <v/>
      </c>
      <c r="H3121" s="207">
        <f>IF(OR(nr_SeasonOn="OFF",$D$3100=0,$E$3100=0),1,12*INDEX(se_block,$D$3100,$E3121)/$E$3100)</f>
        <v/>
      </c>
      <c r="I3121" s="208">
        <f>EXP(SUMPRODUCT((rl_eff&lt;$B3121)*(rl_key=$A$3100)*rl_ln1p))</f>
        <v/>
      </c>
      <c r="J3121" s="208">
        <f>EXP(SUMPRODUCT((rl_eff&lt;=$C3121)*(rl_key=$A$3100)*rl_ln1p))</f>
        <v/>
      </c>
      <c r="K3121" s="201">
        <f>COUNTIFS(rl_key,$A$3100,rl_eff,"&gt;="&amp;$B3121,rl_eff,"&lt;="&amp;$C3121)</f>
        <v/>
      </c>
      <c r="L3121" s="201">
        <f>SUMIFS(rl_daysafter,rl_key,$A$3100,rl_effmonth,$B3121,rl_first,1)</f>
        <v/>
      </c>
      <c r="M3121" s="209">
        <f>IF($K3121=0,0,MIN(1,$L3121/$D3121))</f>
        <v/>
      </c>
      <c r="N3121" s="208">
        <f>IF($K3121=0,$J3121,(1-$M3121)*$I3121+$M3121*$J3121)</f>
        <v/>
      </c>
      <c r="O3121" s="209">
        <f>IF($F3121&lt;$B$3101,$E$3101+$I$3101*($F3121-$A$3101),IF($F3121&lt;$C$3101,$F$3101+$J$3101*($F3121-$B$3101),$G$3101+$K$3101*($F3121-$C$3101)))</f>
        <v/>
      </c>
      <c r="P3121" s="208">
        <f>MIN(1,MAX(0,(nr_MEndPm1-$G3121+0.5)/$C$3100))-MIN(1,MAX(0,(nr_MStartPm1-1-$G3121+0.5)/$C$3100))</f>
        <v/>
      </c>
      <c r="Q3121" s="208">
        <f>MIN(1,MAX(0,(nr_MEndP-$G3121+0.5)/$C$3100))-MIN(1,MAX(0,(nr_MStartP-1-$G3121+0.5)/$C$3100))</f>
        <v/>
      </c>
      <c r="R3121" s="208">
        <f>MIN(1,MAX(0,(nr_MEndP1-$G3121+0.5)/$C$3100))-MIN(1,MAX(0,(nr_MStartP1-1-$G3121+0.5)/$C$3100))</f>
        <v/>
      </c>
      <c r="S3121" s="208">
        <f>IF($L$3100,$N3121*IF($O$3100=1,$O3121/$F$3100,1),"")</f>
        <v/>
      </c>
      <c r="T3121" s="208">
        <f>IF(NOT($L$3100),"",IF($G3121&lt;nr_MStartP,$S3121,$T3109*(1+IF($G3121&lt;nr_MStartP1,$M$3100,$N$3100))))</f>
        <v/>
      </c>
      <c r="U3121" s="208">
        <f>IF($L$3100,$T3121,$N3121)</f>
        <v/>
      </c>
    </row>
    <row r="3122">
      <c r="A3122" s="145" t="n">
        <v>20</v>
      </c>
      <c r="B3122" s="204">
        <f>EDATE($B3121,1)</f>
        <v/>
      </c>
      <c r="C3122" s="205">
        <f>EOMONTH($B3122,0)</f>
        <v/>
      </c>
      <c r="D3122" s="201">
        <f>$C3122-$B3122+1</f>
        <v/>
      </c>
      <c r="E3122" s="201">
        <f>MONTH($B3122)</f>
        <v/>
      </c>
      <c r="F3122" s="235">
        <f>($B3122+$C3122+1)/2</f>
        <v/>
      </c>
      <c r="G3122" s="201">
        <f>YEAR($B3122)*12+MONTH($B3122)-1</f>
        <v/>
      </c>
      <c r="H3122" s="207">
        <f>IF(OR(nr_SeasonOn="OFF",$D$3100=0,$E$3100=0),1,12*INDEX(se_block,$D$3100,$E3122)/$E$3100)</f>
        <v/>
      </c>
      <c r="I3122" s="208">
        <f>EXP(SUMPRODUCT((rl_eff&lt;$B3122)*(rl_key=$A$3100)*rl_ln1p))</f>
        <v/>
      </c>
      <c r="J3122" s="208">
        <f>EXP(SUMPRODUCT((rl_eff&lt;=$C3122)*(rl_key=$A$3100)*rl_ln1p))</f>
        <v/>
      </c>
      <c r="K3122" s="201">
        <f>COUNTIFS(rl_key,$A$3100,rl_eff,"&gt;="&amp;$B3122,rl_eff,"&lt;="&amp;$C3122)</f>
        <v/>
      </c>
      <c r="L3122" s="201">
        <f>SUMIFS(rl_daysafter,rl_key,$A$3100,rl_effmonth,$B3122,rl_first,1)</f>
        <v/>
      </c>
      <c r="M3122" s="209">
        <f>IF($K3122=0,0,MIN(1,$L3122/$D3122))</f>
        <v/>
      </c>
      <c r="N3122" s="208">
        <f>IF($K3122=0,$J3122,(1-$M3122)*$I3122+$M3122*$J3122)</f>
        <v/>
      </c>
      <c r="O3122" s="209">
        <f>IF($F3122&lt;$B$3101,$E$3101+$I$3101*($F3122-$A$3101),IF($F3122&lt;$C$3101,$F$3101+$J$3101*($F3122-$B$3101),$G$3101+$K$3101*($F3122-$C$3101)))</f>
        <v/>
      </c>
      <c r="P3122" s="208">
        <f>MIN(1,MAX(0,(nr_MEndPm1-$G3122+0.5)/$C$3100))-MIN(1,MAX(0,(nr_MStartPm1-1-$G3122+0.5)/$C$3100))</f>
        <v/>
      </c>
      <c r="Q3122" s="208">
        <f>MIN(1,MAX(0,(nr_MEndP-$G3122+0.5)/$C$3100))-MIN(1,MAX(0,(nr_MStartP-1-$G3122+0.5)/$C$3100))</f>
        <v/>
      </c>
      <c r="R3122" s="208">
        <f>MIN(1,MAX(0,(nr_MEndP1-$G3122+0.5)/$C$3100))-MIN(1,MAX(0,(nr_MStartP1-1-$G3122+0.5)/$C$3100))</f>
        <v/>
      </c>
      <c r="S3122" s="208">
        <f>IF($L$3100,$N3122*IF($O$3100=1,$O3122/$F$3100,1),"")</f>
        <v/>
      </c>
      <c r="T3122" s="208">
        <f>IF(NOT($L$3100),"",IF($G3122&lt;nr_MStartP,$S3122,$T3110*(1+IF($G3122&lt;nr_MStartP1,$M$3100,$N$3100))))</f>
        <v/>
      </c>
      <c r="U3122" s="208">
        <f>IF($L$3100,$T3122,$N3122)</f>
        <v/>
      </c>
    </row>
    <row r="3123">
      <c r="A3123" s="145" t="n">
        <v>21</v>
      </c>
      <c r="B3123" s="204">
        <f>EDATE($B3122,1)</f>
        <v/>
      </c>
      <c r="C3123" s="205">
        <f>EOMONTH($B3123,0)</f>
        <v/>
      </c>
      <c r="D3123" s="201">
        <f>$C3123-$B3123+1</f>
        <v/>
      </c>
      <c r="E3123" s="201">
        <f>MONTH($B3123)</f>
        <v/>
      </c>
      <c r="F3123" s="235">
        <f>($B3123+$C3123+1)/2</f>
        <v/>
      </c>
      <c r="G3123" s="201">
        <f>YEAR($B3123)*12+MONTH($B3123)-1</f>
        <v/>
      </c>
      <c r="H3123" s="207">
        <f>IF(OR(nr_SeasonOn="OFF",$D$3100=0,$E$3100=0),1,12*INDEX(se_block,$D$3100,$E3123)/$E$3100)</f>
        <v/>
      </c>
      <c r="I3123" s="208">
        <f>EXP(SUMPRODUCT((rl_eff&lt;$B3123)*(rl_key=$A$3100)*rl_ln1p))</f>
        <v/>
      </c>
      <c r="J3123" s="208">
        <f>EXP(SUMPRODUCT((rl_eff&lt;=$C3123)*(rl_key=$A$3100)*rl_ln1p))</f>
        <v/>
      </c>
      <c r="K3123" s="201">
        <f>COUNTIFS(rl_key,$A$3100,rl_eff,"&gt;="&amp;$B3123,rl_eff,"&lt;="&amp;$C3123)</f>
        <v/>
      </c>
      <c r="L3123" s="201">
        <f>SUMIFS(rl_daysafter,rl_key,$A$3100,rl_effmonth,$B3123,rl_first,1)</f>
        <v/>
      </c>
      <c r="M3123" s="209">
        <f>IF($K3123=0,0,MIN(1,$L3123/$D3123))</f>
        <v/>
      </c>
      <c r="N3123" s="208">
        <f>IF($K3123=0,$J3123,(1-$M3123)*$I3123+$M3123*$J3123)</f>
        <v/>
      </c>
      <c r="O3123" s="209">
        <f>IF($F3123&lt;$B$3101,$E$3101+$I$3101*($F3123-$A$3101),IF($F3123&lt;$C$3101,$F$3101+$J$3101*($F3123-$B$3101),$G$3101+$K$3101*($F3123-$C$3101)))</f>
        <v/>
      </c>
      <c r="P3123" s="208">
        <f>MIN(1,MAX(0,(nr_MEndPm1-$G3123+0.5)/$C$3100))-MIN(1,MAX(0,(nr_MStartPm1-1-$G3123+0.5)/$C$3100))</f>
        <v/>
      </c>
      <c r="Q3123" s="208">
        <f>MIN(1,MAX(0,(nr_MEndP-$G3123+0.5)/$C$3100))-MIN(1,MAX(0,(nr_MStartP-1-$G3123+0.5)/$C$3100))</f>
        <v/>
      </c>
      <c r="R3123" s="208">
        <f>MIN(1,MAX(0,(nr_MEndP1-$G3123+0.5)/$C$3100))-MIN(1,MAX(0,(nr_MStartP1-1-$G3123+0.5)/$C$3100))</f>
        <v/>
      </c>
      <c r="S3123" s="208">
        <f>IF($L$3100,$N3123*IF($O$3100=1,$O3123/$F$3100,1),"")</f>
        <v/>
      </c>
      <c r="T3123" s="208">
        <f>IF(NOT($L$3100),"",IF($G3123&lt;nr_MStartP,$S3123,$T3111*(1+IF($G3123&lt;nr_MStartP1,$M$3100,$N$3100))))</f>
        <v/>
      </c>
      <c r="U3123" s="208">
        <f>IF($L$3100,$T3123,$N3123)</f>
        <v/>
      </c>
    </row>
    <row r="3124">
      <c r="A3124" s="145" t="n">
        <v>22</v>
      </c>
      <c r="B3124" s="204">
        <f>EDATE($B3123,1)</f>
        <v/>
      </c>
      <c r="C3124" s="205">
        <f>EOMONTH($B3124,0)</f>
        <v/>
      </c>
      <c r="D3124" s="201">
        <f>$C3124-$B3124+1</f>
        <v/>
      </c>
      <c r="E3124" s="201">
        <f>MONTH($B3124)</f>
        <v/>
      </c>
      <c r="F3124" s="235">
        <f>($B3124+$C3124+1)/2</f>
        <v/>
      </c>
      <c r="G3124" s="201">
        <f>YEAR($B3124)*12+MONTH($B3124)-1</f>
        <v/>
      </c>
      <c r="H3124" s="207">
        <f>IF(OR(nr_SeasonOn="OFF",$D$3100=0,$E$3100=0),1,12*INDEX(se_block,$D$3100,$E3124)/$E$3100)</f>
        <v/>
      </c>
      <c r="I3124" s="208">
        <f>EXP(SUMPRODUCT((rl_eff&lt;$B3124)*(rl_key=$A$3100)*rl_ln1p))</f>
        <v/>
      </c>
      <c r="J3124" s="208">
        <f>EXP(SUMPRODUCT((rl_eff&lt;=$C3124)*(rl_key=$A$3100)*rl_ln1p))</f>
        <v/>
      </c>
      <c r="K3124" s="201">
        <f>COUNTIFS(rl_key,$A$3100,rl_eff,"&gt;="&amp;$B3124,rl_eff,"&lt;="&amp;$C3124)</f>
        <v/>
      </c>
      <c r="L3124" s="201">
        <f>SUMIFS(rl_daysafter,rl_key,$A$3100,rl_effmonth,$B3124,rl_first,1)</f>
        <v/>
      </c>
      <c r="M3124" s="209">
        <f>IF($K3124=0,0,MIN(1,$L3124/$D3124))</f>
        <v/>
      </c>
      <c r="N3124" s="208">
        <f>IF($K3124=0,$J3124,(1-$M3124)*$I3124+$M3124*$J3124)</f>
        <v/>
      </c>
      <c r="O3124" s="209">
        <f>IF($F3124&lt;$B$3101,$E$3101+$I$3101*($F3124-$A$3101),IF($F3124&lt;$C$3101,$F$3101+$J$3101*($F3124-$B$3101),$G$3101+$K$3101*($F3124-$C$3101)))</f>
        <v/>
      </c>
      <c r="P3124" s="208">
        <f>MIN(1,MAX(0,(nr_MEndPm1-$G3124+0.5)/$C$3100))-MIN(1,MAX(0,(nr_MStartPm1-1-$G3124+0.5)/$C$3100))</f>
        <v/>
      </c>
      <c r="Q3124" s="208">
        <f>MIN(1,MAX(0,(nr_MEndP-$G3124+0.5)/$C$3100))-MIN(1,MAX(0,(nr_MStartP-1-$G3124+0.5)/$C$3100))</f>
        <v/>
      </c>
      <c r="R3124" s="208">
        <f>MIN(1,MAX(0,(nr_MEndP1-$G3124+0.5)/$C$3100))-MIN(1,MAX(0,(nr_MStartP1-1-$G3124+0.5)/$C$3100))</f>
        <v/>
      </c>
      <c r="S3124" s="208">
        <f>IF($L$3100,$N3124*IF($O$3100=1,$O3124/$F$3100,1),"")</f>
        <v/>
      </c>
      <c r="T3124" s="208">
        <f>IF(NOT($L$3100),"",IF($G3124&lt;nr_MStartP,$S3124,$T3112*(1+IF($G3124&lt;nr_MStartP1,$M$3100,$N$3100))))</f>
        <v/>
      </c>
      <c r="U3124" s="208">
        <f>IF($L$3100,$T3124,$N3124)</f>
        <v/>
      </c>
    </row>
    <row r="3125">
      <c r="A3125" s="145" t="n">
        <v>23</v>
      </c>
      <c r="B3125" s="204">
        <f>EDATE($B3124,1)</f>
        <v/>
      </c>
      <c r="C3125" s="205">
        <f>EOMONTH($B3125,0)</f>
        <v/>
      </c>
      <c r="D3125" s="201">
        <f>$C3125-$B3125+1</f>
        <v/>
      </c>
      <c r="E3125" s="201">
        <f>MONTH($B3125)</f>
        <v/>
      </c>
      <c r="F3125" s="235">
        <f>($B3125+$C3125+1)/2</f>
        <v/>
      </c>
      <c r="G3125" s="201">
        <f>YEAR($B3125)*12+MONTH($B3125)-1</f>
        <v/>
      </c>
      <c r="H3125" s="207">
        <f>IF(OR(nr_SeasonOn="OFF",$D$3100=0,$E$3100=0),1,12*INDEX(se_block,$D$3100,$E3125)/$E$3100)</f>
        <v/>
      </c>
      <c r="I3125" s="208">
        <f>EXP(SUMPRODUCT((rl_eff&lt;$B3125)*(rl_key=$A$3100)*rl_ln1p))</f>
        <v/>
      </c>
      <c r="J3125" s="208">
        <f>EXP(SUMPRODUCT((rl_eff&lt;=$C3125)*(rl_key=$A$3100)*rl_ln1p))</f>
        <v/>
      </c>
      <c r="K3125" s="201">
        <f>COUNTIFS(rl_key,$A$3100,rl_eff,"&gt;="&amp;$B3125,rl_eff,"&lt;="&amp;$C3125)</f>
        <v/>
      </c>
      <c r="L3125" s="201">
        <f>SUMIFS(rl_daysafter,rl_key,$A$3100,rl_effmonth,$B3125,rl_first,1)</f>
        <v/>
      </c>
      <c r="M3125" s="209">
        <f>IF($K3125=0,0,MIN(1,$L3125/$D3125))</f>
        <v/>
      </c>
      <c r="N3125" s="208">
        <f>IF($K3125=0,$J3125,(1-$M3125)*$I3125+$M3125*$J3125)</f>
        <v/>
      </c>
      <c r="O3125" s="209">
        <f>IF($F3125&lt;$B$3101,$E$3101+$I$3101*($F3125-$A$3101),IF($F3125&lt;$C$3101,$F$3101+$J$3101*($F3125-$B$3101),$G$3101+$K$3101*($F3125-$C$3101)))</f>
        <v/>
      </c>
      <c r="P3125" s="208">
        <f>MIN(1,MAX(0,(nr_MEndPm1-$G3125+0.5)/$C$3100))-MIN(1,MAX(0,(nr_MStartPm1-1-$G3125+0.5)/$C$3100))</f>
        <v/>
      </c>
      <c r="Q3125" s="208">
        <f>MIN(1,MAX(0,(nr_MEndP-$G3125+0.5)/$C$3100))-MIN(1,MAX(0,(nr_MStartP-1-$G3125+0.5)/$C$3100))</f>
        <v/>
      </c>
      <c r="R3125" s="208">
        <f>MIN(1,MAX(0,(nr_MEndP1-$G3125+0.5)/$C$3100))-MIN(1,MAX(0,(nr_MStartP1-1-$G3125+0.5)/$C$3100))</f>
        <v/>
      </c>
      <c r="S3125" s="208">
        <f>IF($L$3100,$N3125*IF($O$3100=1,$O3125/$F$3100,1),"")</f>
        <v/>
      </c>
      <c r="T3125" s="208">
        <f>IF(NOT($L$3100),"",IF($G3125&lt;nr_MStartP,$S3125,$T3113*(1+IF($G3125&lt;nr_MStartP1,$M$3100,$N$3100))))</f>
        <v/>
      </c>
      <c r="U3125" s="208">
        <f>IF($L$3100,$T3125,$N3125)</f>
        <v/>
      </c>
    </row>
    <row r="3126">
      <c r="A3126" s="145" t="n">
        <v>24</v>
      </c>
      <c r="B3126" s="204">
        <f>EDATE($B3125,1)</f>
        <v/>
      </c>
      <c r="C3126" s="205">
        <f>EOMONTH($B3126,0)</f>
        <v/>
      </c>
      <c r="D3126" s="201">
        <f>$C3126-$B3126+1</f>
        <v/>
      </c>
      <c r="E3126" s="201">
        <f>MONTH($B3126)</f>
        <v/>
      </c>
      <c r="F3126" s="235">
        <f>($B3126+$C3126+1)/2</f>
        <v/>
      </c>
      <c r="G3126" s="201">
        <f>YEAR($B3126)*12+MONTH($B3126)-1</f>
        <v/>
      </c>
      <c r="H3126" s="207">
        <f>IF(OR(nr_SeasonOn="OFF",$D$3100=0,$E$3100=0),1,12*INDEX(se_block,$D$3100,$E3126)/$E$3100)</f>
        <v/>
      </c>
      <c r="I3126" s="208">
        <f>EXP(SUMPRODUCT((rl_eff&lt;$B3126)*(rl_key=$A$3100)*rl_ln1p))</f>
        <v/>
      </c>
      <c r="J3126" s="208">
        <f>EXP(SUMPRODUCT((rl_eff&lt;=$C3126)*(rl_key=$A$3100)*rl_ln1p))</f>
        <v/>
      </c>
      <c r="K3126" s="201">
        <f>COUNTIFS(rl_key,$A$3100,rl_eff,"&gt;="&amp;$B3126,rl_eff,"&lt;="&amp;$C3126)</f>
        <v/>
      </c>
      <c r="L3126" s="201">
        <f>SUMIFS(rl_daysafter,rl_key,$A$3100,rl_effmonth,$B3126,rl_first,1)</f>
        <v/>
      </c>
      <c r="M3126" s="209">
        <f>IF($K3126=0,0,MIN(1,$L3126/$D3126))</f>
        <v/>
      </c>
      <c r="N3126" s="208">
        <f>IF($K3126=0,$J3126,(1-$M3126)*$I3126+$M3126*$J3126)</f>
        <v/>
      </c>
      <c r="O3126" s="209">
        <f>IF($F3126&lt;$B$3101,$E$3101+$I$3101*($F3126-$A$3101),IF($F3126&lt;$C$3101,$F$3101+$J$3101*($F3126-$B$3101),$G$3101+$K$3101*($F3126-$C$3101)))</f>
        <v/>
      </c>
      <c r="P3126" s="208">
        <f>MIN(1,MAX(0,(nr_MEndPm1-$G3126+0.5)/$C$3100))-MIN(1,MAX(0,(nr_MStartPm1-1-$G3126+0.5)/$C$3100))</f>
        <v/>
      </c>
      <c r="Q3126" s="208">
        <f>MIN(1,MAX(0,(nr_MEndP-$G3126+0.5)/$C$3100))-MIN(1,MAX(0,(nr_MStartP-1-$G3126+0.5)/$C$3100))</f>
        <v/>
      </c>
      <c r="R3126" s="208">
        <f>MIN(1,MAX(0,(nr_MEndP1-$G3126+0.5)/$C$3100))-MIN(1,MAX(0,(nr_MStartP1-1-$G3126+0.5)/$C$3100))</f>
        <v/>
      </c>
      <c r="S3126" s="208">
        <f>IF($L$3100,$N3126*IF($O$3100=1,$O3126/$F$3100,1),"")</f>
        <v/>
      </c>
      <c r="T3126" s="208">
        <f>IF(NOT($L$3100),"",IF($G3126&lt;nr_MStartP,$S3126,$T3114*(1+IF($G3126&lt;nr_MStartP1,$M$3100,$N$3100))))</f>
        <v/>
      </c>
      <c r="U3126" s="208">
        <f>IF($L$3100,$T3126,$N3126)</f>
        <v/>
      </c>
    </row>
    <row r="3127">
      <c r="A3127" s="145" t="n">
        <v>25</v>
      </c>
      <c r="B3127" s="204">
        <f>EDATE($B3126,1)</f>
        <v/>
      </c>
      <c r="C3127" s="205">
        <f>EOMONTH($B3127,0)</f>
        <v/>
      </c>
      <c r="D3127" s="201">
        <f>$C3127-$B3127+1</f>
        <v/>
      </c>
      <c r="E3127" s="201">
        <f>MONTH($B3127)</f>
        <v/>
      </c>
      <c r="F3127" s="235">
        <f>($B3127+$C3127+1)/2</f>
        <v/>
      </c>
      <c r="G3127" s="201">
        <f>YEAR($B3127)*12+MONTH($B3127)-1</f>
        <v/>
      </c>
      <c r="H3127" s="207">
        <f>IF(OR(nr_SeasonOn="OFF",$D$3100=0,$E$3100=0),1,12*INDEX(se_block,$D$3100,$E3127)/$E$3100)</f>
        <v/>
      </c>
      <c r="I3127" s="208">
        <f>EXP(SUMPRODUCT((rl_eff&lt;$B3127)*(rl_key=$A$3100)*rl_ln1p))</f>
        <v/>
      </c>
      <c r="J3127" s="208">
        <f>EXP(SUMPRODUCT((rl_eff&lt;=$C3127)*(rl_key=$A$3100)*rl_ln1p))</f>
        <v/>
      </c>
      <c r="K3127" s="201">
        <f>COUNTIFS(rl_key,$A$3100,rl_eff,"&gt;="&amp;$B3127,rl_eff,"&lt;="&amp;$C3127)</f>
        <v/>
      </c>
      <c r="L3127" s="201">
        <f>SUMIFS(rl_daysafter,rl_key,$A$3100,rl_effmonth,$B3127,rl_first,1)</f>
        <v/>
      </c>
      <c r="M3127" s="209">
        <f>IF($K3127=0,0,MIN(1,$L3127/$D3127))</f>
        <v/>
      </c>
      <c r="N3127" s="208">
        <f>IF($K3127=0,$J3127,(1-$M3127)*$I3127+$M3127*$J3127)</f>
        <v/>
      </c>
      <c r="O3127" s="209">
        <f>IF($F3127&lt;$B$3101,$E$3101+$I$3101*($F3127-$A$3101),IF($F3127&lt;$C$3101,$F$3101+$J$3101*($F3127-$B$3101),$G$3101+$K$3101*($F3127-$C$3101)))</f>
        <v/>
      </c>
      <c r="P3127" s="208">
        <f>MIN(1,MAX(0,(nr_MEndPm1-$G3127+0.5)/$C$3100))-MIN(1,MAX(0,(nr_MStartPm1-1-$G3127+0.5)/$C$3100))</f>
        <v/>
      </c>
      <c r="Q3127" s="208">
        <f>MIN(1,MAX(0,(nr_MEndP-$G3127+0.5)/$C$3100))-MIN(1,MAX(0,(nr_MStartP-1-$G3127+0.5)/$C$3100))</f>
        <v/>
      </c>
      <c r="R3127" s="208">
        <f>MIN(1,MAX(0,(nr_MEndP1-$G3127+0.5)/$C$3100))-MIN(1,MAX(0,(nr_MStartP1-1-$G3127+0.5)/$C$3100))</f>
        <v/>
      </c>
      <c r="S3127" s="208">
        <f>IF($L$3100,$N3127*IF($O$3100=1,$O3127/$F$3100,1),"")</f>
        <v/>
      </c>
      <c r="T3127" s="208">
        <f>IF(NOT($L$3100),"",IF($G3127&lt;nr_MStartP,$S3127,$T3115*(1+IF($G3127&lt;nr_MStartP1,$M$3100,$N$3100))))</f>
        <v/>
      </c>
      <c r="U3127" s="208">
        <f>IF($L$3100,$T3127,$N3127)</f>
        <v/>
      </c>
    </row>
    <row r="3128">
      <c r="A3128" s="145" t="n">
        <v>26</v>
      </c>
      <c r="B3128" s="204">
        <f>EDATE($B3127,1)</f>
        <v/>
      </c>
      <c r="C3128" s="205">
        <f>EOMONTH($B3128,0)</f>
        <v/>
      </c>
      <c r="D3128" s="201">
        <f>$C3128-$B3128+1</f>
        <v/>
      </c>
      <c r="E3128" s="201">
        <f>MONTH($B3128)</f>
        <v/>
      </c>
      <c r="F3128" s="235">
        <f>($B3128+$C3128+1)/2</f>
        <v/>
      </c>
      <c r="G3128" s="201">
        <f>YEAR($B3128)*12+MONTH($B3128)-1</f>
        <v/>
      </c>
      <c r="H3128" s="207">
        <f>IF(OR(nr_SeasonOn="OFF",$D$3100=0,$E$3100=0),1,12*INDEX(se_block,$D$3100,$E3128)/$E$3100)</f>
        <v/>
      </c>
      <c r="I3128" s="208">
        <f>EXP(SUMPRODUCT((rl_eff&lt;$B3128)*(rl_key=$A$3100)*rl_ln1p))</f>
        <v/>
      </c>
      <c r="J3128" s="208">
        <f>EXP(SUMPRODUCT((rl_eff&lt;=$C3128)*(rl_key=$A$3100)*rl_ln1p))</f>
        <v/>
      </c>
      <c r="K3128" s="201">
        <f>COUNTIFS(rl_key,$A$3100,rl_eff,"&gt;="&amp;$B3128,rl_eff,"&lt;="&amp;$C3128)</f>
        <v/>
      </c>
      <c r="L3128" s="201">
        <f>SUMIFS(rl_daysafter,rl_key,$A$3100,rl_effmonth,$B3128,rl_first,1)</f>
        <v/>
      </c>
      <c r="M3128" s="209">
        <f>IF($K3128=0,0,MIN(1,$L3128/$D3128))</f>
        <v/>
      </c>
      <c r="N3128" s="208">
        <f>IF($K3128=0,$J3128,(1-$M3128)*$I3128+$M3128*$J3128)</f>
        <v/>
      </c>
      <c r="O3128" s="209">
        <f>IF($F3128&lt;$B$3101,$E$3101+$I$3101*($F3128-$A$3101),IF($F3128&lt;$C$3101,$F$3101+$J$3101*($F3128-$B$3101),$G$3101+$K$3101*($F3128-$C$3101)))</f>
        <v/>
      </c>
      <c r="P3128" s="208">
        <f>MIN(1,MAX(0,(nr_MEndPm1-$G3128+0.5)/$C$3100))-MIN(1,MAX(0,(nr_MStartPm1-1-$G3128+0.5)/$C$3100))</f>
        <v/>
      </c>
      <c r="Q3128" s="208">
        <f>MIN(1,MAX(0,(nr_MEndP-$G3128+0.5)/$C$3100))-MIN(1,MAX(0,(nr_MStartP-1-$G3128+0.5)/$C$3100))</f>
        <v/>
      </c>
      <c r="R3128" s="208">
        <f>MIN(1,MAX(0,(nr_MEndP1-$G3128+0.5)/$C$3100))-MIN(1,MAX(0,(nr_MStartP1-1-$G3128+0.5)/$C$3100))</f>
        <v/>
      </c>
      <c r="S3128" s="208">
        <f>IF($L$3100,$N3128*IF($O$3100=1,$O3128/$F$3100,1),"")</f>
        <v/>
      </c>
      <c r="T3128" s="208">
        <f>IF(NOT($L$3100),"",IF($G3128&lt;nr_MStartP,$S3128,$T3116*(1+IF($G3128&lt;nr_MStartP1,$M$3100,$N$3100))))</f>
        <v/>
      </c>
      <c r="U3128" s="208">
        <f>IF($L$3100,$T3128,$N3128)</f>
        <v/>
      </c>
    </row>
    <row r="3129">
      <c r="A3129" s="145" t="n">
        <v>27</v>
      </c>
      <c r="B3129" s="204">
        <f>EDATE($B3128,1)</f>
        <v/>
      </c>
      <c r="C3129" s="205">
        <f>EOMONTH($B3129,0)</f>
        <v/>
      </c>
      <c r="D3129" s="201">
        <f>$C3129-$B3129+1</f>
        <v/>
      </c>
      <c r="E3129" s="201">
        <f>MONTH($B3129)</f>
        <v/>
      </c>
      <c r="F3129" s="235">
        <f>($B3129+$C3129+1)/2</f>
        <v/>
      </c>
      <c r="G3129" s="201">
        <f>YEAR($B3129)*12+MONTH($B3129)-1</f>
        <v/>
      </c>
      <c r="H3129" s="207">
        <f>IF(OR(nr_SeasonOn="OFF",$D$3100=0,$E$3100=0),1,12*INDEX(se_block,$D$3100,$E3129)/$E$3100)</f>
        <v/>
      </c>
      <c r="I3129" s="208">
        <f>EXP(SUMPRODUCT((rl_eff&lt;$B3129)*(rl_key=$A$3100)*rl_ln1p))</f>
        <v/>
      </c>
      <c r="J3129" s="208">
        <f>EXP(SUMPRODUCT((rl_eff&lt;=$C3129)*(rl_key=$A$3100)*rl_ln1p))</f>
        <v/>
      </c>
      <c r="K3129" s="201">
        <f>COUNTIFS(rl_key,$A$3100,rl_eff,"&gt;="&amp;$B3129,rl_eff,"&lt;="&amp;$C3129)</f>
        <v/>
      </c>
      <c r="L3129" s="201">
        <f>SUMIFS(rl_daysafter,rl_key,$A$3100,rl_effmonth,$B3129,rl_first,1)</f>
        <v/>
      </c>
      <c r="M3129" s="209">
        <f>IF($K3129=0,0,MIN(1,$L3129/$D3129))</f>
        <v/>
      </c>
      <c r="N3129" s="208">
        <f>IF($K3129=0,$J3129,(1-$M3129)*$I3129+$M3129*$J3129)</f>
        <v/>
      </c>
      <c r="O3129" s="209">
        <f>IF($F3129&lt;$B$3101,$E$3101+$I$3101*($F3129-$A$3101),IF($F3129&lt;$C$3101,$F$3101+$J$3101*($F3129-$B$3101),$G$3101+$K$3101*($F3129-$C$3101)))</f>
        <v/>
      </c>
      <c r="P3129" s="208">
        <f>MIN(1,MAX(0,(nr_MEndPm1-$G3129+0.5)/$C$3100))-MIN(1,MAX(0,(nr_MStartPm1-1-$G3129+0.5)/$C$3100))</f>
        <v/>
      </c>
      <c r="Q3129" s="208">
        <f>MIN(1,MAX(0,(nr_MEndP-$G3129+0.5)/$C$3100))-MIN(1,MAX(0,(nr_MStartP-1-$G3129+0.5)/$C$3100))</f>
        <v/>
      </c>
      <c r="R3129" s="208">
        <f>MIN(1,MAX(0,(nr_MEndP1-$G3129+0.5)/$C$3100))-MIN(1,MAX(0,(nr_MStartP1-1-$G3129+0.5)/$C$3100))</f>
        <v/>
      </c>
      <c r="S3129" s="208">
        <f>IF($L$3100,$N3129*IF($O$3100=1,$O3129/$F$3100,1),"")</f>
        <v/>
      </c>
      <c r="T3129" s="208">
        <f>IF(NOT($L$3100),"",IF($G3129&lt;nr_MStartP,$S3129,$T3117*(1+IF($G3129&lt;nr_MStartP1,$M$3100,$N$3100))))</f>
        <v/>
      </c>
      <c r="U3129" s="208">
        <f>IF($L$3100,$T3129,$N3129)</f>
        <v/>
      </c>
    </row>
    <row r="3130">
      <c r="A3130" s="145" t="n">
        <v>28</v>
      </c>
      <c r="B3130" s="204">
        <f>EDATE($B3129,1)</f>
        <v/>
      </c>
      <c r="C3130" s="205">
        <f>EOMONTH($B3130,0)</f>
        <v/>
      </c>
      <c r="D3130" s="201">
        <f>$C3130-$B3130+1</f>
        <v/>
      </c>
      <c r="E3130" s="201">
        <f>MONTH($B3130)</f>
        <v/>
      </c>
      <c r="F3130" s="235">
        <f>($B3130+$C3130+1)/2</f>
        <v/>
      </c>
      <c r="G3130" s="201">
        <f>YEAR($B3130)*12+MONTH($B3130)-1</f>
        <v/>
      </c>
      <c r="H3130" s="207">
        <f>IF(OR(nr_SeasonOn="OFF",$D$3100=0,$E$3100=0),1,12*INDEX(se_block,$D$3100,$E3130)/$E$3100)</f>
        <v/>
      </c>
      <c r="I3130" s="208">
        <f>EXP(SUMPRODUCT((rl_eff&lt;$B3130)*(rl_key=$A$3100)*rl_ln1p))</f>
        <v/>
      </c>
      <c r="J3130" s="208">
        <f>EXP(SUMPRODUCT((rl_eff&lt;=$C3130)*(rl_key=$A$3100)*rl_ln1p))</f>
        <v/>
      </c>
      <c r="K3130" s="201">
        <f>COUNTIFS(rl_key,$A$3100,rl_eff,"&gt;="&amp;$B3130,rl_eff,"&lt;="&amp;$C3130)</f>
        <v/>
      </c>
      <c r="L3130" s="201">
        <f>SUMIFS(rl_daysafter,rl_key,$A$3100,rl_effmonth,$B3130,rl_first,1)</f>
        <v/>
      </c>
      <c r="M3130" s="209">
        <f>IF($K3130=0,0,MIN(1,$L3130/$D3130))</f>
        <v/>
      </c>
      <c r="N3130" s="208">
        <f>IF($K3130=0,$J3130,(1-$M3130)*$I3130+$M3130*$J3130)</f>
        <v/>
      </c>
      <c r="O3130" s="209">
        <f>IF($F3130&lt;$B$3101,$E$3101+$I$3101*($F3130-$A$3101),IF($F3130&lt;$C$3101,$F$3101+$J$3101*($F3130-$B$3101),$G$3101+$K$3101*($F3130-$C$3101)))</f>
        <v/>
      </c>
      <c r="P3130" s="208">
        <f>MIN(1,MAX(0,(nr_MEndPm1-$G3130+0.5)/$C$3100))-MIN(1,MAX(0,(nr_MStartPm1-1-$G3130+0.5)/$C$3100))</f>
        <v/>
      </c>
      <c r="Q3130" s="208">
        <f>MIN(1,MAX(0,(nr_MEndP-$G3130+0.5)/$C$3100))-MIN(1,MAX(0,(nr_MStartP-1-$G3130+0.5)/$C$3100))</f>
        <v/>
      </c>
      <c r="R3130" s="208">
        <f>MIN(1,MAX(0,(nr_MEndP1-$G3130+0.5)/$C$3100))-MIN(1,MAX(0,(nr_MStartP1-1-$G3130+0.5)/$C$3100))</f>
        <v/>
      </c>
      <c r="S3130" s="208">
        <f>IF($L$3100,$N3130*IF($O$3100=1,$O3130/$F$3100,1),"")</f>
        <v/>
      </c>
      <c r="T3130" s="208">
        <f>IF(NOT($L$3100),"",IF($G3130&lt;nr_MStartP,$S3130,$T3118*(1+IF($G3130&lt;nr_MStartP1,$M$3100,$N$3100))))</f>
        <v/>
      </c>
      <c r="U3130" s="208">
        <f>IF($L$3100,$T3130,$N3130)</f>
        <v/>
      </c>
    </row>
    <row r="3131">
      <c r="A3131" s="145" t="n">
        <v>29</v>
      </c>
      <c r="B3131" s="204">
        <f>EDATE($B3130,1)</f>
        <v/>
      </c>
      <c r="C3131" s="205">
        <f>EOMONTH($B3131,0)</f>
        <v/>
      </c>
      <c r="D3131" s="201">
        <f>$C3131-$B3131+1</f>
        <v/>
      </c>
      <c r="E3131" s="201">
        <f>MONTH($B3131)</f>
        <v/>
      </c>
      <c r="F3131" s="235">
        <f>($B3131+$C3131+1)/2</f>
        <v/>
      </c>
      <c r="G3131" s="201">
        <f>YEAR($B3131)*12+MONTH($B3131)-1</f>
        <v/>
      </c>
      <c r="H3131" s="207">
        <f>IF(OR(nr_SeasonOn="OFF",$D$3100=0,$E$3100=0),1,12*INDEX(se_block,$D$3100,$E3131)/$E$3100)</f>
        <v/>
      </c>
      <c r="I3131" s="208">
        <f>EXP(SUMPRODUCT((rl_eff&lt;$B3131)*(rl_key=$A$3100)*rl_ln1p))</f>
        <v/>
      </c>
      <c r="J3131" s="208">
        <f>EXP(SUMPRODUCT((rl_eff&lt;=$C3131)*(rl_key=$A$3100)*rl_ln1p))</f>
        <v/>
      </c>
      <c r="K3131" s="201">
        <f>COUNTIFS(rl_key,$A$3100,rl_eff,"&gt;="&amp;$B3131,rl_eff,"&lt;="&amp;$C3131)</f>
        <v/>
      </c>
      <c r="L3131" s="201">
        <f>SUMIFS(rl_daysafter,rl_key,$A$3100,rl_effmonth,$B3131,rl_first,1)</f>
        <v/>
      </c>
      <c r="M3131" s="209">
        <f>IF($K3131=0,0,MIN(1,$L3131/$D3131))</f>
        <v/>
      </c>
      <c r="N3131" s="208">
        <f>IF($K3131=0,$J3131,(1-$M3131)*$I3131+$M3131*$J3131)</f>
        <v/>
      </c>
      <c r="O3131" s="209">
        <f>IF($F3131&lt;$B$3101,$E$3101+$I$3101*($F3131-$A$3101),IF($F3131&lt;$C$3101,$F$3101+$J$3101*($F3131-$B$3101),$G$3101+$K$3101*($F3131-$C$3101)))</f>
        <v/>
      </c>
      <c r="P3131" s="208">
        <f>MIN(1,MAX(0,(nr_MEndPm1-$G3131+0.5)/$C$3100))-MIN(1,MAX(0,(nr_MStartPm1-1-$G3131+0.5)/$C$3100))</f>
        <v/>
      </c>
      <c r="Q3131" s="208">
        <f>MIN(1,MAX(0,(nr_MEndP-$G3131+0.5)/$C$3100))-MIN(1,MAX(0,(nr_MStartP-1-$G3131+0.5)/$C$3100))</f>
        <v/>
      </c>
      <c r="R3131" s="208">
        <f>MIN(1,MAX(0,(nr_MEndP1-$G3131+0.5)/$C$3100))-MIN(1,MAX(0,(nr_MStartP1-1-$G3131+0.5)/$C$3100))</f>
        <v/>
      </c>
      <c r="S3131" s="208">
        <f>IF($L$3100,$N3131*IF($O$3100=1,$O3131/$F$3100,1),"")</f>
        <v/>
      </c>
      <c r="T3131" s="208">
        <f>IF(NOT($L$3100),"",IF($G3131&lt;nr_MStartP,$S3131,$T3119*(1+IF($G3131&lt;nr_MStartP1,$M$3100,$N$3100))))</f>
        <v/>
      </c>
      <c r="U3131" s="208">
        <f>IF($L$3100,$T3131,$N3131)</f>
        <v/>
      </c>
    </row>
    <row r="3132">
      <c r="A3132" s="145" t="n">
        <v>30</v>
      </c>
      <c r="B3132" s="204">
        <f>EDATE($B3131,1)</f>
        <v/>
      </c>
      <c r="C3132" s="205">
        <f>EOMONTH($B3132,0)</f>
        <v/>
      </c>
      <c r="D3132" s="201">
        <f>$C3132-$B3132+1</f>
        <v/>
      </c>
      <c r="E3132" s="201">
        <f>MONTH($B3132)</f>
        <v/>
      </c>
      <c r="F3132" s="235">
        <f>($B3132+$C3132+1)/2</f>
        <v/>
      </c>
      <c r="G3132" s="201">
        <f>YEAR($B3132)*12+MONTH($B3132)-1</f>
        <v/>
      </c>
      <c r="H3132" s="207">
        <f>IF(OR(nr_SeasonOn="OFF",$D$3100=0,$E$3100=0),1,12*INDEX(se_block,$D$3100,$E3132)/$E$3100)</f>
        <v/>
      </c>
      <c r="I3132" s="208">
        <f>EXP(SUMPRODUCT((rl_eff&lt;$B3132)*(rl_key=$A$3100)*rl_ln1p))</f>
        <v/>
      </c>
      <c r="J3132" s="208">
        <f>EXP(SUMPRODUCT((rl_eff&lt;=$C3132)*(rl_key=$A$3100)*rl_ln1p))</f>
        <v/>
      </c>
      <c r="K3132" s="201">
        <f>COUNTIFS(rl_key,$A$3100,rl_eff,"&gt;="&amp;$B3132,rl_eff,"&lt;="&amp;$C3132)</f>
        <v/>
      </c>
      <c r="L3132" s="201">
        <f>SUMIFS(rl_daysafter,rl_key,$A$3100,rl_effmonth,$B3132,rl_first,1)</f>
        <v/>
      </c>
      <c r="M3132" s="209">
        <f>IF($K3132=0,0,MIN(1,$L3132/$D3132))</f>
        <v/>
      </c>
      <c r="N3132" s="208">
        <f>IF($K3132=0,$J3132,(1-$M3132)*$I3132+$M3132*$J3132)</f>
        <v/>
      </c>
      <c r="O3132" s="209">
        <f>IF($F3132&lt;$B$3101,$E$3101+$I$3101*($F3132-$A$3101),IF($F3132&lt;$C$3101,$F$3101+$J$3101*($F3132-$B$3101),$G$3101+$K$3101*($F3132-$C$3101)))</f>
        <v/>
      </c>
      <c r="P3132" s="208">
        <f>MIN(1,MAX(0,(nr_MEndPm1-$G3132+0.5)/$C$3100))-MIN(1,MAX(0,(nr_MStartPm1-1-$G3132+0.5)/$C$3100))</f>
        <v/>
      </c>
      <c r="Q3132" s="208">
        <f>MIN(1,MAX(0,(nr_MEndP-$G3132+0.5)/$C$3100))-MIN(1,MAX(0,(nr_MStartP-1-$G3132+0.5)/$C$3100))</f>
        <v/>
      </c>
      <c r="R3132" s="208">
        <f>MIN(1,MAX(0,(nr_MEndP1-$G3132+0.5)/$C$3100))-MIN(1,MAX(0,(nr_MStartP1-1-$G3132+0.5)/$C$3100))</f>
        <v/>
      </c>
      <c r="S3132" s="208">
        <f>IF($L$3100,$N3132*IF($O$3100=1,$O3132/$F$3100,1),"")</f>
        <v/>
      </c>
      <c r="T3132" s="208">
        <f>IF(NOT($L$3100),"",IF($G3132&lt;nr_MStartP,$S3132,$T3120*(1+IF($G3132&lt;nr_MStartP1,$M$3100,$N$3100))))</f>
        <v/>
      </c>
      <c r="U3132" s="208">
        <f>IF($L$3100,$T3132,$N3132)</f>
        <v/>
      </c>
    </row>
    <row r="3133">
      <c r="A3133" s="145" t="n">
        <v>31</v>
      </c>
      <c r="B3133" s="204">
        <f>EDATE($B3132,1)</f>
        <v/>
      </c>
      <c r="C3133" s="205">
        <f>EOMONTH($B3133,0)</f>
        <v/>
      </c>
      <c r="D3133" s="201">
        <f>$C3133-$B3133+1</f>
        <v/>
      </c>
      <c r="E3133" s="201">
        <f>MONTH($B3133)</f>
        <v/>
      </c>
      <c r="F3133" s="235">
        <f>($B3133+$C3133+1)/2</f>
        <v/>
      </c>
      <c r="G3133" s="201">
        <f>YEAR($B3133)*12+MONTH($B3133)-1</f>
        <v/>
      </c>
      <c r="H3133" s="207">
        <f>IF(OR(nr_SeasonOn="OFF",$D$3100=0,$E$3100=0),1,12*INDEX(se_block,$D$3100,$E3133)/$E$3100)</f>
        <v/>
      </c>
      <c r="I3133" s="208">
        <f>EXP(SUMPRODUCT((rl_eff&lt;$B3133)*(rl_key=$A$3100)*rl_ln1p))</f>
        <v/>
      </c>
      <c r="J3133" s="208">
        <f>EXP(SUMPRODUCT((rl_eff&lt;=$C3133)*(rl_key=$A$3100)*rl_ln1p))</f>
        <v/>
      </c>
      <c r="K3133" s="201">
        <f>COUNTIFS(rl_key,$A$3100,rl_eff,"&gt;="&amp;$B3133,rl_eff,"&lt;="&amp;$C3133)</f>
        <v/>
      </c>
      <c r="L3133" s="201">
        <f>SUMIFS(rl_daysafter,rl_key,$A$3100,rl_effmonth,$B3133,rl_first,1)</f>
        <v/>
      </c>
      <c r="M3133" s="209">
        <f>IF($K3133=0,0,MIN(1,$L3133/$D3133))</f>
        <v/>
      </c>
      <c r="N3133" s="208">
        <f>IF($K3133=0,$J3133,(1-$M3133)*$I3133+$M3133*$J3133)</f>
        <v/>
      </c>
      <c r="O3133" s="209">
        <f>IF($F3133&lt;$B$3101,$E$3101+$I$3101*($F3133-$A$3101),IF($F3133&lt;$C$3101,$F$3101+$J$3101*($F3133-$B$3101),$G$3101+$K$3101*($F3133-$C$3101)))</f>
        <v/>
      </c>
      <c r="P3133" s="208">
        <f>MIN(1,MAX(0,(nr_MEndPm1-$G3133+0.5)/$C$3100))-MIN(1,MAX(0,(nr_MStartPm1-1-$G3133+0.5)/$C$3100))</f>
        <v/>
      </c>
      <c r="Q3133" s="208">
        <f>MIN(1,MAX(0,(nr_MEndP-$G3133+0.5)/$C$3100))-MIN(1,MAX(0,(nr_MStartP-1-$G3133+0.5)/$C$3100))</f>
        <v/>
      </c>
      <c r="R3133" s="208">
        <f>MIN(1,MAX(0,(nr_MEndP1-$G3133+0.5)/$C$3100))-MIN(1,MAX(0,(nr_MStartP1-1-$G3133+0.5)/$C$3100))</f>
        <v/>
      </c>
      <c r="S3133" s="208">
        <f>IF($L$3100,$N3133*IF($O$3100=1,$O3133/$F$3100,1),"")</f>
        <v/>
      </c>
      <c r="T3133" s="208">
        <f>IF(NOT($L$3100),"",IF($G3133&lt;nr_MStartP,$S3133,$T3121*(1+IF($G3133&lt;nr_MStartP1,$M$3100,$N$3100))))</f>
        <v/>
      </c>
      <c r="U3133" s="208">
        <f>IF($L$3100,$T3133,$N3133)</f>
        <v/>
      </c>
    </row>
    <row r="3134">
      <c r="A3134" s="145" t="n">
        <v>32</v>
      </c>
      <c r="B3134" s="204">
        <f>EDATE($B3133,1)</f>
        <v/>
      </c>
      <c r="C3134" s="205">
        <f>EOMONTH($B3134,0)</f>
        <v/>
      </c>
      <c r="D3134" s="201">
        <f>$C3134-$B3134+1</f>
        <v/>
      </c>
      <c r="E3134" s="201">
        <f>MONTH($B3134)</f>
        <v/>
      </c>
      <c r="F3134" s="235">
        <f>($B3134+$C3134+1)/2</f>
        <v/>
      </c>
      <c r="G3134" s="201">
        <f>YEAR($B3134)*12+MONTH($B3134)-1</f>
        <v/>
      </c>
      <c r="H3134" s="207">
        <f>IF(OR(nr_SeasonOn="OFF",$D$3100=0,$E$3100=0),1,12*INDEX(se_block,$D$3100,$E3134)/$E$3100)</f>
        <v/>
      </c>
      <c r="I3134" s="208">
        <f>EXP(SUMPRODUCT((rl_eff&lt;$B3134)*(rl_key=$A$3100)*rl_ln1p))</f>
        <v/>
      </c>
      <c r="J3134" s="208">
        <f>EXP(SUMPRODUCT((rl_eff&lt;=$C3134)*(rl_key=$A$3100)*rl_ln1p))</f>
        <v/>
      </c>
      <c r="K3134" s="201">
        <f>COUNTIFS(rl_key,$A$3100,rl_eff,"&gt;="&amp;$B3134,rl_eff,"&lt;="&amp;$C3134)</f>
        <v/>
      </c>
      <c r="L3134" s="201">
        <f>SUMIFS(rl_daysafter,rl_key,$A$3100,rl_effmonth,$B3134,rl_first,1)</f>
        <v/>
      </c>
      <c r="M3134" s="209">
        <f>IF($K3134=0,0,MIN(1,$L3134/$D3134))</f>
        <v/>
      </c>
      <c r="N3134" s="208">
        <f>IF($K3134=0,$J3134,(1-$M3134)*$I3134+$M3134*$J3134)</f>
        <v/>
      </c>
      <c r="O3134" s="209">
        <f>IF($F3134&lt;$B$3101,$E$3101+$I$3101*($F3134-$A$3101),IF($F3134&lt;$C$3101,$F$3101+$J$3101*($F3134-$B$3101),$G$3101+$K$3101*($F3134-$C$3101)))</f>
        <v/>
      </c>
      <c r="P3134" s="208">
        <f>MIN(1,MAX(0,(nr_MEndPm1-$G3134+0.5)/$C$3100))-MIN(1,MAX(0,(nr_MStartPm1-1-$G3134+0.5)/$C$3100))</f>
        <v/>
      </c>
      <c r="Q3134" s="208">
        <f>MIN(1,MAX(0,(nr_MEndP-$G3134+0.5)/$C$3100))-MIN(1,MAX(0,(nr_MStartP-1-$G3134+0.5)/$C$3100))</f>
        <v/>
      </c>
      <c r="R3134" s="208">
        <f>MIN(1,MAX(0,(nr_MEndP1-$G3134+0.5)/$C$3100))-MIN(1,MAX(0,(nr_MStartP1-1-$G3134+0.5)/$C$3100))</f>
        <v/>
      </c>
      <c r="S3134" s="208">
        <f>IF($L$3100,$N3134*IF($O$3100=1,$O3134/$F$3100,1),"")</f>
        <v/>
      </c>
      <c r="T3134" s="208">
        <f>IF(NOT($L$3100),"",IF($G3134&lt;nr_MStartP,$S3134,$T3122*(1+IF($G3134&lt;nr_MStartP1,$M$3100,$N$3100))))</f>
        <v/>
      </c>
      <c r="U3134" s="208">
        <f>IF($L$3100,$T3134,$N3134)</f>
        <v/>
      </c>
    </row>
    <row r="3135">
      <c r="A3135" s="145" t="n">
        <v>33</v>
      </c>
      <c r="B3135" s="204">
        <f>EDATE($B3134,1)</f>
        <v/>
      </c>
      <c r="C3135" s="205">
        <f>EOMONTH($B3135,0)</f>
        <v/>
      </c>
      <c r="D3135" s="201">
        <f>$C3135-$B3135+1</f>
        <v/>
      </c>
      <c r="E3135" s="201">
        <f>MONTH($B3135)</f>
        <v/>
      </c>
      <c r="F3135" s="235">
        <f>($B3135+$C3135+1)/2</f>
        <v/>
      </c>
      <c r="G3135" s="201">
        <f>YEAR($B3135)*12+MONTH($B3135)-1</f>
        <v/>
      </c>
      <c r="H3135" s="207">
        <f>IF(OR(nr_SeasonOn="OFF",$D$3100=0,$E$3100=0),1,12*INDEX(se_block,$D$3100,$E3135)/$E$3100)</f>
        <v/>
      </c>
      <c r="I3135" s="208">
        <f>EXP(SUMPRODUCT((rl_eff&lt;$B3135)*(rl_key=$A$3100)*rl_ln1p))</f>
        <v/>
      </c>
      <c r="J3135" s="208">
        <f>EXP(SUMPRODUCT((rl_eff&lt;=$C3135)*(rl_key=$A$3100)*rl_ln1p))</f>
        <v/>
      </c>
      <c r="K3135" s="201">
        <f>COUNTIFS(rl_key,$A$3100,rl_eff,"&gt;="&amp;$B3135,rl_eff,"&lt;="&amp;$C3135)</f>
        <v/>
      </c>
      <c r="L3135" s="201">
        <f>SUMIFS(rl_daysafter,rl_key,$A$3100,rl_effmonth,$B3135,rl_first,1)</f>
        <v/>
      </c>
      <c r="M3135" s="209">
        <f>IF($K3135=0,0,MIN(1,$L3135/$D3135))</f>
        <v/>
      </c>
      <c r="N3135" s="208">
        <f>IF($K3135=0,$J3135,(1-$M3135)*$I3135+$M3135*$J3135)</f>
        <v/>
      </c>
      <c r="O3135" s="209">
        <f>IF($F3135&lt;$B$3101,$E$3101+$I$3101*($F3135-$A$3101),IF($F3135&lt;$C$3101,$F$3101+$J$3101*($F3135-$B$3101),$G$3101+$K$3101*($F3135-$C$3101)))</f>
        <v/>
      </c>
      <c r="P3135" s="208">
        <f>MIN(1,MAX(0,(nr_MEndPm1-$G3135+0.5)/$C$3100))-MIN(1,MAX(0,(nr_MStartPm1-1-$G3135+0.5)/$C$3100))</f>
        <v/>
      </c>
      <c r="Q3135" s="208">
        <f>MIN(1,MAX(0,(nr_MEndP-$G3135+0.5)/$C$3100))-MIN(1,MAX(0,(nr_MStartP-1-$G3135+0.5)/$C$3100))</f>
        <v/>
      </c>
      <c r="R3135" s="208">
        <f>MIN(1,MAX(0,(nr_MEndP1-$G3135+0.5)/$C$3100))-MIN(1,MAX(0,(nr_MStartP1-1-$G3135+0.5)/$C$3100))</f>
        <v/>
      </c>
      <c r="S3135" s="208">
        <f>IF($L$3100,$N3135*IF($O$3100=1,$O3135/$F$3100,1),"")</f>
        <v/>
      </c>
      <c r="T3135" s="208">
        <f>IF(NOT($L$3100),"",IF($G3135&lt;nr_MStartP,$S3135,$T3123*(1+IF($G3135&lt;nr_MStartP1,$M$3100,$N$3100))))</f>
        <v/>
      </c>
      <c r="U3135" s="208">
        <f>IF($L$3100,$T3135,$N3135)</f>
        <v/>
      </c>
    </row>
    <row r="3136">
      <c r="A3136" s="145" t="n">
        <v>34</v>
      </c>
      <c r="B3136" s="204">
        <f>EDATE($B3135,1)</f>
        <v/>
      </c>
      <c r="C3136" s="205">
        <f>EOMONTH($B3136,0)</f>
        <v/>
      </c>
      <c r="D3136" s="201">
        <f>$C3136-$B3136+1</f>
        <v/>
      </c>
      <c r="E3136" s="201">
        <f>MONTH($B3136)</f>
        <v/>
      </c>
      <c r="F3136" s="235">
        <f>($B3136+$C3136+1)/2</f>
        <v/>
      </c>
      <c r="G3136" s="201">
        <f>YEAR($B3136)*12+MONTH($B3136)-1</f>
        <v/>
      </c>
      <c r="H3136" s="207">
        <f>IF(OR(nr_SeasonOn="OFF",$D$3100=0,$E$3100=0),1,12*INDEX(se_block,$D$3100,$E3136)/$E$3100)</f>
        <v/>
      </c>
      <c r="I3136" s="208">
        <f>EXP(SUMPRODUCT((rl_eff&lt;$B3136)*(rl_key=$A$3100)*rl_ln1p))</f>
        <v/>
      </c>
      <c r="J3136" s="208">
        <f>EXP(SUMPRODUCT((rl_eff&lt;=$C3136)*(rl_key=$A$3100)*rl_ln1p))</f>
        <v/>
      </c>
      <c r="K3136" s="201">
        <f>COUNTIFS(rl_key,$A$3100,rl_eff,"&gt;="&amp;$B3136,rl_eff,"&lt;="&amp;$C3136)</f>
        <v/>
      </c>
      <c r="L3136" s="201">
        <f>SUMIFS(rl_daysafter,rl_key,$A$3100,rl_effmonth,$B3136,rl_first,1)</f>
        <v/>
      </c>
      <c r="M3136" s="209">
        <f>IF($K3136=0,0,MIN(1,$L3136/$D3136))</f>
        <v/>
      </c>
      <c r="N3136" s="208">
        <f>IF($K3136=0,$J3136,(1-$M3136)*$I3136+$M3136*$J3136)</f>
        <v/>
      </c>
      <c r="O3136" s="209">
        <f>IF($F3136&lt;$B$3101,$E$3101+$I$3101*($F3136-$A$3101),IF($F3136&lt;$C$3101,$F$3101+$J$3101*($F3136-$B$3101),$G$3101+$K$3101*($F3136-$C$3101)))</f>
        <v/>
      </c>
      <c r="P3136" s="208">
        <f>MIN(1,MAX(0,(nr_MEndPm1-$G3136+0.5)/$C$3100))-MIN(1,MAX(0,(nr_MStartPm1-1-$G3136+0.5)/$C$3100))</f>
        <v/>
      </c>
      <c r="Q3136" s="208">
        <f>MIN(1,MAX(0,(nr_MEndP-$G3136+0.5)/$C$3100))-MIN(1,MAX(0,(nr_MStartP-1-$G3136+0.5)/$C$3100))</f>
        <v/>
      </c>
      <c r="R3136" s="208">
        <f>MIN(1,MAX(0,(nr_MEndP1-$G3136+0.5)/$C$3100))-MIN(1,MAX(0,(nr_MStartP1-1-$G3136+0.5)/$C$3100))</f>
        <v/>
      </c>
      <c r="S3136" s="208">
        <f>IF($L$3100,$N3136*IF($O$3100=1,$O3136/$F$3100,1),"")</f>
        <v/>
      </c>
      <c r="T3136" s="208">
        <f>IF(NOT($L$3100),"",IF($G3136&lt;nr_MStartP,$S3136,$T3124*(1+IF($G3136&lt;nr_MStartP1,$M$3100,$N$3100))))</f>
        <v/>
      </c>
      <c r="U3136" s="208">
        <f>IF($L$3100,$T3136,$N3136)</f>
        <v/>
      </c>
    </row>
    <row r="3137">
      <c r="A3137" s="145" t="n">
        <v>35</v>
      </c>
      <c r="B3137" s="204">
        <f>EDATE($B3136,1)</f>
        <v/>
      </c>
      <c r="C3137" s="205">
        <f>EOMONTH($B3137,0)</f>
        <v/>
      </c>
      <c r="D3137" s="201">
        <f>$C3137-$B3137+1</f>
        <v/>
      </c>
      <c r="E3137" s="201">
        <f>MONTH($B3137)</f>
        <v/>
      </c>
      <c r="F3137" s="235">
        <f>($B3137+$C3137+1)/2</f>
        <v/>
      </c>
      <c r="G3137" s="201">
        <f>YEAR($B3137)*12+MONTH($B3137)-1</f>
        <v/>
      </c>
      <c r="H3137" s="207">
        <f>IF(OR(nr_SeasonOn="OFF",$D$3100=0,$E$3100=0),1,12*INDEX(se_block,$D$3100,$E3137)/$E$3100)</f>
        <v/>
      </c>
      <c r="I3137" s="208">
        <f>EXP(SUMPRODUCT((rl_eff&lt;$B3137)*(rl_key=$A$3100)*rl_ln1p))</f>
        <v/>
      </c>
      <c r="J3137" s="208">
        <f>EXP(SUMPRODUCT((rl_eff&lt;=$C3137)*(rl_key=$A$3100)*rl_ln1p))</f>
        <v/>
      </c>
      <c r="K3137" s="201">
        <f>COUNTIFS(rl_key,$A$3100,rl_eff,"&gt;="&amp;$B3137,rl_eff,"&lt;="&amp;$C3137)</f>
        <v/>
      </c>
      <c r="L3137" s="201">
        <f>SUMIFS(rl_daysafter,rl_key,$A$3100,rl_effmonth,$B3137,rl_first,1)</f>
        <v/>
      </c>
      <c r="M3137" s="209">
        <f>IF($K3137=0,0,MIN(1,$L3137/$D3137))</f>
        <v/>
      </c>
      <c r="N3137" s="208">
        <f>IF($K3137=0,$J3137,(1-$M3137)*$I3137+$M3137*$J3137)</f>
        <v/>
      </c>
      <c r="O3137" s="209">
        <f>IF($F3137&lt;$B$3101,$E$3101+$I$3101*($F3137-$A$3101),IF($F3137&lt;$C$3101,$F$3101+$J$3101*($F3137-$B$3101),$G$3101+$K$3101*($F3137-$C$3101)))</f>
        <v/>
      </c>
      <c r="P3137" s="208">
        <f>MIN(1,MAX(0,(nr_MEndPm1-$G3137+0.5)/$C$3100))-MIN(1,MAX(0,(nr_MStartPm1-1-$G3137+0.5)/$C$3100))</f>
        <v/>
      </c>
      <c r="Q3137" s="208">
        <f>MIN(1,MAX(0,(nr_MEndP-$G3137+0.5)/$C$3100))-MIN(1,MAX(0,(nr_MStartP-1-$G3137+0.5)/$C$3100))</f>
        <v/>
      </c>
      <c r="R3137" s="208">
        <f>MIN(1,MAX(0,(nr_MEndP1-$G3137+0.5)/$C$3100))-MIN(1,MAX(0,(nr_MStartP1-1-$G3137+0.5)/$C$3100))</f>
        <v/>
      </c>
      <c r="S3137" s="208">
        <f>IF($L$3100,$N3137*IF($O$3100=1,$O3137/$F$3100,1),"")</f>
        <v/>
      </c>
      <c r="T3137" s="208">
        <f>IF(NOT($L$3100),"",IF($G3137&lt;nr_MStartP,$S3137,$T3125*(1+IF($G3137&lt;nr_MStartP1,$M$3100,$N$3100))))</f>
        <v/>
      </c>
      <c r="U3137" s="208">
        <f>IF($L$3100,$T3137,$N3137)</f>
        <v/>
      </c>
    </row>
    <row r="3138">
      <c r="A3138" s="145" t="n">
        <v>36</v>
      </c>
      <c r="B3138" s="204">
        <f>EDATE($B3137,1)</f>
        <v/>
      </c>
      <c r="C3138" s="205">
        <f>EOMONTH($B3138,0)</f>
        <v/>
      </c>
      <c r="D3138" s="201">
        <f>$C3138-$B3138+1</f>
        <v/>
      </c>
      <c r="E3138" s="201">
        <f>MONTH($B3138)</f>
        <v/>
      </c>
      <c r="F3138" s="235">
        <f>($B3138+$C3138+1)/2</f>
        <v/>
      </c>
      <c r="G3138" s="201">
        <f>YEAR($B3138)*12+MONTH($B3138)-1</f>
        <v/>
      </c>
      <c r="H3138" s="207">
        <f>IF(OR(nr_SeasonOn="OFF",$D$3100=0,$E$3100=0),1,12*INDEX(se_block,$D$3100,$E3138)/$E$3100)</f>
        <v/>
      </c>
      <c r="I3138" s="208">
        <f>EXP(SUMPRODUCT((rl_eff&lt;$B3138)*(rl_key=$A$3100)*rl_ln1p))</f>
        <v/>
      </c>
      <c r="J3138" s="208">
        <f>EXP(SUMPRODUCT((rl_eff&lt;=$C3138)*(rl_key=$A$3100)*rl_ln1p))</f>
        <v/>
      </c>
      <c r="K3138" s="201">
        <f>COUNTIFS(rl_key,$A$3100,rl_eff,"&gt;="&amp;$B3138,rl_eff,"&lt;="&amp;$C3138)</f>
        <v/>
      </c>
      <c r="L3138" s="201">
        <f>SUMIFS(rl_daysafter,rl_key,$A$3100,rl_effmonth,$B3138,rl_first,1)</f>
        <v/>
      </c>
      <c r="M3138" s="209">
        <f>IF($K3138=0,0,MIN(1,$L3138/$D3138))</f>
        <v/>
      </c>
      <c r="N3138" s="208">
        <f>IF($K3138=0,$J3138,(1-$M3138)*$I3138+$M3138*$J3138)</f>
        <v/>
      </c>
      <c r="O3138" s="209">
        <f>IF($F3138&lt;$B$3101,$E$3101+$I$3101*($F3138-$A$3101),IF($F3138&lt;$C$3101,$F$3101+$J$3101*($F3138-$B$3101),$G$3101+$K$3101*($F3138-$C$3101)))</f>
        <v/>
      </c>
      <c r="P3138" s="208">
        <f>MIN(1,MAX(0,(nr_MEndPm1-$G3138+0.5)/$C$3100))-MIN(1,MAX(0,(nr_MStartPm1-1-$G3138+0.5)/$C$3100))</f>
        <v/>
      </c>
      <c r="Q3138" s="208">
        <f>MIN(1,MAX(0,(nr_MEndP-$G3138+0.5)/$C$3100))-MIN(1,MAX(0,(nr_MStartP-1-$G3138+0.5)/$C$3100))</f>
        <v/>
      </c>
      <c r="R3138" s="208">
        <f>MIN(1,MAX(0,(nr_MEndP1-$G3138+0.5)/$C$3100))-MIN(1,MAX(0,(nr_MStartP1-1-$G3138+0.5)/$C$3100))</f>
        <v/>
      </c>
      <c r="S3138" s="208">
        <f>IF($L$3100,$N3138*IF($O$3100=1,$O3138/$F$3100,1),"")</f>
        <v/>
      </c>
      <c r="T3138" s="208">
        <f>IF(NOT($L$3100),"",IF($G3138&lt;nr_MStartP,$S3138,$T3126*(1+IF($G3138&lt;nr_MStartP1,$M$3100,$N$3100))))</f>
        <v/>
      </c>
      <c r="U3138" s="208">
        <f>IF($L$3100,$T3138,$N3138)</f>
        <v/>
      </c>
    </row>
    <row r="3139">
      <c r="A3139" s="145" t="n">
        <v>37</v>
      </c>
      <c r="B3139" s="204">
        <f>EDATE($B3138,1)</f>
        <v/>
      </c>
      <c r="C3139" s="205">
        <f>EOMONTH($B3139,0)</f>
        <v/>
      </c>
      <c r="D3139" s="201">
        <f>$C3139-$B3139+1</f>
        <v/>
      </c>
      <c r="E3139" s="201">
        <f>MONTH($B3139)</f>
        <v/>
      </c>
      <c r="F3139" s="235">
        <f>($B3139+$C3139+1)/2</f>
        <v/>
      </c>
      <c r="G3139" s="201">
        <f>YEAR($B3139)*12+MONTH($B3139)-1</f>
        <v/>
      </c>
      <c r="H3139" s="207">
        <f>IF(OR(nr_SeasonOn="OFF",$D$3100=0,$E$3100=0),1,12*INDEX(se_block,$D$3100,$E3139)/$E$3100)</f>
        <v/>
      </c>
      <c r="I3139" s="208">
        <f>EXP(SUMPRODUCT((rl_eff&lt;$B3139)*(rl_key=$A$3100)*rl_ln1p))</f>
        <v/>
      </c>
      <c r="J3139" s="208">
        <f>EXP(SUMPRODUCT((rl_eff&lt;=$C3139)*(rl_key=$A$3100)*rl_ln1p))</f>
        <v/>
      </c>
      <c r="K3139" s="201">
        <f>COUNTIFS(rl_key,$A$3100,rl_eff,"&gt;="&amp;$B3139,rl_eff,"&lt;="&amp;$C3139)</f>
        <v/>
      </c>
      <c r="L3139" s="201">
        <f>SUMIFS(rl_daysafter,rl_key,$A$3100,rl_effmonth,$B3139,rl_first,1)</f>
        <v/>
      </c>
      <c r="M3139" s="209">
        <f>IF($K3139=0,0,MIN(1,$L3139/$D3139))</f>
        <v/>
      </c>
      <c r="N3139" s="208">
        <f>IF($K3139=0,$J3139,(1-$M3139)*$I3139+$M3139*$J3139)</f>
        <v/>
      </c>
      <c r="O3139" s="209">
        <f>IF($F3139&lt;$B$3101,$E$3101+$I$3101*($F3139-$A$3101),IF($F3139&lt;$C$3101,$F$3101+$J$3101*($F3139-$B$3101),$G$3101+$K$3101*($F3139-$C$3101)))</f>
        <v/>
      </c>
      <c r="P3139" s="208">
        <f>MIN(1,MAX(0,(nr_MEndPm1-$G3139+0.5)/$C$3100))-MIN(1,MAX(0,(nr_MStartPm1-1-$G3139+0.5)/$C$3100))</f>
        <v/>
      </c>
      <c r="Q3139" s="208">
        <f>MIN(1,MAX(0,(nr_MEndP-$G3139+0.5)/$C$3100))-MIN(1,MAX(0,(nr_MStartP-1-$G3139+0.5)/$C$3100))</f>
        <v/>
      </c>
      <c r="R3139" s="208">
        <f>MIN(1,MAX(0,(nr_MEndP1-$G3139+0.5)/$C$3100))-MIN(1,MAX(0,(nr_MStartP1-1-$G3139+0.5)/$C$3100))</f>
        <v/>
      </c>
      <c r="S3139" s="208">
        <f>IF($L$3100,$N3139*IF($O$3100=1,$O3139/$F$3100,1),"")</f>
        <v/>
      </c>
      <c r="T3139" s="208">
        <f>IF(NOT($L$3100),"",IF($G3139&lt;nr_MStartP,$S3139,$T3127*(1+IF($G3139&lt;nr_MStartP1,$M$3100,$N$3100))))</f>
        <v/>
      </c>
      <c r="U3139" s="208">
        <f>IF($L$3100,$T3139,$N3139)</f>
        <v/>
      </c>
    </row>
    <row r="3140">
      <c r="A3140" s="145" t="n">
        <v>38</v>
      </c>
      <c r="B3140" s="204">
        <f>EDATE($B3139,1)</f>
        <v/>
      </c>
      <c r="C3140" s="205">
        <f>EOMONTH($B3140,0)</f>
        <v/>
      </c>
      <c r="D3140" s="201">
        <f>$C3140-$B3140+1</f>
        <v/>
      </c>
      <c r="E3140" s="201">
        <f>MONTH($B3140)</f>
        <v/>
      </c>
      <c r="F3140" s="235">
        <f>($B3140+$C3140+1)/2</f>
        <v/>
      </c>
      <c r="G3140" s="201">
        <f>YEAR($B3140)*12+MONTH($B3140)-1</f>
        <v/>
      </c>
      <c r="H3140" s="207">
        <f>IF(OR(nr_SeasonOn="OFF",$D$3100=0,$E$3100=0),1,12*INDEX(se_block,$D$3100,$E3140)/$E$3100)</f>
        <v/>
      </c>
      <c r="I3140" s="208">
        <f>EXP(SUMPRODUCT((rl_eff&lt;$B3140)*(rl_key=$A$3100)*rl_ln1p))</f>
        <v/>
      </c>
      <c r="J3140" s="208">
        <f>EXP(SUMPRODUCT((rl_eff&lt;=$C3140)*(rl_key=$A$3100)*rl_ln1p))</f>
        <v/>
      </c>
      <c r="K3140" s="201">
        <f>COUNTIFS(rl_key,$A$3100,rl_eff,"&gt;="&amp;$B3140,rl_eff,"&lt;="&amp;$C3140)</f>
        <v/>
      </c>
      <c r="L3140" s="201">
        <f>SUMIFS(rl_daysafter,rl_key,$A$3100,rl_effmonth,$B3140,rl_first,1)</f>
        <v/>
      </c>
      <c r="M3140" s="209">
        <f>IF($K3140=0,0,MIN(1,$L3140/$D3140))</f>
        <v/>
      </c>
      <c r="N3140" s="208">
        <f>IF($K3140=0,$J3140,(1-$M3140)*$I3140+$M3140*$J3140)</f>
        <v/>
      </c>
      <c r="O3140" s="209">
        <f>IF($F3140&lt;$B$3101,$E$3101+$I$3101*($F3140-$A$3101),IF($F3140&lt;$C$3101,$F$3101+$J$3101*($F3140-$B$3101),$G$3101+$K$3101*($F3140-$C$3101)))</f>
        <v/>
      </c>
      <c r="P3140" s="208">
        <f>MIN(1,MAX(0,(nr_MEndPm1-$G3140+0.5)/$C$3100))-MIN(1,MAX(0,(nr_MStartPm1-1-$G3140+0.5)/$C$3100))</f>
        <v/>
      </c>
      <c r="Q3140" s="208">
        <f>MIN(1,MAX(0,(nr_MEndP-$G3140+0.5)/$C$3100))-MIN(1,MAX(0,(nr_MStartP-1-$G3140+0.5)/$C$3100))</f>
        <v/>
      </c>
      <c r="R3140" s="208">
        <f>MIN(1,MAX(0,(nr_MEndP1-$G3140+0.5)/$C$3100))-MIN(1,MAX(0,(nr_MStartP1-1-$G3140+0.5)/$C$3100))</f>
        <v/>
      </c>
      <c r="S3140" s="208">
        <f>IF($L$3100,$N3140*IF($O$3100=1,$O3140/$F$3100,1),"")</f>
        <v/>
      </c>
      <c r="T3140" s="208">
        <f>IF(NOT($L$3100),"",IF($G3140&lt;nr_MStartP,$S3140,$T3128*(1+IF($G3140&lt;nr_MStartP1,$M$3100,$N$3100))))</f>
        <v/>
      </c>
      <c r="U3140" s="208">
        <f>IF($L$3100,$T3140,$N3140)</f>
        <v/>
      </c>
    </row>
    <row r="3141">
      <c r="A3141" s="145" t="n">
        <v>39</v>
      </c>
      <c r="B3141" s="204">
        <f>EDATE($B3140,1)</f>
        <v/>
      </c>
      <c r="C3141" s="205">
        <f>EOMONTH($B3141,0)</f>
        <v/>
      </c>
      <c r="D3141" s="201">
        <f>$C3141-$B3141+1</f>
        <v/>
      </c>
      <c r="E3141" s="201">
        <f>MONTH($B3141)</f>
        <v/>
      </c>
      <c r="F3141" s="235">
        <f>($B3141+$C3141+1)/2</f>
        <v/>
      </c>
      <c r="G3141" s="201">
        <f>YEAR($B3141)*12+MONTH($B3141)-1</f>
        <v/>
      </c>
      <c r="H3141" s="207">
        <f>IF(OR(nr_SeasonOn="OFF",$D$3100=0,$E$3100=0),1,12*INDEX(se_block,$D$3100,$E3141)/$E$3100)</f>
        <v/>
      </c>
      <c r="I3141" s="208">
        <f>EXP(SUMPRODUCT((rl_eff&lt;$B3141)*(rl_key=$A$3100)*rl_ln1p))</f>
        <v/>
      </c>
      <c r="J3141" s="208">
        <f>EXP(SUMPRODUCT((rl_eff&lt;=$C3141)*(rl_key=$A$3100)*rl_ln1p))</f>
        <v/>
      </c>
      <c r="K3141" s="201">
        <f>COUNTIFS(rl_key,$A$3100,rl_eff,"&gt;="&amp;$B3141,rl_eff,"&lt;="&amp;$C3141)</f>
        <v/>
      </c>
      <c r="L3141" s="201">
        <f>SUMIFS(rl_daysafter,rl_key,$A$3100,rl_effmonth,$B3141,rl_first,1)</f>
        <v/>
      </c>
      <c r="M3141" s="209">
        <f>IF($K3141=0,0,MIN(1,$L3141/$D3141))</f>
        <v/>
      </c>
      <c r="N3141" s="208">
        <f>IF($K3141=0,$J3141,(1-$M3141)*$I3141+$M3141*$J3141)</f>
        <v/>
      </c>
      <c r="O3141" s="209">
        <f>IF($F3141&lt;$B$3101,$E$3101+$I$3101*($F3141-$A$3101),IF($F3141&lt;$C$3101,$F$3101+$J$3101*($F3141-$B$3101),$G$3101+$K$3101*($F3141-$C$3101)))</f>
        <v/>
      </c>
      <c r="P3141" s="208">
        <f>MIN(1,MAX(0,(nr_MEndPm1-$G3141+0.5)/$C$3100))-MIN(1,MAX(0,(nr_MStartPm1-1-$G3141+0.5)/$C$3100))</f>
        <v/>
      </c>
      <c r="Q3141" s="208">
        <f>MIN(1,MAX(0,(nr_MEndP-$G3141+0.5)/$C$3100))-MIN(1,MAX(0,(nr_MStartP-1-$G3141+0.5)/$C$3100))</f>
        <v/>
      </c>
      <c r="R3141" s="208">
        <f>MIN(1,MAX(0,(nr_MEndP1-$G3141+0.5)/$C$3100))-MIN(1,MAX(0,(nr_MStartP1-1-$G3141+0.5)/$C$3100))</f>
        <v/>
      </c>
      <c r="S3141" s="208">
        <f>IF($L$3100,$N3141*IF($O$3100=1,$O3141/$F$3100,1),"")</f>
        <v/>
      </c>
      <c r="T3141" s="208">
        <f>IF(NOT($L$3100),"",IF($G3141&lt;nr_MStartP,$S3141,$T3129*(1+IF($G3141&lt;nr_MStartP1,$M$3100,$N$3100))))</f>
        <v/>
      </c>
      <c r="U3141" s="208">
        <f>IF($L$3100,$T3141,$N3141)</f>
        <v/>
      </c>
    </row>
    <row r="3142">
      <c r="A3142" s="145" t="n">
        <v>40</v>
      </c>
      <c r="B3142" s="204">
        <f>EDATE($B3141,1)</f>
        <v/>
      </c>
      <c r="C3142" s="205">
        <f>EOMONTH($B3142,0)</f>
        <v/>
      </c>
      <c r="D3142" s="201">
        <f>$C3142-$B3142+1</f>
        <v/>
      </c>
      <c r="E3142" s="201">
        <f>MONTH($B3142)</f>
        <v/>
      </c>
      <c r="F3142" s="235">
        <f>($B3142+$C3142+1)/2</f>
        <v/>
      </c>
      <c r="G3142" s="201">
        <f>YEAR($B3142)*12+MONTH($B3142)-1</f>
        <v/>
      </c>
      <c r="H3142" s="207">
        <f>IF(OR(nr_SeasonOn="OFF",$D$3100=0,$E$3100=0),1,12*INDEX(se_block,$D$3100,$E3142)/$E$3100)</f>
        <v/>
      </c>
      <c r="I3142" s="208">
        <f>EXP(SUMPRODUCT((rl_eff&lt;$B3142)*(rl_key=$A$3100)*rl_ln1p))</f>
        <v/>
      </c>
      <c r="J3142" s="208">
        <f>EXP(SUMPRODUCT((rl_eff&lt;=$C3142)*(rl_key=$A$3100)*rl_ln1p))</f>
        <v/>
      </c>
      <c r="K3142" s="201">
        <f>COUNTIFS(rl_key,$A$3100,rl_eff,"&gt;="&amp;$B3142,rl_eff,"&lt;="&amp;$C3142)</f>
        <v/>
      </c>
      <c r="L3142" s="201">
        <f>SUMIFS(rl_daysafter,rl_key,$A$3100,rl_effmonth,$B3142,rl_first,1)</f>
        <v/>
      </c>
      <c r="M3142" s="209">
        <f>IF($K3142=0,0,MIN(1,$L3142/$D3142))</f>
        <v/>
      </c>
      <c r="N3142" s="208">
        <f>IF($K3142=0,$J3142,(1-$M3142)*$I3142+$M3142*$J3142)</f>
        <v/>
      </c>
      <c r="O3142" s="209">
        <f>IF($F3142&lt;$B$3101,$E$3101+$I$3101*($F3142-$A$3101),IF($F3142&lt;$C$3101,$F$3101+$J$3101*($F3142-$B$3101),$G$3101+$K$3101*($F3142-$C$3101)))</f>
        <v/>
      </c>
      <c r="P3142" s="208">
        <f>MIN(1,MAX(0,(nr_MEndPm1-$G3142+0.5)/$C$3100))-MIN(1,MAX(0,(nr_MStartPm1-1-$G3142+0.5)/$C$3100))</f>
        <v/>
      </c>
      <c r="Q3142" s="208">
        <f>MIN(1,MAX(0,(nr_MEndP-$G3142+0.5)/$C$3100))-MIN(1,MAX(0,(nr_MStartP-1-$G3142+0.5)/$C$3100))</f>
        <v/>
      </c>
      <c r="R3142" s="208">
        <f>MIN(1,MAX(0,(nr_MEndP1-$G3142+0.5)/$C$3100))-MIN(1,MAX(0,(nr_MStartP1-1-$G3142+0.5)/$C$3100))</f>
        <v/>
      </c>
      <c r="S3142" s="208">
        <f>IF($L$3100,$N3142*IF($O$3100=1,$O3142/$F$3100,1),"")</f>
        <v/>
      </c>
      <c r="T3142" s="208">
        <f>IF(NOT($L$3100),"",IF($G3142&lt;nr_MStartP,$S3142,$T3130*(1+IF($G3142&lt;nr_MStartP1,$M$3100,$N$3100))))</f>
        <v/>
      </c>
      <c r="U3142" s="208">
        <f>IF($L$3100,$T3142,$N3142)</f>
        <v/>
      </c>
    </row>
    <row r="3143">
      <c r="A3143" s="145" t="n">
        <v>41</v>
      </c>
      <c r="B3143" s="204">
        <f>EDATE($B3142,1)</f>
        <v/>
      </c>
      <c r="C3143" s="205">
        <f>EOMONTH($B3143,0)</f>
        <v/>
      </c>
      <c r="D3143" s="201">
        <f>$C3143-$B3143+1</f>
        <v/>
      </c>
      <c r="E3143" s="201">
        <f>MONTH($B3143)</f>
        <v/>
      </c>
      <c r="F3143" s="235">
        <f>($B3143+$C3143+1)/2</f>
        <v/>
      </c>
      <c r="G3143" s="201">
        <f>YEAR($B3143)*12+MONTH($B3143)-1</f>
        <v/>
      </c>
      <c r="H3143" s="207">
        <f>IF(OR(nr_SeasonOn="OFF",$D$3100=0,$E$3100=0),1,12*INDEX(se_block,$D$3100,$E3143)/$E$3100)</f>
        <v/>
      </c>
      <c r="I3143" s="208">
        <f>EXP(SUMPRODUCT((rl_eff&lt;$B3143)*(rl_key=$A$3100)*rl_ln1p))</f>
        <v/>
      </c>
      <c r="J3143" s="208">
        <f>EXP(SUMPRODUCT((rl_eff&lt;=$C3143)*(rl_key=$A$3100)*rl_ln1p))</f>
        <v/>
      </c>
      <c r="K3143" s="201">
        <f>COUNTIFS(rl_key,$A$3100,rl_eff,"&gt;="&amp;$B3143,rl_eff,"&lt;="&amp;$C3143)</f>
        <v/>
      </c>
      <c r="L3143" s="201">
        <f>SUMIFS(rl_daysafter,rl_key,$A$3100,rl_effmonth,$B3143,rl_first,1)</f>
        <v/>
      </c>
      <c r="M3143" s="209">
        <f>IF($K3143=0,0,MIN(1,$L3143/$D3143))</f>
        <v/>
      </c>
      <c r="N3143" s="208">
        <f>IF($K3143=0,$J3143,(1-$M3143)*$I3143+$M3143*$J3143)</f>
        <v/>
      </c>
      <c r="O3143" s="209">
        <f>IF($F3143&lt;$B$3101,$E$3101+$I$3101*($F3143-$A$3101),IF($F3143&lt;$C$3101,$F$3101+$J$3101*($F3143-$B$3101),$G$3101+$K$3101*($F3143-$C$3101)))</f>
        <v/>
      </c>
      <c r="P3143" s="208">
        <f>MIN(1,MAX(0,(nr_MEndPm1-$G3143+0.5)/$C$3100))-MIN(1,MAX(0,(nr_MStartPm1-1-$G3143+0.5)/$C$3100))</f>
        <v/>
      </c>
      <c r="Q3143" s="208">
        <f>MIN(1,MAX(0,(nr_MEndP-$G3143+0.5)/$C$3100))-MIN(1,MAX(0,(nr_MStartP-1-$G3143+0.5)/$C$3100))</f>
        <v/>
      </c>
      <c r="R3143" s="208">
        <f>MIN(1,MAX(0,(nr_MEndP1-$G3143+0.5)/$C$3100))-MIN(1,MAX(0,(nr_MStartP1-1-$G3143+0.5)/$C$3100))</f>
        <v/>
      </c>
      <c r="S3143" s="208">
        <f>IF($L$3100,$N3143*IF($O$3100=1,$O3143/$F$3100,1),"")</f>
        <v/>
      </c>
      <c r="T3143" s="208">
        <f>IF(NOT($L$3100),"",IF($G3143&lt;nr_MStartP,$S3143,$T3131*(1+IF($G3143&lt;nr_MStartP1,$M$3100,$N$3100))))</f>
        <v/>
      </c>
      <c r="U3143" s="208">
        <f>IF($L$3100,$T3143,$N3143)</f>
        <v/>
      </c>
    </row>
    <row r="3144">
      <c r="A3144" s="145" t="n">
        <v>42</v>
      </c>
      <c r="B3144" s="204">
        <f>EDATE($B3143,1)</f>
        <v/>
      </c>
      <c r="C3144" s="205">
        <f>EOMONTH($B3144,0)</f>
        <v/>
      </c>
      <c r="D3144" s="201">
        <f>$C3144-$B3144+1</f>
        <v/>
      </c>
      <c r="E3144" s="201">
        <f>MONTH($B3144)</f>
        <v/>
      </c>
      <c r="F3144" s="235">
        <f>($B3144+$C3144+1)/2</f>
        <v/>
      </c>
      <c r="G3144" s="201">
        <f>YEAR($B3144)*12+MONTH($B3144)-1</f>
        <v/>
      </c>
      <c r="H3144" s="207">
        <f>IF(OR(nr_SeasonOn="OFF",$D$3100=0,$E$3100=0),1,12*INDEX(se_block,$D$3100,$E3144)/$E$3100)</f>
        <v/>
      </c>
      <c r="I3144" s="208">
        <f>EXP(SUMPRODUCT((rl_eff&lt;$B3144)*(rl_key=$A$3100)*rl_ln1p))</f>
        <v/>
      </c>
      <c r="J3144" s="208">
        <f>EXP(SUMPRODUCT((rl_eff&lt;=$C3144)*(rl_key=$A$3100)*rl_ln1p))</f>
        <v/>
      </c>
      <c r="K3144" s="201">
        <f>COUNTIFS(rl_key,$A$3100,rl_eff,"&gt;="&amp;$B3144,rl_eff,"&lt;="&amp;$C3144)</f>
        <v/>
      </c>
      <c r="L3144" s="201">
        <f>SUMIFS(rl_daysafter,rl_key,$A$3100,rl_effmonth,$B3144,rl_first,1)</f>
        <v/>
      </c>
      <c r="M3144" s="209">
        <f>IF($K3144=0,0,MIN(1,$L3144/$D3144))</f>
        <v/>
      </c>
      <c r="N3144" s="208">
        <f>IF($K3144=0,$J3144,(1-$M3144)*$I3144+$M3144*$J3144)</f>
        <v/>
      </c>
      <c r="O3144" s="209">
        <f>IF($F3144&lt;$B$3101,$E$3101+$I$3101*($F3144-$A$3101),IF($F3144&lt;$C$3101,$F$3101+$J$3101*($F3144-$B$3101),$G$3101+$K$3101*($F3144-$C$3101)))</f>
        <v/>
      </c>
      <c r="P3144" s="208">
        <f>MIN(1,MAX(0,(nr_MEndPm1-$G3144+0.5)/$C$3100))-MIN(1,MAX(0,(nr_MStartPm1-1-$G3144+0.5)/$C$3100))</f>
        <v/>
      </c>
      <c r="Q3144" s="208">
        <f>MIN(1,MAX(0,(nr_MEndP-$G3144+0.5)/$C$3100))-MIN(1,MAX(0,(nr_MStartP-1-$G3144+0.5)/$C$3100))</f>
        <v/>
      </c>
      <c r="R3144" s="208">
        <f>MIN(1,MAX(0,(nr_MEndP1-$G3144+0.5)/$C$3100))-MIN(1,MAX(0,(nr_MStartP1-1-$G3144+0.5)/$C$3100))</f>
        <v/>
      </c>
      <c r="S3144" s="208">
        <f>IF($L$3100,$N3144*IF($O$3100=1,$O3144/$F$3100,1),"")</f>
        <v/>
      </c>
      <c r="T3144" s="208">
        <f>IF(NOT($L$3100),"",IF($G3144&lt;nr_MStartP,$S3144,$T3132*(1+IF($G3144&lt;nr_MStartP1,$M$3100,$N$3100))))</f>
        <v/>
      </c>
      <c r="U3144" s="208">
        <f>IF($L$3100,$T3144,$N3144)</f>
        <v/>
      </c>
    </row>
    <row r="3145">
      <c r="A3145" s="145" t="n">
        <v>43</v>
      </c>
      <c r="B3145" s="204">
        <f>EDATE($B3144,1)</f>
        <v/>
      </c>
      <c r="C3145" s="205">
        <f>EOMONTH($B3145,0)</f>
        <v/>
      </c>
      <c r="D3145" s="201">
        <f>$C3145-$B3145+1</f>
        <v/>
      </c>
      <c r="E3145" s="201">
        <f>MONTH($B3145)</f>
        <v/>
      </c>
      <c r="F3145" s="235">
        <f>($B3145+$C3145+1)/2</f>
        <v/>
      </c>
      <c r="G3145" s="201">
        <f>YEAR($B3145)*12+MONTH($B3145)-1</f>
        <v/>
      </c>
      <c r="H3145" s="207">
        <f>IF(OR(nr_SeasonOn="OFF",$D$3100=0,$E$3100=0),1,12*INDEX(se_block,$D$3100,$E3145)/$E$3100)</f>
        <v/>
      </c>
      <c r="I3145" s="208">
        <f>EXP(SUMPRODUCT((rl_eff&lt;$B3145)*(rl_key=$A$3100)*rl_ln1p))</f>
        <v/>
      </c>
      <c r="J3145" s="208">
        <f>EXP(SUMPRODUCT((rl_eff&lt;=$C3145)*(rl_key=$A$3100)*rl_ln1p))</f>
        <v/>
      </c>
      <c r="K3145" s="201">
        <f>COUNTIFS(rl_key,$A$3100,rl_eff,"&gt;="&amp;$B3145,rl_eff,"&lt;="&amp;$C3145)</f>
        <v/>
      </c>
      <c r="L3145" s="201">
        <f>SUMIFS(rl_daysafter,rl_key,$A$3100,rl_effmonth,$B3145,rl_first,1)</f>
        <v/>
      </c>
      <c r="M3145" s="209">
        <f>IF($K3145=0,0,MIN(1,$L3145/$D3145))</f>
        <v/>
      </c>
      <c r="N3145" s="208">
        <f>IF($K3145=0,$J3145,(1-$M3145)*$I3145+$M3145*$J3145)</f>
        <v/>
      </c>
      <c r="O3145" s="209">
        <f>IF($F3145&lt;$B$3101,$E$3101+$I$3101*($F3145-$A$3101),IF($F3145&lt;$C$3101,$F$3101+$J$3101*($F3145-$B$3101),$G$3101+$K$3101*($F3145-$C$3101)))</f>
        <v/>
      </c>
      <c r="P3145" s="208">
        <f>MIN(1,MAX(0,(nr_MEndPm1-$G3145+0.5)/$C$3100))-MIN(1,MAX(0,(nr_MStartPm1-1-$G3145+0.5)/$C$3100))</f>
        <v/>
      </c>
      <c r="Q3145" s="208">
        <f>MIN(1,MAX(0,(nr_MEndP-$G3145+0.5)/$C$3100))-MIN(1,MAX(0,(nr_MStartP-1-$G3145+0.5)/$C$3100))</f>
        <v/>
      </c>
      <c r="R3145" s="208">
        <f>MIN(1,MAX(0,(nr_MEndP1-$G3145+0.5)/$C$3100))-MIN(1,MAX(0,(nr_MStartP1-1-$G3145+0.5)/$C$3100))</f>
        <v/>
      </c>
      <c r="S3145" s="208">
        <f>IF($L$3100,$N3145*IF($O$3100=1,$O3145/$F$3100,1),"")</f>
        <v/>
      </c>
      <c r="T3145" s="208">
        <f>IF(NOT($L$3100),"",IF($G3145&lt;nr_MStartP,$S3145,$T3133*(1+IF($G3145&lt;nr_MStartP1,$M$3100,$N$3100))))</f>
        <v/>
      </c>
      <c r="U3145" s="208">
        <f>IF($L$3100,$T3145,$N3145)</f>
        <v/>
      </c>
    </row>
    <row r="3146">
      <c r="A3146" s="145" t="n">
        <v>44</v>
      </c>
      <c r="B3146" s="204">
        <f>EDATE($B3145,1)</f>
        <v/>
      </c>
      <c r="C3146" s="205">
        <f>EOMONTH($B3146,0)</f>
        <v/>
      </c>
      <c r="D3146" s="201">
        <f>$C3146-$B3146+1</f>
        <v/>
      </c>
      <c r="E3146" s="201">
        <f>MONTH($B3146)</f>
        <v/>
      </c>
      <c r="F3146" s="235">
        <f>($B3146+$C3146+1)/2</f>
        <v/>
      </c>
      <c r="G3146" s="201">
        <f>YEAR($B3146)*12+MONTH($B3146)-1</f>
        <v/>
      </c>
      <c r="H3146" s="207">
        <f>IF(OR(nr_SeasonOn="OFF",$D$3100=0,$E$3100=0),1,12*INDEX(se_block,$D$3100,$E3146)/$E$3100)</f>
        <v/>
      </c>
      <c r="I3146" s="208">
        <f>EXP(SUMPRODUCT((rl_eff&lt;$B3146)*(rl_key=$A$3100)*rl_ln1p))</f>
        <v/>
      </c>
      <c r="J3146" s="208">
        <f>EXP(SUMPRODUCT((rl_eff&lt;=$C3146)*(rl_key=$A$3100)*rl_ln1p))</f>
        <v/>
      </c>
      <c r="K3146" s="201">
        <f>COUNTIFS(rl_key,$A$3100,rl_eff,"&gt;="&amp;$B3146,rl_eff,"&lt;="&amp;$C3146)</f>
        <v/>
      </c>
      <c r="L3146" s="201">
        <f>SUMIFS(rl_daysafter,rl_key,$A$3100,rl_effmonth,$B3146,rl_first,1)</f>
        <v/>
      </c>
      <c r="M3146" s="209">
        <f>IF($K3146=0,0,MIN(1,$L3146/$D3146))</f>
        <v/>
      </c>
      <c r="N3146" s="208">
        <f>IF($K3146=0,$J3146,(1-$M3146)*$I3146+$M3146*$J3146)</f>
        <v/>
      </c>
      <c r="O3146" s="209">
        <f>IF($F3146&lt;$B$3101,$E$3101+$I$3101*($F3146-$A$3101),IF($F3146&lt;$C$3101,$F$3101+$J$3101*($F3146-$B$3101),$G$3101+$K$3101*($F3146-$C$3101)))</f>
        <v/>
      </c>
      <c r="P3146" s="208">
        <f>MIN(1,MAX(0,(nr_MEndPm1-$G3146+0.5)/$C$3100))-MIN(1,MAX(0,(nr_MStartPm1-1-$G3146+0.5)/$C$3100))</f>
        <v/>
      </c>
      <c r="Q3146" s="208">
        <f>MIN(1,MAX(0,(nr_MEndP-$G3146+0.5)/$C$3100))-MIN(1,MAX(0,(nr_MStartP-1-$G3146+0.5)/$C$3100))</f>
        <v/>
      </c>
      <c r="R3146" s="208">
        <f>MIN(1,MAX(0,(nr_MEndP1-$G3146+0.5)/$C$3100))-MIN(1,MAX(0,(nr_MStartP1-1-$G3146+0.5)/$C$3100))</f>
        <v/>
      </c>
      <c r="S3146" s="208">
        <f>IF($L$3100,$N3146*IF($O$3100=1,$O3146/$F$3100,1),"")</f>
        <v/>
      </c>
      <c r="T3146" s="208">
        <f>IF(NOT($L$3100),"",IF($G3146&lt;nr_MStartP,$S3146,$T3134*(1+IF($G3146&lt;nr_MStartP1,$M$3100,$N$3100))))</f>
        <v/>
      </c>
      <c r="U3146" s="208">
        <f>IF($L$3100,$T3146,$N3146)</f>
        <v/>
      </c>
    </row>
    <row r="3147">
      <c r="A3147" s="145" t="n">
        <v>45</v>
      </c>
      <c r="B3147" s="204">
        <f>EDATE($B3146,1)</f>
        <v/>
      </c>
      <c r="C3147" s="205">
        <f>EOMONTH($B3147,0)</f>
        <v/>
      </c>
      <c r="D3147" s="201">
        <f>$C3147-$B3147+1</f>
        <v/>
      </c>
      <c r="E3147" s="201">
        <f>MONTH($B3147)</f>
        <v/>
      </c>
      <c r="F3147" s="235">
        <f>($B3147+$C3147+1)/2</f>
        <v/>
      </c>
      <c r="G3147" s="201">
        <f>YEAR($B3147)*12+MONTH($B3147)-1</f>
        <v/>
      </c>
      <c r="H3147" s="207">
        <f>IF(OR(nr_SeasonOn="OFF",$D$3100=0,$E$3100=0),1,12*INDEX(se_block,$D$3100,$E3147)/$E$3100)</f>
        <v/>
      </c>
      <c r="I3147" s="208">
        <f>EXP(SUMPRODUCT((rl_eff&lt;$B3147)*(rl_key=$A$3100)*rl_ln1p))</f>
        <v/>
      </c>
      <c r="J3147" s="208">
        <f>EXP(SUMPRODUCT((rl_eff&lt;=$C3147)*(rl_key=$A$3100)*rl_ln1p))</f>
        <v/>
      </c>
      <c r="K3147" s="201">
        <f>COUNTIFS(rl_key,$A$3100,rl_eff,"&gt;="&amp;$B3147,rl_eff,"&lt;="&amp;$C3147)</f>
        <v/>
      </c>
      <c r="L3147" s="201">
        <f>SUMIFS(rl_daysafter,rl_key,$A$3100,rl_effmonth,$B3147,rl_first,1)</f>
        <v/>
      </c>
      <c r="M3147" s="209">
        <f>IF($K3147=0,0,MIN(1,$L3147/$D3147))</f>
        <v/>
      </c>
      <c r="N3147" s="208">
        <f>IF($K3147=0,$J3147,(1-$M3147)*$I3147+$M3147*$J3147)</f>
        <v/>
      </c>
      <c r="O3147" s="209">
        <f>IF($F3147&lt;$B$3101,$E$3101+$I$3101*($F3147-$A$3101),IF($F3147&lt;$C$3101,$F$3101+$J$3101*($F3147-$B$3101),$G$3101+$K$3101*($F3147-$C$3101)))</f>
        <v/>
      </c>
      <c r="P3147" s="208">
        <f>MIN(1,MAX(0,(nr_MEndPm1-$G3147+0.5)/$C$3100))-MIN(1,MAX(0,(nr_MStartPm1-1-$G3147+0.5)/$C$3100))</f>
        <v/>
      </c>
      <c r="Q3147" s="208">
        <f>MIN(1,MAX(0,(nr_MEndP-$G3147+0.5)/$C$3100))-MIN(1,MAX(0,(nr_MStartP-1-$G3147+0.5)/$C$3100))</f>
        <v/>
      </c>
      <c r="R3147" s="208">
        <f>MIN(1,MAX(0,(nr_MEndP1-$G3147+0.5)/$C$3100))-MIN(1,MAX(0,(nr_MStartP1-1-$G3147+0.5)/$C$3100))</f>
        <v/>
      </c>
      <c r="S3147" s="208">
        <f>IF($L$3100,$N3147*IF($O$3100=1,$O3147/$F$3100,1),"")</f>
        <v/>
      </c>
      <c r="T3147" s="208">
        <f>IF(NOT($L$3100),"",IF($G3147&lt;nr_MStartP,$S3147,$T3135*(1+IF($G3147&lt;nr_MStartP1,$M$3100,$N$3100))))</f>
        <v/>
      </c>
      <c r="U3147" s="208">
        <f>IF($L$3100,$T3147,$N3147)</f>
        <v/>
      </c>
    </row>
    <row r="3148">
      <c r="A3148" s="145" t="n">
        <v>46</v>
      </c>
      <c r="B3148" s="204">
        <f>EDATE($B3147,1)</f>
        <v/>
      </c>
      <c r="C3148" s="205">
        <f>EOMONTH($B3148,0)</f>
        <v/>
      </c>
      <c r="D3148" s="201">
        <f>$C3148-$B3148+1</f>
        <v/>
      </c>
      <c r="E3148" s="201">
        <f>MONTH($B3148)</f>
        <v/>
      </c>
      <c r="F3148" s="235">
        <f>($B3148+$C3148+1)/2</f>
        <v/>
      </c>
      <c r="G3148" s="201">
        <f>YEAR($B3148)*12+MONTH($B3148)-1</f>
        <v/>
      </c>
      <c r="H3148" s="207">
        <f>IF(OR(nr_SeasonOn="OFF",$D$3100=0,$E$3100=0),1,12*INDEX(se_block,$D$3100,$E3148)/$E$3100)</f>
        <v/>
      </c>
      <c r="I3148" s="208">
        <f>EXP(SUMPRODUCT((rl_eff&lt;$B3148)*(rl_key=$A$3100)*rl_ln1p))</f>
        <v/>
      </c>
      <c r="J3148" s="208">
        <f>EXP(SUMPRODUCT((rl_eff&lt;=$C3148)*(rl_key=$A$3100)*rl_ln1p))</f>
        <v/>
      </c>
      <c r="K3148" s="201">
        <f>COUNTIFS(rl_key,$A$3100,rl_eff,"&gt;="&amp;$B3148,rl_eff,"&lt;="&amp;$C3148)</f>
        <v/>
      </c>
      <c r="L3148" s="201">
        <f>SUMIFS(rl_daysafter,rl_key,$A$3100,rl_effmonth,$B3148,rl_first,1)</f>
        <v/>
      </c>
      <c r="M3148" s="209">
        <f>IF($K3148=0,0,MIN(1,$L3148/$D3148))</f>
        <v/>
      </c>
      <c r="N3148" s="208">
        <f>IF($K3148=0,$J3148,(1-$M3148)*$I3148+$M3148*$J3148)</f>
        <v/>
      </c>
      <c r="O3148" s="209">
        <f>IF($F3148&lt;$B$3101,$E$3101+$I$3101*($F3148-$A$3101),IF($F3148&lt;$C$3101,$F$3101+$J$3101*($F3148-$B$3101),$G$3101+$K$3101*($F3148-$C$3101)))</f>
        <v/>
      </c>
      <c r="P3148" s="208">
        <f>MIN(1,MAX(0,(nr_MEndPm1-$G3148+0.5)/$C$3100))-MIN(1,MAX(0,(nr_MStartPm1-1-$G3148+0.5)/$C$3100))</f>
        <v/>
      </c>
      <c r="Q3148" s="208">
        <f>MIN(1,MAX(0,(nr_MEndP-$G3148+0.5)/$C$3100))-MIN(1,MAX(0,(nr_MStartP-1-$G3148+0.5)/$C$3100))</f>
        <v/>
      </c>
      <c r="R3148" s="208">
        <f>MIN(1,MAX(0,(nr_MEndP1-$G3148+0.5)/$C$3100))-MIN(1,MAX(0,(nr_MStartP1-1-$G3148+0.5)/$C$3100))</f>
        <v/>
      </c>
      <c r="S3148" s="208">
        <f>IF($L$3100,$N3148*IF($O$3100=1,$O3148/$F$3100,1),"")</f>
        <v/>
      </c>
      <c r="T3148" s="208">
        <f>IF(NOT($L$3100),"",IF($G3148&lt;nr_MStartP,$S3148,$T3136*(1+IF($G3148&lt;nr_MStartP1,$M$3100,$N$3100))))</f>
        <v/>
      </c>
      <c r="U3148" s="208">
        <f>IF($L$3100,$T3148,$N3148)</f>
        <v/>
      </c>
    </row>
    <row r="3149">
      <c r="A3149" s="145" t="n">
        <v>47</v>
      </c>
      <c r="B3149" s="204">
        <f>EDATE($B3148,1)</f>
        <v/>
      </c>
      <c r="C3149" s="205">
        <f>EOMONTH($B3149,0)</f>
        <v/>
      </c>
      <c r="D3149" s="201">
        <f>$C3149-$B3149+1</f>
        <v/>
      </c>
      <c r="E3149" s="201">
        <f>MONTH($B3149)</f>
        <v/>
      </c>
      <c r="F3149" s="235">
        <f>($B3149+$C3149+1)/2</f>
        <v/>
      </c>
      <c r="G3149" s="201">
        <f>YEAR($B3149)*12+MONTH($B3149)-1</f>
        <v/>
      </c>
      <c r="H3149" s="207">
        <f>IF(OR(nr_SeasonOn="OFF",$D$3100=0,$E$3100=0),1,12*INDEX(se_block,$D$3100,$E3149)/$E$3100)</f>
        <v/>
      </c>
      <c r="I3149" s="208">
        <f>EXP(SUMPRODUCT((rl_eff&lt;$B3149)*(rl_key=$A$3100)*rl_ln1p))</f>
        <v/>
      </c>
      <c r="J3149" s="208">
        <f>EXP(SUMPRODUCT((rl_eff&lt;=$C3149)*(rl_key=$A$3100)*rl_ln1p))</f>
        <v/>
      </c>
      <c r="K3149" s="201">
        <f>COUNTIFS(rl_key,$A$3100,rl_eff,"&gt;="&amp;$B3149,rl_eff,"&lt;="&amp;$C3149)</f>
        <v/>
      </c>
      <c r="L3149" s="201">
        <f>SUMIFS(rl_daysafter,rl_key,$A$3100,rl_effmonth,$B3149,rl_first,1)</f>
        <v/>
      </c>
      <c r="M3149" s="209">
        <f>IF($K3149=0,0,MIN(1,$L3149/$D3149))</f>
        <v/>
      </c>
      <c r="N3149" s="208">
        <f>IF($K3149=0,$J3149,(1-$M3149)*$I3149+$M3149*$J3149)</f>
        <v/>
      </c>
      <c r="O3149" s="209">
        <f>IF($F3149&lt;$B$3101,$E$3101+$I$3101*($F3149-$A$3101),IF($F3149&lt;$C$3101,$F$3101+$J$3101*($F3149-$B$3101),$G$3101+$K$3101*($F3149-$C$3101)))</f>
        <v/>
      </c>
      <c r="P3149" s="208">
        <f>MIN(1,MAX(0,(nr_MEndPm1-$G3149+0.5)/$C$3100))-MIN(1,MAX(0,(nr_MStartPm1-1-$G3149+0.5)/$C$3100))</f>
        <v/>
      </c>
      <c r="Q3149" s="208">
        <f>MIN(1,MAX(0,(nr_MEndP-$G3149+0.5)/$C$3100))-MIN(1,MAX(0,(nr_MStartP-1-$G3149+0.5)/$C$3100))</f>
        <v/>
      </c>
      <c r="R3149" s="208">
        <f>MIN(1,MAX(0,(nr_MEndP1-$G3149+0.5)/$C$3100))-MIN(1,MAX(0,(nr_MStartP1-1-$G3149+0.5)/$C$3100))</f>
        <v/>
      </c>
      <c r="S3149" s="208">
        <f>IF($L$3100,$N3149*IF($O$3100=1,$O3149/$F$3100,1),"")</f>
        <v/>
      </c>
      <c r="T3149" s="208">
        <f>IF(NOT($L$3100),"",IF($G3149&lt;nr_MStartP,$S3149,$T3137*(1+IF($G3149&lt;nr_MStartP1,$M$3100,$N$3100))))</f>
        <v/>
      </c>
      <c r="U3149" s="208">
        <f>IF($L$3100,$T3149,$N3149)</f>
        <v/>
      </c>
    </row>
    <row r="3150">
      <c r="A3150" s="145" t="n">
        <v>48</v>
      </c>
      <c r="B3150" s="204">
        <f>EDATE($B3149,1)</f>
        <v/>
      </c>
      <c r="C3150" s="205">
        <f>EOMONTH($B3150,0)</f>
        <v/>
      </c>
      <c r="D3150" s="201">
        <f>$C3150-$B3150+1</f>
        <v/>
      </c>
      <c r="E3150" s="201">
        <f>MONTH($B3150)</f>
        <v/>
      </c>
      <c r="F3150" s="235">
        <f>($B3150+$C3150+1)/2</f>
        <v/>
      </c>
      <c r="G3150" s="201">
        <f>YEAR($B3150)*12+MONTH($B3150)-1</f>
        <v/>
      </c>
      <c r="H3150" s="207">
        <f>IF(OR(nr_SeasonOn="OFF",$D$3100=0,$E$3100=0),1,12*INDEX(se_block,$D$3100,$E3150)/$E$3100)</f>
        <v/>
      </c>
      <c r="I3150" s="208">
        <f>EXP(SUMPRODUCT((rl_eff&lt;$B3150)*(rl_key=$A$3100)*rl_ln1p))</f>
        <v/>
      </c>
      <c r="J3150" s="208">
        <f>EXP(SUMPRODUCT((rl_eff&lt;=$C3150)*(rl_key=$A$3100)*rl_ln1p))</f>
        <v/>
      </c>
      <c r="K3150" s="201">
        <f>COUNTIFS(rl_key,$A$3100,rl_eff,"&gt;="&amp;$B3150,rl_eff,"&lt;="&amp;$C3150)</f>
        <v/>
      </c>
      <c r="L3150" s="201">
        <f>SUMIFS(rl_daysafter,rl_key,$A$3100,rl_effmonth,$B3150,rl_first,1)</f>
        <v/>
      </c>
      <c r="M3150" s="209">
        <f>IF($K3150=0,0,MIN(1,$L3150/$D3150))</f>
        <v/>
      </c>
      <c r="N3150" s="208">
        <f>IF($K3150=0,$J3150,(1-$M3150)*$I3150+$M3150*$J3150)</f>
        <v/>
      </c>
      <c r="O3150" s="209">
        <f>IF($F3150&lt;$B$3101,$E$3101+$I$3101*($F3150-$A$3101),IF($F3150&lt;$C$3101,$F$3101+$J$3101*($F3150-$B$3101),$G$3101+$K$3101*($F3150-$C$3101)))</f>
        <v/>
      </c>
      <c r="P3150" s="208">
        <f>MIN(1,MAX(0,(nr_MEndPm1-$G3150+0.5)/$C$3100))-MIN(1,MAX(0,(nr_MStartPm1-1-$G3150+0.5)/$C$3100))</f>
        <v/>
      </c>
      <c r="Q3150" s="208">
        <f>MIN(1,MAX(0,(nr_MEndP-$G3150+0.5)/$C$3100))-MIN(1,MAX(0,(nr_MStartP-1-$G3150+0.5)/$C$3100))</f>
        <v/>
      </c>
      <c r="R3150" s="208">
        <f>MIN(1,MAX(0,(nr_MEndP1-$G3150+0.5)/$C$3100))-MIN(1,MAX(0,(nr_MStartP1-1-$G3150+0.5)/$C$3100))</f>
        <v/>
      </c>
      <c r="S3150" s="208">
        <f>IF($L$3100,$N3150*IF($O$3100=1,$O3150/$F$3100,1),"")</f>
        <v/>
      </c>
      <c r="T3150" s="208">
        <f>IF(NOT($L$3100),"",IF($G3150&lt;nr_MStartP,$S3150,$T3138*(1+IF($G3150&lt;nr_MStartP1,$M$3100,$N$3100))))</f>
        <v/>
      </c>
      <c r="U3150" s="208">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184">
        <f>SUMPRODUCT($H$3103:$H$3150,$Q$3103:$Q$3150,$O$3103:$O$3150)/SUMPRODUCT($H$3103:$H$3150,$Q$3103:$Q$3150)</f>
        <v/>
      </c>
      <c r="G3151" s="184">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184">
        <f>IF(N(INDEX(lr_mind,58))=0,1,INDEX(lr_mind,58))</f>
        <v/>
      </c>
      <c r="G3154" s="184">
        <f>IF(N(INDEX(lr_m0,58))=0,1,INDEX(lr_m0,58))</f>
        <v/>
      </c>
      <c r="H3154" s="73">
        <f>IF(N(INDEX(lr_m0asof,58))=0,DATE(nr_PlanYear-1,10,1),INDEX(lr_m0asof,58))</f>
        <v/>
      </c>
      <c r="I3154" s="184">
        <f>IF(N(INDEX(lr_m1,58))=0,1,INDEX(lr_m1,58))</f>
        <v/>
      </c>
      <c r="J3154" s="184">
        <f>INDEX(lr_mprior,58)</f>
        <v/>
      </c>
      <c r="K3154" s="184">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145" t="n">
        <v>1</v>
      </c>
      <c r="B3157" s="204">
        <f>DATE(nr_PlanYear-2,1,1)</f>
        <v/>
      </c>
      <c r="C3157" s="205">
        <f>EOMONTH($B3157,0)</f>
        <v/>
      </c>
      <c r="D3157" s="201">
        <f>$C3157-$B3157+1</f>
        <v/>
      </c>
      <c r="E3157" s="201">
        <f>MONTH($B3157)</f>
        <v/>
      </c>
      <c r="F3157" s="235">
        <f>($B3157+$C3157+1)/2</f>
        <v/>
      </c>
      <c r="G3157" s="201">
        <f>YEAR($B3157)*12+MONTH($B3157)-1</f>
        <v/>
      </c>
      <c r="H3157" s="207">
        <f>IF(OR(nr_SeasonOn="OFF",$D$3154=0,$E$3154=0),1,12*INDEX(se_block,$D$3154,$E3157)/$E$3154)</f>
        <v/>
      </c>
      <c r="I3157" s="208">
        <f>EXP(SUMPRODUCT((rl_eff&lt;$B3157)*(rl_key=$A$3154)*rl_ln1p))</f>
        <v/>
      </c>
      <c r="J3157" s="208">
        <f>EXP(SUMPRODUCT((rl_eff&lt;=$C3157)*(rl_key=$A$3154)*rl_ln1p))</f>
        <v/>
      </c>
      <c r="K3157" s="201">
        <f>COUNTIFS(rl_key,$A$3154,rl_eff,"&gt;="&amp;$B3157,rl_eff,"&lt;="&amp;$C3157)</f>
        <v/>
      </c>
      <c r="L3157" s="201">
        <f>SUMIFS(rl_daysafter,rl_key,$A$3154,rl_effmonth,$B3157,rl_first,1)</f>
        <v/>
      </c>
      <c r="M3157" s="209">
        <f>IF($K3157=0,0,MIN(1,$L3157/$D3157))</f>
        <v/>
      </c>
      <c r="N3157" s="208">
        <f>IF($K3157=0,$J3157,(1-$M3157)*$I3157+$M3157*$J3157)</f>
        <v/>
      </c>
      <c r="O3157" s="209">
        <f>IF($F3157&lt;$B$3155,$E$3155+$I$3155*($F3157-$A$3155),IF($F3157&lt;$C$3155,$F$3155+$J$3155*($F3157-$B$3155),$G$3155+$K$3155*($F3157-$C$3155)))</f>
        <v/>
      </c>
      <c r="P3157" s="208">
        <f>MIN(1,MAX(0,(nr_MEndPm1-$G3157+0.5)/$C$3154))-MIN(1,MAX(0,(nr_MStartPm1-1-$G3157+0.5)/$C$3154))</f>
        <v/>
      </c>
      <c r="Q3157" s="208">
        <f>MIN(1,MAX(0,(nr_MEndP-$G3157+0.5)/$C$3154))-MIN(1,MAX(0,(nr_MStartP-1-$G3157+0.5)/$C$3154))</f>
        <v/>
      </c>
      <c r="R3157" s="208">
        <f>MIN(1,MAX(0,(nr_MEndP1-$G3157+0.5)/$C$3154))-MIN(1,MAX(0,(nr_MStartP1-1-$G3157+0.5)/$C$3154))</f>
        <v/>
      </c>
      <c r="S3157" s="208">
        <f>IF($L$3154,$N3157*IF($O$3154=1,$O3157/$F$3154,1),"")</f>
        <v/>
      </c>
      <c r="T3157" s="208">
        <f>IF(NOT($L$3154),"",IF($G3157&lt;nr_MStartP,$S3157,$T3145*(1+IF($G3157&lt;nr_MStartP1,$M$3154,$N$3154))))</f>
        <v/>
      </c>
      <c r="U3157" s="208">
        <f>IF($L$3154,$T3157,$N3157)</f>
        <v/>
      </c>
    </row>
    <row r="3158">
      <c r="A3158" s="145" t="n">
        <v>2</v>
      </c>
      <c r="B3158" s="204">
        <f>EDATE($B3157,1)</f>
        <v/>
      </c>
      <c r="C3158" s="205">
        <f>EOMONTH($B3158,0)</f>
        <v/>
      </c>
      <c r="D3158" s="201">
        <f>$C3158-$B3158+1</f>
        <v/>
      </c>
      <c r="E3158" s="201">
        <f>MONTH($B3158)</f>
        <v/>
      </c>
      <c r="F3158" s="235">
        <f>($B3158+$C3158+1)/2</f>
        <v/>
      </c>
      <c r="G3158" s="201">
        <f>YEAR($B3158)*12+MONTH($B3158)-1</f>
        <v/>
      </c>
      <c r="H3158" s="207">
        <f>IF(OR(nr_SeasonOn="OFF",$D$3154=0,$E$3154=0),1,12*INDEX(se_block,$D$3154,$E3158)/$E$3154)</f>
        <v/>
      </c>
      <c r="I3158" s="208">
        <f>EXP(SUMPRODUCT((rl_eff&lt;$B3158)*(rl_key=$A$3154)*rl_ln1p))</f>
        <v/>
      </c>
      <c r="J3158" s="208">
        <f>EXP(SUMPRODUCT((rl_eff&lt;=$C3158)*(rl_key=$A$3154)*rl_ln1p))</f>
        <v/>
      </c>
      <c r="K3158" s="201">
        <f>COUNTIFS(rl_key,$A$3154,rl_eff,"&gt;="&amp;$B3158,rl_eff,"&lt;="&amp;$C3158)</f>
        <v/>
      </c>
      <c r="L3158" s="201">
        <f>SUMIFS(rl_daysafter,rl_key,$A$3154,rl_effmonth,$B3158,rl_first,1)</f>
        <v/>
      </c>
      <c r="M3158" s="209">
        <f>IF($K3158=0,0,MIN(1,$L3158/$D3158))</f>
        <v/>
      </c>
      <c r="N3158" s="208">
        <f>IF($K3158=0,$J3158,(1-$M3158)*$I3158+$M3158*$J3158)</f>
        <v/>
      </c>
      <c r="O3158" s="209">
        <f>IF($F3158&lt;$B$3155,$E$3155+$I$3155*($F3158-$A$3155),IF($F3158&lt;$C$3155,$F$3155+$J$3155*($F3158-$B$3155),$G$3155+$K$3155*($F3158-$C$3155)))</f>
        <v/>
      </c>
      <c r="P3158" s="208">
        <f>MIN(1,MAX(0,(nr_MEndPm1-$G3158+0.5)/$C$3154))-MIN(1,MAX(0,(nr_MStartPm1-1-$G3158+0.5)/$C$3154))</f>
        <v/>
      </c>
      <c r="Q3158" s="208">
        <f>MIN(1,MAX(0,(nr_MEndP-$G3158+0.5)/$C$3154))-MIN(1,MAX(0,(nr_MStartP-1-$G3158+0.5)/$C$3154))</f>
        <v/>
      </c>
      <c r="R3158" s="208">
        <f>MIN(1,MAX(0,(nr_MEndP1-$G3158+0.5)/$C$3154))-MIN(1,MAX(0,(nr_MStartP1-1-$G3158+0.5)/$C$3154))</f>
        <v/>
      </c>
      <c r="S3158" s="208">
        <f>IF($L$3154,$N3158*IF($O$3154=1,$O3158/$F$3154,1),"")</f>
        <v/>
      </c>
      <c r="T3158" s="208">
        <f>IF(NOT($L$3154),"",IF($G3158&lt;nr_MStartP,$S3158,$T3146*(1+IF($G3158&lt;nr_MStartP1,$M$3154,$N$3154))))</f>
        <v/>
      </c>
      <c r="U3158" s="208">
        <f>IF($L$3154,$T3158,$N3158)</f>
        <v/>
      </c>
    </row>
    <row r="3159">
      <c r="A3159" s="145" t="n">
        <v>3</v>
      </c>
      <c r="B3159" s="204">
        <f>EDATE($B3158,1)</f>
        <v/>
      </c>
      <c r="C3159" s="205">
        <f>EOMONTH($B3159,0)</f>
        <v/>
      </c>
      <c r="D3159" s="201">
        <f>$C3159-$B3159+1</f>
        <v/>
      </c>
      <c r="E3159" s="201">
        <f>MONTH($B3159)</f>
        <v/>
      </c>
      <c r="F3159" s="235">
        <f>($B3159+$C3159+1)/2</f>
        <v/>
      </c>
      <c r="G3159" s="201">
        <f>YEAR($B3159)*12+MONTH($B3159)-1</f>
        <v/>
      </c>
      <c r="H3159" s="207">
        <f>IF(OR(nr_SeasonOn="OFF",$D$3154=0,$E$3154=0),1,12*INDEX(se_block,$D$3154,$E3159)/$E$3154)</f>
        <v/>
      </c>
      <c r="I3159" s="208">
        <f>EXP(SUMPRODUCT((rl_eff&lt;$B3159)*(rl_key=$A$3154)*rl_ln1p))</f>
        <v/>
      </c>
      <c r="J3159" s="208">
        <f>EXP(SUMPRODUCT((rl_eff&lt;=$C3159)*(rl_key=$A$3154)*rl_ln1p))</f>
        <v/>
      </c>
      <c r="K3159" s="201">
        <f>COUNTIFS(rl_key,$A$3154,rl_eff,"&gt;="&amp;$B3159,rl_eff,"&lt;="&amp;$C3159)</f>
        <v/>
      </c>
      <c r="L3159" s="201">
        <f>SUMIFS(rl_daysafter,rl_key,$A$3154,rl_effmonth,$B3159,rl_first,1)</f>
        <v/>
      </c>
      <c r="M3159" s="209">
        <f>IF($K3159=0,0,MIN(1,$L3159/$D3159))</f>
        <v/>
      </c>
      <c r="N3159" s="208">
        <f>IF($K3159=0,$J3159,(1-$M3159)*$I3159+$M3159*$J3159)</f>
        <v/>
      </c>
      <c r="O3159" s="209">
        <f>IF($F3159&lt;$B$3155,$E$3155+$I$3155*($F3159-$A$3155),IF($F3159&lt;$C$3155,$F$3155+$J$3155*($F3159-$B$3155),$G$3155+$K$3155*($F3159-$C$3155)))</f>
        <v/>
      </c>
      <c r="P3159" s="208">
        <f>MIN(1,MAX(0,(nr_MEndPm1-$G3159+0.5)/$C$3154))-MIN(1,MAX(0,(nr_MStartPm1-1-$G3159+0.5)/$C$3154))</f>
        <v/>
      </c>
      <c r="Q3159" s="208">
        <f>MIN(1,MAX(0,(nr_MEndP-$G3159+0.5)/$C$3154))-MIN(1,MAX(0,(nr_MStartP-1-$G3159+0.5)/$C$3154))</f>
        <v/>
      </c>
      <c r="R3159" s="208">
        <f>MIN(1,MAX(0,(nr_MEndP1-$G3159+0.5)/$C$3154))-MIN(1,MAX(0,(nr_MStartP1-1-$G3159+0.5)/$C$3154))</f>
        <v/>
      </c>
      <c r="S3159" s="208">
        <f>IF($L$3154,$N3159*IF($O$3154=1,$O3159/$F$3154,1),"")</f>
        <v/>
      </c>
      <c r="T3159" s="208">
        <f>IF(NOT($L$3154),"",IF($G3159&lt;nr_MStartP,$S3159,$T3147*(1+IF($G3159&lt;nr_MStartP1,$M$3154,$N$3154))))</f>
        <v/>
      </c>
      <c r="U3159" s="208">
        <f>IF($L$3154,$T3159,$N3159)</f>
        <v/>
      </c>
    </row>
    <row r="3160">
      <c r="A3160" s="145" t="n">
        <v>4</v>
      </c>
      <c r="B3160" s="204">
        <f>EDATE($B3159,1)</f>
        <v/>
      </c>
      <c r="C3160" s="205">
        <f>EOMONTH($B3160,0)</f>
        <v/>
      </c>
      <c r="D3160" s="201">
        <f>$C3160-$B3160+1</f>
        <v/>
      </c>
      <c r="E3160" s="201">
        <f>MONTH($B3160)</f>
        <v/>
      </c>
      <c r="F3160" s="235">
        <f>($B3160+$C3160+1)/2</f>
        <v/>
      </c>
      <c r="G3160" s="201">
        <f>YEAR($B3160)*12+MONTH($B3160)-1</f>
        <v/>
      </c>
      <c r="H3160" s="207">
        <f>IF(OR(nr_SeasonOn="OFF",$D$3154=0,$E$3154=0),1,12*INDEX(se_block,$D$3154,$E3160)/$E$3154)</f>
        <v/>
      </c>
      <c r="I3160" s="208">
        <f>EXP(SUMPRODUCT((rl_eff&lt;$B3160)*(rl_key=$A$3154)*rl_ln1p))</f>
        <v/>
      </c>
      <c r="J3160" s="208">
        <f>EXP(SUMPRODUCT((rl_eff&lt;=$C3160)*(rl_key=$A$3154)*rl_ln1p))</f>
        <v/>
      </c>
      <c r="K3160" s="201">
        <f>COUNTIFS(rl_key,$A$3154,rl_eff,"&gt;="&amp;$B3160,rl_eff,"&lt;="&amp;$C3160)</f>
        <v/>
      </c>
      <c r="L3160" s="201">
        <f>SUMIFS(rl_daysafter,rl_key,$A$3154,rl_effmonth,$B3160,rl_first,1)</f>
        <v/>
      </c>
      <c r="M3160" s="209">
        <f>IF($K3160=0,0,MIN(1,$L3160/$D3160))</f>
        <v/>
      </c>
      <c r="N3160" s="208">
        <f>IF($K3160=0,$J3160,(1-$M3160)*$I3160+$M3160*$J3160)</f>
        <v/>
      </c>
      <c r="O3160" s="209">
        <f>IF($F3160&lt;$B$3155,$E$3155+$I$3155*($F3160-$A$3155),IF($F3160&lt;$C$3155,$F$3155+$J$3155*($F3160-$B$3155),$G$3155+$K$3155*($F3160-$C$3155)))</f>
        <v/>
      </c>
      <c r="P3160" s="208">
        <f>MIN(1,MAX(0,(nr_MEndPm1-$G3160+0.5)/$C$3154))-MIN(1,MAX(0,(nr_MStartPm1-1-$G3160+0.5)/$C$3154))</f>
        <v/>
      </c>
      <c r="Q3160" s="208">
        <f>MIN(1,MAX(0,(nr_MEndP-$G3160+0.5)/$C$3154))-MIN(1,MAX(0,(nr_MStartP-1-$G3160+0.5)/$C$3154))</f>
        <v/>
      </c>
      <c r="R3160" s="208">
        <f>MIN(1,MAX(0,(nr_MEndP1-$G3160+0.5)/$C$3154))-MIN(1,MAX(0,(nr_MStartP1-1-$G3160+0.5)/$C$3154))</f>
        <v/>
      </c>
      <c r="S3160" s="208">
        <f>IF($L$3154,$N3160*IF($O$3154=1,$O3160/$F$3154,1),"")</f>
        <v/>
      </c>
      <c r="T3160" s="208">
        <f>IF(NOT($L$3154),"",IF($G3160&lt;nr_MStartP,$S3160,$T3148*(1+IF($G3160&lt;nr_MStartP1,$M$3154,$N$3154))))</f>
        <v/>
      </c>
      <c r="U3160" s="208">
        <f>IF($L$3154,$T3160,$N3160)</f>
        <v/>
      </c>
    </row>
    <row r="3161">
      <c r="A3161" s="145" t="n">
        <v>5</v>
      </c>
      <c r="B3161" s="204">
        <f>EDATE($B3160,1)</f>
        <v/>
      </c>
      <c r="C3161" s="205">
        <f>EOMONTH($B3161,0)</f>
        <v/>
      </c>
      <c r="D3161" s="201">
        <f>$C3161-$B3161+1</f>
        <v/>
      </c>
      <c r="E3161" s="201">
        <f>MONTH($B3161)</f>
        <v/>
      </c>
      <c r="F3161" s="235">
        <f>($B3161+$C3161+1)/2</f>
        <v/>
      </c>
      <c r="G3161" s="201">
        <f>YEAR($B3161)*12+MONTH($B3161)-1</f>
        <v/>
      </c>
      <c r="H3161" s="207">
        <f>IF(OR(nr_SeasonOn="OFF",$D$3154=0,$E$3154=0),1,12*INDEX(se_block,$D$3154,$E3161)/$E$3154)</f>
        <v/>
      </c>
      <c r="I3161" s="208">
        <f>EXP(SUMPRODUCT((rl_eff&lt;$B3161)*(rl_key=$A$3154)*rl_ln1p))</f>
        <v/>
      </c>
      <c r="J3161" s="208">
        <f>EXP(SUMPRODUCT((rl_eff&lt;=$C3161)*(rl_key=$A$3154)*rl_ln1p))</f>
        <v/>
      </c>
      <c r="K3161" s="201">
        <f>COUNTIFS(rl_key,$A$3154,rl_eff,"&gt;="&amp;$B3161,rl_eff,"&lt;="&amp;$C3161)</f>
        <v/>
      </c>
      <c r="L3161" s="201">
        <f>SUMIFS(rl_daysafter,rl_key,$A$3154,rl_effmonth,$B3161,rl_first,1)</f>
        <v/>
      </c>
      <c r="M3161" s="209">
        <f>IF($K3161=0,0,MIN(1,$L3161/$D3161))</f>
        <v/>
      </c>
      <c r="N3161" s="208">
        <f>IF($K3161=0,$J3161,(1-$M3161)*$I3161+$M3161*$J3161)</f>
        <v/>
      </c>
      <c r="O3161" s="209">
        <f>IF($F3161&lt;$B$3155,$E$3155+$I$3155*($F3161-$A$3155),IF($F3161&lt;$C$3155,$F$3155+$J$3155*($F3161-$B$3155),$G$3155+$K$3155*($F3161-$C$3155)))</f>
        <v/>
      </c>
      <c r="P3161" s="208">
        <f>MIN(1,MAX(0,(nr_MEndPm1-$G3161+0.5)/$C$3154))-MIN(1,MAX(0,(nr_MStartPm1-1-$G3161+0.5)/$C$3154))</f>
        <v/>
      </c>
      <c r="Q3161" s="208">
        <f>MIN(1,MAX(0,(nr_MEndP-$G3161+0.5)/$C$3154))-MIN(1,MAX(0,(nr_MStartP-1-$G3161+0.5)/$C$3154))</f>
        <v/>
      </c>
      <c r="R3161" s="208">
        <f>MIN(1,MAX(0,(nr_MEndP1-$G3161+0.5)/$C$3154))-MIN(1,MAX(0,(nr_MStartP1-1-$G3161+0.5)/$C$3154))</f>
        <v/>
      </c>
      <c r="S3161" s="208">
        <f>IF($L$3154,$N3161*IF($O$3154=1,$O3161/$F$3154,1),"")</f>
        <v/>
      </c>
      <c r="T3161" s="208">
        <f>IF(NOT($L$3154),"",IF($G3161&lt;nr_MStartP,$S3161,$T3149*(1+IF($G3161&lt;nr_MStartP1,$M$3154,$N$3154))))</f>
        <v/>
      </c>
      <c r="U3161" s="208">
        <f>IF($L$3154,$T3161,$N3161)</f>
        <v/>
      </c>
    </row>
    <row r="3162">
      <c r="A3162" s="145" t="n">
        <v>6</v>
      </c>
      <c r="B3162" s="204">
        <f>EDATE($B3161,1)</f>
        <v/>
      </c>
      <c r="C3162" s="205">
        <f>EOMONTH($B3162,0)</f>
        <v/>
      </c>
      <c r="D3162" s="201">
        <f>$C3162-$B3162+1</f>
        <v/>
      </c>
      <c r="E3162" s="201">
        <f>MONTH($B3162)</f>
        <v/>
      </c>
      <c r="F3162" s="235">
        <f>($B3162+$C3162+1)/2</f>
        <v/>
      </c>
      <c r="G3162" s="201">
        <f>YEAR($B3162)*12+MONTH($B3162)-1</f>
        <v/>
      </c>
      <c r="H3162" s="207">
        <f>IF(OR(nr_SeasonOn="OFF",$D$3154=0,$E$3154=0),1,12*INDEX(se_block,$D$3154,$E3162)/$E$3154)</f>
        <v/>
      </c>
      <c r="I3162" s="208">
        <f>EXP(SUMPRODUCT((rl_eff&lt;$B3162)*(rl_key=$A$3154)*rl_ln1p))</f>
        <v/>
      </c>
      <c r="J3162" s="208">
        <f>EXP(SUMPRODUCT((rl_eff&lt;=$C3162)*(rl_key=$A$3154)*rl_ln1p))</f>
        <v/>
      </c>
      <c r="K3162" s="201">
        <f>COUNTIFS(rl_key,$A$3154,rl_eff,"&gt;="&amp;$B3162,rl_eff,"&lt;="&amp;$C3162)</f>
        <v/>
      </c>
      <c r="L3162" s="201">
        <f>SUMIFS(rl_daysafter,rl_key,$A$3154,rl_effmonth,$B3162,rl_first,1)</f>
        <v/>
      </c>
      <c r="M3162" s="209">
        <f>IF($K3162=0,0,MIN(1,$L3162/$D3162))</f>
        <v/>
      </c>
      <c r="N3162" s="208">
        <f>IF($K3162=0,$J3162,(1-$M3162)*$I3162+$M3162*$J3162)</f>
        <v/>
      </c>
      <c r="O3162" s="209">
        <f>IF($F3162&lt;$B$3155,$E$3155+$I$3155*($F3162-$A$3155),IF($F3162&lt;$C$3155,$F$3155+$J$3155*($F3162-$B$3155),$G$3155+$K$3155*($F3162-$C$3155)))</f>
        <v/>
      </c>
      <c r="P3162" s="208">
        <f>MIN(1,MAX(0,(nr_MEndPm1-$G3162+0.5)/$C$3154))-MIN(1,MAX(0,(nr_MStartPm1-1-$G3162+0.5)/$C$3154))</f>
        <v/>
      </c>
      <c r="Q3162" s="208">
        <f>MIN(1,MAX(0,(nr_MEndP-$G3162+0.5)/$C$3154))-MIN(1,MAX(0,(nr_MStartP-1-$G3162+0.5)/$C$3154))</f>
        <v/>
      </c>
      <c r="R3162" s="208">
        <f>MIN(1,MAX(0,(nr_MEndP1-$G3162+0.5)/$C$3154))-MIN(1,MAX(0,(nr_MStartP1-1-$G3162+0.5)/$C$3154))</f>
        <v/>
      </c>
      <c r="S3162" s="208">
        <f>IF($L$3154,$N3162*IF($O$3154=1,$O3162/$F$3154,1),"")</f>
        <v/>
      </c>
      <c r="T3162" s="208">
        <f>IF(NOT($L$3154),"",IF($G3162&lt;nr_MStartP,$S3162,$T3150*(1+IF($G3162&lt;nr_MStartP1,$M$3154,$N$3154))))</f>
        <v/>
      </c>
      <c r="U3162" s="208">
        <f>IF($L$3154,$T3162,$N3162)</f>
        <v/>
      </c>
    </row>
    <row r="3163">
      <c r="A3163" s="145" t="n">
        <v>7</v>
      </c>
      <c r="B3163" s="204">
        <f>EDATE($B3162,1)</f>
        <v/>
      </c>
      <c r="C3163" s="205">
        <f>EOMONTH($B3163,0)</f>
        <v/>
      </c>
      <c r="D3163" s="201">
        <f>$C3163-$B3163+1</f>
        <v/>
      </c>
      <c r="E3163" s="201">
        <f>MONTH($B3163)</f>
        <v/>
      </c>
      <c r="F3163" s="235">
        <f>($B3163+$C3163+1)/2</f>
        <v/>
      </c>
      <c r="G3163" s="201">
        <f>YEAR($B3163)*12+MONTH($B3163)-1</f>
        <v/>
      </c>
      <c r="H3163" s="207">
        <f>IF(OR(nr_SeasonOn="OFF",$D$3154=0,$E$3154=0),1,12*INDEX(se_block,$D$3154,$E3163)/$E$3154)</f>
        <v/>
      </c>
      <c r="I3163" s="208">
        <f>EXP(SUMPRODUCT((rl_eff&lt;$B3163)*(rl_key=$A$3154)*rl_ln1p))</f>
        <v/>
      </c>
      <c r="J3163" s="208">
        <f>EXP(SUMPRODUCT((rl_eff&lt;=$C3163)*(rl_key=$A$3154)*rl_ln1p))</f>
        <v/>
      </c>
      <c r="K3163" s="201">
        <f>COUNTIFS(rl_key,$A$3154,rl_eff,"&gt;="&amp;$B3163,rl_eff,"&lt;="&amp;$C3163)</f>
        <v/>
      </c>
      <c r="L3163" s="201">
        <f>SUMIFS(rl_daysafter,rl_key,$A$3154,rl_effmonth,$B3163,rl_first,1)</f>
        <v/>
      </c>
      <c r="M3163" s="209">
        <f>IF($K3163=0,0,MIN(1,$L3163/$D3163))</f>
        <v/>
      </c>
      <c r="N3163" s="208">
        <f>IF($K3163=0,$J3163,(1-$M3163)*$I3163+$M3163*$J3163)</f>
        <v/>
      </c>
      <c r="O3163" s="209">
        <f>IF($F3163&lt;$B$3155,$E$3155+$I$3155*($F3163-$A$3155),IF($F3163&lt;$C$3155,$F$3155+$J$3155*($F3163-$B$3155),$G$3155+$K$3155*($F3163-$C$3155)))</f>
        <v/>
      </c>
      <c r="P3163" s="208">
        <f>MIN(1,MAX(0,(nr_MEndPm1-$G3163+0.5)/$C$3154))-MIN(1,MAX(0,(nr_MStartPm1-1-$G3163+0.5)/$C$3154))</f>
        <v/>
      </c>
      <c r="Q3163" s="208">
        <f>MIN(1,MAX(0,(nr_MEndP-$G3163+0.5)/$C$3154))-MIN(1,MAX(0,(nr_MStartP-1-$G3163+0.5)/$C$3154))</f>
        <v/>
      </c>
      <c r="R3163" s="208">
        <f>MIN(1,MAX(0,(nr_MEndP1-$G3163+0.5)/$C$3154))-MIN(1,MAX(0,(nr_MStartP1-1-$G3163+0.5)/$C$3154))</f>
        <v/>
      </c>
      <c r="S3163" s="208">
        <f>IF($L$3154,$N3163*IF($O$3154=1,$O3163/$F$3154,1),"")</f>
        <v/>
      </c>
      <c r="T3163" s="208">
        <f>IF(NOT($L$3154),"",IF($G3163&lt;nr_MStartP,$S3163,$T3151*(1+IF($G3163&lt;nr_MStartP1,$M$3154,$N$3154))))</f>
        <v/>
      </c>
      <c r="U3163" s="208">
        <f>IF($L$3154,$T3163,$N3163)</f>
        <v/>
      </c>
    </row>
    <row r="3164">
      <c r="A3164" s="145" t="n">
        <v>8</v>
      </c>
      <c r="B3164" s="204">
        <f>EDATE($B3163,1)</f>
        <v/>
      </c>
      <c r="C3164" s="205">
        <f>EOMONTH($B3164,0)</f>
        <v/>
      </c>
      <c r="D3164" s="201">
        <f>$C3164-$B3164+1</f>
        <v/>
      </c>
      <c r="E3164" s="201">
        <f>MONTH($B3164)</f>
        <v/>
      </c>
      <c r="F3164" s="235">
        <f>($B3164+$C3164+1)/2</f>
        <v/>
      </c>
      <c r="G3164" s="201">
        <f>YEAR($B3164)*12+MONTH($B3164)-1</f>
        <v/>
      </c>
      <c r="H3164" s="207">
        <f>IF(OR(nr_SeasonOn="OFF",$D$3154=0,$E$3154=0),1,12*INDEX(se_block,$D$3154,$E3164)/$E$3154)</f>
        <v/>
      </c>
      <c r="I3164" s="208">
        <f>EXP(SUMPRODUCT((rl_eff&lt;$B3164)*(rl_key=$A$3154)*rl_ln1p))</f>
        <v/>
      </c>
      <c r="J3164" s="208">
        <f>EXP(SUMPRODUCT((rl_eff&lt;=$C3164)*(rl_key=$A$3154)*rl_ln1p))</f>
        <v/>
      </c>
      <c r="K3164" s="201">
        <f>COUNTIFS(rl_key,$A$3154,rl_eff,"&gt;="&amp;$B3164,rl_eff,"&lt;="&amp;$C3164)</f>
        <v/>
      </c>
      <c r="L3164" s="201">
        <f>SUMIFS(rl_daysafter,rl_key,$A$3154,rl_effmonth,$B3164,rl_first,1)</f>
        <v/>
      </c>
      <c r="M3164" s="209">
        <f>IF($K3164=0,0,MIN(1,$L3164/$D3164))</f>
        <v/>
      </c>
      <c r="N3164" s="208">
        <f>IF($K3164=0,$J3164,(1-$M3164)*$I3164+$M3164*$J3164)</f>
        <v/>
      </c>
      <c r="O3164" s="209">
        <f>IF($F3164&lt;$B$3155,$E$3155+$I$3155*($F3164-$A$3155),IF($F3164&lt;$C$3155,$F$3155+$J$3155*($F3164-$B$3155),$G$3155+$K$3155*($F3164-$C$3155)))</f>
        <v/>
      </c>
      <c r="P3164" s="208">
        <f>MIN(1,MAX(0,(nr_MEndPm1-$G3164+0.5)/$C$3154))-MIN(1,MAX(0,(nr_MStartPm1-1-$G3164+0.5)/$C$3154))</f>
        <v/>
      </c>
      <c r="Q3164" s="208">
        <f>MIN(1,MAX(0,(nr_MEndP-$G3164+0.5)/$C$3154))-MIN(1,MAX(0,(nr_MStartP-1-$G3164+0.5)/$C$3154))</f>
        <v/>
      </c>
      <c r="R3164" s="208">
        <f>MIN(1,MAX(0,(nr_MEndP1-$G3164+0.5)/$C$3154))-MIN(1,MAX(0,(nr_MStartP1-1-$G3164+0.5)/$C$3154))</f>
        <v/>
      </c>
      <c r="S3164" s="208">
        <f>IF($L$3154,$N3164*IF($O$3154=1,$O3164/$F$3154,1),"")</f>
        <v/>
      </c>
      <c r="T3164" s="208">
        <f>IF(NOT($L$3154),"",IF($G3164&lt;nr_MStartP,$S3164,$T3152*(1+IF($G3164&lt;nr_MStartP1,$M$3154,$N$3154))))</f>
        <v/>
      </c>
      <c r="U3164" s="208">
        <f>IF($L$3154,$T3164,$N3164)</f>
        <v/>
      </c>
    </row>
    <row r="3165">
      <c r="A3165" s="145" t="n">
        <v>9</v>
      </c>
      <c r="B3165" s="204">
        <f>EDATE($B3164,1)</f>
        <v/>
      </c>
      <c r="C3165" s="205">
        <f>EOMONTH($B3165,0)</f>
        <v/>
      </c>
      <c r="D3165" s="201">
        <f>$C3165-$B3165+1</f>
        <v/>
      </c>
      <c r="E3165" s="201">
        <f>MONTH($B3165)</f>
        <v/>
      </c>
      <c r="F3165" s="235">
        <f>($B3165+$C3165+1)/2</f>
        <v/>
      </c>
      <c r="G3165" s="201">
        <f>YEAR($B3165)*12+MONTH($B3165)-1</f>
        <v/>
      </c>
      <c r="H3165" s="207">
        <f>IF(OR(nr_SeasonOn="OFF",$D$3154=0,$E$3154=0),1,12*INDEX(se_block,$D$3154,$E3165)/$E$3154)</f>
        <v/>
      </c>
      <c r="I3165" s="208">
        <f>EXP(SUMPRODUCT((rl_eff&lt;$B3165)*(rl_key=$A$3154)*rl_ln1p))</f>
        <v/>
      </c>
      <c r="J3165" s="208">
        <f>EXP(SUMPRODUCT((rl_eff&lt;=$C3165)*(rl_key=$A$3154)*rl_ln1p))</f>
        <v/>
      </c>
      <c r="K3165" s="201">
        <f>COUNTIFS(rl_key,$A$3154,rl_eff,"&gt;="&amp;$B3165,rl_eff,"&lt;="&amp;$C3165)</f>
        <v/>
      </c>
      <c r="L3165" s="201">
        <f>SUMIFS(rl_daysafter,rl_key,$A$3154,rl_effmonth,$B3165,rl_first,1)</f>
        <v/>
      </c>
      <c r="M3165" s="209">
        <f>IF($K3165=0,0,MIN(1,$L3165/$D3165))</f>
        <v/>
      </c>
      <c r="N3165" s="208">
        <f>IF($K3165=0,$J3165,(1-$M3165)*$I3165+$M3165*$J3165)</f>
        <v/>
      </c>
      <c r="O3165" s="209">
        <f>IF($F3165&lt;$B$3155,$E$3155+$I$3155*($F3165-$A$3155),IF($F3165&lt;$C$3155,$F$3155+$J$3155*($F3165-$B$3155),$G$3155+$K$3155*($F3165-$C$3155)))</f>
        <v/>
      </c>
      <c r="P3165" s="208">
        <f>MIN(1,MAX(0,(nr_MEndPm1-$G3165+0.5)/$C$3154))-MIN(1,MAX(0,(nr_MStartPm1-1-$G3165+0.5)/$C$3154))</f>
        <v/>
      </c>
      <c r="Q3165" s="208">
        <f>MIN(1,MAX(0,(nr_MEndP-$G3165+0.5)/$C$3154))-MIN(1,MAX(0,(nr_MStartP-1-$G3165+0.5)/$C$3154))</f>
        <v/>
      </c>
      <c r="R3165" s="208">
        <f>MIN(1,MAX(0,(nr_MEndP1-$G3165+0.5)/$C$3154))-MIN(1,MAX(0,(nr_MStartP1-1-$G3165+0.5)/$C$3154))</f>
        <v/>
      </c>
      <c r="S3165" s="208">
        <f>IF($L$3154,$N3165*IF($O$3154=1,$O3165/$F$3154,1),"")</f>
        <v/>
      </c>
      <c r="T3165" s="208">
        <f>IF(NOT($L$3154),"",IF($G3165&lt;nr_MStartP,$S3165,$T3153*(1+IF($G3165&lt;nr_MStartP1,$M$3154,$N$3154))))</f>
        <v/>
      </c>
      <c r="U3165" s="208">
        <f>IF($L$3154,$T3165,$N3165)</f>
        <v/>
      </c>
    </row>
    <row r="3166">
      <c r="A3166" s="145" t="n">
        <v>10</v>
      </c>
      <c r="B3166" s="204">
        <f>EDATE($B3165,1)</f>
        <v/>
      </c>
      <c r="C3166" s="205">
        <f>EOMONTH($B3166,0)</f>
        <v/>
      </c>
      <c r="D3166" s="201">
        <f>$C3166-$B3166+1</f>
        <v/>
      </c>
      <c r="E3166" s="201">
        <f>MONTH($B3166)</f>
        <v/>
      </c>
      <c r="F3166" s="235">
        <f>($B3166+$C3166+1)/2</f>
        <v/>
      </c>
      <c r="G3166" s="201">
        <f>YEAR($B3166)*12+MONTH($B3166)-1</f>
        <v/>
      </c>
      <c r="H3166" s="207">
        <f>IF(OR(nr_SeasonOn="OFF",$D$3154=0,$E$3154=0),1,12*INDEX(se_block,$D$3154,$E3166)/$E$3154)</f>
        <v/>
      </c>
      <c r="I3166" s="208">
        <f>EXP(SUMPRODUCT((rl_eff&lt;$B3166)*(rl_key=$A$3154)*rl_ln1p))</f>
        <v/>
      </c>
      <c r="J3166" s="208">
        <f>EXP(SUMPRODUCT((rl_eff&lt;=$C3166)*(rl_key=$A$3154)*rl_ln1p))</f>
        <v/>
      </c>
      <c r="K3166" s="201">
        <f>COUNTIFS(rl_key,$A$3154,rl_eff,"&gt;="&amp;$B3166,rl_eff,"&lt;="&amp;$C3166)</f>
        <v/>
      </c>
      <c r="L3166" s="201">
        <f>SUMIFS(rl_daysafter,rl_key,$A$3154,rl_effmonth,$B3166,rl_first,1)</f>
        <v/>
      </c>
      <c r="M3166" s="209">
        <f>IF($K3166=0,0,MIN(1,$L3166/$D3166))</f>
        <v/>
      </c>
      <c r="N3166" s="208">
        <f>IF($K3166=0,$J3166,(1-$M3166)*$I3166+$M3166*$J3166)</f>
        <v/>
      </c>
      <c r="O3166" s="209">
        <f>IF($F3166&lt;$B$3155,$E$3155+$I$3155*($F3166-$A$3155),IF($F3166&lt;$C$3155,$F$3155+$J$3155*($F3166-$B$3155),$G$3155+$K$3155*($F3166-$C$3155)))</f>
        <v/>
      </c>
      <c r="P3166" s="208">
        <f>MIN(1,MAX(0,(nr_MEndPm1-$G3166+0.5)/$C$3154))-MIN(1,MAX(0,(nr_MStartPm1-1-$G3166+0.5)/$C$3154))</f>
        <v/>
      </c>
      <c r="Q3166" s="208">
        <f>MIN(1,MAX(0,(nr_MEndP-$G3166+0.5)/$C$3154))-MIN(1,MAX(0,(nr_MStartP-1-$G3166+0.5)/$C$3154))</f>
        <v/>
      </c>
      <c r="R3166" s="208">
        <f>MIN(1,MAX(0,(nr_MEndP1-$G3166+0.5)/$C$3154))-MIN(1,MAX(0,(nr_MStartP1-1-$G3166+0.5)/$C$3154))</f>
        <v/>
      </c>
      <c r="S3166" s="208">
        <f>IF($L$3154,$N3166*IF($O$3154=1,$O3166/$F$3154,1),"")</f>
        <v/>
      </c>
      <c r="T3166" s="208">
        <f>IF(NOT($L$3154),"",IF($G3166&lt;nr_MStartP,$S3166,$T3154*(1+IF($G3166&lt;nr_MStartP1,$M$3154,$N$3154))))</f>
        <v/>
      </c>
      <c r="U3166" s="208">
        <f>IF($L$3154,$T3166,$N3166)</f>
        <v/>
      </c>
    </row>
    <row r="3167">
      <c r="A3167" s="145" t="n">
        <v>11</v>
      </c>
      <c r="B3167" s="204">
        <f>EDATE($B3166,1)</f>
        <v/>
      </c>
      <c r="C3167" s="205">
        <f>EOMONTH($B3167,0)</f>
        <v/>
      </c>
      <c r="D3167" s="201">
        <f>$C3167-$B3167+1</f>
        <v/>
      </c>
      <c r="E3167" s="201">
        <f>MONTH($B3167)</f>
        <v/>
      </c>
      <c r="F3167" s="235">
        <f>($B3167+$C3167+1)/2</f>
        <v/>
      </c>
      <c r="G3167" s="201">
        <f>YEAR($B3167)*12+MONTH($B3167)-1</f>
        <v/>
      </c>
      <c r="H3167" s="207">
        <f>IF(OR(nr_SeasonOn="OFF",$D$3154=0,$E$3154=0),1,12*INDEX(se_block,$D$3154,$E3167)/$E$3154)</f>
        <v/>
      </c>
      <c r="I3167" s="208">
        <f>EXP(SUMPRODUCT((rl_eff&lt;$B3167)*(rl_key=$A$3154)*rl_ln1p))</f>
        <v/>
      </c>
      <c r="J3167" s="208">
        <f>EXP(SUMPRODUCT((rl_eff&lt;=$C3167)*(rl_key=$A$3154)*rl_ln1p))</f>
        <v/>
      </c>
      <c r="K3167" s="201">
        <f>COUNTIFS(rl_key,$A$3154,rl_eff,"&gt;="&amp;$B3167,rl_eff,"&lt;="&amp;$C3167)</f>
        <v/>
      </c>
      <c r="L3167" s="201">
        <f>SUMIFS(rl_daysafter,rl_key,$A$3154,rl_effmonth,$B3167,rl_first,1)</f>
        <v/>
      </c>
      <c r="M3167" s="209">
        <f>IF($K3167=0,0,MIN(1,$L3167/$D3167))</f>
        <v/>
      </c>
      <c r="N3167" s="208">
        <f>IF($K3167=0,$J3167,(1-$M3167)*$I3167+$M3167*$J3167)</f>
        <v/>
      </c>
      <c r="O3167" s="209">
        <f>IF($F3167&lt;$B$3155,$E$3155+$I$3155*($F3167-$A$3155),IF($F3167&lt;$C$3155,$F$3155+$J$3155*($F3167-$B$3155),$G$3155+$K$3155*($F3167-$C$3155)))</f>
        <v/>
      </c>
      <c r="P3167" s="208">
        <f>MIN(1,MAX(0,(nr_MEndPm1-$G3167+0.5)/$C$3154))-MIN(1,MAX(0,(nr_MStartPm1-1-$G3167+0.5)/$C$3154))</f>
        <v/>
      </c>
      <c r="Q3167" s="208">
        <f>MIN(1,MAX(0,(nr_MEndP-$G3167+0.5)/$C$3154))-MIN(1,MAX(0,(nr_MStartP-1-$G3167+0.5)/$C$3154))</f>
        <v/>
      </c>
      <c r="R3167" s="208">
        <f>MIN(1,MAX(0,(nr_MEndP1-$G3167+0.5)/$C$3154))-MIN(1,MAX(0,(nr_MStartP1-1-$G3167+0.5)/$C$3154))</f>
        <v/>
      </c>
      <c r="S3167" s="208">
        <f>IF($L$3154,$N3167*IF($O$3154=1,$O3167/$F$3154,1),"")</f>
        <v/>
      </c>
      <c r="T3167" s="208">
        <f>IF(NOT($L$3154),"",IF($G3167&lt;nr_MStartP,$S3167,$T3155*(1+IF($G3167&lt;nr_MStartP1,$M$3154,$N$3154))))</f>
        <v/>
      </c>
      <c r="U3167" s="208">
        <f>IF($L$3154,$T3167,$N3167)</f>
        <v/>
      </c>
    </row>
    <row r="3168">
      <c r="A3168" s="145" t="n">
        <v>12</v>
      </c>
      <c r="B3168" s="204">
        <f>EDATE($B3167,1)</f>
        <v/>
      </c>
      <c r="C3168" s="205">
        <f>EOMONTH($B3168,0)</f>
        <v/>
      </c>
      <c r="D3168" s="201">
        <f>$C3168-$B3168+1</f>
        <v/>
      </c>
      <c r="E3168" s="201">
        <f>MONTH($B3168)</f>
        <v/>
      </c>
      <c r="F3168" s="235">
        <f>($B3168+$C3168+1)/2</f>
        <v/>
      </c>
      <c r="G3168" s="201">
        <f>YEAR($B3168)*12+MONTH($B3168)-1</f>
        <v/>
      </c>
      <c r="H3168" s="207">
        <f>IF(OR(nr_SeasonOn="OFF",$D$3154=0,$E$3154=0),1,12*INDEX(se_block,$D$3154,$E3168)/$E$3154)</f>
        <v/>
      </c>
      <c r="I3168" s="208">
        <f>EXP(SUMPRODUCT((rl_eff&lt;$B3168)*(rl_key=$A$3154)*rl_ln1p))</f>
        <v/>
      </c>
      <c r="J3168" s="208">
        <f>EXP(SUMPRODUCT((rl_eff&lt;=$C3168)*(rl_key=$A$3154)*rl_ln1p))</f>
        <v/>
      </c>
      <c r="K3168" s="201">
        <f>COUNTIFS(rl_key,$A$3154,rl_eff,"&gt;="&amp;$B3168,rl_eff,"&lt;="&amp;$C3168)</f>
        <v/>
      </c>
      <c r="L3168" s="201">
        <f>SUMIFS(rl_daysafter,rl_key,$A$3154,rl_effmonth,$B3168,rl_first,1)</f>
        <v/>
      </c>
      <c r="M3168" s="209">
        <f>IF($K3168=0,0,MIN(1,$L3168/$D3168))</f>
        <v/>
      </c>
      <c r="N3168" s="208">
        <f>IF($K3168=0,$J3168,(1-$M3168)*$I3168+$M3168*$J3168)</f>
        <v/>
      </c>
      <c r="O3168" s="209">
        <f>IF($F3168&lt;$B$3155,$E$3155+$I$3155*($F3168-$A$3155),IF($F3168&lt;$C$3155,$F$3155+$J$3155*($F3168-$B$3155),$G$3155+$K$3155*($F3168-$C$3155)))</f>
        <v/>
      </c>
      <c r="P3168" s="208">
        <f>MIN(1,MAX(0,(nr_MEndPm1-$G3168+0.5)/$C$3154))-MIN(1,MAX(0,(nr_MStartPm1-1-$G3168+0.5)/$C$3154))</f>
        <v/>
      </c>
      <c r="Q3168" s="208">
        <f>MIN(1,MAX(0,(nr_MEndP-$G3168+0.5)/$C$3154))-MIN(1,MAX(0,(nr_MStartP-1-$G3168+0.5)/$C$3154))</f>
        <v/>
      </c>
      <c r="R3168" s="208">
        <f>MIN(1,MAX(0,(nr_MEndP1-$G3168+0.5)/$C$3154))-MIN(1,MAX(0,(nr_MStartP1-1-$G3168+0.5)/$C$3154))</f>
        <v/>
      </c>
      <c r="S3168" s="208">
        <f>IF($L$3154,$N3168*IF($O$3154=1,$O3168/$F$3154,1),"")</f>
        <v/>
      </c>
      <c r="T3168" s="208">
        <f>IF(NOT($L$3154),"",IF($G3168&lt;nr_MStartP,$S3168,$T3156*(1+IF($G3168&lt;nr_MStartP1,$M$3154,$N$3154))))</f>
        <v/>
      </c>
      <c r="U3168" s="208">
        <f>IF($L$3154,$T3168,$N3168)</f>
        <v/>
      </c>
    </row>
    <row r="3169">
      <c r="A3169" s="145" t="n">
        <v>13</v>
      </c>
      <c r="B3169" s="204">
        <f>EDATE($B3168,1)</f>
        <v/>
      </c>
      <c r="C3169" s="205">
        <f>EOMONTH($B3169,0)</f>
        <v/>
      </c>
      <c r="D3169" s="201">
        <f>$C3169-$B3169+1</f>
        <v/>
      </c>
      <c r="E3169" s="201">
        <f>MONTH($B3169)</f>
        <v/>
      </c>
      <c r="F3169" s="235">
        <f>($B3169+$C3169+1)/2</f>
        <v/>
      </c>
      <c r="G3169" s="201">
        <f>YEAR($B3169)*12+MONTH($B3169)-1</f>
        <v/>
      </c>
      <c r="H3169" s="207">
        <f>IF(OR(nr_SeasonOn="OFF",$D$3154=0,$E$3154=0),1,12*INDEX(se_block,$D$3154,$E3169)/$E$3154)</f>
        <v/>
      </c>
      <c r="I3169" s="208">
        <f>EXP(SUMPRODUCT((rl_eff&lt;$B3169)*(rl_key=$A$3154)*rl_ln1p))</f>
        <v/>
      </c>
      <c r="J3169" s="208">
        <f>EXP(SUMPRODUCT((rl_eff&lt;=$C3169)*(rl_key=$A$3154)*rl_ln1p))</f>
        <v/>
      </c>
      <c r="K3169" s="201">
        <f>COUNTIFS(rl_key,$A$3154,rl_eff,"&gt;="&amp;$B3169,rl_eff,"&lt;="&amp;$C3169)</f>
        <v/>
      </c>
      <c r="L3169" s="201">
        <f>SUMIFS(rl_daysafter,rl_key,$A$3154,rl_effmonth,$B3169,rl_first,1)</f>
        <v/>
      </c>
      <c r="M3169" s="209">
        <f>IF($K3169=0,0,MIN(1,$L3169/$D3169))</f>
        <v/>
      </c>
      <c r="N3169" s="208">
        <f>IF($K3169=0,$J3169,(1-$M3169)*$I3169+$M3169*$J3169)</f>
        <v/>
      </c>
      <c r="O3169" s="209">
        <f>IF($F3169&lt;$B$3155,$E$3155+$I$3155*($F3169-$A$3155),IF($F3169&lt;$C$3155,$F$3155+$J$3155*($F3169-$B$3155),$G$3155+$K$3155*($F3169-$C$3155)))</f>
        <v/>
      </c>
      <c r="P3169" s="208">
        <f>MIN(1,MAX(0,(nr_MEndPm1-$G3169+0.5)/$C$3154))-MIN(1,MAX(0,(nr_MStartPm1-1-$G3169+0.5)/$C$3154))</f>
        <v/>
      </c>
      <c r="Q3169" s="208">
        <f>MIN(1,MAX(0,(nr_MEndP-$G3169+0.5)/$C$3154))-MIN(1,MAX(0,(nr_MStartP-1-$G3169+0.5)/$C$3154))</f>
        <v/>
      </c>
      <c r="R3169" s="208">
        <f>MIN(1,MAX(0,(nr_MEndP1-$G3169+0.5)/$C$3154))-MIN(1,MAX(0,(nr_MStartP1-1-$G3169+0.5)/$C$3154))</f>
        <v/>
      </c>
      <c r="S3169" s="208">
        <f>IF($L$3154,$N3169*IF($O$3154=1,$O3169/$F$3154,1),"")</f>
        <v/>
      </c>
      <c r="T3169" s="208">
        <f>IF(NOT($L$3154),"",IF($G3169&lt;nr_MStartP,$S3169,$T3157*(1+IF($G3169&lt;nr_MStartP1,$M$3154,$N$3154))))</f>
        <v/>
      </c>
      <c r="U3169" s="208">
        <f>IF($L$3154,$T3169,$N3169)</f>
        <v/>
      </c>
    </row>
    <row r="3170">
      <c r="A3170" s="145" t="n">
        <v>14</v>
      </c>
      <c r="B3170" s="204">
        <f>EDATE($B3169,1)</f>
        <v/>
      </c>
      <c r="C3170" s="205">
        <f>EOMONTH($B3170,0)</f>
        <v/>
      </c>
      <c r="D3170" s="201">
        <f>$C3170-$B3170+1</f>
        <v/>
      </c>
      <c r="E3170" s="201">
        <f>MONTH($B3170)</f>
        <v/>
      </c>
      <c r="F3170" s="235">
        <f>($B3170+$C3170+1)/2</f>
        <v/>
      </c>
      <c r="G3170" s="201">
        <f>YEAR($B3170)*12+MONTH($B3170)-1</f>
        <v/>
      </c>
      <c r="H3170" s="207">
        <f>IF(OR(nr_SeasonOn="OFF",$D$3154=0,$E$3154=0),1,12*INDEX(se_block,$D$3154,$E3170)/$E$3154)</f>
        <v/>
      </c>
      <c r="I3170" s="208">
        <f>EXP(SUMPRODUCT((rl_eff&lt;$B3170)*(rl_key=$A$3154)*rl_ln1p))</f>
        <v/>
      </c>
      <c r="J3170" s="208">
        <f>EXP(SUMPRODUCT((rl_eff&lt;=$C3170)*(rl_key=$A$3154)*rl_ln1p))</f>
        <v/>
      </c>
      <c r="K3170" s="201">
        <f>COUNTIFS(rl_key,$A$3154,rl_eff,"&gt;="&amp;$B3170,rl_eff,"&lt;="&amp;$C3170)</f>
        <v/>
      </c>
      <c r="L3170" s="201">
        <f>SUMIFS(rl_daysafter,rl_key,$A$3154,rl_effmonth,$B3170,rl_first,1)</f>
        <v/>
      </c>
      <c r="M3170" s="209">
        <f>IF($K3170=0,0,MIN(1,$L3170/$D3170))</f>
        <v/>
      </c>
      <c r="N3170" s="208">
        <f>IF($K3170=0,$J3170,(1-$M3170)*$I3170+$M3170*$J3170)</f>
        <v/>
      </c>
      <c r="O3170" s="209">
        <f>IF($F3170&lt;$B$3155,$E$3155+$I$3155*($F3170-$A$3155),IF($F3170&lt;$C$3155,$F$3155+$J$3155*($F3170-$B$3155),$G$3155+$K$3155*($F3170-$C$3155)))</f>
        <v/>
      </c>
      <c r="P3170" s="208">
        <f>MIN(1,MAX(0,(nr_MEndPm1-$G3170+0.5)/$C$3154))-MIN(1,MAX(0,(nr_MStartPm1-1-$G3170+0.5)/$C$3154))</f>
        <v/>
      </c>
      <c r="Q3170" s="208">
        <f>MIN(1,MAX(0,(nr_MEndP-$G3170+0.5)/$C$3154))-MIN(1,MAX(0,(nr_MStartP-1-$G3170+0.5)/$C$3154))</f>
        <v/>
      </c>
      <c r="R3170" s="208">
        <f>MIN(1,MAX(0,(nr_MEndP1-$G3170+0.5)/$C$3154))-MIN(1,MAX(0,(nr_MStartP1-1-$G3170+0.5)/$C$3154))</f>
        <v/>
      </c>
      <c r="S3170" s="208">
        <f>IF($L$3154,$N3170*IF($O$3154=1,$O3170/$F$3154,1),"")</f>
        <v/>
      </c>
      <c r="T3170" s="208">
        <f>IF(NOT($L$3154),"",IF($G3170&lt;nr_MStartP,$S3170,$T3158*(1+IF($G3170&lt;nr_MStartP1,$M$3154,$N$3154))))</f>
        <v/>
      </c>
      <c r="U3170" s="208">
        <f>IF($L$3154,$T3170,$N3170)</f>
        <v/>
      </c>
    </row>
    <row r="3171">
      <c r="A3171" s="145" t="n">
        <v>15</v>
      </c>
      <c r="B3171" s="204">
        <f>EDATE($B3170,1)</f>
        <v/>
      </c>
      <c r="C3171" s="205">
        <f>EOMONTH($B3171,0)</f>
        <v/>
      </c>
      <c r="D3171" s="201">
        <f>$C3171-$B3171+1</f>
        <v/>
      </c>
      <c r="E3171" s="201">
        <f>MONTH($B3171)</f>
        <v/>
      </c>
      <c r="F3171" s="235">
        <f>($B3171+$C3171+1)/2</f>
        <v/>
      </c>
      <c r="G3171" s="201">
        <f>YEAR($B3171)*12+MONTH($B3171)-1</f>
        <v/>
      </c>
      <c r="H3171" s="207">
        <f>IF(OR(nr_SeasonOn="OFF",$D$3154=0,$E$3154=0),1,12*INDEX(se_block,$D$3154,$E3171)/$E$3154)</f>
        <v/>
      </c>
      <c r="I3171" s="208">
        <f>EXP(SUMPRODUCT((rl_eff&lt;$B3171)*(rl_key=$A$3154)*rl_ln1p))</f>
        <v/>
      </c>
      <c r="J3171" s="208">
        <f>EXP(SUMPRODUCT((rl_eff&lt;=$C3171)*(rl_key=$A$3154)*rl_ln1p))</f>
        <v/>
      </c>
      <c r="K3171" s="201">
        <f>COUNTIFS(rl_key,$A$3154,rl_eff,"&gt;="&amp;$B3171,rl_eff,"&lt;="&amp;$C3171)</f>
        <v/>
      </c>
      <c r="L3171" s="201">
        <f>SUMIFS(rl_daysafter,rl_key,$A$3154,rl_effmonth,$B3171,rl_first,1)</f>
        <v/>
      </c>
      <c r="M3171" s="209">
        <f>IF($K3171=0,0,MIN(1,$L3171/$D3171))</f>
        <v/>
      </c>
      <c r="N3171" s="208">
        <f>IF($K3171=0,$J3171,(1-$M3171)*$I3171+$M3171*$J3171)</f>
        <v/>
      </c>
      <c r="O3171" s="209">
        <f>IF($F3171&lt;$B$3155,$E$3155+$I$3155*($F3171-$A$3155),IF($F3171&lt;$C$3155,$F$3155+$J$3155*($F3171-$B$3155),$G$3155+$K$3155*($F3171-$C$3155)))</f>
        <v/>
      </c>
      <c r="P3171" s="208">
        <f>MIN(1,MAX(0,(nr_MEndPm1-$G3171+0.5)/$C$3154))-MIN(1,MAX(0,(nr_MStartPm1-1-$G3171+0.5)/$C$3154))</f>
        <v/>
      </c>
      <c r="Q3171" s="208">
        <f>MIN(1,MAX(0,(nr_MEndP-$G3171+0.5)/$C$3154))-MIN(1,MAX(0,(nr_MStartP-1-$G3171+0.5)/$C$3154))</f>
        <v/>
      </c>
      <c r="R3171" s="208">
        <f>MIN(1,MAX(0,(nr_MEndP1-$G3171+0.5)/$C$3154))-MIN(1,MAX(0,(nr_MStartP1-1-$G3171+0.5)/$C$3154))</f>
        <v/>
      </c>
      <c r="S3171" s="208">
        <f>IF($L$3154,$N3171*IF($O$3154=1,$O3171/$F$3154,1),"")</f>
        <v/>
      </c>
      <c r="T3171" s="208">
        <f>IF(NOT($L$3154),"",IF($G3171&lt;nr_MStartP,$S3171,$T3159*(1+IF($G3171&lt;nr_MStartP1,$M$3154,$N$3154))))</f>
        <v/>
      </c>
      <c r="U3171" s="208">
        <f>IF($L$3154,$T3171,$N3171)</f>
        <v/>
      </c>
    </row>
    <row r="3172">
      <c r="A3172" s="145" t="n">
        <v>16</v>
      </c>
      <c r="B3172" s="204">
        <f>EDATE($B3171,1)</f>
        <v/>
      </c>
      <c r="C3172" s="205">
        <f>EOMONTH($B3172,0)</f>
        <v/>
      </c>
      <c r="D3172" s="201">
        <f>$C3172-$B3172+1</f>
        <v/>
      </c>
      <c r="E3172" s="201">
        <f>MONTH($B3172)</f>
        <v/>
      </c>
      <c r="F3172" s="235">
        <f>($B3172+$C3172+1)/2</f>
        <v/>
      </c>
      <c r="G3172" s="201">
        <f>YEAR($B3172)*12+MONTH($B3172)-1</f>
        <v/>
      </c>
      <c r="H3172" s="207">
        <f>IF(OR(nr_SeasonOn="OFF",$D$3154=0,$E$3154=0),1,12*INDEX(se_block,$D$3154,$E3172)/$E$3154)</f>
        <v/>
      </c>
      <c r="I3172" s="208">
        <f>EXP(SUMPRODUCT((rl_eff&lt;$B3172)*(rl_key=$A$3154)*rl_ln1p))</f>
        <v/>
      </c>
      <c r="J3172" s="208">
        <f>EXP(SUMPRODUCT((rl_eff&lt;=$C3172)*(rl_key=$A$3154)*rl_ln1p))</f>
        <v/>
      </c>
      <c r="K3172" s="201">
        <f>COUNTIFS(rl_key,$A$3154,rl_eff,"&gt;="&amp;$B3172,rl_eff,"&lt;="&amp;$C3172)</f>
        <v/>
      </c>
      <c r="L3172" s="201">
        <f>SUMIFS(rl_daysafter,rl_key,$A$3154,rl_effmonth,$B3172,rl_first,1)</f>
        <v/>
      </c>
      <c r="M3172" s="209">
        <f>IF($K3172=0,0,MIN(1,$L3172/$D3172))</f>
        <v/>
      </c>
      <c r="N3172" s="208">
        <f>IF($K3172=0,$J3172,(1-$M3172)*$I3172+$M3172*$J3172)</f>
        <v/>
      </c>
      <c r="O3172" s="209">
        <f>IF($F3172&lt;$B$3155,$E$3155+$I$3155*($F3172-$A$3155),IF($F3172&lt;$C$3155,$F$3155+$J$3155*($F3172-$B$3155),$G$3155+$K$3155*($F3172-$C$3155)))</f>
        <v/>
      </c>
      <c r="P3172" s="208">
        <f>MIN(1,MAX(0,(nr_MEndPm1-$G3172+0.5)/$C$3154))-MIN(1,MAX(0,(nr_MStartPm1-1-$G3172+0.5)/$C$3154))</f>
        <v/>
      </c>
      <c r="Q3172" s="208">
        <f>MIN(1,MAX(0,(nr_MEndP-$G3172+0.5)/$C$3154))-MIN(1,MAX(0,(nr_MStartP-1-$G3172+0.5)/$C$3154))</f>
        <v/>
      </c>
      <c r="R3172" s="208">
        <f>MIN(1,MAX(0,(nr_MEndP1-$G3172+0.5)/$C$3154))-MIN(1,MAX(0,(nr_MStartP1-1-$G3172+0.5)/$C$3154))</f>
        <v/>
      </c>
      <c r="S3172" s="208">
        <f>IF($L$3154,$N3172*IF($O$3154=1,$O3172/$F$3154,1),"")</f>
        <v/>
      </c>
      <c r="T3172" s="208">
        <f>IF(NOT($L$3154),"",IF($G3172&lt;nr_MStartP,$S3172,$T3160*(1+IF($G3172&lt;nr_MStartP1,$M$3154,$N$3154))))</f>
        <v/>
      </c>
      <c r="U3172" s="208">
        <f>IF($L$3154,$T3172,$N3172)</f>
        <v/>
      </c>
    </row>
    <row r="3173">
      <c r="A3173" s="145" t="n">
        <v>17</v>
      </c>
      <c r="B3173" s="204">
        <f>EDATE($B3172,1)</f>
        <v/>
      </c>
      <c r="C3173" s="205">
        <f>EOMONTH($B3173,0)</f>
        <v/>
      </c>
      <c r="D3173" s="201">
        <f>$C3173-$B3173+1</f>
        <v/>
      </c>
      <c r="E3173" s="201">
        <f>MONTH($B3173)</f>
        <v/>
      </c>
      <c r="F3173" s="235">
        <f>($B3173+$C3173+1)/2</f>
        <v/>
      </c>
      <c r="G3173" s="201">
        <f>YEAR($B3173)*12+MONTH($B3173)-1</f>
        <v/>
      </c>
      <c r="H3173" s="207">
        <f>IF(OR(nr_SeasonOn="OFF",$D$3154=0,$E$3154=0),1,12*INDEX(se_block,$D$3154,$E3173)/$E$3154)</f>
        <v/>
      </c>
      <c r="I3173" s="208">
        <f>EXP(SUMPRODUCT((rl_eff&lt;$B3173)*(rl_key=$A$3154)*rl_ln1p))</f>
        <v/>
      </c>
      <c r="J3173" s="208">
        <f>EXP(SUMPRODUCT((rl_eff&lt;=$C3173)*(rl_key=$A$3154)*rl_ln1p))</f>
        <v/>
      </c>
      <c r="K3173" s="201">
        <f>COUNTIFS(rl_key,$A$3154,rl_eff,"&gt;="&amp;$B3173,rl_eff,"&lt;="&amp;$C3173)</f>
        <v/>
      </c>
      <c r="L3173" s="201">
        <f>SUMIFS(rl_daysafter,rl_key,$A$3154,rl_effmonth,$B3173,rl_first,1)</f>
        <v/>
      </c>
      <c r="M3173" s="209">
        <f>IF($K3173=0,0,MIN(1,$L3173/$D3173))</f>
        <v/>
      </c>
      <c r="N3173" s="208">
        <f>IF($K3173=0,$J3173,(1-$M3173)*$I3173+$M3173*$J3173)</f>
        <v/>
      </c>
      <c r="O3173" s="209">
        <f>IF($F3173&lt;$B$3155,$E$3155+$I$3155*($F3173-$A$3155),IF($F3173&lt;$C$3155,$F$3155+$J$3155*($F3173-$B$3155),$G$3155+$K$3155*($F3173-$C$3155)))</f>
        <v/>
      </c>
      <c r="P3173" s="208">
        <f>MIN(1,MAX(0,(nr_MEndPm1-$G3173+0.5)/$C$3154))-MIN(1,MAX(0,(nr_MStartPm1-1-$G3173+0.5)/$C$3154))</f>
        <v/>
      </c>
      <c r="Q3173" s="208">
        <f>MIN(1,MAX(0,(nr_MEndP-$G3173+0.5)/$C$3154))-MIN(1,MAX(0,(nr_MStartP-1-$G3173+0.5)/$C$3154))</f>
        <v/>
      </c>
      <c r="R3173" s="208">
        <f>MIN(1,MAX(0,(nr_MEndP1-$G3173+0.5)/$C$3154))-MIN(1,MAX(0,(nr_MStartP1-1-$G3173+0.5)/$C$3154))</f>
        <v/>
      </c>
      <c r="S3173" s="208">
        <f>IF($L$3154,$N3173*IF($O$3154=1,$O3173/$F$3154,1),"")</f>
        <v/>
      </c>
      <c r="T3173" s="208">
        <f>IF(NOT($L$3154),"",IF($G3173&lt;nr_MStartP,$S3173,$T3161*(1+IF($G3173&lt;nr_MStartP1,$M$3154,$N$3154))))</f>
        <v/>
      </c>
      <c r="U3173" s="208">
        <f>IF($L$3154,$T3173,$N3173)</f>
        <v/>
      </c>
    </row>
    <row r="3174">
      <c r="A3174" s="145" t="n">
        <v>18</v>
      </c>
      <c r="B3174" s="204">
        <f>EDATE($B3173,1)</f>
        <v/>
      </c>
      <c r="C3174" s="205">
        <f>EOMONTH($B3174,0)</f>
        <v/>
      </c>
      <c r="D3174" s="201">
        <f>$C3174-$B3174+1</f>
        <v/>
      </c>
      <c r="E3174" s="201">
        <f>MONTH($B3174)</f>
        <v/>
      </c>
      <c r="F3174" s="235">
        <f>($B3174+$C3174+1)/2</f>
        <v/>
      </c>
      <c r="G3174" s="201">
        <f>YEAR($B3174)*12+MONTH($B3174)-1</f>
        <v/>
      </c>
      <c r="H3174" s="207">
        <f>IF(OR(nr_SeasonOn="OFF",$D$3154=0,$E$3154=0),1,12*INDEX(se_block,$D$3154,$E3174)/$E$3154)</f>
        <v/>
      </c>
      <c r="I3174" s="208">
        <f>EXP(SUMPRODUCT((rl_eff&lt;$B3174)*(rl_key=$A$3154)*rl_ln1p))</f>
        <v/>
      </c>
      <c r="J3174" s="208">
        <f>EXP(SUMPRODUCT((rl_eff&lt;=$C3174)*(rl_key=$A$3154)*rl_ln1p))</f>
        <v/>
      </c>
      <c r="K3174" s="201">
        <f>COUNTIFS(rl_key,$A$3154,rl_eff,"&gt;="&amp;$B3174,rl_eff,"&lt;="&amp;$C3174)</f>
        <v/>
      </c>
      <c r="L3174" s="201">
        <f>SUMIFS(rl_daysafter,rl_key,$A$3154,rl_effmonth,$B3174,rl_first,1)</f>
        <v/>
      </c>
      <c r="M3174" s="209">
        <f>IF($K3174=0,0,MIN(1,$L3174/$D3174))</f>
        <v/>
      </c>
      <c r="N3174" s="208">
        <f>IF($K3174=0,$J3174,(1-$M3174)*$I3174+$M3174*$J3174)</f>
        <v/>
      </c>
      <c r="O3174" s="209">
        <f>IF($F3174&lt;$B$3155,$E$3155+$I$3155*($F3174-$A$3155),IF($F3174&lt;$C$3155,$F$3155+$J$3155*($F3174-$B$3155),$G$3155+$K$3155*($F3174-$C$3155)))</f>
        <v/>
      </c>
      <c r="P3174" s="208">
        <f>MIN(1,MAX(0,(nr_MEndPm1-$G3174+0.5)/$C$3154))-MIN(1,MAX(0,(nr_MStartPm1-1-$G3174+0.5)/$C$3154))</f>
        <v/>
      </c>
      <c r="Q3174" s="208">
        <f>MIN(1,MAX(0,(nr_MEndP-$G3174+0.5)/$C$3154))-MIN(1,MAX(0,(nr_MStartP-1-$G3174+0.5)/$C$3154))</f>
        <v/>
      </c>
      <c r="R3174" s="208">
        <f>MIN(1,MAX(0,(nr_MEndP1-$G3174+0.5)/$C$3154))-MIN(1,MAX(0,(nr_MStartP1-1-$G3174+0.5)/$C$3154))</f>
        <v/>
      </c>
      <c r="S3174" s="208">
        <f>IF($L$3154,$N3174*IF($O$3154=1,$O3174/$F$3154,1),"")</f>
        <v/>
      </c>
      <c r="T3174" s="208">
        <f>IF(NOT($L$3154),"",IF($G3174&lt;nr_MStartP,$S3174,$T3162*(1+IF($G3174&lt;nr_MStartP1,$M$3154,$N$3154))))</f>
        <v/>
      </c>
      <c r="U3174" s="208">
        <f>IF($L$3154,$T3174,$N3174)</f>
        <v/>
      </c>
    </row>
    <row r="3175">
      <c r="A3175" s="145" t="n">
        <v>19</v>
      </c>
      <c r="B3175" s="204">
        <f>EDATE($B3174,1)</f>
        <v/>
      </c>
      <c r="C3175" s="205">
        <f>EOMONTH($B3175,0)</f>
        <v/>
      </c>
      <c r="D3175" s="201">
        <f>$C3175-$B3175+1</f>
        <v/>
      </c>
      <c r="E3175" s="201">
        <f>MONTH($B3175)</f>
        <v/>
      </c>
      <c r="F3175" s="235">
        <f>($B3175+$C3175+1)/2</f>
        <v/>
      </c>
      <c r="G3175" s="201">
        <f>YEAR($B3175)*12+MONTH($B3175)-1</f>
        <v/>
      </c>
      <c r="H3175" s="207">
        <f>IF(OR(nr_SeasonOn="OFF",$D$3154=0,$E$3154=0),1,12*INDEX(se_block,$D$3154,$E3175)/$E$3154)</f>
        <v/>
      </c>
      <c r="I3175" s="208">
        <f>EXP(SUMPRODUCT((rl_eff&lt;$B3175)*(rl_key=$A$3154)*rl_ln1p))</f>
        <v/>
      </c>
      <c r="J3175" s="208">
        <f>EXP(SUMPRODUCT((rl_eff&lt;=$C3175)*(rl_key=$A$3154)*rl_ln1p))</f>
        <v/>
      </c>
      <c r="K3175" s="201">
        <f>COUNTIFS(rl_key,$A$3154,rl_eff,"&gt;="&amp;$B3175,rl_eff,"&lt;="&amp;$C3175)</f>
        <v/>
      </c>
      <c r="L3175" s="201">
        <f>SUMIFS(rl_daysafter,rl_key,$A$3154,rl_effmonth,$B3175,rl_first,1)</f>
        <v/>
      </c>
      <c r="M3175" s="209">
        <f>IF($K3175=0,0,MIN(1,$L3175/$D3175))</f>
        <v/>
      </c>
      <c r="N3175" s="208">
        <f>IF($K3175=0,$J3175,(1-$M3175)*$I3175+$M3175*$J3175)</f>
        <v/>
      </c>
      <c r="O3175" s="209">
        <f>IF($F3175&lt;$B$3155,$E$3155+$I$3155*($F3175-$A$3155),IF($F3175&lt;$C$3155,$F$3155+$J$3155*($F3175-$B$3155),$G$3155+$K$3155*($F3175-$C$3155)))</f>
        <v/>
      </c>
      <c r="P3175" s="208">
        <f>MIN(1,MAX(0,(nr_MEndPm1-$G3175+0.5)/$C$3154))-MIN(1,MAX(0,(nr_MStartPm1-1-$G3175+0.5)/$C$3154))</f>
        <v/>
      </c>
      <c r="Q3175" s="208">
        <f>MIN(1,MAX(0,(nr_MEndP-$G3175+0.5)/$C$3154))-MIN(1,MAX(0,(nr_MStartP-1-$G3175+0.5)/$C$3154))</f>
        <v/>
      </c>
      <c r="R3175" s="208">
        <f>MIN(1,MAX(0,(nr_MEndP1-$G3175+0.5)/$C$3154))-MIN(1,MAX(0,(nr_MStartP1-1-$G3175+0.5)/$C$3154))</f>
        <v/>
      </c>
      <c r="S3175" s="208">
        <f>IF($L$3154,$N3175*IF($O$3154=1,$O3175/$F$3154,1),"")</f>
        <v/>
      </c>
      <c r="T3175" s="208">
        <f>IF(NOT($L$3154),"",IF($G3175&lt;nr_MStartP,$S3175,$T3163*(1+IF($G3175&lt;nr_MStartP1,$M$3154,$N$3154))))</f>
        <v/>
      </c>
      <c r="U3175" s="208">
        <f>IF($L$3154,$T3175,$N3175)</f>
        <v/>
      </c>
    </row>
    <row r="3176">
      <c r="A3176" s="145" t="n">
        <v>20</v>
      </c>
      <c r="B3176" s="204">
        <f>EDATE($B3175,1)</f>
        <v/>
      </c>
      <c r="C3176" s="205">
        <f>EOMONTH($B3176,0)</f>
        <v/>
      </c>
      <c r="D3176" s="201">
        <f>$C3176-$B3176+1</f>
        <v/>
      </c>
      <c r="E3176" s="201">
        <f>MONTH($B3176)</f>
        <v/>
      </c>
      <c r="F3176" s="235">
        <f>($B3176+$C3176+1)/2</f>
        <v/>
      </c>
      <c r="G3176" s="201">
        <f>YEAR($B3176)*12+MONTH($B3176)-1</f>
        <v/>
      </c>
      <c r="H3176" s="207">
        <f>IF(OR(nr_SeasonOn="OFF",$D$3154=0,$E$3154=0),1,12*INDEX(se_block,$D$3154,$E3176)/$E$3154)</f>
        <v/>
      </c>
      <c r="I3176" s="208">
        <f>EXP(SUMPRODUCT((rl_eff&lt;$B3176)*(rl_key=$A$3154)*rl_ln1p))</f>
        <v/>
      </c>
      <c r="J3176" s="208">
        <f>EXP(SUMPRODUCT((rl_eff&lt;=$C3176)*(rl_key=$A$3154)*rl_ln1p))</f>
        <v/>
      </c>
      <c r="K3176" s="201">
        <f>COUNTIFS(rl_key,$A$3154,rl_eff,"&gt;="&amp;$B3176,rl_eff,"&lt;="&amp;$C3176)</f>
        <v/>
      </c>
      <c r="L3176" s="201">
        <f>SUMIFS(rl_daysafter,rl_key,$A$3154,rl_effmonth,$B3176,rl_first,1)</f>
        <v/>
      </c>
      <c r="M3176" s="209">
        <f>IF($K3176=0,0,MIN(1,$L3176/$D3176))</f>
        <v/>
      </c>
      <c r="N3176" s="208">
        <f>IF($K3176=0,$J3176,(1-$M3176)*$I3176+$M3176*$J3176)</f>
        <v/>
      </c>
      <c r="O3176" s="209">
        <f>IF($F3176&lt;$B$3155,$E$3155+$I$3155*($F3176-$A$3155),IF($F3176&lt;$C$3155,$F$3155+$J$3155*($F3176-$B$3155),$G$3155+$K$3155*($F3176-$C$3155)))</f>
        <v/>
      </c>
      <c r="P3176" s="208">
        <f>MIN(1,MAX(0,(nr_MEndPm1-$G3176+0.5)/$C$3154))-MIN(1,MAX(0,(nr_MStartPm1-1-$G3176+0.5)/$C$3154))</f>
        <v/>
      </c>
      <c r="Q3176" s="208">
        <f>MIN(1,MAX(0,(nr_MEndP-$G3176+0.5)/$C$3154))-MIN(1,MAX(0,(nr_MStartP-1-$G3176+0.5)/$C$3154))</f>
        <v/>
      </c>
      <c r="R3176" s="208">
        <f>MIN(1,MAX(0,(nr_MEndP1-$G3176+0.5)/$C$3154))-MIN(1,MAX(0,(nr_MStartP1-1-$G3176+0.5)/$C$3154))</f>
        <v/>
      </c>
      <c r="S3176" s="208">
        <f>IF($L$3154,$N3176*IF($O$3154=1,$O3176/$F$3154,1),"")</f>
        <v/>
      </c>
      <c r="T3176" s="208">
        <f>IF(NOT($L$3154),"",IF($G3176&lt;nr_MStartP,$S3176,$T3164*(1+IF($G3176&lt;nr_MStartP1,$M$3154,$N$3154))))</f>
        <v/>
      </c>
      <c r="U3176" s="208">
        <f>IF($L$3154,$T3176,$N3176)</f>
        <v/>
      </c>
    </row>
    <row r="3177">
      <c r="A3177" s="145" t="n">
        <v>21</v>
      </c>
      <c r="B3177" s="204">
        <f>EDATE($B3176,1)</f>
        <v/>
      </c>
      <c r="C3177" s="205">
        <f>EOMONTH($B3177,0)</f>
        <v/>
      </c>
      <c r="D3177" s="201">
        <f>$C3177-$B3177+1</f>
        <v/>
      </c>
      <c r="E3177" s="201">
        <f>MONTH($B3177)</f>
        <v/>
      </c>
      <c r="F3177" s="235">
        <f>($B3177+$C3177+1)/2</f>
        <v/>
      </c>
      <c r="G3177" s="201">
        <f>YEAR($B3177)*12+MONTH($B3177)-1</f>
        <v/>
      </c>
      <c r="H3177" s="207">
        <f>IF(OR(nr_SeasonOn="OFF",$D$3154=0,$E$3154=0),1,12*INDEX(se_block,$D$3154,$E3177)/$E$3154)</f>
        <v/>
      </c>
      <c r="I3177" s="208">
        <f>EXP(SUMPRODUCT((rl_eff&lt;$B3177)*(rl_key=$A$3154)*rl_ln1p))</f>
        <v/>
      </c>
      <c r="J3177" s="208">
        <f>EXP(SUMPRODUCT((rl_eff&lt;=$C3177)*(rl_key=$A$3154)*rl_ln1p))</f>
        <v/>
      </c>
      <c r="K3177" s="201">
        <f>COUNTIFS(rl_key,$A$3154,rl_eff,"&gt;="&amp;$B3177,rl_eff,"&lt;="&amp;$C3177)</f>
        <v/>
      </c>
      <c r="L3177" s="201">
        <f>SUMIFS(rl_daysafter,rl_key,$A$3154,rl_effmonth,$B3177,rl_first,1)</f>
        <v/>
      </c>
      <c r="M3177" s="209">
        <f>IF($K3177=0,0,MIN(1,$L3177/$D3177))</f>
        <v/>
      </c>
      <c r="N3177" s="208">
        <f>IF($K3177=0,$J3177,(1-$M3177)*$I3177+$M3177*$J3177)</f>
        <v/>
      </c>
      <c r="O3177" s="209">
        <f>IF($F3177&lt;$B$3155,$E$3155+$I$3155*($F3177-$A$3155),IF($F3177&lt;$C$3155,$F$3155+$J$3155*($F3177-$B$3155),$G$3155+$K$3155*($F3177-$C$3155)))</f>
        <v/>
      </c>
      <c r="P3177" s="208">
        <f>MIN(1,MAX(0,(nr_MEndPm1-$G3177+0.5)/$C$3154))-MIN(1,MAX(0,(nr_MStartPm1-1-$G3177+0.5)/$C$3154))</f>
        <v/>
      </c>
      <c r="Q3177" s="208">
        <f>MIN(1,MAX(0,(nr_MEndP-$G3177+0.5)/$C$3154))-MIN(1,MAX(0,(nr_MStartP-1-$G3177+0.5)/$C$3154))</f>
        <v/>
      </c>
      <c r="R3177" s="208">
        <f>MIN(1,MAX(0,(nr_MEndP1-$G3177+0.5)/$C$3154))-MIN(1,MAX(0,(nr_MStartP1-1-$G3177+0.5)/$C$3154))</f>
        <v/>
      </c>
      <c r="S3177" s="208">
        <f>IF($L$3154,$N3177*IF($O$3154=1,$O3177/$F$3154,1),"")</f>
        <v/>
      </c>
      <c r="T3177" s="208">
        <f>IF(NOT($L$3154),"",IF($G3177&lt;nr_MStartP,$S3177,$T3165*(1+IF($G3177&lt;nr_MStartP1,$M$3154,$N$3154))))</f>
        <v/>
      </c>
      <c r="U3177" s="208">
        <f>IF($L$3154,$T3177,$N3177)</f>
        <v/>
      </c>
    </row>
    <row r="3178">
      <c r="A3178" s="145" t="n">
        <v>22</v>
      </c>
      <c r="B3178" s="204">
        <f>EDATE($B3177,1)</f>
        <v/>
      </c>
      <c r="C3178" s="205">
        <f>EOMONTH($B3178,0)</f>
        <v/>
      </c>
      <c r="D3178" s="201">
        <f>$C3178-$B3178+1</f>
        <v/>
      </c>
      <c r="E3178" s="201">
        <f>MONTH($B3178)</f>
        <v/>
      </c>
      <c r="F3178" s="235">
        <f>($B3178+$C3178+1)/2</f>
        <v/>
      </c>
      <c r="G3178" s="201">
        <f>YEAR($B3178)*12+MONTH($B3178)-1</f>
        <v/>
      </c>
      <c r="H3178" s="207">
        <f>IF(OR(nr_SeasonOn="OFF",$D$3154=0,$E$3154=0),1,12*INDEX(se_block,$D$3154,$E3178)/$E$3154)</f>
        <v/>
      </c>
      <c r="I3178" s="208">
        <f>EXP(SUMPRODUCT((rl_eff&lt;$B3178)*(rl_key=$A$3154)*rl_ln1p))</f>
        <v/>
      </c>
      <c r="J3178" s="208">
        <f>EXP(SUMPRODUCT((rl_eff&lt;=$C3178)*(rl_key=$A$3154)*rl_ln1p))</f>
        <v/>
      </c>
      <c r="K3178" s="201">
        <f>COUNTIFS(rl_key,$A$3154,rl_eff,"&gt;="&amp;$B3178,rl_eff,"&lt;="&amp;$C3178)</f>
        <v/>
      </c>
      <c r="L3178" s="201">
        <f>SUMIFS(rl_daysafter,rl_key,$A$3154,rl_effmonth,$B3178,rl_first,1)</f>
        <v/>
      </c>
      <c r="M3178" s="209">
        <f>IF($K3178=0,0,MIN(1,$L3178/$D3178))</f>
        <v/>
      </c>
      <c r="N3178" s="208">
        <f>IF($K3178=0,$J3178,(1-$M3178)*$I3178+$M3178*$J3178)</f>
        <v/>
      </c>
      <c r="O3178" s="209">
        <f>IF($F3178&lt;$B$3155,$E$3155+$I$3155*($F3178-$A$3155),IF($F3178&lt;$C$3155,$F$3155+$J$3155*($F3178-$B$3155),$G$3155+$K$3155*($F3178-$C$3155)))</f>
        <v/>
      </c>
      <c r="P3178" s="208">
        <f>MIN(1,MAX(0,(nr_MEndPm1-$G3178+0.5)/$C$3154))-MIN(1,MAX(0,(nr_MStartPm1-1-$G3178+0.5)/$C$3154))</f>
        <v/>
      </c>
      <c r="Q3178" s="208">
        <f>MIN(1,MAX(0,(nr_MEndP-$G3178+0.5)/$C$3154))-MIN(1,MAX(0,(nr_MStartP-1-$G3178+0.5)/$C$3154))</f>
        <v/>
      </c>
      <c r="R3178" s="208">
        <f>MIN(1,MAX(0,(nr_MEndP1-$G3178+0.5)/$C$3154))-MIN(1,MAX(0,(nr_MStartP1-1-$G3178+0.5)/$C$3154))</f>
        <v/>
      </c>
      <c r="S3178" s="208">
        <f>IF($L$3154,$N3178*IF($O$3154=1,$O3178/$F$3154,1),"")</f>
        <v/>
      </c>
      <c r="T3178" s="208">
        <f>IF(NOT($L$3154),"",IF($G3178&lt;nr_MStartP,$S3178,$T3166*(1+IF($G3178&lt;nr_MStartP1,$M$3154,$N$3154))))</f>
        <v/>
      </c>
      <c r="U3178" s="208">
        <f>IF($L$3154,$T3178,$N3178)</f>
        <v/>
      </c>
    </row>
    <row r="3179">
      <c r="A3179" s="145" t="n">
        <v>23</v>
      </c>
      <c r="B3179" s="204">
        <f>EDATE($B3178,1)</f>
        <v/>
      </c>
      <c r="C3179" s="205">
        <f>EOMONTH($B3179,0)</f>
        <v/>
      </c>
      <c r="D3179" s="201">
        <f>$C3179-$B3179+1</f>
        <v/>
      </c>
      <c r="E3179" s="201">
        <f>MONTH($B3179)</f>
        <v/>
      </c>
      <c r="F3179" s="235">
        <f>($B3179+$C3179+1)/2</f>
        <v/>
      </c>
      <c r="G3179" s="201">
        <f>YEAR($B3179)*12+MONTH($B3179)-1</f>
        <v/>
      </c>
      <c r="H3179" s="207">
        <f>IF(OR(nr_SeasonOn="OFF",$D$3154=0,$E$3154=0),1,12*INDEX(se_block,$D$3154,$E3179)/$E$3154)</f>
        <v/>
      </c>
      <c r="I3179" s="208">
        <f>EXP(SUMPRODUCT((rl_eff&lt;$B3179)*(rl_key=$A$3154)*rl_ln1p))</f>
        <v/>
      </c>
      <c r="J3179" s="208">
        <f>EXP(SUMPRODUCT((rl_eff&lt;=$C3179)*(rl_key=$A$3154)*rl_ln1p))</f>
        <v/>
      </c>
      <c r="K3179" s="201">
        <f>COUNTIFS(rl_key,$A$3154,rl_eff,"&gt;="&amp;$B3179,rl_eff,"&lt;="&amp;$C3179)</f>
        <v/>
      </c>
      <c r="L3179" s="201">
        <f>SUMIFS(rl_daysafter,rl_key,$A$3154,rl_effmonth,$B3179,rl_first,1)</f>
        <v/>
      </c>
      <c r="M3179" s="209">
        <f>IF($K3179=0,0,MIN(1,$L3179/$D3179))</f>
        <v/>
      </c>
      <c r="N3179" s="208">
        <f>IF($K3179=0,$J3179,(1-$M3179)*$I3179+$M3179*$J3179)</f>
        <v/>
      </c>
      <c r="O3179" s="209">
        <f>IF($F3179&lt;$B$3155,$E$3155+$I$3155*($F3179-$A$3155),IF($F3179&lt;$C$3155,$F$3155+$J$3155*($F3179-$B$3155),$G$3155+$K$3155*($F3179-$C$3155)))</f>
        <v/>
      </c>
      <c r="P3179" s="208">
        <f>MIN(1,MAX(0,(nr_MEndPm1-$G3179+0.5)/$C$3154))-MIN(1,MAX(0,(nr_MStartPm1-1-$G3179+0.5)/$C$3154))</f>
        <v/>
      </c>
      <c r="Q3179" s="208">
        <f>MIN(1,MAX(0,(nr_MEndP-$G3179+0.5)/$C$3154))-MIN(1,MAX(0,(nr_MStartP-1-$G3179+0.5)/$C$3154))</f>
        <v/>
      </c>
      <c r="R3179" s="208">
        <f>MIN(1,MAX(0,(nr_MEndP1-$G3179+0.5)/$C$3154))-MIN(1,MAX(0,(nr_MStartP1-1-$G3179+0.5)/$C$3154))</f>
        <v/>
      </c>
      <c r="S3179" s="208">
        <f>IF($L$3154,$N3179*IF($O$3154=1,$O3179/$F$3154,1),"")</f>
        <v/>
      </c>
      <c r="T3179" s="208">
        <f>IF(NOT($L$3154),"",IF($G3179&lt;nr_MStartP,$S3179,$T3167*(1+IF($G3179&lt;nr_MStartP1,$M$3154,$N$3154))))</f>
        <v/>
      </c>
      <c r="U3179" s="208">
        <f>IF($L$3154,$T3179,$N3179)</f>
        <v/>
      </c>
    </row>
    <row r="3180">
      <c r="A3180" s="145" t="n">
        <v>24</v>
      </c>
      <c r="B3180" s="204">
        <f>EDATE($B3179,1)</f>
        <v/>
      </c>
      <c r="C3180" s="205">
        <f>EOMONTH($B3180,0)</f>
        <v/>
      </c>
      <c r="D3180" s="201">
        <f>$C3180-$B3180+1</f>
        <v/>
      </c>
      <c r="E3180" s="201">
        <f>MONTH($B3180)</f>
        <v/>
      </c>
      <c r="F3180" s="235">
        <f>($B3180+$C3180+1)/2</f>
        <v/>
      </c>
      <c r="G3180" s="201">
        <f>YEAR($B3180)*12+MONTH($B3180)-1</f>
        <v/>
      </c>
      <c r="H3180" s="207">
        <f>IF(OR(nr_SeasonOn="OFF",$D$3154=0,$E$3154=0),1,12*INDEX(se_block,$D$3154,$E3180)/$E$3154)</f>
        <v/>
      </c>
      <c r="I3180" s="208">
        <f>EXP(SUMPRODUCT((rl_eff&lt;$B3180)*(rl_key=$A$3154)*rl_ln1p))</f>
        <v/>
      </c>
      <c r="J3180" s="208">
        <f>EXP(SUMPRODUCT((rl_eff&lt;=$C3180)*(rl_key=$A$3154)*rl_ln1p))</f>
        <v/>
      </c>
      <c r="K3180" s="201">
        <f>COUNTIFS(rl_key,$A$3154,rl_eff,"&gt;="&amp;$B3180,rl_eff,"&lt;="&amp;$C3180)</f>
        <v/>
      </c>
      <c r="L3180" s="201">
        <f>SUMIFS(rl_daysafter,rl_key,$A$3154,rl_effmonth,$B3180,rl_first,1)</f>
        <v/>
      </c>
      <c r="M3180" s="209">
        <f>IF($K3180=0,0,MIN(1,$L3180/$D3180))</f>
        <v/>
      </c>
      <c r="N3180" s="208">
        <f>IF($K3180=0,$J3180,(1-$M3180)*$I3180+$M3180*$J3180)</f>
        <v/>
      </c>
      <c r="O3180" s="209">
        <f>IF($F3180&lt;$B$3155,$E$3155+$I$3155*($F3180-$A$3155),IF($F3180&lt;$C$3155,$F$3155+$J$3155*($F3180-$B$3155),$G$3155+$K$3155*($F3180-$C$3155)))</f>
        <v/>
      </c>
      <c r="P3180" s="208">
        <f>MIN(1,MAX(0,(nr_MEndPm1-$G3180+0.5)/$C$3154))-MIN(1,MAX(0,(nr_MStartPm1-1-$G3180+0.5)/$C$3154))</f>
        <v/>
      </c>
      <c r="Q3180" s="208">
        <f>MIN(1,MAX(0,(nr_MEndP-$G3180+0.5)/$C$3154))-MIN(1,MAX(0,(nr_MStartP-1-$G3180+0.5)/$C$3154))</f>
        <v/>
      </c>
      <c r="R3180" s="208">
        <f>MIN(1,MAX(0,(nr_MEndP1-$G3180+0.5)/$C$3154))-MIN(1,MAX(0,(nr_MStartP1-1-$G3180+0.5)/$C$3154))</f>
        <v/>
      </c>
      <c r="S3180" s="208">
        <f>IF($L$3154,$N3180*IF($O$3154=1,$O3180/$F$3154,1),"")</f>
        <v/>
      </c>
      <c r="T3180" s="208">
        <f>IF(NOT($L$3154),"",IF($G3180&lt;nr_MStartP,$S3180,$T3168*(1+IF($G3180&lt;nr_MStartP1,$M$3154,$N$3154))))</f>
        <v/>
      </c>
      <c r="U3180" s="208">
        <f>IF($L$3154,$T3180,$N3180)</f>
        <v/>
      </c>
    </row>
    <row r="3181">
      <c r="A3181" s="145" t="n">
        <v>25</v>
      </c>
      <c r="B3181" s="204">
        <f>EDATE($B3180,1)</f>
        <v/>
      </c>
      <c r="C3181" s="205">
        <f>EOMONTH($B3181,0)</f>
        <v/>
      </c>
      <c r="D3181" s="201">
        <f>$C3181-$B3181+1</f>
        <v/>
      </c>
      <c r="E3181" s="201">
        <f>MONTH($B3181)</f>
        <v/>
      </c>
      <c r="F3181" s="235">
        <f>($B3181+$C3181+1)/2</f>
        <v/>
      </c>
      <c r="G3181" s="201">
        <f>YEAR($B3181)*12+MONTH($B3181)-1</f>
        <v/>
      </c>
      <c r="H3181" s="207">
        <f>IF(OR(nr_SeasonOn="OFF",$D$3154=0,$E$3154=0),1,12*INDEX(se_block,$D$3154,$E3181)/$E$3154)</f>
        <v/>
      </c>
      <c r="I3181" s="208">
        <f>EXP(SUMPRODUCT((rl_eff&lt;$B3181)*(rl_key=$A$3154)*rl_ln1p))</f>
        <v/>
      </c>
      <c r="J3181" s="208">
        <f>EXP(SUMPRODUCT((rl_eff&lt;=$C3181)*(rl_key=$A$3154)*rl_ln1p))</f>
        <v/>
      </c>
      <c r="K3181" s="201">
        <f>COUNTIFS(rl_key,$A$3154,rl_eff,"&gt;="&amp;$B3181,rl_eff,"&lt;="&amp;$C3181)</f>
        <v/>
      </c>
      <c r="L3181" s="201">
        <f>SUMIFS(rl_daysafter,rl_key,$A$3154,rl_effmonth,$B3181,rl_first,1)</f>
        <v/>
      </c>
      <c r="M3181" s="209">
        <f>IF($K3181=0,0,MIN(1,$L3181/$D3181))</f>
        <v/>
      </c>
      <c r="N3181" s="208">
        <f>IF($K3181=0,$J3181,(1-$M3181)*$I3181+$M3181*$J3181)</f>
        <v/>
      </c>
      <c r="O3181" s="209">
        <f>IF($F3181&lt;$B$3155,$E$3155+$I$3155*($F3181-$A$3155),IF($F3181&lt;$C$3155,$F$3155+$J$3155*($F3181-$B$3155),$G$3155+$K$3155*($F3181-$C$3155)))</f>
        <v/>
      </c>
      <c r="P3181" s="208">
        <f>MIN(1,MAX(0,(nr_MEndPm1-$G3181+0.5)/$C$3154))-MIN(1,MAX(0,(nr_MStartPm1-1-$G3181+0.5)/$C$3154))</f>
        <v/>
      </c>
      <c r="Q3181" s="208">
        <f>MIN(1,MAX(0,(nr_MEndP-$G3181+0.5)/$C$3154))-MIN(1,MAX(0,(nr_MStartP-1-$G3181+0.5)/$C$3154))</f>
        <v/>
      </c>
      <c r="R3181" s="208">
        <f>MIN(1,MAX(0,(nr_MEndP1-$G3181+0.5)/$C$3154))-MIN(1,MAX(0,(nr_MStartP1-1-$G3181+0.5)/$C$3154))</f>
        <v/>
      </c>
      <c r="S3181" s="208">
        <f>IF($L$3154,$N3181*IF($O$3154=1,$O3181/$F$3154,1),"")</f>
        <v/>
      </c>
      <c r="T3181" s="208">
        <f>IF(NOT($L$3154),"",IF($G3181&lt;nr_MStartP,$S3181,$T3169*(1+IF($G3181&lt;nr_MStartP1,$M$3154,$N$3154))))</f>
        <v/>
      </c>
      <c r="U3181" s="208">
        <f>IF($L$3154,$T3181,$N3181)</f>
        <v/>
      </c>
    </row>
    <row r="3182">
      <c r="A3182" s="145" t="n">
        <v>26</v>
      </c>
      <c r="B3182" s="204">
        <f>EDATE($B3181,1)</f>
        <v/>
      </c>
      <c r="C3182" s="205">
        <f>EOMONTH($B3182,0)</f>
        <v/>
      </c>
      <c r="D3182" s="201">
        <f>$C3182-$B3182+1</f>
        <v/>
      </c>
      <c r="E3182" s="201">
        <f>MONTH($B3182)</f>
        <v/>
      </c>
      <c r="F3182" s="235">
        <f>($B3182+$C3182+1)/2</f>
        <v/>
      </c>
      <c r="G3182" s="201">
        <f>YEAR($B3182)*12+MONTH($B3182)-1</f>
        <v/>
      </c>
      <c r="H3182" s="207">
        <f>IF(OR(nr_SeasonOn="OFF",$D$3154=0,$E$3154=0),1,12*INDEX(se_block,$D$3154,$E3182)/$E$3154)</f>
        <v/>
      </c>
      <c r="I3182" s="208">
        <f>EXP(SUMPRODUCT((rl_eff&lt;$B3182)*(rl_key=$A$3154)*rl_ln1p))</f>
        <v/>
      </c>
      <c r="J3182" s="208">
        <f>EXP(SUMPRODUCT((rl_eff&lt;=$C3182)*(rl_key=$A$3154)*rl_ln1p))</f>
        <v/>
      </c>
      <c r="K3182" s="201">
        <f>COUNTIFS(rl_key,$A$3154,rl_eff,"&gt;="&amp;$B3182,rl_eff,"&lt;="&amp;$C3182)</f>
        <v/>
      </c>
      <c r="L3182" s="201">
        <f>SUMIFS(rl_daysafter,rl_key,$A$3154,rl_effmonth,$B3182,rl_first,1)</f>
        <v/>
      </c>
      <c r="M3182" s="209">
        <f>IF($K3182=0,0,MIN(1,$L3182/$D3182))</f>
        <v/>
      </c>
      <c r="N3182" s="208">
        <f>IF($K3182=0,$J3182,(1-$M3182)*$I3182+$M3182*$J3182)</f>
        <v/>
      </c>
      <c r="O3182" s="209">
        <f>IF($F3182&lt;$B$3155,$E$3155+$I$3155*($F3182-$A$3155),IF($F3182&lt;$C$3155,$F$3155+$J$3155*($F3182-$B$3155),$G$3155+$K$3155*($F3182-$C$3155)))</f>
        <v/>
      </c>
      <c r="P3182" s="208">
        <f>MIN(1,MAX(0,(nr_MEndPm1-$G3182+0.5)/$C$3154))-MIN(1,MAX(0,(nr_MStartPm1-1-$G3182+0.5)/$C$3154))</f>
        <v/>
      </c>
      <c r="Q3182" s="208">
        <f>MIN(1,MAX(0,(nr_MEndP-$G3182+0.5)/$C$3154))-MIN(1,MAX(0,(nr_MStartP-1-$G3182+0.5)/$C$3154))</f>
        <v/>
      </c>
      <c r="R3182" s="208">
        <f>MIN(1,MAX(0,(nr_MEndP1-$G3182+0.5)/$C$3154))-MIN(1,MAX(0,(nr_MStartP1-1-$G3182+0.5)/$C$3154))</f>
        <v/>
      </c>
      <c r="S3182" s="208">
        <f>IF($L$3154,$N3182*IF($O$3154=1,$O3182/$F$3154,1),"")</f>
        <v/>
      </c>
      <c r="T3182" s="208">
        <f>IF(NOT($L$3154),"",IF($G3182&lt;nr_MStartP,$S3182,$T3170*(1+IF($G3182&lt;nr_MStartP1,$M$3154,$N$3154))))</f>
        <v/>
      </c>
      <c r="U3182" s="208">
        <f>IF($L$3154,$T3182,$N3182)</f>
        <v/>
      </c>
    </row>
    <row r="3183">
      <c r="A3183" s="145" t="n">
        <v>27</v>
      </c>
      <c r="B3183" s="204">
        <f>EDATE($B3182,1)</f>
        <v/>
      </c>
      <c r="C3183" s="205">
        <f>EOMONTH($B3183,0)</f>
        <v/>
      </c>
      <c r="D3183" s="201">
        <f>$C3183-$B3183+1</f>
        <v/>
      </c>
      <c r="E3183" s="201">
        <f>MONTH($B3183)</f>
        <v/>
      </c>
      <c r="F3183" s="235">
        <f>($B3183+$C3183+1)/2</f>
        <v/>
      </c>
      <c r="G3183" s="201">
        <f>YEAR($B3183)*12+MONTH($B3183)-1</f>
        <v/>
      </c>
      <c r="H3183" s="207">
        <f>IF(OR(nr_SeasonOn="OFF",$D$3154=0,$E$3154=0),1,12*INDEX(se_block,$D$3154,$E3183)/$E$3154)</f>
        <v/>
      </c>
      <c r="I3183" s="208">
        <f>EXP(SUMPRODUCT((rl_eff&lt;$B3183)*(rl_key=$A$3154)*rl_ln1p))</f>
        <v/>
      </c>
      <c r="J3183" s="208">
        <f>EXP(SUMPRODUCT((rl_eff&lt;=$C3183)*(rl_key=$A$3154)*rl_ln1p))</f>
        <v/>
      </c>
      <c r="K3183" s="201">
        <f>COUNTIFS(rl_key,$A$3154,rl_eff,"&gt;="&amp;$B3183,rl_eff,"&lt;="&amp;$C3183)</f>
        <v/>
      </c>
      <c r="L3183" s="201">
        <f>SUMIFS(rl_daysafter,rl_key,$A$3154,rl_effmonth,$B3183,rl_first,1)</f>
        <v/>
      </c>
      <c r="M3183" s="209">
        <f>IF($K3183=0,0,MIN(1,$L3183/$D3183))</f>
        <v/>
      </c>
      <c r="N3183" s="208">
        <f>IF($K3183=0,$J3183,(1-$M3183)*$I3183+$M3183*$J3183)</f>
        <v/>
      </c>
      <c r="O3183" s="209">
        <f>IF($F3183&lt;$B$3155,$E$3155+$I$3155*($F3183-$A$3155),IF($F3183&lt;$C$3155,$F$3155+$J$3155*($F3183-$B$3155),$G$3155+$K$3155*($F3183-$C$3155)))</f>
        <v/>
      </c>
      <c r="P3183" s="208">
        <f>MIN(1,MAX(0,(nr_MEndPm1-$G3183+0.5)/$C$3154))-MIN(1,MAX(0,(nr_MStartPm1-1-$G3183+0.5)/$C$3154))</f>
        <v/>
      </c>
      <c r="Q3183" s="208">
        <f>MIN(1,MAX(0,(nr_MEndP-$G3183+0.5)/$C$3154))-MIN(1,MAX(0,(nr_MStartP-1-$G3183+0.5)/$C$3154))</f>
        <v/>
      </c>
      <c r="R3183" s="208">
        <f>MIN(1,MAX(0,(nr_MEndP1-$G3183+0.5)/$C$3154))-MIN(1,MAX(0,(nr_MStartP1-1-$G3183+0.5)/$C$3154))</f>
        <v/>
      </c>
      <c r="S3183" s="208">
        <f>IF($L$3154,$N3183*IF($O$3154=1,$O3183/$F$3154,1),"")</f>
        <v/>
      </c>
      <c r="T3183" s="208">
        <f>IF(NOT($L$3154),"",IF($G3183&lt;nr_MStartP,$S3183,$T3171*(1+IF($G3183&lt;nr_MStartP1,$M$3154,$N$3154))))</f>
        <v/>
      </c>
      <c r="U3183" s="208">
        <f>IF($L$3154,$T3183,$N3183)</f>
        <v/>
      </c>
    </row>
    <row r="3184">
      <c r="A3184" s="145" t="n">
        <v>28</v>
      </c>
      <c r="B3184" s="204">
        <f>EDATE($B3183,1)</f>
        <v/>
      </c>
      <c r="C3184" s="205">
        <f>EOMONTH($B3184,0)</f>
        <v/>
      </c>
      <c r="D3184" s="201">
        <f>$C3184-$B3184+1</f>
        <v/>
      </c>
      <c r="E3184" s="201">
        <f>MONTH($B3184)</f>
        <v/>
      </c>
      <c r="F3184" s="235">
        <f>($B3184+$C3184+1)/2</f>
        <v/>
      </c>
      <c r="G3184" s="201">
        <f>YEAR($B3184)*12+MONTH($B3184)-1</f>
        <v/>
      </c>
      <c r="H3184" s="207">
        <f>IF(OR(nr_SeasonOn="OFF",$D$3154=0,$E$3154=0),1,12*INDEX(se_block,$D$3154,$E3184)/$E$3154)</f>
        <v/>
      </c>
      <c r="I3184" s="208">
        <f>EXP(SUMPRODUCT((rl_eff&lt;$B3184)*(rl_key=$A$3154)*rl_ln1p))</f>
        <v/>
      </c>
      <c r="J3184" s="208">
        <f>EXP(SUMPRODUCT((rl_eff&lt;=$C3184)*(rl_key=$A$3154)*rl_ln1p))</f>
        <v/>
      </c>
      <c r="K3184" s="201">
        <f>COUNTIFS(rl_key,$A$3154,rl_eff,"&gt;="&amp;$B3184,rl_eff,"&lt;="&amp;$C3184)</f>
        <v/>
      </c>
      <c r="L3184" s="201">
        <f>SUMIFS(rl_daysafter,rl_key,$A$3154,rl_effmonth,$B3184,rl_first,1)</f>
        <v/>
      </c>
      <c r="M3184" s="209">
        <f>IF($K3184=0,0,MIN(1,$L3184/$D3184))</f>
        <v/>
      </c>
      <c r="N3184" s="208">
        <f>IF($K3184=0,$J3184,(1-$M3184)*$I3184+$M3184*$J3184)</f>
        <v/>
      </c>
      <c r="O3184" s="209">
        <f>IF($F3184&lt;$B$3155,$E$3155+$I$3155*($F3184-$A$3155),IF($F3184&lt;$C$3155,$F$3155+$J$3155*($F3184-$B$3155),$G$3155+$K$3155*($F3184-$C$3155)))</f>
        <v/>
      </c>
      <c r="P3184" s="208">
        <f>MIN(1,MAX(0,(nr_MEndPm1-$G3184+0.5)/$C$3154))-MIN(1,MAX(0,(nr_MStartPm1-1-$G3184+0.5)/$C$3154))</f>
        <v/>
      </c>
      <c r="Q3184" s="208">
        <f>MIN(1,MAX(0,(nr_MEndP-$G3184+0.5)/$C$3154))-MIN(1,MAX(0,(nr_MStartP-1-$G3184+0.5)/$C$3154))</f>
        <v/>
      </c>
      <c r="R3184" s="208">
        <f>MIN(1,MAX(0,(nr_MEndP1-$G3184+0.5)/$C$3154))-MIN(1,MAX(0,(nr_MStartP1-1-$G3184+0.5)/$C$3154))</f>
        <v/>
      </c>
      <c r="S3184" s="208">
        <f>IF($L$3154,$N3184*IF($O$3154=1,$O3184/$F$3154,1),"")</f>
        <v/>
      </c>
      <c r="T3184" s="208">
        <f>IF(NOT($L$3154),"",IF($G3184&lt;nr_MStartP,$S3184,$T3172*(1+IF($G3184&lt;nr_MStartP1,$M$3154,$N$3154))))</f>
        <v/>
      </c>
      <c r="U3184" s="208">
        <f>IF($L$3154,$T3184,$N3184)</f>
        <v/>
      </c>
    </row>
    <row r="3185">
      <c r="A3185" s="145" t="n">
        <v>29</v>
      </c>
      <c r="B3185" s="204">
        <f>EDATE($B3184,1)</f>
        <v/>
      </c>
      <c r="C3185" s="205">
        <f>EOMONTH($B3185,0)</f>
        <v/>
      </c>
      <c r="D3185" s="201">
        <f>$C3185-$B3185+1</f>
        <v/>
      </c>
      <c r="E3185" s="201">
        <f>MONTH($B3185)</f>
        <v/>
      </c>
      <c r="F3185" s="235">
        <f>($B3185+$C3185+1)/2</f>
        <v/>
      </c>
      <c r="G3185" s="201">
        <f>YEAR($B3185)*12+MONTH($B3185)-1</f>
        <v/>
      </c>
      <c r="H3185" s="207">
        <f>IF(OR(nr_SeasonOn="OFF",$D$3154=0,$E$3154=0),1,12*INDEX(se_block,$D$3154,$E3185)/$E$3154)</f>
        <v/>
      </c>
      <c r="I3185" s="208">
        <f>EXP(SUMPRODUCT((rl_eff&lt;$B3185)*(rl_key=$A$3154)*rl_ln1p))</f>
        <v/>
      </c>
      <c r="J3185" s="208">
        <f>EXP(SUMPRODUCT((rl_eff&lt;=$C3185)*(rl_key=$A$3154)*rl_ln1p))</f>
        <v/>
      </c>
      <c r="K3185" s="201">
        <f>COUNTIFS(rl_key,$A$3154,rl_eff,"&gt;="&amp;$B3185,rl_eff,"&lt;="&amp;$C3185)</f>
        <v/>
      </c>
      <c r="L3185" s="201">
        <f>SUMIFS(rl_daysafter,rl_key,$A$3154,rl_effmonth,$B3185,rl_first,1)</f>
        <v/>
      </c>
      <c r="M3185" s="209">
        <f>IF($K3185=0,0,MIN(1,$L3185/$D3185))</f>
        <v/>
      </c>
      <c r="N3185" s="208">
        <f>IF($K3185=0,$J3185,(1-$M3185)*$I3185+$M3185*$J3185)</f>
        <v/>
      </c>
      <c r="O3185" s="209">
        <f>IF($F3185&lt;$B$3155,$E$3155+$I$3155*($F3185-$A$3155),IF($F3185&lt;$C$3155,$F$3155+$J$3155*($F3185-$B$3155),$G$3155+$K$3155*($F3185-$C$3155)))</f>
        <v/>
      </c>
      <c r="P3185" s="208">
        <f>MIN(1,MAX(0,(nr_MEndPm1-$G3185+0.5)/$C$3154))-MIN(1,MAX(0,(nr_MStartPm1-1-$G3185+0.5)/$C$3154))</f>
        <v/>
      </c>
      <c r="Q3185" s="208">
        <f>MIN(1,MAX(0,(nr_MEndP-$G3185+0.5)/$C$3154))-MIN(1,MAX(0,(nr_MStartP-1-$G3185+0.5)/$C$3154))</f>
        <v/>
      </c>
      <c r="R3185" s="208">
        <f>MIN(1,MAX(0,(nr_MEndP1-$G3185+0.5)/$C$3154))-MIN(1,MAX(0,(nr_MStartP1-1-$G3185+0.5)/$C$3154))</f>
        <v/>
      </c>
      <c r="S3185" s="208">
        <f>IF($L$3154,$N3185*IF($O$3154=1,$O3185/$F$3154,1),"")</f>
        <v/>
      </c>
      <c r="T3185" s="208">
        <f>IF(NOT($L$3154),"",IF($G3185&lt;nr_MStartP,$S3185,$T3173*(1+IF($G3185&lt;nr_MStartP1,$M$3154,$N$3154))))</f>
        <v/>
      </c>
      <c r="U3185" s="208">
        <f>IF($L$3154,$T3185,$N3185)</f>
        <v/>
      </c>
    </row>
    <row r="3186">
      <c r="A3186" s="145" t="n">
        <v>30</v>
      </c>
      <c r="B3186" s="204">
        <f>EDATE($B3185,1)</f>
        <v/>
      </c>
      <c r="C3186" s="205">
        <f>EOMONTH($B3186,0)</f>
        <v/>
      </c>
      <c r="D3186" s="201">
        <f>$C3186-$B3186+1</f>
        <v/>
      </c>
      <c r="E3186" s="201">
        <f>MONTH($B3186)</f>
        <v/>
      </c>
      <c r="F3186" s="235">
        <f>($B3186+$C3186+1)/2</f>
        <v/>
      </c>
      <c r="G3186" s="201">
        <f>YEAR($B3186)*12+MONTH($B3186)-1</f>
        <v/>
      </c>
      <c r="H3186" s="207">
        <f>IF(OR(nr_SeasonOn="OFF",$D$3154=0,$E$3154=0),1,12*INDEX(se_block,$D$3154,$E3186)/$E$3154)</f>
        <v/>
      </c>
      <c r="I3186" s="208">
        <f>EXP(SUMPRODUCT((rl_eff&lt;$B3186)*(rl_key=$A$3154)*rl_ln1p))</f>
        <v/>
      </c>
      <c r="J3186" s="208">
        <f>EXP(SUMPRODUCT((rl_eff&lt;=$C3186)*(rl_key=$A$3154)*rl_ln1p))</f>
        <v/>
      </c>
      <c r="K3186" s="201">
        <f>COUNTIFS(rl_key,$A$3154,rl_eff,"&gt;="&amp;$B3186,rl_eff,"&lt;="&amp;$C3186)</f>
        <v/>
      </c>
      <c r="L3186" s="201">
        <f>SUMIFS(rl_daysafter,rl_key,$A$3154,rl_effmonth,$B3186,rl_first,1)</f>
        <v/>
      </c>
      <c r="M3186" s="209">
        <f>IF($K3186=0,0,MIN(1,$L3186/$D3186))</f>
        <v/>
      </c>
      <c r="N3186" s="208">
        <f>IF($K3186=0,$J3186,(1-$M3186)*$I3186+$M3186*$J3186)</f>
        <v/>
      </c>
      <c r="O3186" s="209">
        <f>IF($F3186&lt;$B$3155,$E$3155+$I$3155*($F3186-$A$3155),IF($F3186&lt;$C$3155,$F$3155+$J$3155*($F3186-$B$3155),$G$3155+$K$3155*($F3186-$C$3155)))</f>
        <v/>
      </c>
      <c r="P3186" s="208">
        <f>MIN(1,MAX(0,(nr_MEndPm1-$G3186+0.5)/$C$3154))-MIN(1,MAX(0,(nr_MStartPm1-1-$G3186+0.5)/$C$3154))</f>
        <v/>
      </c>
      <c r="Q3186" s="208">
        <f>MIN(1,MAX(0,(nr_MEndP-$G3186+0.5)/$C$3154))-MIN(1,MAX(0,(nr_MStartP-1-$G3186+0.5)/$C$3154))</f>
        <v/>
      </c>
      <c r="R3186" s="208">
        <f>MIN(1,MAX(0,(nr_MEndP1-$G3186+0.5)/$C$3154))-MIN(1,MAX(0,(nr_MStartP1-1-$G3186+0.5)/$C$3154))</f>
        <v/>
      </c>
      <c r="S3186" s="208">
        <f>IF($L$3154,$N3186*IF($O$3154=1,$O3186/$F$3154,1),"")</f>
        <v/>
      </c>
      <c r="T3186" s="208">
        <f>IF(NOT($L$3154),"",IF($G3186&lt;nr_MStartP,$S3186,$T3174*(1+IF($G3186&lt;nr_MStartP1,$M$3154,$N$3154))))</f>
        <v/>
      </c>
      <c r="U3186" s="208">
        <f>IF($L$3154,$T3186,$N3186)</f>
        <v/>
      </c>
    </row>
    <row r="3187">
      <c r="A3187" s="145" t="n">
        <v>31</v>
      </c>
      <c r="B3187" s="204">
        <f>EDATE($B3186,1)</f>
        <v/>
      </c>
      <c r="C3187" s="205">
        <f>EOMONTH($B3187,0)</f>
        <v/>
      </c>
      <c r="D3187" s="201">
        <f>$C3187-$B3187+1</f>
        <v/>
      </c>
      <c r="E3187" s="201">
        <f>MONTH($B3187)</f>
        <v/>
      </c>
      <c r="F3187" s="235">
        <f>($B3187+$C3187+1)/2</f>
        <v/>
      </c>
      <c r="G3187" s="201">
        <f>YEAR($B3187)*12+MONTH($B3187)-1</f>
        <v/>
      </c>
      <c r="H3187" s="207">
        <f>IF(OR(nr_SeasonOn="OFF",$D$3154=0,$E$3154=0),1,12*INDEX(se_block,$D$3154,$E3187)/$E$3154)</f>
        <v/>
      </c>
      <c r="I3187" s="208">
        <f>EXP(SUMPRODUCT((rl_eff&lt;$B3187)*(rl_key=$A$3154)*rl_ln1p))</f>
        <v/>
      </c>
      <c r="J3187" s="208">
        <f>EXP(SUMPRODUCT((rl_eff&lt;=$C3187)*(rl_key=$A$3154)*rl_ln1p))</f>
        <v/>
      </c>
      <c r="K3187" s="201">
        <f>COUNTIFS(rl_key,$A$3154,rl_eff,"&gt;="&amp;$B3187,rl_eff,"&lt;="&amp;$C3187)</f>
        <v/>
      </c>
      <c r="L3187" s="201">
        <f>SUMIFS(rl_daysafter,rl_key,$A$3154,rl_effmonth,$B3187,rl_first,1)</f>
        <v/>
      </c>
      <c r="M3187" s="209">
        <f>IF($K3187=0,0,MIN(1,$L3187/$D3187))</f>
        <v/>
      </c>
      <c r="N3187" s="208">
        <f>IF($K3187=0,$J3187,(1-$M3187)*$I3187+$M3187*$J3187)</f>
        <v/>
      </c>
      <c r="O3187" s="209">
        <f>IF($F3187&lt;$B$3155,$E$3155+$I$3155*($F3187-$A$3155),IF($F3187&lt;$C$3155,$F$3155+$J$3155*($F3187-$B$3155),$G$3155+$K$3155*($F3187-$C$3155)))</f>
        <v/>
      </c>
      <c r="P3187" s="208">
        <f>MIN(1,MAX(0,(nr_MEndPm1-$G3187+0.5)/$C$3154))-MIN(1,MAX(0,(nr_MStartPm1-1-$G3187+0.5)/$C$3154))</f>
        <v/>
      </c>
      <c r="Q3187" s="208">
        <f>MIN(1,MAX(0,(nr_MEndP-$G3187+0.5)/$C$3154))-MIN(1,MAX(0,(nr_MStartP-1-$G3187+0.5)/$C$3154))</f>
        <v/>
      </c>
      <c r="R3187" s="208">
        <f>MIN(1,MAX(0,(nr_MEndP1-$G3187+0.5)/$C$3154))-MIN(1,MAX(0,(nr_MStartP1-1-$G3187+0.5)/$C$3154))</f>
        <v/>
      </c>
      <c r="S3187" s="208">
        <f>IF($L$3154,$N3187*IF($O$3154=1,$O3187/$F$3154,1),"")</f>
        <v/>
      </c>
      <c r="T3187" s="208">
        <f>IF(NOT($L$3154),"",IF($G3187&lt;nr_MStartP,$S3187,$T3175*(1+IF($G3187&lt;nr_MStartP1,$M$3154,$N$3154))))</f>
        <v/>
      </c>
      <c r="U3187" s="208">
        <f>IF($L$3154,$T3187,$N3187)</f>
        <v/>
      </c>
    </row>
    <row r="3188">
      <c r="A3188" s="145" t="n">
        <v>32</v>
      </c>
      <c r="B3188" s="204">
        <f>EDATE($B3187,1)</f>
        <v/>
      </c>
      <c r="C3188" s="205">
        <f>EOMONTH($B3188,0)</f>
        <v/>
      </c>
      <c r="D3188" s="201">
        <f>$C3188-$B3188+1</f>
        <v/>
      </c>
      <c r="E3188" s="201">
        <f>MONTH($B3188)</f>
        <v/>
      </c>
      <c r="F3188" s="235">
        <f>($B3188+$C3188+1)/2</f>
        <v/>
      </c>
      <c r="G3188" s="201">
        <f>YEAR($B3188)*12+MONTH($B3188)-1</f>
        <v/>
      </c>
      <c r="H3188" s="207">
        <f>IF(OR(nr_SeasonOn="OFF",$D$3154=0,$E$3154=0),1,12*INDEX(se_block,$D$3154,$E3188)/$E$3154)</f>
        <v/>
      </c>
      <c r="I3188" s="208">
        <f>EXP(SUMPRODUCT((rl_eff&lt;$B3188)*(rl_key=$A$3154)*rl_ln1p))</f>
        <v/>
      </c>
      <c r="J3188" s="208">
        <f>EXP(SUMPRODUCT((rl_eff&lt;=$C3188)*(rl_key=$A$3154)*rl_ln1p))</f>
        <v/>
      </c>
      <c r="K3188" s="201">
        <f>COUNTIFS(rl_key,$A$3154,rl_eff,"&gt;="&amp;$B3188,rl_eff,"&lt;="&amp;$C3188)</f>
        <v/>
      </c>
      <c r="L3188" s="201">
        <f>SUMIFS(rl_daysafter,rl_key,$A$3154,rl_effmonth,$B3188,rl_first,1)</f>
        <v/>
      </c>
      <c r="M3188" s="209">
        <f>IF($K3188=0,0,MIN(1,$L3188/$D3188))</f>
        <v/>
      </c>
      <c r="N3188" s="208">
        <f>IF($K3188=0,$J3188,(1-$M3188)*$I3188+$M3188*$J3188)</f>
        <v/>
      </c>
      <c r="O3188" s="209">
        <f>IF($F3188&lt;$B$3155,$E$3155+$I$3155*($F3188-$A$3155),IF($F3188&lt;$C$3155,$F$3155+$J$3155*($F3188-$B$3155),$G$3155+$K$3155*($F3188-$C$3155)))</f>
        <v/>
      </c>
      <c r="P3188" s="208">
        <f>MIN(1,MAX(0,(nr_MEndPm1-$G3188+0.5)/$C$3154))-MIN(1,MAX(0,(nr_MStartPm1-1-$G3188+0.5)/$C$3154))</f>
        <v/>
      </c>
      <c r="Q3188" s="208">
        <f>MIN(1,MAX(0,(nr_MEndP-$G3188+0.5)/$C$3154))-MIN(1,MAX(0,(nr_MStartP-1-$G3188+0.5)/$C$3154))</f>
        <v/>
      </c>
      <c r="R3188" s="208">
        <f>MIN(1,MAX(0,(nr_MEndP1-$G3188+0.5)/$C$3154))-MIN(1,MAX(0,(nr_MStartP1-1-$G3188+0.5)/$C$3154))</f>
        <v/>
      </c>
      <c r="S3188" s="208">
        <f>IF($L$3154,$N3188*IF($O$3154=1,$O3188/$F$3154,1),"")</f>
        <v/>
      </c>
      <c r="T3188" s="208">
        <f>IF(NOT($L$3154),"",IF($G3188&lt;nr_MStartP,$S3188,$T3176*(1+IF($G3188&lt;nr_MStartP1,$M$3154,$N$3154))))</f>
        <v/>
      </c>
      <c r="U3188" s="208">
        <f>IF($L$3154,$T3188,$N3188)</f>
        <v/>
      </c>
    </row>
    <row r="3189">
      <c r="A3189" s="145" t="n">
        <v>33</v>
      </c>
      <c r="B3189" s="204">
        <f>EDATE($B3188,1)</f>
        <v/>
      </c>
      <c r="C3189" s="205">
        <f>EOMONTH($B3189,0)</f>
        <v/>
      </c>
      <c r="D3189" s="201">
        <f>$C3189-$B3189+1</f>
        <v/>
      </c>
      <c r="E3189" s="201">
        <f>MONTH($B3189)</f>
        <v/>
      </c>
      <c r="F3189" s="235">
        <f>($B3189+$C3189+1)/2</f>
        <v/>
      </c>
      <c r="G3189" s="201">
        <f>YEAR($B3189)*12+MONTH($B3189)-1</f>
        <v/>
      </c>
      <c r="H3189" s="207">
        <f>IF(OR(nr_SeasonOn="OFF",$D$3154=0,$E$3154=0),1,12*INDEX(se_block,$D$3154,$E3189)/$E$3154)</f>
        <v/>
      </c>
      <c r="I3189" s="208">
        <f>EXP(SUMPRODUCT((rl_eff&lt;$B3189)*(rl_key=$A$3154)*rl_ln1p))</f>
        <v/>
      </c>
      <c r="J3189" s="208">
        <f>EXP(SUMPRODUCT((rl_eff&lt;=$C3189)*(rl_key=$A$3154)*rl_ln1p))</f>
        <v/>
      </c>
      <c r="K3189" s="201">
        <f>COUNTIFS(rl_key,$A$3154,rl_eff,"&gt;="&amp;$B3189,rl_eff,"&lt;="&amp;$C3189)</f>
        <v/>
      </c>
      <c r="L3189" s="201">
        <f>SUMIFS(rl_daysafter,rl_key,$A$3154,rl_effmonth,$B3189,rl_first,1)</f>
        <v/>
      </c>
      <c r="M3189" s="209">
        <f>IF($K3189=0,0,MIN(1,$L3189/$D3189))</f>
        <v/>
      </c>
      <c r="N3189" s="208">
        <f>IF($K3189=0,$J3189,(1-$M3189)*$I3189+$M3189*$J3189)</f>
        <v/>
      </c>
      <c r="O3189" s="209">
        <f>IF($F3189&lt;$B$3155,$E$3155+$I$3155*($F3189-$A$3155),IF($F3189&lt;$C$3155,$F$3155+$J$3155*($F3189-$B$3155),$G$3155+$K$3155*($F3189-$C$3155)))</f>
        <v/>
      </c>
      <c r="P3189" s="208">
        <f>MIN(1,MAX(0,(nr_MEndPm1-$G3189+0.5)/$C$3154))-MIN(1,MAX(0,(nr_MStartPm1-1-$G3189+0.5)/$C$3154))</f>
        <v/>
      </c>
      <c r="Q3189" s="208">
        <f>MIN(1,MAX(0,(nr_MEndP-$G3189+0.5)/$C$3154))-MIN(1,MAX(0,(nr_MStartP-1-$G3189+0.5)/$C$3154))</f>
        <v/>
      </c>
      <c r="R3189" s="208">
        <f>MIN(1,MAX(0,(nr_MEndP1-$G3189+0.5)/$C$3154))-MIN(1,MAX(0,(nr_MStartP1-1-$G3189+0.5)/$C$3154))</f>
        <v/>
      </c>
      <c r="S3189" s="208">
        <f>IF($L$3154,$N3189*IF($O$3154=1,$O3189/$F$3154,1),"")</f>
        <v/>
      </c>
      <c r="T3189" s="208">
        <f>IF(NOT($L$3154),"",IF($G3189&lt;nr_MStartP,$S3189,$T3177*(1+IF($G3189&lt;nr_MStartP1,$M$3154,$N$3154))))</f>
        <v/>
      </c>
      <c r="U3189" s="208">
        <f>IF($L$3154,$T3189,$N3189)</f>
        <v/>
      </c>
    </row>
    <row r="3190">
      <c r="A3190" s="145" t="n">
        <v>34</v>
      </c>
      <c r="B3190" s="204">
        <f>EDATE($B3189,1)</f>
        <v/>
      </c>
      <c r="C3190" s="205">
        <f>EOMONTH($B3190,0)</f>
        <v/>
      </c>
      <c r="D3190" s="201">
        <f>$C3190-$B3190+1</f>
        <v/>
      </c>
      <c r="E3190" s="201">
        <f>MONTH($B3190)</f>
        <v/>
      </c>
      <c r="F3190" s="235">
        <f>($B3190+$C3190+1)/2</f>
        <v/>
      </c>
      <c r="G3190" s="201">
        <f>YEAR($B3190)*12+MONTH($B3190)-1</f>
        <v/>
      </c>
      <c r="H3190" s="207">
        <f>IF(OR(nr_SeasonOn="OFF",$D$3154=0,$E$3154=0),1,12*INDEX(se_block,$D$3154,$E3190)/$E$3154)</f>
        <v/>
      </c>
      <c r="I3190" s="208">
        <f>EXP(SUMPRODUCT((rl_eff&lt;$B3190)*(rl_key=$A$3154)*rl_ln1p))</f>
        <v/>
      </c>
      <c r="J3190" s="208">
        <f>EXP(SUMPRODUCT((rl_eff&lt;=$C3190)*(rl_key=$A$3154)*rl_ln1p))</f>
        <v/>
      </c>
      <c r="K3190" s="201">
        <f>COUNTIFS(rl_key,$A$3154,rl_eff,"&gt;="&amp;$B3190,rl_eff,"&lt;="&amp;$C3190)</f>
        <v/>
      </c>
      <c r="L3190" s="201">
        <f>SUMIFS(rl_daysafter,rl_key,$A$3154,rl_effmonth,$B3190,rl_first,1)</f>
        <v/>
      </c>
      <c r="M3190" s="209">
        <f>IF($K3190=0,0,MIN(1,$L3190/$D3190))</f>
        <v/>
      </c>
      <c r="N3190" s="208">
        <f>IF($K3190=0,$J3190,(1-$M3190)*$I3190+$M3190*$J3190)</f>
        <v/>
      </c>
      <c r="O3190" s="209">
        <f>IF($F3190&lt;$B$3155,$E$3155+$I$3155*($F3190-$A$3155),IF($F3190&lt;$C$3155,$F$3155+$J$3155*($F3190-$B$3155),$G$3155+$K$3155*($F3190-$C$3155)))</f>
        <v/>
      </c>
      <c r="P3190" s="208">
        <f>MIN(1,MAX(0,(nr_MEndPm1-$G3190+0.5)/$C$3154))-MIN(1,MAX(0,(nr_MStartPm1-1-$G3190+0.5)/$C$3154))</f>
        <v/>
      </c>
      <c r="Q3190" s="208">
        <f>MIN(1,MAX(0,(nr_MEndP-$G3190+0.5)/$C$3154))-MIN(1,MAX(0,(nr_MStartP-1-$G3190+0.5)/$C$3154))</f>
        <v/>
      </c>
      <c r="R3190" s="208">
        <f>MIN(1,MAX(0,(nr_MEndP1-$G3190+0.5)/$C$3154))-MIN(1,MAX(0,(nr_MStartP1-1-$G3190+0.5)/$C$3154))</f>
        <v/>
      </c>
      <c r="S3190" s="208">
        <f>IF($L$3154,$N3190*IF($O$3154=1,$O3190/$F$3154,1),"")</f>
        <v/>
      </c>
      <c r="T3190" s="208">
        <f>IF(NOT($L$3154),"",IF($G3190&lt;nr_MStartP,$S3190,$T3178*(1+IF($G3190&lt;nr_MStartP1,$M$3154,$N$3154))))</f>
        <v/>
      </c>
      <c r="U3190" s="208">
        <f>IF($L$3154,$T3190,$N3190)</f>
        <v/>
      </c>
    </row>
    <row r="3191">
      <c r="A3191" s="145" t="n">
        <v>35</v>
      </c>
      <c r="B3191" s="204">
        <f>EDATE($B3190,1)</f>
        <v/>
      </c>
      <c r="C3191" s="205">
        <f>EOMONTH($B3191,0)</f>
        <v/>
      </c>
      <c r="D3191" s="201">
        <f>$C3191-$B3191+1</f>
        <v/>
      </c>
      <c r="E3191" s="201">
        <f>MONTH($B3191)</f>
        <v/>
      </c>
      <c r="F3191" s="235">
        <f>($B3191+$C3191+1)/2</f>
        <v/>
      </c>
      <c r="G3191" s="201">
        <f>YEAR($B3191)*12+MONTH($B3191)-1</f>
        <v/>
      </c>
      <c r="H3191" s="207">
        <f>IF(OR(nr_SeasonOn="OFF",$D$3154=0,$E$3154=0),1,12*INDEX(se_block,$D$3154,$E3191)/$E$3154)</f>
        <v/>
      </c>
      <c r="I3191" s="208">
        <f>EXP(SUMPRODUCT((rl_eff&lt;$B3191)*(rl_key=$A$3154)*rl_ln1p))</f>
        <v/>
      </c>
      <c r="J3191" s="208">
        <f>EXP(SUMPRODUCT((rl_eff&lt;=$C3191)*(rl_key=$A$3154)*rl_ln1p))</f>
        <v/>
      </c>
      <c r="K3191" s="201">
        <f>COUNTIFS(rl_key,$A$3154,rl_eff,"&gt;="&amp;$B3191,rl_eff,"&lt;="&amp;$C3191)</f>
        <v/>
      </c>
      <c r="L3191" s="201">
        <f>SUMIFS(rl_daysafter,rl_key,$A$3154,rl_effmonth,$B3191,rl_first,1)</f>
        <v/>
      </c>
      <c r="M3191" s="209">
        <f>IF($K3191=0,0,MIN(1,$L3191/$D3191))</f>
        <v/>
      </c>
      <c r="N3191" s="208">
        <f>IF($K3191=0,$J3191,(1-$M3191)*$I3191+$M3191*$J3191)</f>
        <v/>
      </c>
      <c r="O3191" s="209">
        <f>IF($F3191&lt;$B$3155,$E$3155+$I$3155*($F3191-$A$3155),IF($F3191&lt;$C$3155,$F$3155+$J$3155*($F3191-$B$3155),$G$3155+$K$3155*($F3191-$C$3155)))</f>
        <v/>
      </c>
      <c r="P3191" s="208">
        <f>MIN(1,MAX(0,(nr_MEndPm1-$G3191+0.5)/$C$3154))-MIN(1,MAX(0,(nr_MStartPm1-1-$G3191+0.5)/$C$3154))</f>
        <v/>
      </c>
      <c r="Q3191" s="208">
        <f>MIN(1,MAX(0,(nr_MEndP-$G3191+0.5)/$C$3154))-MIN(1,MAX(0,(nr_MStartP-1-$G3191+0.5)/$C$3154))</f>
        <v/>
      </c>
      <c r="R3191" s="208">
        <f>MIN(1,MAX(0,(nr_MEndP1-$G3191+0.5)/$C$3154))-MIN(1,MAX(0,(nr_MStartP1-1-$G3191+0.5)/$C$3154))</f>
        <v/>
      </c>
      <c r="S3191" s="208">
        <f>IF($L$3154,$N3191*IF($O$3154=1,$O3191/$F$3154,1),"")</f>
        <v/>
      </c>
      <c r="T3191" s="208">
        <f>IF(NOT($L$3154),"",IF($G3191&lt;nr_MStartP,$S3191,$T3179*(1+IF($G3191&lt;nr_MStartP1,$M$3154,$N$3154))))</f>
        <v/>
      </c>
      <c r="U3191" s="208">
        <f>IF($L$3154,$T3191,$N3191)</f>
        <v/>
      </c>
    </row>
    <row r="3192">
      <c r="A3192" s="145" t="n">
        <v>36</v>
      </c>
      <c r="B3192" s="204">
        <f>EDATE($B3191,1)</f>
        <v/>
      </c>
      <c r="C3192" s="205">
        <f>EOMONTH($B3192,0)</f>
        <v/>
      </c>
      <c r="D3192" s="201">
        <f>$C3192-$B3192+1</f>
        <v/>
      </c>
      <c r="E3192" s="201">
        <f>MONTH($B3192)</f>
        <v/>
      </c>
      <c r="F3192" s="235">
        <f>($B3192+$C3192+1)/2</f>
        <v/>
      </c>
      <c r="G3192" s="201">
        <f>YEAR($B3192)*12+MONTH($B3192)-1</f>
        <v/>
      </c>
      <c r="H3192" s="207">
        <f>IF(OR(nr_SeasonOn="OFF",$D$3154=0,$E$3154=0),1,12*INDEX(se_block,$D$3154,$E3192)/$E$3154)</f>
        <v/>
      </c>
      <c r="I3192" s="208">
        <f>EXP(SUMPRODUCT((rl_eff&lt;$B3192)*(rl_key=$A$3154)*rl_ln1p))</f>
        <v/>
      </c>
      <c r="J3192" s="208">
        <f>EXP(SUMPRODUCT((rl_eff&lt;=$C3192)*(rl_key=$A$3154)*rl_ln1p))</f>
        <v/>
      </c>
      <c r="K3192" s="201">
        <f>COUNTIFS(rl_key,$A$3154,rl_eff,"&gt;="&amp;$B3192,rl_eff,"&lt;="&amp;$C3192)</f>
        <v/>
      </c>
      <c r="L3192" s="201">
        <f>SUMIFS(rl_daysafter,rl_key,$A$3154,rl_effmonth,$B3192,rl_first,1)</f>
        <v/>
      </c>
      <c r="M3192" s="209">
        <f>IF($K3192=0,0,MIN(1,$L3192/$D3192))</f>
        <v/>
      </c>
      <c r="N3192" s="208">
        <f>IF($K3192=0,$J3192,(1-$M3192)*$I3192+$M3192*$J3192)</f>
        <v/>
      </c>
      <c r="O3192" s="209">
        <f>IF($F3192&lt;$B$3155,$E$3155+$I$3155*($F3192-$A$3155),IF($F3192&lt;$C$3155,$F$3155+$J$3155*($F3192-$B$3155),$G$3155+$K$3155*($F3192-$C$3155)))</f>
        <v/>
      </c>
      <c r="P3192" s="208">
        <f>MIN(1,MAX(0,(nr_MEndPm1-$G3192+0.5)/$C$3154))-MIN(1,MAX(0,(nr_MStartPm1-1-$G3192+0.5)/$C$3154))</f>
        <v/>
      </c>
      <c r="Q3192" s="208">
        <f>MIN(1,MAX(0,(nr_MEndP-$G3192+0.5)/$C$3154))-MIN(1,MAX(0,(nr_MStartP-1-$G3192+0.5)/$C$3154))</f>
        <v/>
      </c>
      <c r="R3192" s="208">
        <f>MIN(1,MAX(0,(nr_MEndP1-$G3192+0.5)/$C$3154))-MIN(1,MAX(0,(nr_MStartP1-1-$G3192+0.5)/$C$3154))</f>
        <v/>
      </c>
      <c r="S3192" s="208">
        <f>IF($L$3154,$N3192*IF($O$3154=1,$O3192/$F$3154,1),"")</f>
        <v/>
      </c>
      <c r="T3192" s="208">
        <f>IF(NOT($L$3154),"",IF($G3192&lt;nr_MStartP,$S3192,$T3180*(1+IF($G3192&lt;nr_MStartP1,$M$3154,$N$3154))))</f>
        <v/>
      </c>
      <c r="U3192" s="208">
        <f>IF($L$3154,$T3192,$N3192)</f>
        <v/>
      </c>
    </row>
    <row r="3193">
      <c r="A3193" s="145" t="n">
        <v>37</v>
      </c>
      <c r="B3193" s="204">
        <f>EDATE($B3192,1)</f>
        <v/>
      </c>
      <c r="C3193" s="205">
        <f>EOMONTH($B3193,0)</f>
        <v/>
      </c>
      <c r="D3193" s="201">
        <f>$C3193-$B3193+1</f>
        <v/>
      </c>
      <c r="E3193" s="201">
        <f>MONTH($B3193)</f>
        <v/>
      </c>
      <c r="F3193" s="235">
        <f>($B3193+$C3193+1)/2</f>
        <v/>
      </c>
      <c r="G3193" s="201">
        <f>YEAR($B3193)*12+MONTH($B3193)-1</f>
        <v/>
      </c>
      <c r="H3193" s="207">
        <f>IF(OR(nr_SeasonOn="OFF",$D$3154=0,$E$3154=0),1,12*INDEX(se_block,$D$3154,$E3193)/$E$3154)</f>
        <v/>
      </c>
      <c r="I3193" s="208">
        <f>EXP(SUMPRODUCT((rl_eff&lt;$B3193)*(rl_key=$A$3154)*rl_ln1p))</f>
        <v/>
      </c>
      <c r="J3193" s="208">
        <f>EXP(SUMPRODUCT((rl_eff&lt;=$C3193)*(rl_key=$A$3154)*rl_ln1p))</f>
        <v/>
      </c>
      <c r="K3193" s="201">
        <f>COUNTIFS(rl_key,$A$3154,rl_eff,"&gt;="&amp;$B3193,rl_eff,"&lt;="&amp;$C3193)</f>
        <v/>
      </c>
      <c r="L3193" s="201">
        <f>SUMIFS(rl_daysafter,rl_key,$A$3154,rl_effmonth,$B3193,rl_first,1)</f>
        <v/>
      </c>
      <c r="M3193" s="209">
        <f>IF($K3193=0,0,MIN(1,$L3193/$D3193))</f>
        <v/>
      </c>
      <c r="N3193" s="208">
        <f>IF($K3193=0,$J3193,(1-$M3193)*$I3193+$M3193*$J3193)</f>
        <v/>
      </c>
      <c r="O3193" s="209">
        <f>IF($F3193&lt;$B$3155,$E$3155+$I$3155*($F3193-$A$3155),IF($F3193&lt;$C$3155,$F$3155+$J$3155*($F3193-$B$3155),$G$3155+$K$3155*($F3193-$C$3155)))</f>
        <v/>
      </c>
      <c r="P3193" s="208">
        <f>MIN(1,MAX(0,(nr_MEndPm1-$G3193+0.5)/$C$3154))-MIN(1,MAX(0,(nr_MStartPm1-1-$G3193+0.5)/$C$3154))</f>
        <v/>
      </c>
      <c r="Q3193" s="208">
        <f>MIN(1,MAX(0,(nr_MEndP-$G3193+0.5)/$C$3154))-MIN(1,MAX(0,(nr_MStartP-1-$G3193+0.5)/$C$3154))</f>
        <v/>
      </c>
      <c r="R3193" s="208">
        <f>MIN(1,MAX(0,(nr_MEndP1-$G3193+0.5)/$C$3154))-MIN(1,MAX(0,(nr_MStartP1-1-$G3193+0.5)/$C$3154))</f>
        <v/>
      </c>
      <c r="S3193" s="208">
        <f>IF($L$3154,$N3193*IF($O$3154=1,$O3193/$F$3154,1),"")</f>
        <v/>
      </c>
      <c r="T3193" s="208">
        <f>IF(NOT($L$3154),"",IF($G3193&lt;nr_MStartP,$S3193,$T3181*(1+IF($G3193&lt;nr_MStartP1,$M$3154,$N$3154))))</f>
        <v/>
      </c>
      <c r="U3193" s="208">
        <f>IF($L$3154,$T3193,$N3193)</f>
        <v/>
      </c>
    </row>
    <row r="3194">
      <c r="A3194" s="145" t="n">
        <v>38</v>
      </c>
      <c r="B3194" s="204">
        <f>EDATE($B3193,1)</f>
        <v/>
      </c>
      <c r="C3194" s="205">
        <f>EOMONTH($B3194,0)</f>
        <v/>
      </c>
      <c r="D3194" s="201">
        <f>$C3194-$B3194+1</f>
        <v/>
      </c>
      <c r="E3194" s="201">
        <f>MONTH($B3194)</f>
        <v/>
      </c>
      <c r="F3194" s="235">
        <f>($B3194+$C3194+1)/2</f>
        <v/>
      </c>
      <c r="G3194" s="201">
        <f>YEAR($B3194)*12+MONTH($B3194)-1</f>
        <v/>
      </c>
      <c r="H3194" s="207">
        <f>IF(OR(nr_SeasonOn="OFF",$D$3154=0,$E$3154=0),1,12*INDEX(se_block,$D$3154,$E3194)/$E$3154)</f>
        <v/>
      </c>
      <c r="I3194" s="208">
        <f>EXP(SUMPRODUCT((rl_eff&lt;$B3194)*(rl_key=$A$3154)*rl_ln1p))</f>
        <v/>
      </c>
      <c r="J3194" s="208">
        <f>EXP(SUMPRODUCT((rl_eff&lt;=$C3194)*(rl_key=$A$3154)*rl_ln1p))</f>
        <v/>
      </c>
      <c r="K3194" s="201">
        <f>COUNTIFS(rl_key,$A$3154,rl_eff,"&gt;="&amp;$B3194,rl_eff,"&lt;="&amp;$C3194)</f>
        <v/>
      </c>
      <c r="L3194" s="201">
        <f>SUMIFS(rl_daysafter,rl_key,$A$3154,rl_effmonth,$B3194,rl_first,1)</f>
        <v/>
      </c>
      <c r="M3194" s="209">
        <f>IF($K3194=0,0,MIN(1,$L3194/$D3194))</f>
        <v/>
      </c>
      <c r="N3194" s="208">
        <f>IF($K3194=0,$J3194,(1-$M3194)*$I3194+$M3194*$J3194)</f>
        <v/>
      </c>
      <c r="O3194" s="209">
        <f>IF($F3194&lt;$B$3155,$E$3155+$I$3155*($F3194-$A$3155),IF($F3194&lt;$C$3155,$F$3155+$J$3155*($F3194-$B$3155),$G$3155+$K$3155*($F3194-$C$3155)))</f>
        <v/>
      </c>
      <c r="P3194" s="208">
        <f>MIN(1,MAX(0,(nr_MEndPm1-$G3194+0.5)/$C$3154))-MIN(1,MAX(0,(nr_MStartPm1-1-$G3194+0.5)/$C$3154))</f>
        <v/>
      </c>
      <c r="Q3194" s="208">
        <f>MIN(1,MAX(0,(nr_MEndP-$G3194+0.5)/$C$3154))-MIN(1,MAX(0,(nr_MStartP-1-$G3194+0.5)/$C$3154))</f>
        <v/>
      </c>
      <c r="R3194" s="208">
        <f>MIN(1,MAX(0,(nr_MEndP1-$G3194+0.5)/$C$3154))-MIN(1,MAX(0,(nr_MStartP1-1-$G3194+0.5)/$C$3154))</f>
        <v/>
      </c>
      <c r="S3194" s="208">
        <f>IF($L$3154,$N3194*IF($O$3154=1,$O3194/$F$3154,1),"")</f>
        <v/>
      </c>
      <c r="T3194" s="208">
        <f>IF(NOT($L$3154),"",IF($G3194&lt;nr_MStartP,$S3194,$T3182*(1+IF($G3194&lt;nr_MStartP1,$M$3154,$N$3154))))</f>
        <v/>
      </c>
      <c r="U3194" s="208">
        <f>IF($L$3154,$T3194,$N3194)</f>
        <v/>
      </c>
    </row>
    <row r="3195">
      <c r="A3195" s="145" t="n">
        <v>39</v>
      </c>
      <c r="B3195" s="204">
        <f>EDATE($B3194,1)</f>
        <v/>
      </c>
      <c r="C3195" s="205">
        <f>EOMONTH($B3195,0)</f>
        <v/>
      </c>
      <c r="D3195" s="201">
        <f>$C3195-$B3195+1</f>
        <v/>
      </c>
      <c r="E3195" s="201">
        <f>MONTH($B3195)</f>
        <v/>
      </c>
      <c r="F3195" s="235">
        <f>($B3195+$C3195+1)/2</f>
        <v/>
      </c>
      <c r="G3195" s="201">
        <f>YEAR($B3195)*12+MONTH($B3195)-1</f>
        <v/>
      </c>
      <c r="H3195" s="207">
        <f>IF(OR(nr_SeasonOn="OFF",$D$3154=0,$E$3154=0),1,12*INDEX(se_block,$D$3154,$E3195)/$E$3154)</f>
        <v/>
      </c>
      <c r="I3195" s="208">
        <f>EXP(SUMPRODUCT((rl_eff&lt;$B3195)*(rl_key=$A$3154)*rl_ln1p))</f>
        <v/>
      </c>
      <c r="J3195" s="208">
        <f>EXP(SUMPRODUCT((rl_eff&lt;=$C3195)*(rl_key=$A$3154)*rl_ln1p))</f>
        <v/>
      </c>
      <c r="K3195" s="201">
        <f>COUNTIFS(rl_key,$A$3154,rl_eff,"&gt;="&amp;$B3195,rl_eff,"&lt;="&amp;$C3195)</f>
        <v/>
      </c>
      <c r="L3195" s="201">
        <f>SUMIFS(rl_daysafter,rl_key,$A$3154,rl_effmonth,$B3195,rl_first,1)</f>
        <v/>
      </c>
      <c r="M3195" s="209">
        <f>IF($K3195=0,0,MIN(1,$L3195/$D3195))</f>
        <v/>
      </c>
      <c r="N3195" s="208">
        <f>IF($K3195=0,$J3195,(1-$M3195)*$I3195+$M3195*$J3195)</f>
        <v/>
      </c>
      <c r="O3195" s="209">
        <f>IF($F3195&lt;$B$3155,$E$3155+$I$3155*($F3195-$A$3155),IF($F3195&lt;$C$3155,$F$3155+$J$3155*($F3195-$B$3155),$G$3155+$K$3155*($F3195-$C$3155)))</f>
        <v/>
      </c>
      <c r="P3195" s="208">
        <f>MIN(1,MAX(0,(nr_MEndPm1-$G3195+0.5)/$C$3154))-MIN(1,MAX(0,(nr_MStartPm1-1-$G3195+0.5)/$C$3154))</f>
        <v/>
      </c>
      <c r="Q3195" s="208">
        <f>MIN(1,MAX(0,(nr_MEndP-$G3195+0.5)/$C$3154))-MIN(1,MAX(0,(nr_MStartP-1-$G3195+0.5)/$C$3154))</f>
        <v/>
      </c>
      <c r="R3195" s="208">
        <f>MIN(1,MAX(0,(nr_MEndP1-$G3195+0.5)/$C$3154))-MIN(1,MAX(0,(nr_MStartP1-1-$G3195+0.5)/$C$3154))</f>
        <v/>
      </c>
      <c r="S3195" s="208">
        <f>IF($L$3154,$N3195*IF($O$3154=1,$O3195/$F$3154,1),"")</f>
        <v/>
      </c>
      <c r="T3195" s="208">
        <f>IF(NOT($L$3154),"",IF($G3195&lt;nr_MStartP,$S3195,$T3183*(1+IF($G3195&lt;nr_MStartP1,$M$3154,$N$3154))))</f>
        <v/>
      </c>
      <c r="U3195" s="208">
        <f>IF($L$3154,$T3195,$N3195)</f>
        <v/>
      </c>
    </row>
    <row r="3196">
      <c r="A3196" s="145" t="n">
        <v>40</v>
      </c>
      <c r="B3196" s="204">
        <f>EDATE($B3195,1)</f>
        <v/>
      </c>
      <c r="C3196" s="205">
        <f>EOMONTH($B3196,0)</f>
        <v/>
      </c>
      <c r="D3196" s="201">
        <f>$C3196-$B3196+1</f>
        <v/>
      </c>
      <c r="E3196" s="201">
        <f>MONTH($B3196)</f>
        <v/>
      </c>
      <c r="F3196" s="235">
        <f>($B3196+$C3196+1)/2</f>
        <v/>
      </c>
      <c r="G3196" s="201">
        <f>YEAR($B3196)*12+MONTH($B3196)-1</f>
        <v/>
      </c>
      <c r="H3196" s="207">
        <f>IF(OR(nr_SeasonOn="OFF",$D$3154=0,$E$3154=0),1,12*INDEX(se_block,$D$3154,$E3196)/$E$3154)</f>
        <v/>
      </c>
      <c r="I3196" s="208">
        <f>EXP(SUMPRODUCT((rl_eff&lt;$B3196)*(rl_key=$A$3154)*rl_ln1p))</f>
        <v/>
      </c>
      <c r="J3196" s="208">
        <f>EXP(SUMPRODUCT((rl_eff&lt;=$C3196)*(rl_key=$A$3154)*rl_ln1p))</f>
        <v/>
      </c>
      <c r="K3196" s="201">
        <f>COUNTIFS(rl_key,$A$3154,rl_eff,"&gt;="&amp;$B3196,rl_eff,"&lt;="&amp;$C3196)</f>
        <v/>
      </c>
      <c r="L3196" s="201">
        <f>SUMIFS(rl_daysafter,rl_key,$A$3154,rl_effmonth,$B3196,rl_first,1)</f>
        <v/>
      </c>
      <c r="M3196" s="209">
        <f>IF($K3196=0,0,MIN(1,$L3196/$D3196))</f>
        <v/>
      </c>
      <c r="N3196" s="208">
        <f>IF($K3196=0,$J3196,(1-$M3196)*$I3196+$M3196*$J3196)</f>
        <v/>
      </c>
      <c r="O3196" s="209">
        <f>IF($F3196&lt;$B$3155,$E$3155+$I$3155*($F3196-$A$3155),IF($F3196&lt;$C$3155,$F$3155+$J$3155*($F3196-$B$3155),$G$3155+$K$3155*($F3196-$C$3155)))</f>
        <v/>
      </c>
      <c r="P3196" s="208">
        <f>MIN(1,MAX(0,(nr_MEndPm1-$G3196+0.5)/$C$3154))-MIN(1,MAX(0,(nr_MStartPm1-1-$G3196+0.5)/$C$3154))</f>
        <v/>
      </c>
      <c r="Q3196" s="208">
        <f>MIN(1,MAX(0,(nr_MEndP-$G3196+0.5)/$C$3154))-MIN(1,MAX(0,(nr_MStartP-1-$G3196+0.5)/$C$3154))</f>
        <v/>
      </c>
      <c r="R3196" s="208">
        <f>MIN(1,MAX(0,(nr_MEndP1-$G3196+0.5)/$C$3154))-MIN(1,MAX(0,(nr_MStartP1-1-$G3196+0.5)/$C$3154))</f>
        <v/>
      </c>
      <c r="S3196" s="208">
        <f>IF($L$3154,$N3196*IF($O$3154=1,$O3196/$F$3154,1),"")</f>
        <v/>
      </c>
      <c r="T3196" s="208">
        <f>IF(NOT($L$3154),"",IF($G3196&lt;nr_MStartP,$S3196,$T3184*(1+IF($G3196&lt;nr_MStartP1,$M$3154,$N$3154))))</f>
        <v/>
      </c>
      <c r="U3196" s="208">
        <f>IF($L$3154,$T3196,$N3196)</f>
        <v/>
      </c>
    </row>
    <row r="3197">
      <c r="A3197" s="145" t="n">
        <v>41</v>
      </c>
      <c r="B3197" s="204">
        <f>EDATE($B3196,1)</f>
        <v/>
      </c>
      <c r="C3197" s="205">
        <f>EOMONTH($B3197,0)</f>
        <v/>
      </c>
      <c r="D3197" s="201">
        <f>$C3197-$B3197+1</f>
        <v/>
      </c>
      <c r="E3197" s="201">
        <f>MONTH($B3197)</f>
        <v/>
      </c>
      <c r="F3197" s="235">
        <f>($B3197+$C3197+1)/2</f>
        <v/>
      </c>
      <c r="G3197" s="201">
        <f>YEAR($B3197)*12+MONTH($B3197)-1</f>
        <v/>
      </c>
      <c r="H3197" s="207">
        <f>IF(OR(nr_SeasonOn="OFF",$D$3154=0,$E$3154=0),1,12*INDEX(se_block,$D$3154,$E3197)/$E$3154)</f>
        <v/>
      </c>
      <c r="I3197" s="208">
        <f>EXP(SUMPRODUCT((rl_eff&lt;$B3197)*(rl_key=$A$3154)*rl_ln1p))</f>
        <v/>
      </c>
      <c r="J3197" s="208">
        <f>EXP(SUMPRODUCT((rl_eff&lt;=$C3197)*(rl_key=$A$3154)*rl_ln1p))</f>
        <v/>
      </c>
      <c r="K3197" s="201">
        <f>COUNTIFS(rl_key,$A$3154,rl_eff,"&gt;="&amp;$B3197,rl_eff,"&lt;="&amp;$C3197)</f>
        <v/>
      </c>
      <c r="L3197" s="201">
        <f>SUMIFS(rl_daysafter,rl_key,$A$3154,rl_effmonth,$B3197,rl_first,1)</f>
        <v/>
      </c>
      <c r="M3197" s="209">
        <f>IF($K3197=0,0,MIN(1,$L3197/$D3197))</f>
        <v/>
      </c>
      <c r="N3197" s="208">
        <f>IF($K3197=0,$J3197,(1-$M3197)*$I3197+$M3197*$J3197)</f>
        <v/>
      </c>
      <c r="O3197" s="209">
        <f>IF($F3197&lt;$B$3155,$E$3155+$I$3155*($F3197-$A$3155),IF($F3197&lt;$C$3155,$F$3155+$J$3155*($F3197-$B$3155),$G$3155+$K$3155*($F3197-$C$3155)))</f>
        <v/>
      </c>
      <c r="P3197" s="208">
        <f>MIN(1,MAX(0,(nr_MEndPm1-$G3197+0.5)/$C$3154))-MIN(1,MAX(0,(nr_MStartPm1-1-$G3197+0.5)/$C$3154))</f>
        <v/>
      </c>
      <c r="Q3197" s="208">
        <f>MIN(1,MAX(0,(nr_MEndP-$G3197+0.5)/$C$3154))-MIN(1,MAX(0,(nr_MStartP-1-$G3197+0.5)/$C$3154))</f>
        <v/>
      </c>
      <c r="R3197" s="208">
        <f>MIN(1,MAX(0,(nr_MEndP1-$G3197+0.5)/$C$3154))-MIN(1,MAX(0,(nr_MStartP1-1-$G3197+0.5)/$C$3154))</f>
        <v/>
      </c>
      <c r="S3197" s="208">
        <f>IF($L$3154,$N3197*IF($O$3154=1,$O3197/$F$3154,1),"")</f>
        <v/>
      </c>
      <c r="T3197" s="208">
        <f>IF(NOT($L$3154),"",IF($G3197&lt;nr_MStartP,$S3197,$T3185*(1+IF($G3197&lt;nr_MStartP1,$M$3154,$N$3154))))</f>
        <v/>
      </c>
      <c r="U3197" s="208">
        <f>IF($L$3154,$T3197,$N3197)</f>
        <v/>
      </c>
    </row>
    <row r="3198">
      <c r="A3198" s="145" t="n">
        <v>42</v>
      </c>
      <c r="B3198" s="204">
        <f>EDATE($B3197,1)</f>
        <v/>
      </c>
      <c r="C3198" s="205">
        <f>EOMONTH($B3198,0)</f>
        <v/>
      </c>
      <c r="D3198" s="201">
        <f>$C3198-$B3198+1</f>
        <v/>
      </c>
      <c r="E3198" s="201">
        <f>MONTH($B3198)</f>
        <v/>
      </c>
      <c r="F3198" s="235">
        <f>($B3198+$C3198+1)/2</f>
        <v/>
      </c>
      <c r="G3198" s="201">
        <f>YEAR($B3198)*12+MONTH($B3198)-1</f>
        <v/>
      </c>
      <c r="H3198" s="207">
        <f>IF(OR(nr_SeasonOn="OFF",$D$3154=0,$E$3154=0),1,12*INDEX(se_block,$D$3154,$E3198)/$E$3154)</f>
        <v/>
      </c>
      <c r="I3198" s="208">
        <f>EXP(SUMPRODUCT((rl_eff&lt;$B3198)*(rl_key=$A$3154)*rl_ln1p))</f>
        <v/>
      </c>
      <c r="J3198" s="208">
        <f>EXP(SUMPRODUCT((rl_eff&lt;=$C3198)*(rl_key=$A$3154)*rl_ln1p))</f>
        <v/>
      </c>
      <c r="K3198" s="201">
        <f>COUNTIFS(rl_key,$A$3154,rl_eff,"&gt;="&amp;$B3198,rl_eff,"&lt;="&amp;$C3198)</f>
        <v/>
      </c>
      <c r="L3198" s="201">
        <f>SUMIFS(rl_daysafter,rl_key,$A$3154,rl_effmonth,$B3198,rl_first,1)</f>
        <v/>
      </c>
      <c r="M3198" s="209">
        <f>IF($K3198=0,0,MIN(1,$L3198/$D3198))</f>
        <v/>
      </c>
      <c r="N3198" s="208">
        <f>IF($K3198=0,$J3198,(1-$M3198)*$I3198+$M3198*$J3198)</f>
        <v/>
      </c>
      <c r="O3198" s="209">
        <f>IF($F3198&lt;$B$3155,$E$3155+$I$3155*($F3198-$A$3155),IF($F3198&lt;$C$3155,$F$3155+$J$3155*($F3198-$B$3155),$G$3155+$K$3155*($F3198-$C$3155)))</f>
        <v/>
      </c>
      <c r="P3198" s="208">
        <f>MIN(1,MAX(0,(nr_MEndPm1-$G3198+0.5)/$C$3154))-MIN(1,MAX(0,(nr_MStartPm1-1-$G3198+0.5)/$C$3154))</f>
        <v/>
      </c>
      <c r="Q3198" s="208">
        <f>MIN(1,MAX(0,(nr_MEndP-$G3198+0.5)/$C$3154))-MIN(1,MAX(0,(nr_MStartP-1-$G3198+0.5)/$C$3154))</f>
        <v/>
      </c>
      <c r="R3198" s="208">
        <f>MIN(1,MAX(0,(nr_MEndP1-$G3198+0.5)/$C$3154))-MIN(1,MAX(0,(nr_MStartP1-1-$G3198+0.5)/$C$3154))</f>
        <v/>
      </c>
      <c r="S3198" s="208">
        <f>IF($L$3154,$N3198*IF($O$3154=1,$O3198/$F$3154,1),"")</f>
        <v/>
      </c>
      <c r="T3198" s="208">
        <f>IF(NOT($L$3154),"",IF($G3198&lt;nr_MStartP,$S3198,$T3186*(1+IF($G3198&lt;nr_MStartP1,$M$3154,$N$3154))))</f>
        <v/>
      </c>
      <c r="U3198" s="208">
        <f>IF($L$3154,$T3198,$N3198)</f>
        <v/>
      </c>
    </row>
    <row r="3199">
      <c r="A3199" s="145" t="n">
        <v>43</v>
      </c>
      <c r="B3199" s="204">
        <f>EDATE($B3198,1)</f>
        <v/>
      </c>
      <c r="C3199" s="205">
        <f>EOMONTH($B3199,0)</f>
        <v/>
      </c>
      <c r="D3199" s="201">
        <f>$C3199-$B3199+1</f>
        <v/>
      </c>
      <c r="E3199" s="201">
        <f>MONTH($B3199)</f>
        <v/>
      </c>
      <c r="F3199" s="235">
        <f>($B3199+$C3199+1)/2</f>
        <v/>
      </c>
      <c r="G3199" s="201">
        <f>YEAR($B3199)*12+MONTH($B3199)-1</f>
        <v/>
      </c>
      <c r="H3199" s="207">
        <f>IF(OR(nr_SeasonOn="OFF",$D$3154=0,$E$3154=0),1,12*INDEX(se_block,$D$3154,$E3199)/$E$3154)</f>
        <v/>
      </c>
      <c r="I3199" s="208">
        <f>EXP(SUMPRODUCT((rl_eff&lt;$B3199)*(rl_key=$A$3154)*rl_ln1p))</f>
        <v/>
      </c>
      <c r="J3199" s="208">
        <f>EXP(SUMPRODUCT((rl_eff&lt;=$C3199)*(rl_key=$A$3154)*rl_ln1p))</f>
        <v/>
      </c>
      <c r="K3199" s="201">
        <f>COUNTIFS(rl_key,$A$3154,rl_eff,"&gt;="&amp;$B3199,rl_eff,"&lt;="&amp;$C3199)</f>
        <v/>
      </c>
      <c r="L3199" s="201">
        <f>SUMIFS(rl_daysafter,rl_key,$A$3154,rl_effmonth,$B3199,rl_first,1)</f>
        <v/>
      </c>
      <c r="M3199" s="209">
        <f>IF($K3199=0,0,MIN(1,$L3199/$D3199))</f>
        <v/>
      </c>
      <c r="N3199" s="208">
        <f>IF($K3199=0,$J3199,(1-$M3199)*$I3199+$M3199*$J3199)</f>
        <v/>
      </c>
      <c r="O3199" s="209">
        <f>IF($F3199&lt;$B$3155,$E$3155+$I$3155*($F3199-$A$3155),IF($F3199&lt;$C$3155,$F$3155+$J$3155*($F3199-$B$3155),$G$3155+$K$3155*($F3199-$C$3155)))</f>
        <v/>
      </c>
      <c r="P3199" s="208">
        <f>MIN(1,MAX(0,(nr_MEndPm1-$G3199+0.5)/$C$3154))-MIN(1,MAX(0,(nr_MStartPm1-1-$G3199+0.5)/$C$3154))</f>
        <v/>
      </c>
      <c r="Q3199" s="208">
        <f>MIN(1,MAX(0,(nr_MEndP-$G3199+0.5)/$C$3154))-MIN(1,MAX(0,(nr_MStartP-1-$G3199+0.5)/$C$3154))</f>
        <v/>
      </c>
      <c r="R3199" s="208">
        <f>MIN(1,MAX(0,(nr_MEndP1-$G3199+0.5)/$C$3154))-MIN(1,MAX(0,(nr_MStartP1-1-$G3199+0.5)/$C$3154))</f>
        <v/>
      </c>
      <c r="S3199" s="208">
        <f>IF($L$3154,$N3199*IF($O$3154=1,$O3199/$F$3154,1),"")</f>
        <v/>
      </c>
      <c r="T3199" s="208">
        <f>IF(NOT($L$3154),"",IF($G3199&lt;nr_MStartP,$S3199,$T3187*(1+IF($G3199&lt;nr_MStartP1,$M$3154,$N$3154))))</f>
        <v/>
      </c>
      <c r="U3199" s="208">
        <f>IF($L$3154,$T3199,$N3199)</f>
        <v/>
      </c>
    </row>
    <row r="3200">
      <c r="A3200" s="145" t="n">
        <v>44</v>
      </c>
      <c r="B3200" s="204">
        <f>EDATE($B3199,1)</f>
        <v/>
      </c>
      <c r="C3200" s="205">
        <f>EOMONTH($B3200,0)</f>
        <v/>
      </c>
      <c r="D3200" s="201">
        <f>$C3200-$B3200+1</f>
        <v/>
      </c>
      <c r="E3200" s="201">
        <f>MONTH($B3200)</f>
        <v/>
      </c>
      <c r="F3200" s="235">
        <f>($B3200+$C3200+1)/2</f>
        <v/>
      </c>
      <c r="G3200" s="201">
        <f>YEAR($B3200)*12+MONTH($B3200)-1</f>
        <v/>
      </c>
      <c r="H3200" s="207">
        <f>IF(OR(nr_SeasonOn="OFF",$D$3154=0,$E$3154=0),1,12*INDEX(se_block,$D$3154,$E3200)/$E$3154)</f>
        <v/>
      </c>
      <c r="I3200" s="208">
        <f>EXP(SUMPRODUCT((rl_eff&lt;$B3200)*(rl_key=$A$3154)*rl_ln1p))</f>
        <v/>
      </c>
      <c r="J3200" s="208">
        <f>EXP(SUMPRODUCT((rl_eff&lt;=$C3200)*(rl_key=$A$3154)*rl_ln1p))</f>
        <v/>
      </c>
      <c r="K3200" s="201">
        <f>COUNTIFS(rl_key,$A$3154,rl_eff,"&gt;="&amp;$B3200,rl_eff,"&lt;="&amp;$C3200)</f>
        <v/>
      </c>
      <c r="L3200" s="201">
        <f>SUMIFS(rl_daysafter,rl_key,$A$3154,rl_effmonth,$B3200,rl_first,1)</f>
        <v/>
      </c>
      <c r="M3200" s="209">
        <f>IF($K3200=0,0,MIN(1,$L3200/$D3200))</f>
        <v/>
      </c>
      <c r="N3200" s="208">
        <f>IF($K3200=0,$J3200,(1-$M3200)*$I3200+$M3200*$J3200)</f>
        <v/>
      </c>
      <c r="O3200" s="209">
        <f>IF($F3200&lt;$B$3155,$E$3155+$I$3155*($F3200-$A$3155),IF($F3200&lt;$C$3155,$F$3155+$J$3155*($F3200-$B$3155),$G$3155+$K$3155*($F3200-$C$3155)))</f>
        <v/>
      </c>
      <c r="P3200" s="208">
        <f>MIN(1,MAX(0,(nr_MEndPm1-$G3200+0.5)/$C$3154))-MIN(1,MAX(0,(nr_MStartPm1-1-$G3200+0.5)/$C$3154))</f>
        <v/>
      </c>
      <c r="Q3200" s="208">
        <f>MIN(1,MAX(0,(nr_MEndP-$G3200+0.5)/$C$3154))-MIN(1,MAX(0,(nr_MStartP-1-$G3200+0.5)/$C$3154))</f>
        <v/>
      </c>
      <c r="R3200" s="208">
        <f>MIN(1,MAX(0,(nr_MEndP1-$G3200+0.5)/$C$3154))-MIN(1,MAX(0,(nr_MStartP1-1-$G3200+0.5)/$C$3154))</f>
        <v/>
      </c>
      <c r="S3200" s="208">
        <f>IF($L$3154,$N3200*IF($O$3154=1,$O3200/$F$3154,1),"")</f>
        <v/>
      </c>
      <c r="T3200" s="208">
        <f>IF(NOT($L$3154),"",IF($G3200&lt;nr_MStartP,$S3200,$T3188*(1+IF($G3200&lt;nr_MStartP1,$M$3154,$N$3154))))</f>
        <v/>
      </c>
      <c r="U3200" s="208">
        <f>IF($L$3154,$T3200,$N3200)</f>
        <v/>
      </c>
    </row>
    <row r="3201">
      <c r="A3201" s="145" t="n">
        <v>45</v>
      </c>
      <c r="B3201" s="204">
        <f>EDATE($B3200,1)</f>
        <v/>
      </c>
      <c r="C3201" s="205">
        <f>EOMONTH($B3201,0)</f>
        <v/>
      </c>
      <c r="D3201" s="201">
        <f>$C3201-$B3201+1</f>
        <v/>
      </c>
      <c r="E3201" s="201">
        <f>MONTH($B3201)</f>
        <v/>
      </c>
      <c r="F3201" s="235">
        <f>($B3201+$C3201+1)/2</f>
        <v/>
      </c>
      <c r="G3201" s="201">
        <f>YEAR($B3201)*12+MONTH($B3201)-1</f>
        <v/>
      </c>
      <c r="H3201" s="207">
        <f>IF(OR(nr_SeasonOn="OFF",$D$3154=0,$E$3154=0),1,12*INDEX(se_block,$D$3154,$E3201)/$E$3154)</f>
        <v/>
      </c>
      <c r="I3201" s="208">
        <f>EXP(SUMPRODUCT((rl_eff&lt;$B3201)*(rl_key=$A$3154)*rl_ln1p))</f>
        <v/>
      </c>
      <c r="J3201" s="208">
        <f>EXP(SUMPRODUCT((rl_eff&lt;=$C3201)*(rl_key=$A$3154)*rl_ln1p))</f>
        <v/>
      </c>
      <c r="K3201" s="201">
        <f>COUNTIFS(rl_key,$A$3154,rl_eff,"&gt;="&amp;$B3201,rl_eff,"&lt;="&amp;$C3201)</f>
        <v/>
      </c>
      <c r="L3201" s="201">
        <f>SUMIFS(rl_daysafter,rl_key,$A$3154,rl_effmonth,$B3201,rl_first,1)</f>
        <v/>
      </c>
      <c r="M3201" s="209">
        <f>IF($K3201=0,0,MIN(1,$L3201/$D3201))</f>
        <v/>
      </c>
      <c r="N3201" s="208">
        <f>IF($K3201=0,$J3201,(1-$M3201)*$I3201+$M3201*$J3201)</f>
        <v/>
      </c>
      <c r="O3201" s="209">
        <f>IF($F3201&lt;$B$3155,$E$3155+$I$3155*($F3201-$A$3155),IF($F3201&lt;$C$3155,$F$3155+$J$3155*($F3201-$B$3155),$G$3155+$K$3155*($F3201-$C$3155)))</f>
        <v/>
      </c>
      <c r="P3201" s="208">
        <f>MIN(1,MAX(0,(nr_MEndPm1-$G3201+0.5)/$C$3154))-MIN(1,MAX(0,(nr_MStartPm1-1-$G3201+0.5)/$C$3154))</f>
        <v/>
      </c>
      <c r="Q3201" s="208">
        <f>MIN(1,MAX(0,(nr_MEndP-$G3201+0.5)/$C$3154))-MIN(1,MAX(0,(nr_MStartP-1-$G3201+0.5)/$C$3154))</f>
        <v/>
      </c>
      <c r="R3201" s="208">
        <f>MIN(1,MAX(0,(nr_MEndP1-$G3201+0.5)/$C$3154))-MIN(1,MAX(0,(nr_MStartP1-1-$G3201+0.5)/$C$3154))</f>
        <v/>
      </c>
      <c r="S3201" s="208">
        <f>IF($L$3154,$N3201*IF($O$3154=1,$O3201/$F$3154,1),"")</f>
        <v/>
      </c>
      <c r="T3201" s="208">
        <f>IF(NOT($L$3154),"",IF($G3201&lt;nr_MStartP,$S3201,$T3189*(1+IF($G3201&lt;nr_MStartP1,$M$3154,$N$3154))))</f>
        <v/>
      </c>
      <c r="U3201" s="208">
        <f>IF($L$3154,$T3201,$N3201)</f>
        <v/>
      </c>
    </row>
    <row r="3202">
      <c r="A3202" s="145" t="n">
        <v>46</v>
      </c>
      <c r="B3202" s="204">
        <f>EDATE($B3201,1)</f>
        <v/>
      </c>
      <c r="C3202" s="205">
        <f>EOMONTH($B3202,0)</f>
        <v/>
      </c>
      <c r="D3202" s="201">
        <f>$C3202-$B3202+1</f>
        <v/>
      </c>
      <c r="E3202" s="201">
        <f>MONTH($B3202)</f>
        <v/>
      </c>
      <c r="F3202" s="235">
        <f>($B3202+$C3202+1)/2</f>
        <v/>
      </c>
      <c r="G3202" s="201">
        <f>YEAR($B3202)*12+MONTH($B3202)-1</f>
        <v/>
      </c>
      <c r="H3202" s="207">
        <f>IF(OR(nr_SeasonOn="OFF",$D$3154=0,$E$3154=0),1,12*INDEX(se_block,$D$3154,$E3202)/$E$3154)</f>
        <v/>
      </c>
      <c r="I3202" s="208">
        <f>EXP(SUMPRODUCT((rl_eff&lt;$B3202)*(rl_key=$A$3154)*rl_ln1p))</f>
        <v/>
      </c>
      <c r="J3202" s="208">
        <f>EXP(SUMPRODUCT((rl_eff&lt;=$C3202)*(rl_key=$A$3154)*rl_ln1p))</f>
        <v/>
      </c>
      <c r="K3202" s="201">
        <f>COUNTIFS(rl_key,$A$3154,rl_eff,"&gt;="&amp;$B3202,rl_eff,"&lt;="&amp;$C3202)</f>
        <v/>
      </c>
      <c r="L3202" s="201">
        <f>SUMIFS(rl_daysafter,rl_key,$A$3154,rl_effmonth,$B3202,rl_first,1)</f>
        <v/>
      </c>
      <c r="M3202" s="209">
        <f>IF($K3202=0,0,MIN(1,$L3202/$D3202))</f>
        <v/>
      </c>
      <c r="N3202" s="208">
        <f>IF($K3202=0,$J3202,(1-$M3202)*$I3202+$M3202*$J3202)</f>
        <v/>
      </c>
      <c r="O3202" s="209">
        <f>IF($F3202&lt;$B$3155,$E$3155+$I$3155*($F3202-$A$3155),IF($F3202&lt;$C$3155,$F$3155+$J$3155*($F3202-$B$3155),$G$3155+$K$3155*($F3202-$C$3155)))</f>
        <v/>
      </c>
      <c r="P3202" s="208">
        <f>MIN(1,MAX(0,(nr_MEndPm1-$G3202+0.5)/$C$3154))-MIN(1,MAX(0,(nr_MStartPm1-1-$G3202+0.5)/$C$3154))</f>
        <v/>
      </c>
      <c r="Q3202" s="208">
        <f>MIN(1,MAX(0,(nr_MEndP-$G3202+0.5)/$C$3154))-MIN(1,MAX(0,(nr_MStartP-1-$G3202+0.5)/$C$3154))</f>
        <v/>
      </c>
      <c r="R3202" s="208">
        <f>MIN(1,MAX(0,(nr_MEndP1-$G3202+0.5)/$C$3154))-MIN(1,MAX(0,(nr_MStartP1-1-$G3202+0.5)/$C$3154))</f>
        <v/>
      </c>
      <c r="S3202" s="208">
        <f>IF($L$3154,$N3202*IF($O$3154=1,$O3202/$F$3154,1),"")</f>
        <v/>
      </c>
      <c r="T3202" s="208">
        <f>IF(NOT($L$3154),"",IF($G3202&lt;nr_MStartP,$S3202,$T3190*(1+IF($G3202&lt;nr_MStartP1,$M$3154,$N$3154))))</f>
        <v/>
      </c>
      <c r="U3202" s="208">
        <f>IF($L$3154,$T3202,$N3202)</f>
        <v/>
      </c>
    </row>
    <row r="3203">
      <c r="A3203" s="145" t="n">
        <v>47</v>
      </c>
      <c r="B3203" s="204">
        <f>EDATE($B3202,1)</f>
        <v/>
      </c>
      <c r="C3203" s="205">
        <f>EOMONTH($B3203,0)</f>
        <v/>
      </c>
      <c r="D3203" s="201">
        <f>$C3203-$B3203+1</f>
        <v/>
      </c>
      <c r="E3203" s="201">
        <f>MONTH($B3203)</f>
        <v/>
      </c>
      <c r="F3203" s="235">
        <f>($B3203+$C3203+1)/2</f>
        <v/>
      </c>
      <c r="G3203" s="201">
        <f>YEAR($B3203)*12+MONTH($B3203)-1</f>
        <v/>
      </c>
      <c r="H3203" s="207">
        <f>IF(OR(nr_SeasonOn="OFF",$D$3154=0,$E$3154=0),1,12*INDEX(se_block,$D$3154,$E3203)/$E$3154)</f>
        <v/>
      </c>
      <c r="I3203" s="208">
        <f>EXP(SUMPRODUCT((rl_eff&lt;$B3203)*(rl_key=$A$3154)*rl_ln1p))</f>
        <v/>
      </c>
      <c r="J3203" s="208">
        <f>EXP(SUMPRODUCT((rl_eff&lt;=$C3203)*(rl_key=$A$3154)*rl_ln1p))</f>
        <v/>
      </c>
      <c r="K3203" s="201">
        <f>COUNTIFS(rl_key,$A$3154,rl_eff,"&gt;="&amp;$B3203,rl_eff,"&lt;="&amp;$C3203)</f>
        <v/>
      </c>
      <c r="L3203" s="201">
        <f>SUMIFS(rl_daysafter,rl_key,$A$3154,rl_effmonth,$B3203,rl_first,1)</f>
        <v/>
      </c>
      <c r="M3203" s="209">
        <f>IF($K3203=0,0,MIN(1,$L3203/$D3203))</f>
        <v/>
      </c>
      <c r="N3203" s="208">
        <f>IF($K3203=0,$J3203,(1-$M3203)*$I3203+$M3203*$J3203)</f>
        <v/>
      </c>
      <c r="O3203" s="209">
        <f>IF($F3203&lt;$B$3155,$E$3155+$I$3155*($F3203-$A$3155),IF($F3203&lt;$C$3155,$F$3155+$J$3155*($F3203-$B$3155),$G$3155+$K$3155*($F3203-$C$3155)))</f>
        <v/>
      </c>
      <c r="P3203" s="208">
        <f>MIN(1,MAX(0,(nr_MEndPm1-$G3203+0.5)/$C$3154))-MIN(1,MAX(0,(nr_MStartPm1-1-$G3203+0.5)/$C$3154))</f>
        <v/>
      </c>
      <c r="Q3203" s="208">
        <f>MIN(1,MAX(0,(nr_MEndP-$G3203+0.5)/$C$3154))-MIN(1,MAX(0,(nr_MStartP-1-$G3203+0.5)/$C$3154))</f>
        <v/>
      </c>
      <c r="R3203" s="208">
        <f>MIN(1,MAX(0,(nr_MEndP1-$G3203+0.5)/$C$3154))-MIN(1,MAX(0,(nr_MStartP1-1-$G3203+0.5)/$C$3154))</f>
        <v/>
      </c>
      <c r="S3203" s="208">
        <f>IF($L$3154,$N3203*IF($O$3154=1,$O3203/$F$3154,1),"")</f>
        <v/>
      </c>
      <c r="T3203" s="208">
        <f>IF(NOT($L$3154),"",IF($G3203&lt;nr_MStartP,$S3203,$T3191*(1+IF($G3203&lt;nr_MStartP1,$M$3154,$N$3154))))</f>
        <v/>
      </c>
      <c r="U3203" s="208">
        <f>IF($L$3154,$T3203,$N3203)</f>
        <v/>
      </c>
    </row>
    <row r="3204">
      <c r="A3204" s="145" t="n">
        <v>48</v>
      </c>
      <c r="B3204" s="204">
        <f>EDATE($B3203,1)</f>
        <v/>
      </c>
      <c r="C3204" s="205">
        <f>EOMONTH($B3204,0)</f>
        <v/>
      </c>
      <c r="D3204" s="201">
        <f>$C3204-$B3204+1</f>
        <v/>
      </c>
      <c r="E3204" s="201">
        <f>MONTH($B3204)</f>
        <v/>
      </c>
      <c r="F3204" s="235">
        <f>($B3204+$C3204+1)/2</f>
        <v/>
      </c>
      <c r="G3204" s="201">
        <f>YEAR($B3204)*12+MONTH($B3204)-1</f>
        <v/>
      </c>
      <c r="H3204" s="207">
        <f>IF(OR(nr_SeasonOn="OFF",$D$3154=0,$E$3154=0),1,12*INDEX(se_block,$D$3154,$E3204)/$E$3154)</f>
        <v/>
      </c>
      <c r="I3204" s="208">
        <f>EXP(SUMPRODUCT((rl_eff&lt;$B3204)*(rl_key=$A$3154)*rl_ln1p))</f>
        <v/>
      </c>
      <c r="J3204" s="208">
        <f>EXP(SUMPRODUCT((rl_eff&lt;=$C3204)*(rl_key=$A$3154)*rl_ln1p))</f>
        <v/>
      </c>
      <c r="K3204" s="201">
        <f>COUNTIFS(rl_key,$A$3154,rl_eff,"&gt;="&amp;$B3204,rl_eff,"&lt;="&amp;$C3204)</f>
        <v/>
      </c>
      <c r="L3204" s="201">
        <f>SUMIFS(rl_daysafter,rl_key,$A$3154,rl_effmonth,$B3204,rl_first,1)</f>
        <v/>
      </c>
      <c r="M3204" s="209">
        <f>IF($K3204=0,0,MIN(1,$L3204/$D3204))</f>
        <v/>
      </c>
      <c r="N3204" s="208">
        <f>IF($K3204=0,$J3204,(1-$M3204)*$I3204+$M3204*$J3204)</f>
        <v/>
      </c>
      <c r="O3204" s="209">
        <f>IF($F3204&lt;$B$3155,$E$3155+$I$3155*($F3204-$A$3155),IF($F3204&lt;$C$3155,$F$3155+$J$3155*($F3204-$B$3155),$G$3155+$K$3155*($F3204-$C$3155)))</f>
        <v/>
      </c>
      <c r="P3204" s="208">
        <f>MIN(1,MAX(0,(nr_MEndPm1-$G3204+0.5)/$C$3154))-MIN(1,MAX(0,(nr_MStartPm1-1-$G3204+0.5)/$C$3154))</f>
        <v/>
      </c>
      <c r="Q3204" s="208">
        <f>MIN(1,MAX(0,(nr_MEndP-$G3204+0.5)/$C$3154))-MIN(1,MAX(0,(nr_MStartP-1-$G3204+0.5)/$C$3154))</f>
        <v/>
      </c>
      <c r="R3204" s="208">
        <f>MIN(1,MAX(0,(nr_MEndP1-$G3204+0.5)/$C$3154))-MIN(1,MAX(0,(nr_MStartP1-1-$G3204+0.5)/$C$3154))</f>
        <v/>
      </c>
      <c r="S3204" s="208">
        <f>IF($L$3154,$N3204*IF($O$3154=1,$O3204/$F$3154,1),"")</f>
        <v/>
      </c>
      <c r="T3204" s="208">
        <f>IF(NOT($L$3154),"",IF($G3204&lt;nr_MStartP,$S3204,$T3192*(1+IF($G3204&lt;nr_MStartP1,$M$3154,$N$3154))))</f>
        <v/>
      </c>
      <c r="U3204" s="208">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184">
        <f>SUMPRODUCT($H$3157:$H$3204,$Q$3157:$Q$3204,$O$3157:$O$3204)/SUMPRODUCT($H$3157:$H$3204,$Q$3157:$Q$3204)</f>
        <v/>
      </c>
      <c r="G3205" s="184">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184">
        <f>IF(N(INDEX(lr_mind,59))=0,1,INDEX(lr_mind,59))</f>
        <v/>
      </c>
      <c r="G3208" s="184">
        <f>IF(N(INDEX(lr_m0,59))=0,1,INDEX(lr_m0,59))</f>
        <v/>
      </c>
      <c r="H3208" s="73">
        <f>IF(N(INDEX(lr_m0asof,59))=0,DATE(nr_PlanYear-1,10,1),INDEX(lr_m0asof,59))</f>
        <v/>
      </c>
      <c r="I3208" s="184">
        <f>IF(N(INDEX(lr_m1,59))=0,1,INDEX(lr_m1,59))</f>
        <v/>
      </c>
      <c r="J3208" s="184">
        <f>INDEX(lr_mprior,59)</f>
        <v/>
      </c>
      <c r="K3208" s="184">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145" t="n">
        <v>1</v>
      </c>
      <c r="B3211" s="204">
        <f>DATE(nr_PlanYear-2,1,1)</f>
        <v/>
      </c>
      <c r="C3211" s="205">
        <f>EOMONTH($B3211,0)</f>
        <v/>
      </c>
      <c r="D3211" s="201">
        <f>$C3211-$B3211+1</f>
        <v/>
      </c>
      <c r="E3211" s="201">
        <f>MONTH($B3211)</f>
        <v/>
      </c>
      <c r="F3211" s="235">
        <f>($B3211+$C3211+1)/2</f>
        <v/>
      </c>
      <c r="G3211" s="201">
        <f>YEAR($B3211)*12+MONTH($B3211)-1</f>
        <v/>
      </c>
      <c r="H3211" s="207">
        <f>IF(OR(nr_SeasonOn="OFF",$D$3208=0,$E$3208=0),1,12*INDEX(se_block,$D$3208,$E3211)/$E$3208)</f>
        <v/>
      </c>
      <c r="I3211" s="208">
        <f>EXP(SUMPRODUCT((rl_eff&lt;$B3211)*(rl_key=$A$3208)*rl_ln1p))</f>
        <v/>
      </c>
      <c r="J3211" s="208">
        <f>EXP(SUMPRODUCT((rl_eff&lt;=$C3211)*(rl_key=$A$3208)*rl_ln1p))</f>
        <v/>
      </c>
      <c r="K3211" s="201">
        <f>COUNTIFS(rl_key,$A$3208,rl_eff,"&gt;="&amp;$B3211,rl_eff,"&lt;="&amp;$C3211)</f>
        <v/>
      </c>
      <c r="L3211" s="201">
        <f>SUMIFS(rl_daysafter,rl_key,$A$3208,rl_effmonth,$B3211,rl_first,1)</f>
        <v/>
      </c>
      <c r="M3211" s="209">
        <f>IF($K3211=0,0,MIN(1,$L3211/$D3211))</f>
        <v/>
      </c>
      <c r="N3211" s="208">
        <f>IF($K3211=0,$J3211,(1-$M3211)*$I3211+$M3211*$J3211)</f>
        <v/>
      </c>
      <c r="O3211" s="209">
        <f>IF($F3211&lt;$B$3209,$E$3209+$I$3209*($F3211-$A$3209),IF($F3211&lt;$C$3209,$F$3209+$J$3209*($F3211-$B$3209),$G$3209+$K$3209*($F3211-$C$3209)))</f>
        <v/>
      </c>
      <c r="P3211" s="208">
        <f>MIN(1,MAX(0,(nr_MEndPm1-$G3211+0.5)/$C$3208))-MIN(1,MAX(0,(nr_MStartPm1-1-$G3211+0.5)/$C$3208))</f>
        <v/>
      </c>
      <c r="Q3211" s="208">
        <f>MIN(1,MAX(0,(nr_MEndP-$G3211+0.5)/$C$3208))-MIN(1,MAX(0,(nr_MStartP-1-$G3211+0.5)/$C$3208))</f>
        <v/>
      </c>
      <c r="R3211" s="208">
        <f>MIN(1,MAX(0,(nr_MEndP1-$G3211+0.5)/$C$3208))-MIN(1,MAX(0,(nr_MStartP1-1-$G3211+0.5)/$C$3208))</f>
        <v/>
      </c>
      <c r="S3211" s="208">
        <f>IF($L$3208,$N3211*IF($O$3208=1,$O3211/$F$3208,1),"")</f>
        <v/>
      </c>
      <c r="T3211" s="208">
        <f>IF(NOT($L$3208),"",IF($G3211&lt;nr_MStartP,$S3211,$T3199*(1+IF($G3211&lt;nr_MStartP1,$M$3208,$N$3208))))</f>
        <v/>
      </c>
      <c r="U3211" s="208">
        <f>IF($L$3208,$T3211,$N3211)</f>
        <v/>
      </c>
    </row>
    <row r="3212">
      <c r="A3212" s="145" t="n">
        <v>2</v>
      </c>
      <c r="B3212" s="204">
        <f>EDATE($B3211,1)</f>
        <v/>
      </c>
      <c r="C3212" s="205">
        <f>EOMONTH($B3212,0)</f>
        <v/>
      </c>
      <c r="D3212" s="201">
        <f>$C3212-$B3212+1</f>
        <v/>
      </c>
      <c r="E3212" s="201">
        <f>MONTH($B3212)</f>
        <v/>
      </c>
      <c r="F3212" s="235">
        <f>($B3212+$C3212+1)/2</f>
        <v/>
      </c>
      <c r="G3212" s="201">
        <f>YEAR($B3212)*12+MONTH($B3212)-1</f>
        <v/>
      </c>
      <c r="H3212" s="207">
        <f>IF(OR(nr_SeasonOn="OFF",$D$3208=0,$E$3208=0),1,12*INDEX(se_block,$D$3208,$E3212)/$E$3208)</f>
        <v/>
      </c>
      <c r="I3212" s="208">
        <f>EXP(SUMPRODUCT((rl_eff&lt;$B3212)*(rl_key=$A$3208)*rl_ln1p))</f>
        <v/>
      </c>
      <c r="J3212" s="208">
        <f>EXP(SUMPRODUCT((rl_eff&lt;=$C3212)*(rl_key=$A$3208)*rl_ln1p))</f>
        <v/>
      </c>
      <c r="K3212" s="201">
        <f>COUNTIFS(rl_key,$A$3208,rl_eff,"&gt;="&amp;$B3212,rl_eff,"&lt;="&amp;$C3212)</f>
        <v/>
      </c>
      <c r="L3212" s="201">
        <f>SUMIFS(rl_daysafter,rl_key,$A$3208,rl_effmonth,$B3212,rl_first,1)</f>
        <v/>
      </c>
      <c r="M3212" s="209">
        <f>IF($K3212=0,0,MIN(1,$L3212/$D3212))</f>
        <v/>
      </c>
      <c r="N3212" s="208">
        <f>IF($K3212=0,$J3212,(1-$M3212)*$I3212+$M3212*$J3212)</f>
        <v/>
      </c>
      <c r="O3212" s="209">
        <f>IF($F3212&lt;$B$3209,$E$3209+$I$3209*($F3212-$A$3209),IF($F3212&lt;$C$3209,$F$3209+$J$3209*($F3212-$B$3209),$G$3209+$K$3209*($F3212-$C$3209)))</f>
        <v/>
      </c>
      <c r="P3212" s="208">
        <f>MIN(1,MAX(0,(nr_MEndPm1-$G3212+0.5)/$C$3208))-MIN(1,MAX(0,(nr_MStartPm1-1-$G3212+0.5)/$C$3208))</f>
        <v/>
      </c>
      <c r="Q3212" s="208">
        <f>MIN(1,MAX(0,(nr_MEndP-$G3212+0.5)/$C$3208))-MIN(1,MAX(0,(nr_MStartP-1-$G3212+0.5)/$C$3208))</f>
        <v/>
      </c>
      <c r="R3212" s="208">
        <f>MIN(1,MAX(0,(nr_MEndP1-$G3212+0.5)/$C$3208))-MIN(1,MAX(0,(nr_MStartP1-1-$G3212+0.5)/$C$3208))</f>
        <v/>
      </c>
      <c r="S3212" s="208">
        <f>IF($L$3208,$N3212*IF($O$3208=1,$O3212/$F$3208,1),"")</f>
        <v/>
      </c>
      <c r="T3212" s="208">
        <f>IF(NOT($L$3208),"",IF($G3212&lt;nr_MStartP,$S3212,$T3200*(1+IF($G3212&lt;nr_MStartP1,$M$3208,$N$3208))))</f>
        <v/>
      </c>
      <c r="U3212" s="208">
        <f>IF($L$3208,$T3212,$N3212)</f>
        <v/>
      </c>
    </row>
    <row r="3213">
      <c r="A3213" s="145" t="n">
        <v>3</v>
      </c>
      <c r="B3213" s="204">
        <f>EDATE($B3212,1)</f>
        <v/>
      </c>
      <c r="C3213" s="205">
        <f>EOMONTH($B3213,0)</f>
        <v/>
      </c>
      <c r="D3213" s="201">
        <f>$C3213-$B3213+1</f>
        <v/>
      </c>
      <c r="E3213" s="201">
        <f>MONTH($B3213)</f>
        <v/>
      </c>
      <c r="F3213" s="235">
        <f>($B3213+$C3213+1)/2</f>
        <v/>
      </c>
      <c r="G3213" s="201">
        <f>YEAR($B3213)*12+MONTH($B3213)-1</f>
        <v/>
      </c>
      <c r="H3213" s="207">
        <f>IF(OR(nr_SeasonOn="OFF",$D$3208=0,$E$3208=0),1,12*INDEX(se_block,$D$3208,$E3213)/$E$3208)</f>
        <v/>
      </c>
      <c r="I3213" s="208">
        <f>EXP(SUMPRODUCT((rl_eff&lt;$B3213)*(rl_key=$A$3208)*rl_ln1p))</f>
        <v/>
      </c>
      <c r="J3213" s="208">
        <f>EXP(SUMPRODUCT((rl_eff&lt;=$C3213)*(rl_key=$A$3208)*rl_ln1p))</f>
        <v/>
      </c>
      <c r="K3213" s="201">
        <f>COUNTIFS(rl_key,$A$3208,rl_eff,"&gt;="&amp;$B3213,rl_eff,"&lt;="&amp;$C3213)</f>
        <v/>
      </c>
      <c r="L3213" s="201">
        <f>SUMIFS(rl_daysafter,rl_key,$A$3208,rl_effmonth,$B3213,rl_first,1)</f>
        <v/>
      </c>
      <c r="M3213" s="209">
        <f>IF($K3213=0,0,MIN(1,$L3213/$D3213))</f>
        <v/>
      </c>
      <c r="N3213" s="208">
        <f>IF($K3213=0,$J3213,(1-$M3213)*$I3213+$M3213*$J3213)</f>
        <v/>
      </c>
      <c r="O3213" s="209">
        <f>IF($F3213&lt;$B$3209,$E$3209+$I$3209*($F3213-$A$3209),IF($F3213&lt;$C$3209,$F$3209+$J$3209*($F3213-$B$3209),$G$3209+$K$3209*($F3213-$C$3209)))</f>
        <v/>
      </c>
      <c r="P3213" s="208">
        <f>MIN(1,MAX(0,(nr_MEndPm1-$G3213+0.5)/$C$3208))-MIN(1,MAX(0,(nr_MStartPm1-1-$G3213+0.5)/$C$3208))</f>
        <v/>
      </c>
      <c r="Q3213" s="208">
        <f>MIN(1,MAX(0,(nr_MEndP-$G3213+0.5)/$C$3208))-MIN(1,MAX(0,(nr_MStartP-1-$G3213+0.5)/$C$3208))</f>
        <v/>
      </c>
      <c r="R3213" s="208">
        <f>MIN(1,MAX(0,(nr_MEndP1-$G3213+0.5)/$C$3208))-MIN(1,MAX(0,(nr_MStartP1-1-$G3213+0.5)/$C$3208))</f>
        <v/>
      </c>
      <c r="S3213" s="208">
        <f>IF($L$3208,$N3213*IF($O$3208=1,$O3213/$F$3208,1),"")</f>
        <v/>
      </c>
      <c r="T3213" s="208">
        <f>IF(NOT($L$3208),"",IF($G3213&lt;nr_MStartP,$S3213,$T3201*(1+IF($G3213&lt;nr_MStartP1,$M$3208,$N$3208))))</f>
        <v/>
      </c>
      <c r="U3213" s="208">
        <f>IF($L$3208,$T3213,$N3213)</f>
        <v/>
      </c>
    </row>
    <row r="3214">
      <c r="A3214" s="145" t="n">
        <v>4</v>
      </c>
      <c r="B3214" s="204">
        <f>EDATE($B3213,1)</f>
        <v/>
      </c>
      <c r="C3214" s="205">
        <f>EOMONTH($B3214,0)</f>
        <v/>
      </c>
      <c r="D3214" s="201">
        <f>$C3214-$B3214+1</f>
        <v/>
      </c>
      <c r="E3214" s="201">
        <f>MONTH($B3214)</f>
        <v/>
      </c>
      <c r="F3214" s="235">
        <f>($B3214+$C3214+1)/2</f>
        <v/>
      </c>
      <c r="G3214" s="201">
        <f>YEAR($B3214)*12+MONTH($B3214)-1</f>
        <v/>
      </c>
      <c r="H3214" s="207">
        <f>IF(OR(nr_SeasonOn="OFF",$D$3208=0,$E$3208=0),1,12*INDEX(se_block,$D$3208,$E3214)/$E$3208)</f>
        <v/>
      </c>
      <c r="I3214" s="208">
        <f>EXP(SUMPRODUCT((rl_eff&lt;$B3214)*(rl_key=$A$3208)*rl_ln1p))</f>
        <v/>
      </c>
      <c r="J3214" s="208">
        <f>EXP(SUMPRODUCT((rl_eff&lt;=$C3214)*(rl_key=$A$3208)*rl_ln1p))</f>
        <v/>
      </c>
      <c r="K3214" s="201">
        <f>COUNTIFS(rl_key,$A$3208,rl_eff,"&gt;="&amp;$B3214,rl_eff,"&lt;="&amp;$C3214)</f>
        <v/>
      </c>
      <c r="L3214" s="201">
        <f>SUMIFS(rl_daysafter,rl_key,$A$3208,rl_effmonth,$B3214,rl_first,1)</f>
        <v/>
      </c>
      <c r="M3214" s="209">
        <f>IF($K3214=0,0,MIN(1,$L3214/$D3214))</f>
        <v/>
      </c>
      <c r="N3214" s="208">
        <f>IF($K3214=0,$J3214,(1-$M3214)*$I3214+$M3214*$J3214)</f>
        <v/>
      </c>
      <c r="O3214" s="209">
        <f>IF($F3214&lt;$B$3209,$E$3209+$I$3209*($F3214-$A$3209),IF($F3214&lt;$C$3209,$F$3209+$J$3209*($F3214-$B$3209),$G$3209+$K$3209*($F3214-$C$3209)))</f>
        <v/>
      </c>
      <c r="P3214" s="208">
        <f>MIN(1,MAX(0,(nr_MEndPm1-$G3214+0.5)/$C$3208))-MIN(1,MAX(0,(nr_MStartPm1-1-$G3214+0.5)/$C$3208))</f>
        <v/>
      </c>
      <c r="Q3214" s="208">
        <f>MIN(1,MAX(0,(nr_MEndP-$G3214+0.5)/$C$3208))-MIN(1,MAX(0,(nr_MStartP-1-$G3214+0.5)/$C$3208))</f>
        <v/>
      </c>
      <c r="R3214" s="208">
        <f>MIN(1,MAX(0,(nr_MEndP1-$G3214+0.5)/$C$3208))-MIN(1,MAX(0,(nr_MStartP1-1-$G3214+0.5)/$C$3208))</f>
        <v/>
      </c>
      <c r="S3214" s="208">
        <f>IF($L$3208,$N3214*IF($O$3208=1,$O3214/$F$3208,1),"")</f>
        <v/>
      </c>
      <c r="T3214" s="208">
        <f>IF(NOT($L$3208),"",IF($G3214&lt;nr_MStartP,$S3214,$T3202*(1+IF($G3214&lt;nr_MStartP1,$M$3208,$N$3208))))</f>
        <v/>
      </c>
      <c r="U3214" s="208">
        <f>IF($L$3208,$T3214,$N3214)</f>
        <v/>
      </c>
    </row>
    <row r="3215">
      <c r="A3215" s="145" t="n">
        <v>5</v>
      </c>
      <c r="B3215" s="204">
        <f>EDATE($B3214,1)</f>
        <v/>
      </c>
      <c r="C3215" s="205">
        <f>EOMONTH($B3215,0)</f>
        <v/>
      </c>
      <c r="D3215" s="201">
        <f>$C3215-$B3215+1</f>
        <v/>
      </c>
      <c r="E3215" s="201">
        <f>MONTH($B3215)</f>
        <v/>
      </c>
      <c r="F3215" s="235">
        <f>($B3215+$C3215+1)/2</f>
        <v/>
      </c>
      <c r="G3215" s="201">
        <f>YEAR($B3215)*12+MONTH($B3215)-1</f>
        <v/>
      </c>
      <c r="H3215" s="207">
        <f>IF(OR(nr_SeasonOn="OFF",$D$3208=0,$E$3208=0),1,12*INDEX(se_block,$D$3208,$E3215)/$E$3208)</f>
        <v/>
      </c>
      <c r="I3215" s="208">
        <f>EXP(SUMPRODUCT((rl_eff&lt;$B3215)*(rl_key=$A$3208)*rl_ln1p))</f>
        <v/>
      </c>
      <c r="J3215" s="208">
        <f>EXP(SUMPRODUCT((rl_eff&lt;=$C3215)*(rl_key=$A$3208)*rl_ln1p))</f>
        <v/>
      </c>
      <c r="K3215" s="201">
        <f>COUNTIFS(rl_key,$A$3208,rl_eff,"&gt;="&amp;$B3215,rl_eff,"&lt;="&amp;$C3215)</f>
        <v/>
      </c>
      <c r="L3215" s="201">
        <f>SUMIFS(rl_daysafter,rl_key,$A$3208,rl_effmonth,$B3215,rl_first,1)</f>
        <v/>
      </c>
      <c r="M3215" s="209">
        <f>IF($K3215=0,0,MIN(1,$L3215/$D3215))</f>
        <v/>
      </c>
      <c r="N3215" s="208">
        <f>IF($K3215=0,$J3215,(1-$M3215)*$I3215+$M3215*$J3215)</f>
        <v/>
      </c>
      <c r="O3215" s="209">
        <f>IF($F3215&lt;$B$3209,$E$3209+$I$3209*($F3215-$A$3209),IF($F3215&lt;$C$3209,$F$3209+$J$3209*($F3215-$B$3209),$G$3209+$K$3209*($F3215-$C$3209)))</f>
        <v/>
      </c>
      <c r="P3215" s="208">
        <f>MIN(1,MAX(0,(nr_MEndPm1-$G3215+0.5)/$C$3208))-MIN(1,MAX(0,(nr_MStartPm1-1-$G3215+0.5)/$C$3208))</f>
        <v/>
      </c>
      <c r="Q3215" s="208">
        <f>MIN(1,MAX(0,(nr_MEndP-$G3215+0.5)/$C$3208))-MIN(1,MAX(0,(nr_MStartP-1-$G3215+0.5)/$C$3208))</f>
        <v/>
      </c>
      <c r="R3215" s="208">
        <f>MIN(1,MAX(0,(nr_MEndP1-$G3215+0.5)/$C$3208))-MIN(1,MAX(0,(nr_MStartP1-1-$G3215+0.5)/$C$3208))</f>
        <v/>
      </c>
      <c r="S3215" s="208">
        <f>IF($L$3208,$N3215*IF($O$3208=1,$O3215/$F$3208,1),"")</f>
        <v/>
      </c>
      <c r="T3215" s="208">
        <f>IF(NOT($L$3208),"",IF($G3215&lt;nr_MStartP,$S3215,$T3203*(1+IF($G3215&lt;nr_MStartP1,$M$3208,$N$3208))))</f>
        <v/>
      </c>
      <c r="U3215" s="208">
        <f>IF($L$3208,$T3215,$N3215)</f>
        <v/>
      </c>
    </row>
    <row r="3216">
      <c r="A3216" s="145" t="n">
        <v>6</v>
      </c>
      <c r="B3216" s="204">
        <f>EDATE($B3215,1)</f>
        <v/>
      </c>
      <c r="C3216" s="205">
        <f>EOMONTH($B3216,0)</f>
        <v/>
      </c>
      <c r="D3216" s="201">
        <f>$C3216-$B3216+1</f>
        <v/>
      </c>
      <c r="E3216" s="201">
        <f>MONTH($B3216)</f>
        <v/>
      </c>
      <c r="F3216" s="235">
        <f>($B3216+$C3216+1)/2</f>
        <v/>
      </c>
      <c r="G3216" s="201">
        <f>YEAR($B3216)*12+MONTH($B3216)-1</f>
        <v/>
      </c>
      <c r="H3216" s="207">
        <f>IF(OR(nr_SeasonOn="OFF",$D$3208=0,$E$3208=0),1,12*INDEX(se_block,$D$3208,$E3216)/$E$3208)</f>
        <v/>
      </c>
      <c r="I3216" s="208">
        <f>EXP(SUMPRODUCT((rl_eff&lt;$B3216)*(rl_key=$A$3208)*rl_ln1p))</f>
        <v/>
      </c>
      <c r="J3216" s="208">
        <f>EXP(SUMPRODUCT((rl_eff&lt;=$C3216)*(rl_key=$A$3208)*rl_ln1p))</f>
        <v/>
      </c>
      <c r="K3216" s="201">
        <f>COUNTIFS(rl_key,$A$3208,rl_eff,"&gt;="&amp;$B3216,rl_eff,"&lt;="&amp;$C3216)</f>
        <v/>
      </c>
      <c r="L3216" s="201">
        <f>SUMIFS(rl_daysafter,rl_key,$A$3208,rl_effmonth,$B3216,rl_first,1)</f>
        <v/>
      </c>
      <c r="M3216" s="209">
        <f>IF($K3216=0,0,MIN(1,$L3216/$D3216))</f>
        <v/>
      </c>
      <c r="N3216" s="208">
        <f>IF($K3216=0,$J3216,(1-$M3216)*$I3216+$M3216*$J3216)</f>
        <v/>
      </c>
      <c r="O3216" s="209">
        <f>IF($F3216&lt;$B$3209,$E$3209+$I$3209*($F3216-$A$3209),IF($F3216&lt;$C$3209,$F$3209+$J$3209*($F3216-$B$3209),$G$3209+$K$3209*($F3216-$C$3209)))</f>
        <v/>
      </c>
      <c r="P3216" s="208">
        <f>MIN(1,MAX(0,(nr_MEndPm1-$G3216+0.5)/$C$3208))-MIN(1,MAX(0,(nr_MStartPm1-1-$G3216+0.5)/$C$3208))</f>
        <v/>
      </c>
      <c r="Q3216" s="208">
        <f>MIN(1,MAX(0,(nr_MEndP-$G3216+0.5)/$C$3208))-MIN(1,MAX(0,(nr_MStartP-1-$G3216+0.5)/$C$3208))</f>
        <v/>
      </c>
      <c r="R3216" s="208">
        <f>MIN(1,MAX(0,(nr_MEndP1-$G3216+0.5)/$C$3208))-MIN(1,MAX(0,(nr_MStartP1-1-$G3216+0.5)/$C$3208))</f>
        <v/>
      </c>
      <c r="S3216" s="208">
        <f>IF($L$3208,$N3216*IF($O$3208=1,$O3216/$F$3208,1),"")</f>
        <v/>
      </c>
      <c r="T3216" s="208">
        <f>IF(NOT($L$3208),"",IF($G3216&lt;nr_MStartP,$S3216,$T3204*(1+IF($G3216&lt;nr_MStartP1,$M$3208,$N$3208))))</f>
        <v/>
      </c>
      <c r="U3216" s="208">
        <f>IF($L$3208,$T3216,$N3216)</f>
        <v/>
      </c>
    </row>
    <row r="3217">
      <c r="A3217" s="145" t="n">
        <v>7</v>
      </c>
      <c r="B3217" s="204">
        <f>EDATE($B3216,1)</f>
        <v/>
      </c>
      <c r="C3217" s="205">
        <f>EOMONTH($B3217,0)</f>
        <v/>
      </c>
      <c r="D3217" s="201">
        <f>$C3217-$B3217+1</f>
        <v/>
      </c>
      <c r="E3217" s="201">
        <f>MONTH($B3217)</f>
        <v/>
      </c>
      <c r="F3217" s="235">
        <f>($B3217+$C3217+1)/2</f>
        <v/>
      </c>
      <c r="G3217" s="201">
        <f>YEAR($B3217)*12+MONTH($B3217)-1</f>
        <v/>
      </c>
      <c r="H3217" s="207">
        <f>IF(OR(nr_SeasonOn="OFF",$D$3208=0,$E$3208=0),1,12*INDEX(se_block,$D$3208,$E3217)/$E$3208)</f>
        <v/>
      </c>
      <c r="I3217" s="208">
        <f>EXP(SUMPRODUCT((rl_eff&lt;$B3217)*(rl_key=$A$3208)*rl_ln1p))</f>
        <v/>
      </c>
      <c r="J3217" s="208">
        <f>EXP(SUMPRODUCT((rl_eff&lt;=$C3217)*(rl_key=$A$3208)*rl_ln1p))</f>
        <v/>
      </c>
      <c r="K3217" s="201">
        <f>COUNTIFS(rl_key,$A$3208,rl_eff,"&gt;="&amp;$B3217,rl_eff,"&lt;="&amp;$C3217)</f>
        <v/>
      </c>
      <c r="L3217" s="201">
        <f>SUMIFS(rl_daysafter,rl_key,$A$3208,rl_effmonth,$B3217,rl_first,1)</f>
        <v/>
      </c>
      <c r="M3217" s="209">
        <f>IF($K3217=0,0,MIN(1,$L3217/$D3217))</f>
        <v/>
      </c>
      <c r="N3217" s="208">
        <f>IF($K3217=0,$J3217,(1-$M3217)*$I3217+$M3217*$J3217)</f>
        <v/>
      </c>
      <c r="O3217" s="209">
        <f>IF($F3217&lt;$B$3209,$E$3209+$I$3209*($F3217-$A$3209),IF($F3217&lt;$C$3209,$F$3209+$J$3209*($F3217-$B$3209),$G$3209+$K$3209*($F3217-$C$3209)))</f>
        <v/>
      </c>
      <c r="P3217" s="208">
        <f>MIN(1,MAX(0,(nr_MEndPm1-$G3217+0.5)/$C$3208))-MIN(1,MAX(0,(nr_MStartPm1-1-$G3217+0.5)/$C$3208))</f>
        <v/>
      </c>
      <c r="Q3217" s="208">
        <f>MIN(1,MAX(0,(nr_MEndP-$G3217+0.5)/$C$3208))-MIN(1,MAX(0,(nr_MStartP-1-$G3217+0.5)/$C$3208))</f>
        <v/>
      </c>
      <c r="R3217" s="208">
        <f>MIN(1,MAX(0,(nr_MEndP1-$G3217+0.5)/$C$3208))-MIN(1,MAX(0,(nr_MStartP1-1-$G3217+0.5)/$C$3208))</f>
        <v/>
      </c>
      <c r="S3217" s="208">
        <f>IF($L$3208,$N3217*IF($O$3208=1,$O3217/$F$3208,1),"")</f>
        <v/>
      </c>
      <c r="T3217" s="208">
        <f>IF(NOT($L$3208),"",IF($G3217&lt;nr_MStartP,$S3217,$T3205*(1+IF($G3217&lt;nr_MStartP1,$M$3208,$N$3208))))</f>
        <v/>
      </c>
      <c r="U3217" s="208">
        <f>IF($L$3208,$T3217,$N3217)</f>
        <v/>
      </c>
    </row>
    <row r="3218">
      <c r="A3218" s="145" t="n">
        <v>8</v>
      </c>
      <c r="B3218" s="204">
        <f>EDATE($B3217,1)</f>
        <v/>
      </c>
      <c r="C3218" s="205">
        <f>EOMONTH($B3218,0)</f>
        <v/>
      </c>
      <c r="D3218" s="201">
        <f>$C3218-$B3218+1</f>
        <v/>
      </c>
      <c r="E3218" s="201">
        <f>MONTH($B3218)</f>
        <v/>
      </c>
      <c r="F3218" s="235">
        <f>($B3218+$C3218+1)/2</f>
        <v/>
      </c>
      <c r="G3218" s="201">
        <f>YEAR($B3218)*12+MONTH($B3218)-1</f>
        <v/>
      </c>
      <c r="H3218" s="207">
        <f>IF(OR(nr_SeasonOn="OFF",$D$3208=0,$E$3208=0),1,12*INDEX(se_block,$D$3208,$E3218)/$E$3208)</f>
        <v/>
      </c>
      <c r="I3218" s="208">
        <f>EXP(SUMPRODUCT((rl_eff&lt;$B3218)*(rl_key=$A$3208)*rl_ln1p))</f>
        <v/>
      </c>
      <c r="J3218" s="208">
        <f>EXP(SUMPRODUCT((rl_eff&lt;=$C3218)*(rl_key=$A$3208)*rl_ln1p))</f>
        <v/>
      </c>
      <c r="K3218" s="201">
        <f>COUNTIFS(rl_key,$A$3208,rl_eff,"&gt;="&amp;$B3218,rl_eff,"&lt;="&amp;$C3218)</f>
        <v/>
      </c>
      <c r="L3218" s="201">
        <f>SUMIFS(rl_daysafter,rl_key,$A$3208,rl_effmonth,$B3218,rl_first,1)</f>
        <v/>
      </c>
      <c r="M3218" s="209">
        <f>IF($K3218=0,0,MIN(1,$L3218/$D3218))</f>
        <v/>
      </c>
      <c r="N3218" s="208">
        <f>IF($K3218=0,$J3218,(1-$M3218)*$I3218+$M3218*$J3218)</f>
        <v/>
      </c>
      <c r="O3218" s="209">
        <f>IF($F3218&lt;$B$3209,$E$3209+$I$3209*($F3218-$A$3209),IF($F3218&lt;$C$3209,$F$3209+$J$3209*($F3218-$B$3209),$G$3209+$K$3209*($F3218-$C$3209)))</f>
        <v/>
      </c>
      <c r="P3218" s="208">
        <f>MIN(1,MAX(0,(nr_MEndPm1-$G3218+0.5)/$C$3208))-MIN(1,MAX(0,(nr_MStartPm1-1-$G3218+0.5)/$C$3208))</f>
        <v/>
      </c>
      <c r="Q3218" s="208">
        <f>MIN(1,MAX(0,(nr_MEndP-$G3218+0.5)/$C$3208))-MIN(1,MAX(0,(nr_MStartP-1-$G3218+0.5)/$C$3208))</f>
        <v/>
      </c>
      <c r="R3218" s="208">
        <f>MIN(1,MAX(0,(nr_MEndP1-$G3218+0.5)/$C$3208))-MIN(1,MAX(0,(nr_MStartP1-1-$G3218+0.5)/$C$3208))</f>
        <v/>
      </c>
      <c r="S3218" s="208">
        <f>IF($L$3208,$N3218*IF($O$3208=1,$O3218/$F$3208,1),"")</f>
        <v/>
      </c>
      <c r="T3218" s="208">
        <f>IF(NOT($L$3208),"",IF($G3218&lt;nr_MStartP,$S3218,$T3206*(1+IF($G3218&lt;nr_MStartP1,$M$3208,$N$3208))))</f>
        <v/>
      </c>
      <c r="U3218" s="208">
        <f>IF($L$3208,$T3218,$N3218)</f>
        <v/>
      </c>
    </row>
    <row r="3219">
      <c r="A3219" s="145" t="n">
        <v>9</v>
      </c>
      <c r="B3219" s="204">
        <f>EDATE($B3218,1)</f>
        <v/>
      </c>
      <c r="C3219" s="205">
        <f>EOMONTH($B3219,0)</f>
        <v/>
      </c>
      <c r="D3219" s="201">
        <f>$C3219-$B3219+1</f>
        <v/>
      </c>
      <c r="E3219" s="201">
        <f>MONTH($B3219)</f>
        <v/>
      </c>
      <c r="F3219" s="235">
        <f>($B3219+$C3219+1)/2</f>
        <v/>
      </c>
      <c r="G3219" s="201">
        <f>YEAR($B3219)*12+MONTH($B3219)-1</f>
        <v/>
      </c>
      <c r="H3219" s="207">
        <f>IF(OR(nr_SeasonOn="OFF",$D$3208=0,$E$3208=0),1,12*INDEX(se_block,$D$3208,$E3219)/$E$3208)</f>
        <v/>
      </c>
      <c r="I3219" s="208">
        <f>EXP(SUMPRODUCT((rl_eff&lt;$B3219)*(rl_key=$A$3208)*rl_ln1p))</f>
        <v/>
      </c>
      <c r="J3219" s="208">
        <f>EXP(SUMPRODUCT((rl_eff&lt;=$C3219)*(rl_key=$A$3208)*rl_ln1p))</f>
        <v/>
      </c>
      <c r="K3219" s="201">
        <f>COUNTIFS(rl_key,$A$3208,rl_eff,"&gt;="&amp;$B3219,rl_eff,"&lt;="&amp;$C3219)</f>
        <v/>
      </c>
      <c r="L3219" s="201">
        <f>SUMIFS(rl_daysafter,rl_key,$A$3208,rl_effmonth,$B3219,rl_first,1)</f>
        <v/>
      </c>
      <c r="M3219" s="209">
        <f>IF($K3219=0,0,MIN(1,$L3219/$D3219))</f>
        <v/>
      </c>
      <c r="N3219" s="208">
        <f>IF($K3219=0,$J3219,(1-$M3219)*$I3219+$M3219*$J3219)</f>
        <v/>
      </c>
      <c r="O3219" s="209">
        <f>IF($F3219&lt;$B$3209,$E$3209+$I$3209*($F3219-$A$3209),IF($F3219&lt;$C$3209,$F$3209+$J$3209*($F3219-$B$3209),$G$3209+$K$3209*($F3219-$C$3209)))</f>
        <v/>
      </c>
      <c r="P3219" s="208">
        <f>MIN(1,MAX(0,(nr_MEndPm1-$G3219+0.5)/$C$3208))-MIN(1,MAX(0,(nr_MStartPm1-1-$G3219+0.5)/$C$3208))</f>
        <v/>
      </c>
      <c r="Q3219" s="208">
        <f>MIN(1,MAX(0,(nr_MEndP-$G3219+0.5)/$C$3208))-MIN(1,MAX(0,(nr_MStartP-1-$G3219+0.5)/$C$3208))</f>
        <v/>
      </c>
      <c r="R3219" s="208">
        <f>MIN(1,MAX(0,(nr_MEndP1-$G3219+0.5)/$C$3208))-MIN(1,MAX(0,(nr_MStartP1-1-$G3219+0.5)/$C$3208))</f>
        <v/>
      </c>
      <c r="S3219" s="208">
        <f>IF($L$3208,$N3219*IF($O$3208=1,$O3219/$F$3208,1),"")</f>
        <v/>
      </c>
      <c r="T3219" s="208">
        <f>IF(NOT($L$3208),"",IF($G3219&lt;nr_MStartP,$S3219,$T3207*(1+IF($G3219&lt;nr_MStartP1,$M$3208,$N$3208))))</f>
        <v/>
      </c>
      <c r="U3219" s="208">
        <f>IF($L$3208,$T3219,$N3219)</f>
        <v/>
      </c>
    </row>
    <row r="3220">
      <c r="A3220" s="145" t="n">
        <v>10</v>
      </c>
      <c r="B3220" s="204">
        <f>EDATE($B3219,1)</f>
        <v/>
      </c>
      <c r="C3220" s="205">
        <f>EOMONTH($B3220,0)</f>
        <v/>
      </c>
      <c r="D3220" s="201">
        <f>$C3220-$B3220+1</f>
        <v/>
      </c>
      <c r="E3220" s="201">
        <f>MONTH($B3220)</f>
        <v/>
      </c>
      <c r="F3220" s="235">
        <f>($B3220+$C3220+1)/2</f>
        <v/>
      </c>
      <c r="G3220" s="201">
        <f>YEAR($B3220)*12+MONTH($B3220)-1</f>
        <v/>
      </c>
      <c r="H3220" s="207">
        <f>IF(OR(nr_SeasonOn="OFF",$D$3208=0,$E$3208=0),1,12*INDEX(se_block,$D$3208,$E3220)/$E$3208)</f>
        <v/>
      </c>
      <c r="I3220" s="208">
        <f>EXP(SUMPRODUCT((rl_eff&lt;$B3220)*(rl_key=$A$3208)*rl_ln1p))</f>
        <v/>
      </c>
      <c r="J3220" s="208">
        <f>EXP(SUMPRODUCT((rl_eff&lt;=$C3220)*(rl_key=$A$3208)*rl_ln1p))</f>
        <v/>
      </c>
      <c r="K3220" s="201">
        <f>COUNTIFS(rl_key,$A$3208,rl_eff,"&gt;="&amp;$B3220,rl_eff,"&lt;="&amp;$C3220)</f>
        <v/>
      </c>
      <c r="L3220" s="201">
        <f>SUMIFS(rl_daysafter,rl_key,$A$3208,rl_effmonth,$B3220,rl_first,1)</f>
        <v/>
      </c>
      <c r="M3220" s="209">
        <f>IF($K3220=0,0,MIN(1,$L3220/$D3220))</f>
        <v/>
      </c>
      <c r="N3220" s="208">
        <f>IF($K3220=0,$J3220,(1-$M3220)*$I3220+$M3220*$J3220)</f>
        <v/>
      </c>
      <c r="O3220" s="209">
        <f>IF($F3220&lt;$B$3209,$E$3209+$I$3209*($F3220-$A$3209),IF($F3220&lt;$C$3209,$F$3209+$J$3209*($F3220-$B$3209),$G$3209+$K$3209*($F3220-$C$3209)))</f>
        <v/>
      </c>
      <c r="P3220" s="208">
        <f>MIN(1,MAX(0,(nr_MEndPm1-$G3220+0.5)/$C$3208))-MIN(1,MAX(0,(nr_MStartPm1-1-$G3220+0.5)/$C$3208))</f>
        <v/>
      </c>
      <c r="Q3220" s="208">
        <f>MIN(1,MAX(0,(nr_MEndP-$G3220+0.5)/$C$3208))-MIN(1,MAX(0,(nr_MStartP-1-$G3220+0.5)/$C$3208))</f>
        <v/>
      </c>
      <c r="R3220" s="208">
        <f>MIN(1,MAX(0,(nr_MEndP1-$G3220+0.5)/$C$3208))-MIN(1,MAX(0,(nr_MStartP1-1-$G3220+0.5)/$C$3208))</f>
        <v/>
      </c>
      <c r="S3220" s="208">
        <f>IF($L$3208,$N3220*IF($O$3208=1,$O3220/$F$3208,1),"")</f>
        <v/>
      </c>
      <c r="T3220" s="208">
        <f>IF(NOT($L$3208),"",IF($G3220&lt;nr_MStartP,$S3220,$T3208*(1+IF($G3220&lt;nr_MStartP1,$M$3208,$N$3208))))</f>
        <v/>
      </c>
      <c r="U3220" s="208">
        <f>IF($L$3208,$T3220,$N3220)</f>
        <v/>
      </c>
    </row>
    <row r="3221">
      <c r="A3221" s="145" t="n">
        <v>11</v>
      </c>
      <c r="B3221" s="204">
        <f>EDATE($B3220,1)</f>
        <v/>
      </c>
      <c r="C3221" s="205">
        <f>EOMONTH($B3221,0)</f>
        <v/>
      </c>
      <c r="D3221" s="201">
        <f>$C3221-$B3221+1</f>
        <v/>
      </c>
      <c r="E3221" s="201">
        <f>MONTH($B3221)</f>
        <v/>
      </c>
      <c r="F3221" s="235">
        <f>($B3221+$C3221+1)/2</f>
        <v/>
      </c>
      <c r="G3221" s="201">
        <f>YEAR($B3221)*12+MONTH($B3221)-1</f>
        <v/>
      </c>
      <c r="H3221" s="207">
        <f>IF(OR(nr_SeasonOn="OFF",$D$3208=0,$E$3208=0),1,12*INDEX(se_block,$D$3208,$E3221)/$E$3208)</f>
        <v/>
      </c>
      <c r="I3221" s="208">
        <f>EXP(SUMPRODUCT((rl_eff&lt;$B3221)*(rl_key=$A$3208)*rl_ln1p))</f>
        <v/>
      </c>
      <c r="J3221" s="208">
        <f>EXP(SUMPRODUCT((rl_eff&lt;=$C3221)*(rl_key=$A$3208)*rl_ln1p))</f>
        <v/>
      </c>
      <c r="K3221" s="201">
        <f>COUNTIFS(rl_key,$A$3208,rl_eff,"&gt;="&amp;$B3221,rl_eff,"&lt;="&amp;$C3221)</f>
        <v/>
      </c>
      <c r="L3221" s="201">
        <f>SUMIFS(rl_daysafter,rl_key,$A$3208,rl_effmonth,$B3221,rl_first,1)</f>
        <v/>
      </c>
      <c r="M3221" s="209">
        <f>IF($K3221=0,0,MIN(1,$L3221/$D3221))</f>
        <v/>
      </c>
      <c r="N3221" s="208">
        <f>IF($K3221=0,$J3221,(1-$M3221)*$I3221+$M3221*$J3221)</f>
        <v/>
      </c>
      <c r="O3221" s="209">
        <f>IF($F3221&lt;$B$3209,$E$3209+$I$3209*($F3221-$A$3209),IF($F3221&lt;$C$3209,$F$3209+$J$3209*($F3221-$B$3209),$G$3209+$K$3209*($F3221-$C$3209)))</f>
        <v/>
      </c>
      <c r="P3221" s="208">
        <f>MIN(1,MAX(0,(nr_MEndPm1-$G3221+0.5)/$C$3208))-MIN(1,MAX(0,(nr_MStartPm1-1-$G3221+0.5)/$C$3208))</f>
        <v/>
      </c>
      <c r="Q3221" s="208">
        <f>MIN(1,MAX(0,(nr_MEndP-$G3221+0.5)/$C$3208))-MIN(1,MAX(0,(nr_MStartP-1-$G3221+0.5)/$C$3208))</f>
        <v/>
      </c>
      <c r="R3221" s="208">
        <f>MIN(1,MAX(0,(nr_MEndP1-$G3221+0.5)/$C$3208))-MIN(1,MAX(0,(nr_MStartP1-1-$G3221+0.5)/$C$3208))</f>
        <v/>
      </c>
      <c r="S3221" s="208">
        <f>IF($L$3208,$N3221*IF($O$3208=1,$O3221/$F$3208,1),"")</f>
        <v/>
      </c>
      <c r="T3221" s="208">
        <f>IF(NOT($L$3208),"",IF($G3221&lt;nr_MStartP,$S3221,$T3209*(1+IF($G3221&lt;nr_MStartP1,$M$3208,$N$3208))))</f>
        <v/>
      </c>
      <c r="U3221" s="208">
        <f>IF($L$3208,$T3221,$N3221)</f>
        <v/>
      </c>
    </row>
    <row r="3222">
      <c r="A3222" s="145" t="n">
        <v>12</v>
      </c>
      <c r="B3222" s="204">
        <f>EDATE($B3221,1)</f>
        <v/>
      </c>
      <c r="C3222" s="205">
        <f>EOMONTH($B3222,0)</f>
        <v/>
      </c>
      <c r="D3222" s="201">
        <f>$C3222-$B3222+1</f>
        <v/>
      </c>
      <c r="E3222" s="201">
        <f>MONTH($B3222)</f>
        <v/>
      </c>
      <c r="F3222" s="235">
        <f>($B3222+$C3222+1)/2</f>
        <v/>
      </c>
      <c r="G3222" s="201">
        <f>YEAR($B3222)*12+MONTH($B3222)-1</f>
        <v/>
      </c>
      <c r="H3222" s="207">
        <f>IF(OR(nr_SeasonOn="OFF",$D$3208=0,$E$3208=0),1,12*INDEX(se_block,$D$3208,$E3222)/$E$3208)</f>
        <v/>
      </c>
      <c r="I3222" s="208">
        <f>EXP(SUMPRODUCT((rl_eff&lt;$B3222)*(rl_key=$A$3208)*rl_ln1p))</f>
        <v/>
      </c>
      <c r="J3222" s="208">
        <f>EXP(SUMPRODUCT((rl_eff&lt;=$C3222)*(rl_key=$A$3208)*rl_ln1p))</f>
        <v/>
      </c>
      <c r="K3222" s="201">
        <f>COUNTIFS(rl_key,$A$3208,rl_eff,"&gt;="&amp;$B3222,rl_eff,"&lt;="&amp;$C3222)</f>
        <v/>
      </c>
      <c r="L3222" s="201">
        <f>SUMIFS(rl_daysafter,rl_key,$A$3208,rl_effmonth,$B3222,rl_first,1)</f>
        <v/>
      </c>
      <c r="M3222" s="209">
        <f>IF($K3222=0,0,MIN(1,$L3222/$D3222))</f>
        <v/>
      </c>
      <c r="N3222" s="208">
        <f>IF($K3222=0,$J3222,(1-$M3222)*$I3222+$M3222*$J3222)</f>
        <v/>
      </c>
      <c r="O3222" s="209">
        <f>IF($F3222&lt;$B$3209,$E$3209+$I$3209*($F3222-$A$3209),IF($F3222&lt;$C$3209,$F$3209+$J$3209*($F3222-$B$3209),$G$3209+$K$3209*($F3222-$C$3209)))</f>
        <v/>
      </c>
      <c r="P3222" s="208">
        <f>MIN(1,MAX(0,(nr_MEndPm1-$G3222+0.5)/$C$3208))-MIN(1,MAX(0,(nr_MStartPm1-1-$G3222+0.5)/$C$3208))</f>
        <v/>
      </c>
      <c r="Q3222" s="208">
        <f>MIN(1,MAX(0,(nr_MEndP-$G3222+0.5)/$C$3208))-MIN(1,MAX(0,(nr_MStartP-1-$G3222+0.5)/$C$3208))</f>
        <v/>
      </c>
      <c r="R3222" s="208">
        <f>MIN(1,MAX(0,(nr_MEndP1-$G3222+0.5)/$C$3208))-MIN(1,MAX(0,(nr_MStartP1-1-$G3222+0.5)/$C$3208))</f>
        <v/>
      </c>
      <c r="S3222" s="208">
        <f>IF($L$3208,$N3222*IF($O$3208=1,$O3222/$F$3208,1),"")</f>
        <v/>
      </c>
      <c r="T3222" s="208">
        <f>IF(NOT($L$3208),"",IF($G3222&lt;nr_MStartP,$S3222,$T3210*(1+IF($G3222&lt;nr_MStartP1,$M$3208,$N$3208))))</f>
        <v/>
      </c>
      <c r="U3222" s="208">
        <f>IF($L$3208,$T3222,$N3222)</f>
        <v/>
      </c>
    </row>
    <row r="3223">
      <c r="A3223" s="145" t="n">
        <v>13</v>
      </c>
      <c r="B3223" s="204">
        <f>EDATE($B3222,1)</f>
        <v/>
      </c>
      <c r="C3223" s="205">
        <f>EOMONTH($B3223,0)</f>
        <v/>
      </c>
      <c r="D3223" s="201">
        <f>$C3223-$B3223+1</f>
        <v/>
      </c>
      <c r="E3223" s="201">
        <f>MONTH($B3223)</f>
        <v/>
      </c>
      <c r="F3223" s="235">
        <f>($B3223+$C3223+1)/2</f>
        <v/>
      </c>
      <c r="G3223" s="201">
        <f>YEAR($B3223)*12+MONTH($B3223)-1</f>
        <v/>
      </c>
      <c r="H3223" s="207">
        <f>IF(OR(nr_SeasonOn="OFF",$D$3208=0,$E$3208=0),1,12*INDEX(se_block,$D$3208,$E3223)/$E$3208)</f>
        <v/>
      </c>
      <c r="I3223" s="208">
        <f>EXP(SUMPRODUCT((rl_eff&lt;$B3223)*(rl_key=$A$3208)*rl_ln1p))</f>
        <v/>
      </c>
      <c r="J3223" s="208">
        <f>EXP(SUMPRODUCT((rl_eff&lt;=$C3223)*(rl_key=$A$3208)*rl_ln1p))</f>
        <v/>
      </c>
      <c r="K3223" s="201">
        <f>COUNTIFS(rl_key,$A$3208,rl_eff,"&gt;="&amp;$B3223,rl_eff,"&lt;="&amp;$C3223)</f>
        <v/>
      </c>
      <c r="L3223" s="201">
        <f>SUMIFS(rl_daysafter,rl_key,$A$3208,rl_effmonth,$B3223,rl_first,1)</f>
        <v/>
      </c>
      <c r="M3223" s="209">
        <f>IF($K3223=0,0,MIN(1,$L3223/$D3223))</f>
        <v/>
      </c>
      <c r="N3223" s="208">
        <f>IF($K3223=0,$J3223,(1-$M3223)*$I3223+$M3223*$J3223)</f>
        <v/>
      </c>
      <c r="O3223" s="209">
        <f>IF($F3223&lt;$B$3209,$E$3209+$I$3209*($F3223-$A$3209),IF($F3223&lt;$C$3209,$F$3209+$J$3209*($F3223-$B$3209),$G$3209+$K$3209*($F3223-$C$3209)))</f>
        <v/>
      </c>
      <c r="P3223" s="208">
        <f>MIN(1,MAX(0,(nr_MEndPm1-$G3223+0.5)/$C$3208))-MIN(1,MAX(0,(nr_MStartPm1-1-$G3223+0.5)/$C$3208))</f>
        <v/>
      </c>
      <c r="Q3223" s="208">
        <f>MIN(1,MAX(0,(nr_MEndP-$G3223+0.5)/$C$3208))-MIN(1,MAX(0,(nr_MStartP-1-$G3223+0.5)/$C$3208))</f>
        <v/>
      </c>
      <c r="R3223" s="208">
        <f>MIN(1,MAX(0,(nr_MEndP1-$G3223+0.5)/$C$3208))-MIN(1,MAX(0,(nr_MStartP1-1-$G3223+0.5)/$C$3208))</f>
        <v/>
      </c>
      <c r="S3223" s="208">
        <f>IF($L$3208,$N3223*IF($O$3208=1,$O3223/$F$3208,1),"")</f>
        <v/>
      </c>
      <c r="T3223" s="208">
        <f>IF(NOT($L$3208),"",IF($G3223&lt;nr_MStartP,$S3223,$T3211*(1+IF($G3223&lt;nr_MStartP1,$M$3208,$N$3208))))</f>
        <v/>
      </c>
      <c r="U3223" s="208">
        <f>IF($L$3208,$T3223,$N3223)</f>
        <v/>
      </c>
    </row>
    <row r="3224">
      <c r="A3224" s="145" t="n">
        <v>14</v>
      </c>
      <c r="B3224" s="204">
        <f>EDATE($B3223,1)</f>
        <v/>
      </c>
      <c r="C3224" s="205">
        <f>EOMONTH($B3224,0)</f>
        <v/>
      </c>
      <c r="D3224" s="201">
        <f>$C3224-$B3224+1</f>
        <v/>
      </c>
      <c r="E3224" s="201">
        <f>MONTH($B3224)</f>
        <v/>
      </c>
      <c r="F3224" s="235">
        <f>($B3224+$C3224+1)/2</f>
        <v/>
      </c>
      <c r="G3224" s="201">
        <f>YEAR($B3224)*12+MONTH($B3224)-1</f>
        <v/>
      </c>
      <c r="H3224" s="207">
        <f>IF(OR(nr_SeasonOn="OFF",$D$3208=0,$E$3208=0),1,12*INDEX(se_block,$D$3208,$E3224)/$E$3208)</f>
        <v/>
      </c>
      <c r="I3224" s="208">
        <f>EXP(SUMPRODUCT((rl_eff&lt;$B3224)*(rl_key=$A$3208)*rl_ln1p))</f>
        <v/>
      </c>
      <c r="J3224" s="208">
        <f>EXP(SUMPRODUCT((rl_eff&lt;=$C3224)*(rl_key=$A$3208)*rl_ln1p))</f>
        <v/>
      </c>
      <c r="K3224" s="201">
        <f>COUNTIFS(rl_key,$A$3208,rl_eff,"&gt;="&amp;$B3224,rl_eff,"&lt;="&amp;$C3224)</f>
        <v/>
      </c>
      <c r="L3224" s="201">
        <f>SUMIFS(rl_daysafter,rl_key,$A$3208,rl_effmonth,$B3224,rl_first,1)</f>
        <v/>
      </c>
      <c r="M3224" s="209">
        <f>IF($K3224=0,0,MIN(1,$L3224/$D3224))</f>
        <v/>
      </c>
      <c r="N3224" s="208">
        <f>IF($K3224=0,$J3224,(1-$M3224)*$I3224+$M3224*$J3224)</f>
        <v/>
      </c>
      <c r="O3224" s="209">
        <f>IF($F3224&lt;$B$3209,$E$3209+$I$3209*($F3224-$A$3209),IF($F3224&lt;$C$3209,$F$3209+$J$3209*($F3224-$B$3209),$G$3209+$K$3209*($F3224-$C$3209)))</f>
        <v/>
      </c>
      <c r="P3224" s="208">
        <f>MIN(1,MAX(0,(nr_MEndPm1-$G3224+0.5)/$C$3208))-MIN(1,MAX(0,(nr_MStartPm1-1-$G3224+0.5)/$C$3208))</f>
        <v/>
      </c>
      <c r="Q3224" s="208">
        <f>MIN(1,MAX(0,(nr_MEndP-$G3224+0.5)/$C$3208))-MIN(1,MAX(0,(nr_MStartP-1-$G3224+0.5)/$C$3208))</f>
        <v/>
      </c>
      <c r="R3224" s="208">
        <f>MIN(1,MAX(0,(nr_MEndP1-$G3224+0.5)/$C$3208))-MIN(1,MAX(0,(nr_MStartP1-1-$G3224+0.5)/$C$3208))</f>
        <v/>
      </c>
      <c r="S3224" s="208">
        <f>IF($L$3208,$N3224*IF($O$3208=1,$O3224/$F$3208,1),"")</f>
        <v/>
      </c>
      <c r="T3224" s="208">
        <f>IF(NOT($L$3208),"",IF($G3224&lt;nr_MStartP,$S3224,$T3212*(1+IF($G3224&lt;nr_MStartP1,$M$3208,$N$3208))))</f>
        <v/>
      </c>
      <c r="U3224" s="208">
        <f>IF($L$3208,$T3224,$N3224)</f>
        <v/>
      </c>
    </row>
    <row r="3225">
      <c r="A3225" s="145" t="n">
        <v>15</v>
      </c>
      <c r="B3225" s="204">
        <f>EDATE($B3224,1)</f>
        <v/>
      </c>
      <c r="C3225" s="205">
        <f>EOMONTH($B3225,0)</f>
        <v/>
      </c>
      <c r="D3225" s="201">
        <f>$C3225-$B3225+1</f>
        <v/>
      </c>
      <c r="E3225" s="201">
        <f>MONTH($B3225)</f>
        <v/>
      </c>
      <c r="F3225" s="235">
        <f>($B3225+$C3225+1)/2</f>
        <v/>
      </c>
      <c r="G3225" s="201">
        <f>YEAR($B3225)*12+MONTH($B3225)-1</f>
        <v/>
      </c>
      <c r="H3225" s="207">
        <f>IF(OR(nr_SeasonOn="OFF",$D$3208=0,$E$3208=0),1,12*INDEX(se_block,$D$3208,$E3225)/$E$3208)</f>
        <v/>
      </c>
      <c r="I3225" s="208">
        <f>EXP(SUMPRODUCT((rl_eff&lt;$B3225)*(rl_key=$A$3208)*rl_ln1p))</f>
        <v/>
      </c>
      <c r="J3225" s="208">
        <f>EXP(SUMPRODUCT((rl_eff&lt;=$C3225)*(rl_key=$A$3208)*rl_ln1p))</f>
        <v/>
      </c>
      <c r="K3225" s="201">
        <f>COUNTIFS(rl_key,$A$3208,rl_eff,"&gt;="&amp;$B3225,rl_eff,"&lt;="&amp;$C3225)</f>
        <v/>
      </c>
      <c r="L3225" s="201">
        <f>SUMIFS(rl_daysafter,rl_key,$A$3208,rl_effmonth,$B3225,rl_first,1)</f>
        <v/>
      </c>
      <c r="M3225" s="209">
        <f>IF($K3225=0,0,MIN(1,$L3225/$D3225))</f>
        <v/>
      </c>
      <c r="N3225" s="208">
        <f>IF($K3225=0,$J3225,(1-$M3225)*$I3225+$M3225*$J3225)</f>
        <v/>
      </c>
      <c r="O3225" s="209">
        <f>IF($F3225&lt;$B$3209,$E$3209+$I$3209*($F3225-$A$3209),IF($F3225&lt;$C$3209,$F$3209+$J$3209*($F3225-$B$3209),$G$3209+$K$3209*($F3225-$C$3209)))</f>
        <v/>
      </c>
      <c r="P3225" s="208">
        <f>MIN(1,MAX(0,(nr_MEndPm1-$G3225+0.5)/$C$3208))-MIN(1,MAX(0,(nr_MStartPm1-1-$G3225+0.5)/$C$3208))</f>
        <v/>
      </c>
      <c r="Q3225" s="208">
        <f>MIN(1,MAX(0,(nr_MEndP-$G3225+0.5)/$C$3208))-MIN(1,MAX(0,(nr_MStartP-1-$G3225+0.5)/$C$3208))</f>
        <v/>
      </c>
      <c r="R3225" s="208">
        <f>MIN(1,MAX(0,(nr_MEndP1-$G3225+0.5)/$C$3208))-MIN(1,MAX(0,(nr_MStartP1-1-$G3225+0.5)/$C$3208))</f>
        <v/>
      </c>
      <c r="S3225" s="208">
        <f>IF($L$3208,$N3225*IF($O$3208=1,$O3225/$F$3208,1),"")</f>
        <v/>
      </c>
      <c r="T3225" s="208">
        <f>IF(NOT($L$3208),"",IF($G3225&lt;nr_MStartP,$S3225,$T3213*(1+IF($G3225&lt;nr_MStartP1,$M$3208,$N$3208))))</f>
        <v/>
      </c>
      <c r="U3225" s="208">
        <f>IF($L$3208,$T3225,$N3225)</f>
        <v/>
      </c>
    </row>
    <row r="3226">
      <c r="A3226" s="145" t="n">
        <v>16</v>
      </c>
      <c r="B3226" s="204">
        <f>EDATE($B3225,1)</f>
        <v/>
      </c>
      <c r="C3226" s="205">
        <f>EOMONTH($B3226,0)</f>
        <v/>
      </c>
      <c r="D3226" s="201">
        <f>$C3226-$B3226+1</f>
        <v/>
      </c>
      <c r="E3226" s="201">
        <f>MONTH($B3226)</f>
        <v/>
      </c>
      <c r="F3226" s="235">
        <f>($B3226+$C3226+1)/2</f>
        <v/>
      </c>
      <c r="G3226" s="201">
        <f>YEAR($B3226)*12+MONTH($B3226)-1</f>
        <v/>
      </c>
      <c r="H3226" s="207">
        <f>IF(OR(nr_SeasonOn="OFF",$D$3208=0,$E$3208=0),1,12*INDEX(se_block,$D$3208,$E3226)/$E$3208)</f>
        <v/>
      </c>
      <c r="I3226" s="208">
        <f>EXP(SUMPRODUCT((rl_eff&lt;$B3226)*(rl_key=$A$3208)*rl_ln1p))</f>
        <v/>
      </c>
      <c r="J3226" s="208">
        <f>EXP(SUMPRODUCT((rl_eff&lt;=$C3226)*(rl_key=$A$3208)*rl_ln1p))</f>
        <v/>
      </c>
      <c r="K3226" s="201">
        <f>COUNTIFS(rl_key,$A$3208,rl_eff,"&gt;="&amp;$B3226,rl_eff,"&lt;="&amp;$C3226)</f>
        <v/>
      </c>
      <c r="L3226" s="201">
        <f>SUMIFS(rl_daysafter,rl_key,$A$3208,rl_effmonth,$B3226,rl_first,1)</f>
        <v/>
      </c>
      <c r="M3226" s="209">
        <f>IF($K3226=0,0,MIN(1,$L3226/$D3226))</f>
        <v/>
      </c>
      <c r="N3226" s="208">
        <f>IF($K3226=0,$J3226,(1-$M3226)*$I3226+$M3226*$J3226)</f>
        <v/>
      </c>
      <c r="O3226" s="209">
        <f>IF($F3226&lt;$B$3209,$E$3209+$I$3209*($F3226-$A$3209),IF($F3226&lt;$C$3209,$F$3209+$J$3209*($F3226-$B$3209),$G$3209+$K$3209*($F3226-$C$3209)))</f>
        <v/>
      </c>
      <c r="P3226" s="208">
        <f>MIN(1,MAX(0,(nr_MEndPm1-$G3226+0.5)/$C$3208))-MIN(1,MAX(0,(nr_MStartPm1-1-$G3226+0.5)/$C$3208))</f>
        <v/>
      </c>
      <c r="Q3226" s="208">
        <f>MIN(1,MAX(0,(nr_MEndP-$G3226+0.5)/$C$3208))-MIN(1,MAX(0,(nr_MStartP-1-$G3226+0.5)/$C$3208))</f>
        <v/>
      </c>
      <c r="R3226" s="208">
        <f>MIN(1,MAX(0,(nr_MEndP1-$G3226+0.5)/$C$3208))-MIN(1,MAX(0,(nr_MStartP1-1-$G3226+0.5)/$C$3208))</f>
        <v/>
      </c>
      <c r="S3226" s="208">
        <f>IF($L$3208,$N3226*IF($O$3208=1,$O3226/$F$3208,1),"")</f>
        <v/>
      </c>
      <c r="T3226" s="208">
        <f>IF(NOT($L$3208),"",IF($G3226&lt;nr_MStartP,$S3226,$T3214*(1+IF($G3226&lt;nr_MStartP1,$M$3208,$N$3208))))</f>
        <v/>
      </c>
      <c r="U3226" s="208">
        <f>IF($L$3208,$T3226,$N3226)</f>
        <v/>
      </c>
    </row>
    <row r="3227">
      <c r="A3227" s="145" t="n">
        <v>17</v>
      </c>
      <c r="B3227" s="204">
        <f>EDATE($B3226,1)</f>
        <v/>
      </c>
      <c r="C3227" s="205">
        <f>EOMONTH($B3227,0)</f>
        <v/>
      </c>
      <c r="D3227" s="201">
        <f>$C3227-$B3227+1</f>
        <v/>
      </c>
      <c r="E3227" s="201">
        <f>MONTH($B3227)</f>
        <v/>
      </c>
      <c r="F3227" s="235">
        <f>($B3227+$C3227+1)/2</f>
        <v/>
      </c>
      <c r="G3227" s="201">
        <f>YEAR($B3227)*12+MONTH($B3227)-1</f>
        <v/>
      </c>
      <c r="H3227" s="207">
        <f>IF(OR(nr_SeasonOn="OFF",$D$3208=0,$E$3208=0),1,12*INDEX(se_block,$D$3208,$E3227)/$E$3208)</f>
        <v/>
      </c>
      <c r="I3227" s="208">
        <f>EXP(SUMPRODUCT((rl_eff&lt;$B3227)*(rl_key=$A$3208)*rl_ln1p))</f>
        <v/>
      </c>
      <c r="J3227" s="208">
        <f>EXP(SUMPRODUCT((rl_eff&lt;=$C3227)*(rl_key=$A$3208)*rl_ln1p))</f>
        <v/>
      </c>
      <c r="K3227" s="201">
        <f>COUNTIFS(rl_key,$A$3208,rl_eff,"&gt;="&amp;$B3227,rl_eff,"&lt;="&amp;$C3227)</f>
        <v/>
      </c>
      <c r="L3227" s="201">
        <f>SUMIFS(rl_daysafter,rl_key,$A$3208,rl_effmonth,$B3227,rl_first,1)</f>
        <v/>
      </c>
      <c r="M3227" s="209">
        <f>IF($K3227=0,0,MIN(1,$L3227/$D3227))</f>
        <v/>
      </c>
      <c r="N3227" s="208">
        <f>IF($K3227=0,$J3227,(1-$M3227)*$I3227+$M3227*$J3227)</f>
        <v/>
      </c>
      <c r="O3227" s="209">
        <f>IF($F3227&lt;$B$3209,$E$3209+$I$3209*($F3227-$A$3209),IF($F3227&lt;$C$3209,$F$3209+$J$3209*($F3227-$B$3209),$G$3209+$K$3209*($F3227-$C$3209)))</f>
        <v/>
      </c>
      <c r="P3227" s="208">
        <f>MIN(1,MAX(0,(nr_MEndPm1-$G3227+0.5)/$C$3208))-MIN(1,MAX(0,(nr_MStartPm1-1-$G3227+0.5)/$C$3208))</f>
        <v/>
      </c>
      <c r="Q3227" s="208">
        <f>MIN(1,MAX(0,(nr_MEndP-$G3227+0.5)/$C$3208))-MIN(1,MAX(0,(nr_MStartP-1-$G3227+0.5)/$C$3208))</f>
        <v/>
      </c>
      <c r="R3227" s="208">
        <f>MIN(1,MAX(0,(nr_MEndP1-$G3227+0.5)/$C$3208))-MIN(1,MAX(0,(nr_MStartP1-1-$G3227+0.5)/$C$3208))</f>
        <v/>
      </c>
      <c r="S3227" s="208">
        <f>IF($L$3208,$N3227*IF($O$3208=1,$O3227/$F$3208,1),"")</f>
        <v/>
      </c>
      <c r="T3227" s="208">
        <f>IF(NOT($L$3208),"",IF($G3227&lt;nr_MStartP,$S3227,$T3215*(1+IF($G3227&lt;nr_MStartP1,$M$3208,$N$3208))))</f>
        <v/>
      </c>
      <c r="U3227" s="208">
        <f>IF($L$3208,$T3227,$N3227)</f>
        <v/>
      </c>
    </row>
    <row r="3228">
      <c r="A3228" s="145" t="n">
        <v>18</v>
      </c>
      <c r="B3228" s="204">
        <f>EDATE($B3227,1)</f>
        <v/>
      </c>
      <c r="C3228" s="205">
        <f>EOMONTH($B3228,0)</f>
        <v/>
      </c>
      <c r="D3228" s="201">
        <f>$C3228-$B3228+1</f>
        <v/>
      </c>
      <c r="E3228" s="201">
        <f>MONTH($B3228)</f>
        <v/>
      </c>
      <c r="F3228" s="235">
        <f>($B3228+$C3228+1)/2</f>
        <v/>
      </c>
      <c r="G3228" s="201">
        <f>YEAR($B3228)*12+MONTH($B3228)-1</f>
        <v/>
      </c>
      <c r="H3228" s="207">
        <f>IF(OR(nr_SeasonOn="OFF",$D$3208=0,$E$3208=0),1,12*INDEX(se_block,$D$3208,$E3228)/$E$3208)</f>
        <v/>
      </c>
      <c r="I3228" s="208">
        <f>EXP(SUMPRODUCT((rl_eff&lt;$B3228)*(rl_key=$A$3208)*rl_ln1p))</f>
        <v/>
      </c>
      <c r="J3228" s="208">
        <f>EXP(SUMPRODUCT((rl_eff&lt;=$C3228)*(rl_key=$A$3208)*rl_ln1p))</f>
        <v/>
      </c>
      <c r="K3228" s="201">
        <f>COUNTIFS(rl_key,$A$3208,rl_eff,"&gt;="&amp;$B3228,rl_eff,"&lt;="&amp;$C3228)</f>
        <v/>
      </c>
      <c r="L3228" s="201">
        <f>SUMIFS(rl_daysafter,rl_key,$A$3208,rl_effmonth,$B3228,rl_first,1)</f>
        <v/>
      </c>
      <c r="M3228" s="209">
        <f>IF($K3228=0,0,MIN(1,$L3228/$D3228))</f>
        <v/>
      </c>
      <c r="N3228" s="208">
        <f>IF($K3228=0,$J3228,(1-$M3228)*$I3228+$M3228*$J3228)</f>
        <v/>
      </c>
      <c r="O3228" s="209">
        <f>IF($F3228&lt;$B$3209,$E$3209+$I$3209*($F3228-$A$3209),IF($F3228&lt;$C$3209,$F$3209+$J$3209*($F3228-$B$3209),$G$3209+$K$3209*($F3228-$C$3209)))</f>
        <v/>
      </c>
      <c r="P3228" s="208">
        <f>MIN(1,MAX(0,(nr_MEndPm1-$G3228+0.5)/$C$3208))-MIN(1,MAX(0,(nr_MStartPm1-1-$G3228+0.5)/$C$3208))</f>
        <v/>
      </c>
      <c r="Q3228" s="208">
        <f>MIN(1,MAX(0,(nr_MEndP-$G3228+0.5)/$C$3208))-MIN(1,MAX(0,(nr_MStartP-1-$G3228+0.5)/$C$3208))</f>
        <v/>
      </c>
      <c r="R3228" s="208">
        <f>MIN(1,MAX(0,(nr_MEndP1-$G3228+0.5)/$C$3208))-MIN(1,MAX(0,(nr_MStartP1-1-$G3228+0.5)/$C$3208))</f>
        <v/>
      </c>
      <c r="S3228" s="208">
        <f>IF($L$3208,$N3228*IF($O$3208=1,$O3228/$F$3208,1),"")</f>
        <v/>
      </c>
      <c r="T3228" s="208">
        <f>IF(NOT($L$3208),"",IF($G3228&lt;nr_MStartP,$S3228,$T3216*(1+IF($G3228&lt;nr_MStartP1,$M$3208,$N$3208))))</f>
        <v/>
      </c>
      <c r="U3228" s="208">
        <f>IF($L$3208,$T3228,$N3228)</f>
        <v/>
      </c>
    </row>
    <row r="3229">
      <c r="A3229" s="145" t="n">
        <v>19</v>
      </c>
      <c r="B3229" s="204">
        <f>EDATE($B3228,1)</f>
        <v/>
      </c>
      <c r="C3229" s="205">
        <f>EOMONTH($B3229,0)</f>
        <v/>
      </c>
      <c r="D3229" s="201">
        <f>$C3229-$B3229+1</f>
        <v/>
      </c>
      <c r="E3229" s="201">
        <f>MONTH($B3229)</f>
        <v/>
      </c>
      <c r="F3229" s="235">
        <f>($B3229+$C3229+1)/2</f>
        <v/>
      </c>
      <c r="G3229" s="201">
        <f>YEAR($B3229)*12+MONTH($B3229)-1</f>
        <v/>
      </c>
      <c r="H3229" s="207">
        <f>IF(OR(nr_SeasonOn="OFF",$D$3208=0,$E$3208=0),1,12*INDEX(se_block,$D$3208,$E3229)/$E$3208)</f>
        <v/>
      </c>
      <c r="I3229" s="208">
        <f>EXP(SUMPRODUCT((rl_eff&lt;$B3229)*(rl_key=$A$3208)*rl_ln1p))</f>
        <v/>
      </c>
      <c r="J3229" s="208">
        <f>EXP(SUMPRODUCT((rl_eff&lt;=$C3229)*(rl_key=$A$3208)*rl_ln1p))</f>
        <v/>
      </c>
      <c r="K3229" s="201">
        <f>COUNTIFS(rl_key,$A$3208,rl_eff,"&gt;="&amp;$B3229,rl_eff,"&lt;="&amp;$C3229)</f>
        <v/>
      </c>
      <c r="L3229" s="201">
        <f>SUMIFS(rl_daysafter,rl_key,$A$3208,rl_effmonth,$B3229,rl_first,1)</f>
        <v/>
      </c>
      <c r="M3229" s="209">
        <f>IF($K3229=0,0,MIN(1,$L3229/$D3229))</f>
        <v/>
      </c>
      <c r="N3229" s="208">
        <f>IF($K3229=0,$J3229,(1-$M3229)*$I3229+$M3229*$J3229)</f>
        <v/>
      </c>
      <c r="O3229" s="209">
        <f>IF($F3229&lt;$B$3209,$E$3209+$I$3209*($F3229-$A$3209),IF($F3229&lt;$C$3209,$F$3209+$J$3209*($F3229-$B$3209),$G$3209+$K$3209*($F3229-$C$3209)))</f>
        <v/>
      </c>
      <c r="P3229" s="208">
        <f>MIN(1,MAX(0,(nr_MEndPm1-$G3229+0.5)/$C$3208))-MIN(1,MAX(0,(nr_MStartPm1-1-$G3229+0.5)/$C$3208))</f>
        <v/>
      </c>
      <c r="Q3229" s="208">
        <f>MIN(1,MAX(0,(nr_MEndP-$G3229+0.5)/$C$3208))-MIN(1,MAX(0,(nr_MStartP-1-$G3229+0.5)/$C$3208))</f>
        <v/>
      </c>
      <c r="R3229" s="208">
        <f>MIN(1,MAX(0,(nr_MEndP1-$G3229+0.5)/$C$3208))-MIN(1,MAX(0,(nr_MStartP1-1-$G3229+0.5)/$C$3208))</f>
        <v/>
      </c>
      <c r="S3229" s="208">
        <f>IF($L$3208,$N3229*IF($O$3208=1,$O3229/$F$3208,1),"")</f>
        <v/>
      </c>
      <c r="T3229" s="208">
        <f>IF(NOT($L$3208),"",IF($G3229&lt;nr_MStartP,$S3229,$T3217*(1+IF($G3229&lt;nr_MStartP1,$M$3208,$N$3208))))</f>
        <v/>
      </c>
      <c r="U3229" s="208">
        <f>IF($L$3208,$T3229,$N3229)</f>
        <v/>
      </c>
    </row>
    <row r="3230">
      <c r="A3230" s="145" t="n">
        <v>20</v>
      </c>
      <c r="B3230" s="204">
        <f>EDATE($B3229,1)</f>
        <v/>
      </c>
      <c r="C3230" s="205">
        <f>EOMONTH($B3230,0)</f>
        <v/>
      </c>
      <c r="D3230" s="201">
        <f>$C3230-$B3230+1</f>
        <v/>
      </c>
      <c r="E3230" s="201">
        <f>MONTH($B3230)</f>
        <v/>
      </c>
      <c r="F3230" s="235">
        <f>($B3230+$C3230+1)/2</f>
        <v/>
      </c>
      <c r="G3230" s="201">
        <f>YEAR($B3230)*12+MONTH($B3230)-1</f>
        <v/>
      </c>
      <c r="H3230" s="207">
        <f>IF(OR(nr_SeasonOn="OFF",$D$3208=0,$E$3208=0),1,12*INDEX(se_block,$D$3208,$E3230)/$E$3208)</f>
        <v/>
      </c>
      <c r="I3230" s="208">
        <f>EXP(SUMPRODUCT((rl_eff&lt;$B3230)*(rl_key=$A$3208)*rl_ln1p))</f>
        <v/>
      </c>
      <c r="J3230" s="208">
        <f>EXP(SUMPRODUCT((rl_eff&lt;=$C3230)*(rl_key=$A$3208)*rl_ln1p))</f>
        <v/>
      </c>
      <c r="K3230" s="201">
        <f>COUNTIFS(rl_key,$A$3208,rl_eff,"&gt;="&amp;$B3230,rl_eff,"&lt;="&amp;$C3230)</f>
        <v/>
      </c>
      <c r="L3230" s="201">
        <f>SUMIFS(rl_daysafter,rl_key,$A$3208,rl_effmonth,$B3230,rl_first,1)</f>
        <v/>
      </c>
      <c r="M3230" s="209">
        <f>IF($K3230=0,0,MIN(1,$L3230/$D3230))</f>
        <v/>
      </c>
      <c r="N3230" s="208">
        <f>IF($K3230=0,$J3230,(1-$M3230)*$I3230+$M3230*$J3230)</f>
        <v/>
      </c>
      <c r="O3230" s="209">
        <f>IF($F3230&lt;$B$3209,$E$3209+$I$3209*($F3230-$A$3209),IF($F3230&lt;$C$3209,$F$3209+$J$3209*($F3230-$B$3209),$G$3209+$K$3209*($F3230-$C$3209)))</f>
        <v/>
      </c>
      <c r="P3230" s="208">
        <f>MIN(1,MAX(0,(nr_MEndPm1-$G3230+0.5)/$C$3208))-MIN(1,MAX(0,(nr_MStartPm1-1-$G3230+0.5)/$C$3208))</f>
        <v/>
      </c>
      <c r="Q3230" s="208">
        <f>MIN(1,MAX(0,(nr_MEndP-$G3230+0.5)/$C$3208))-MIN(1,MAX(0,(nr_MStartP-1-$G3230+0.5)/$C$3208))</f>
        <v/>
      </c>
      <c r="R3230" s="208">
        <f>MIN(1,MAX(0,(nr_MEndP1-$G3230+0.5)/$C$3208))-MIN(1,MAX(0,(nr_MStartP1-1-$G3230+0.5)/$C$3208))</f>
        <v/>
      </c>
      <c r="S3230" s="208">
        <f>IF($L$3208,$N3230*IF($O$3208=1,$O3230/$F$3208,1),"")</f>
        <v/>
      </c>
      <c r="T3230" s="208">
        <f>IF(NOT($L$3208),"",IF($G3230&lt;nr_MStartP,$S3230,$T3218*(1+IF($G3230&lt;nr_MStartP1,$M$3208,$N$3208))))</f>
        <v/>
      </c>
      <c r="U3230" s="208">
        <f>IF($L$3208,$T3230,$N3230)</f>
        <v/>
      </c>
    </row>
    <row r="3231">
      <c r="A3231" s="145" t="n">
        <v>21</v>
      </c>
      <c r="B3231" s="204">
        <f>EDATE($B3230,1)</f>
        <v/>
      </c>
      <c r="C3231" s="205">
        <f>EOMONTH($B3231,0)</f>
        <v/>
      </c>
      <c r="D3231" s="201">
        <f>$C3231-$B3231+1</f>
        <v/>
      </c>
      <c r="E3231" s="201">
        <f>MONTH($B3231)</f>
        <v/>
      </c>
      <c r="F3231" s="235">
        <f>($B3231+$C3231+1)/2</f>
        <v/>
      </c>
      <c r="G3231" s="201">
        <f>YEAR($B3231)*12+MONTH($B3231)-1</f>
        <v/>
      </c>
      <c r="H3231" s="207">
        <f>IF(OR(nr_SeasonOn="OFF",$D$3208=0,$E$3208=0),1,12*INDEX(se_block,$D$3208,$E3231)/$E$3208)</f>
        <v/>
      </c>
      <c r="I3231" s="208">
        <f>EXP(SUMPRODUCT((rl_eff&lt;$B3231)*(rl_key=$A$3208)*rl_ln1p))</f>
        <v/>
      </c>
      <c r="J3231" s="208">
        <f>EXP(SUMPRODUCT((rl_eff&lt;=$C3231)*(rl_key=$A$3208)*rl_ln1p))</f>
        <v/>
      </c>
      <c r="K3231" s="201">
        <f>COUNTIFS(rl_key,$A$3208,rl_eff,"&gt;="&amp;$B3231,rl_eff,"&lt;="&amp;$C3231)</f>
        <v/>
      </c>
      <c r="L3231" s="201">
        <f>SUMIFS(rl_daysafter,rl_key,$A$3208,rl_effmonth,$B3231,rl_first,1)</f>
        <v/>
      </c>
      <c r="M3231" s="209">
        <f>IF($K3231=0,0,MIN(1,$L3231/$D3231))</f>
        <v/>
      </c>
      <c r="N3231" s="208">
        <f>IF($K3231=0,$J3231,(1-$M3231)*$I3231+$M3231*$J3231)</f>
        <v/>
      </c>
      <c r="O3231" s="209">
        <f>IF($F3231&lt;$B$3209,$E$3209+$I$3209*($F3231-$A$3209),IF($F3231&lt;$C$3209,$F$3209+$J$3209*($F3231-$B$3209),$G$3209+$K$3209*($F3231-$C$3209)))</f>
        <v/>
      </c>
      <c r="P3231" s="208">
        <f>MIN(1,MAX(0,(nr_MEndPm1-$G3231+0.5)/$C$3208))-MIN(1,MAX(0,(nr_MStartPm1-1-$G3231+0.5)/$C$3208))</f>
        <v/>
      </c>
      <c r="Q3231" s="208">
        <f>MIN(1,MAX(0,(nr_MEndP-$G3231+0.5)/$C$3208))-MIN(1,MAX(0,(nr_MStartP-1-$G3231+0.5)/$C$3208))</f>
        <v/>
      </c>
      <c r="R3231" s="208">
        <f>MIN(1,MAX(0,(nr_MEndP1-$G3231+0.5)/$C$3208))-MIN(1,MAX(0,(nr_MStartP1-1-$G3231+0.5)/$C$3208))</f>
        <v/>
      </c>
      <c r="S3231" s="208">
        <f>IF($L$3208,$N3231*IF($O$3208=1,$O3231/$F$3208,1),"")</f>
        <v/>
      </c>
      <c r="T3231" s="208">
        <f>IF(NOT($L$3208),"",IF($G3231&lt;nr_MStartP,$S3231,$T3219*(1+IF($G3231&lt;nr_MStartP1,$M$3208,$N$3208))))</f>
        <v/>
      </c>
      <c r="U3231" s="208">
        <f>IF($L$3208,$T3231,$N3231)</f>
        <v/>
      </c>
    </row>
    <row r="3232">
      <c r="A3232" s="145" t="n">
        <v>22</v>
      </c>
      <c r="B3232" s="204">
        <f>EDATE($B3231,1)</f>
        <v/>
      </c>
      <c r="C3232" s="205">
        <f>EOMONTH($B3232,0)</f>
        <v/>
      </c>
      <c r="D3232" s="201">
        <f>$C3232-$B3232+1</f>
        <v/>
      </c>
      <c r="E3232" s="201">
        <f>MONTH($B3232)</f>
        <v/>
      </c>
      <c r="F3232" s="235">
        <f>($B3232+$C3232+1)/2</f>
        <v/>
      </c>
      <c r="G3232" s="201">
        <f>YEAR($B3232)*12+MONTH($B3232)-1</f>
        <v/>
      </c>
      <c r="H3232" s="207">
        <f>IF(OR(nr_SeasonOn="OFF",$D$3208=0,$E$3208=0),1,12*INDEX(se_block,$D$3208,$E3232)/$E$3208)</f>
        <v/>
      </c>
      <c r="I3232" s="208">
        <f>EXP(SUMPRODUCT((rl_eff&lt;$B3232)*(rl_key=$A$3208)*rl_ln1p))</f>
        <v/>
      </c>
      <c r="J3232" s="208">
        <f>EXP(SUMPRODUCT((rl_eff&lt;=$C3232)*(rl_key=$A$3208)*rl_ln1p))</f>
        <v/>
      </c>
      <c r="K3232" s="201">
        <f>COUNTIFS(rl_key,$A$3208,rl_eff,"&gt;="&amp;$B3232,rl_eff,"&lt;="&amp;$C3232)</f>
        <v/>
      </c>
      <c r="L3232" s="201">
        <f>SUMIFS(rl_daysafter,rl_key,$A$3208,rl_effmonth,$B3232,rl_first,1)</f>
        <v/>
      </c>
      <c r="M3232" s="209">
        <f>IF($K3232=0,0,MIN(1,$L3232/$D3232))</f>
        <v/>
      </c>
      <c r="N3232" s="208">
        <f>IF($K3232=0,$J3232,(1-$M3232)*$I3232+$M3232*$J3232)</f>
        <v/>
      </c>
      <c r="O3232" s="209">
        <f>IF($F3232&lt;$B$3209,$E$3209+$I$3209*($F3232-$A$3209),IF($F3232&lt;$C$3209,$F$3209+$J$3209*($F3232-$B$3209),$G$3209+$K$3209*($F3232-$C$3209)))</f>
        <v/>
      </c>
      <c r="P3232" s="208">
        <f>MIN(1,MAX(0,(nr_MEndPm1-$G3232+0.5)/$C$3208))-MIN(1,MAX(0,(nr_MStartPm1-1-$G3232+0.5)/$C$3208))</f>
        <v/>
      </c>
      <c r="Q3232" s="208">
        <f>MIN(1,MAX(0,(nr_MEndP-$G3232+0.5)/$C$3208))-MIN(1,MAX(0,(nr_MStartP-1-$G3232+0.5)/$C$3208))</f>
        <v/>
      </c>
      <c r="R3232" s="208">
        <f>MIN(1,MAX(0,(nr_MEndP1-$G3232+0.5)/$C$3208))-MIN(1,MAX(0,(nr_MStartP1-1-$G3232+0.5)/$C$3208))</f>
        <v/>
      </c>
      <c r="S3232" s="208">
        <f>IF($L$3208,$N3232*IF($O$3208=1,$O3232/$F$3208,1),"")</f>
        <v/>
      </c>
      <c r="T3232" s="208">
        <f>IF(NOT($L$3208),"",IF($G3232&lt;nr_MStartP,$S3232,$T3220*(1+IF($G3232&lt;nr_MStartP1,$M$3208,$N$3208))))</f>
        <v/>
      </c>
      <c r="U3232" s="208">
        <f>IF($L$3208,$T3232,$N3232)</f>
        <v/>
      </c>
    </row>
    <row r="3233">
      <c r="A3233" s="145" t="n">
        <v>23</v>
      </c>
      <c r="B3233" s="204">
        <f>EDATE($B3232,1)</f>
        <v/>
      </c>
      <c r="C3233" s="205">
        <f>EOMONTH($B3233,0)</f>
        <v/>
      </c>
      <c r="D3233" s="201">
        <f>$C3233-$B3233+1</f>
        <v/>
      </c>
      <c r="E3233" s="201">
        <f>MONTH($B3233)</f>
        <v/>
      </c>
      <c r="F3233" s="235">
        <f>($B3233+$C3233+1)/2</f>
        <v/>
      </c>
      <c r="G3233" s="201">
        <f>YEAR($B3233)*12+MONTH($B3233)-1</f>
        <v/>
      </c>
      <c r="H3233" s="207">
        <f>IF(OR(nr_SeasonOn="OFF",$D$3208=0,$E$3208=0),1,12*INDEX(se_block,$D$3208,$E3233)/$E$3208)</f>
        <v/>
      </c>
      <c r="I3233" s="208">
        <f>EXP(SUMPRODUCT((rl_eff&lt;$B3233)*(rl_key=$A$3208)*rl_ln1p))</f>
        <v/>
      </c>
      <c r="J3233" s="208">
        <f>EXP(SUMPRODUCT((rl_eff&lt;=$C3233)*(rl_key=$A$3208)*rl_ln1p))</f>
        <v/>
      </c>
      <c r="K3233" s="201">
        <f>COUNTIFS(rl_key,$A$3208,rl_eff,"&gt;="&amp;$B3233,rl_eff,"&lt;="&amp;$C3233)</f>
        <v/>
      </c>
      <c r="L3233" s="201">
        <f>SUMIFS(rl_daysafter,rl_key,$A$3208,rl_effmonth,$B3233,rl_first,1)</f>
        <v/>
      </c>
      <c r="M3233" s="209">
        <f>IF($K3233=0,0,MIN(1,$L3233/$D3233))</f>
        <v/>
      </c>
      <c r="N3233" s="208">
        <f>IF($K3233=0,$J3233,(1-$M3233)*$I3233+$M3233*$J3233)</f>
        <v/>
      </c>
      <c r="O3233" s="209">
        <f>IF($F3233&lt;$B$3209,$E$3209+$I$3209*($F3233-$A$3209),IF($F3233&lt;$C$3209,$F$3209+$J$3209*($F3233-$B$3209),$G$3209+$K$3209*($F3233-$C$3209)))</f>
        <v/>
      </c>
      <c r="P3233" s="208">
        <f>MIN(1,MAX(0,(nr_MEndPm1-$G3233+0.5)/$C$3208))-MIN(1,MAX(0,(nr_MStartPm1-1-$G3233+0.5)/$C$3208))</f>
        <v/>
      </c>
      <c r="Q3233" s="208">
        <f>MIN(1,MAX(0,(nr_MEndP-$G3233+0.5)/$C$3208))-MIN(1,MAX(0,(nr_MStartP-1-$G3233+0.5)/$C$3208))</f>
        <v/>
      </c>
      <c r="R3233" s="208">
        <f>MIN(1,MAX(0,(nr_MEndP1-$G3233+0.5)/$C$3208))-MIN(1,MAX(0,(nr_MStartP1-1-$G3233+0.5)/$C$3208))</f>
        <v/>
      </c>
      <c r="S3233" s="208">
        <f>IF($L$3208,$N3233*IF($O$3208=1,$O3233/$F$3208,1),"")</f>
        <v/>
      </c>
      <c r="T3233" s="208">
        <f>IF(NOT($L$3208),"",IF($G3233&lt;nr_MStartP,$S3233,$T3221*(1+IF($G3233&lt;nr_MStartP1,$M$3208,$N$3208))))</f>
        <v/>
      </c>
      <c r="U3233" s="208">
        <f>IF($L$3208,$T3233,$N3233)</f>
        <v/>
      </c>
    </row>
    <row r="3234">
      <c r="A3234" s="145" t="n">
        <v>24</v>
      </c>
      <c r="B3234" s="204">
        <f>EDATE($B3233,1)</f>
        <v/>
      </c>
      <c r="C3234" s="205">
        <f>EOMONTH($B3234,0)</f>
        <v/>
      </c>
      <c r="D3234" s="201">
        <f>$C3234-$B3234+1</f>
        <v/>
      </c>
      <c r="E3234" s="201">
        <f>MONTH($B3234)</f>
        <v/>
      </c>
      <c r="F3234" s="235">
        <f>($B3234+$C3234+1)/2</f>
        <v/>
      </c>
      <c r="G3234" s="201">
        <f>YEAR($B3234)*12+MONTH($B3234)-1</f>
        <v/>
      </c>
      <c r="H3234" s="207">
        <f>IF(OR(nr_SeasonOn="OFF",$D$3208=0,$E$3208=0),1,12*INDEX(se_block,$D$3208,$E3234)/$E$3208)</f>
        <v/>
      </c>
      <c r="I3234" s="208">
        <f>EXP(SUMPRODUCT((rl_eff&lt;$B3234)*(rl_key=$A$3208)*rl_ln1p))</f>
        <v/>
      </c>
      <c r="J3234" s="208">
        <f>EXP(SUMPRODUCT((rl_eff&lt;=$C3234)*(rl_key=$A$3208)*rl_ln1p))</f>
        <v/>
      </c>
      <c r="K3234" s="201">
        <f>COUNTIFS(rl_key,$A$3208,rl_eff,"&gt;="&amp;$B3234,rl_eff,"&lt;="&amp;$C3234)</f>
        <v/>
      </c>
      <c r="L3234" s="201">
        <f>SUMIFS(rl_daysafter,rl_key,$A$3208,rl_effmonth,$B3234,rl_first,1)</f>
        <v/>
      </c>
      <c r="M3234" s="209">
        <f>IF($K3234=0,0,MIN(1,$L3234/$D3234))</f>
        <v/>
      </c>
      <c r="N3234" s="208">
        <f>IF($K3234=0,$J3234,(1-$M3234)*$I3234+$M3234*$J3234)</f>
        <v/>
      </c>
      <c r="O3234" s="209">
        <f>IF($F3234&lt;$B$3209,$E$3209+$I$3209*($F3234-$A$3209),IF($F3234&lt;$C$3209,$F$3209+$J$3209*($F3234-$B$3209),$G$3209+$K$3209*($F3234-$C$3209)))</f>
        <v/>
      </c>
      <c r="P3234" s="208">
        <f>MIN(1,MAX(0,(nr_MEndPm1-$G3234+0.5)/$C$3208))-MIN(1,MAX(0,(nr_MStartPm1-1-$G3234+0.5)/$C$3208))</f>
        <v/>
      </c>
      <c r="Q3234" s="208">
        <f>MIN(1,MAX(0,(nr_MEndP-$G3234+0.5)/$C$3208))-MIN(1,MAX(0,(nr_MStartP-1-$G3234+0.5)/$C$3208))</f>
        <v/>
      </c>
      <c r="R3234" s="208">
        <f>MIN(1,MAX(0,(nr_MEndP1-$G3234+0.5)/$C$3208))-MIN(1,MAX(0,(nr_MStartP1-1-$G3234+0.5)/$C$3208))</f>
        <v/>
      </c>
      <c r="S3234" s="208">
        <f>IF($L$3208,$N3234*IF($O$3208=1,$O3234/$F$3208,1),"")</f>
        <v/>
      </c>
      <c r="T3234" s="208">
        <f>IF(NOT($L$3208),"",IF($G3234&lt;nr_MStartP,$S3234,$T3222*(1+IF($G3234&lt;nr_MStartP1,$M$3208,$N$3208))))</f>
        <v/>
      </c>
      <c r="U3234" s="208">
        <f>IF($L$3208,$T3234,$N3234)</f>
        <v/>
      </c>
    </row>
    <row r="3235">
      <c r="A3235" s="145" t="n">
        <v>25</v>
      </c>
      <c r="B3235" s="204">
        <f>EDATE($B3234,1)</f>
        <v/>
      </c>
      <c r="C3235" s="205">
        <f>EOMONTH($B3235,0)</f>
        <v/>
      </c>
      <c r="D3235" s="201">
        <f>$C3235-$B3235+1</f>
        <v/>
      </c>
      <c r="E3235" s="201">
        <f>MONTH($B3235)</f>
        <v/>
      </c>
      <c r="F3235" s="235">
        <f>($B3235+$C3235+1)/2</f>
        <v/>
      </c>
      <c r="G3235" s="201">
        <f>YEAR($B3235)*12+MONTH($B3235)-1</f>
        <v/>
      </c>
      <c r="H3235" s="207">
        <f>IF(OR(nr_SeasonOn="OFF",$D$3208=0,$E$3208=0),1,12*INDEX(se_block,$D$3208,$E3235)/$E$3208)</f>
        <v/>
      </c>
      <c r="I3235" s="208">
        <f>EXP(SUMPRODUCT((rl_eff&lt;$B3235)*(rl_key=$A$3208)*rl_ln1p))</f>
        <v/>
      </c>
      <c r="J3235" s="208">
        <f>EXP(SUMPRODUCT((rl_eff&lt;=$C3235)*(rl_key=$A$3208)*rl_ln1p))</f>
        <v/>
      </c>
      <c r="K3235" s="201">
        <f>COUNTIFS(rl_key,$A$3208,rl_eff,"&gt;="&amp;$B3235,rl_eff,"&lt;="&amp;$C3235)</f>
        <v/>
      </c>
      <c r="L3235" s="201">
        <f>SUMIFS(rl_daysafter,rl_key,$A$3208,rl_effmonth,$B3235,rl_first,1)</f>
        <v/>
      </c>
      <c r="M3235" s="209">
        <f>IF($K3235=0,0,MIN(1,$L3235/$D3235))</f>
        <v/>
      </c>
      <c r="N3235" s="208">
        <f>IF($K3235=0,$J3235,(1-$M3235)*$I3235+$M3235*$J3235)</f>
        <v/>
      </c>
      <c r="O3235" s="209">
        <f>IF($F3235&lt;$B$3209,$E$3209+$I$3209*($F3235-$A$3209),IF($F3235&lt;$C$3209,$F$3209+$J$3209*($F3235-$B$3209),$G$3209+$K$3209*($F3235-$C$3209)))</f>
        <v/>
      </c>
      <c r="P3235" s="208">
        <f>MIN(1,MAX(0,(nr_MEndPm1-$G3235+0.5)/$C$3208))-MIN(1,MAX(0,(nr_MStartPm1-1-$G3235+0.5)/$C$3208))</f>
        <v/>
      </c>
      <c r="Q3235" s="208">
        <f>MIN(1,MAX(0,(nr_MEndP-$G3235+0.5)/$C$3208))-MIN(1,MAX(0,(nr_MStartP-1-$G3235+0.5)/$C$3208))</f>
        <v/>
      </c>
      <c r="R3235" s="208">
        <f>MIN(1,MAX(0,(nr_MEndP1-$G3235+0.5)/$C$3208))-MIN(1,MAX(0,(nr_MStartP1-1-$G3235+0.5)/$C$3208))</f>
        <v/>
      </c>
      <c r="S3235" s="208">
        <f>IF($L$3208,$N3235*IF($O$3208=1,$O3235/$F$3208,1),"")</f>
        <v/>
      </c>
      <c r="T3235" s="208">
        <f>IF(NOT($L$3208),"",IF($G3235&lt;nr_MStartP,$S3235,$T3223*(1+IF($G3235&lt;nr_MStartP1,$M$3208,$N$3208))))</f>
        <v/>
      </c>
      <c r="U3235" s="208">
        <f>IF($L$3208,$T3235,$N3235)</f>
        <v/>
      </c>
    </row>
    <row r="3236">
      <c r="A3236" s="145" t="n">
        <v>26</v>
      </c>
      <c r="B3236" s="204">
        <f>EDATE($B3235,1)</f>
        <v/>
      </c>
      <c r="C3236" s="205">
        <f>EOMONTH($B3236,0)</f>
        <v/>
      </c>
      <c r="D3236" s="201">
        <f>$C3236-$B3236+1</f>
        <v/>
      </c>
      <c r="E3236" s="201">
        <f>MONTH($B3236)</f>
        <v/>
      </c>
      <c r="F3236" s="235">
        <f>($B3236+$C3236+1)/2</f>
        <v/>
      </c>
      <c r="G3236" s="201">
        <f>YEAR($B3236)*12+MONTH($B3236)-1</f>
        <v/>
      </c>
      <c r="H3236" s="207">
        <f>IF(OR(nr_SeasonOn="OFF",$D$3208=0,$E$3208=0),1,12*INDEX(se_block,$D$3208,$E3236)/$E$3208)</f>
        <v/>
      </c>
      <c r="I3236" s="208">
        <f>EXP(SUMPRODUCT((rl_eff&lt;$B3236)*(rl_key=$A$3208)*rl_ln1p))</f>
        <v/>
      </c>
      <c r="J3236" s="208">
        <f>EXP(SUMPRODUCT((rl_eff&lt;=$C3236)*(rl_key=$A$3208)*rl_ln1p))</f>
        <v/>
      </c>
      <c r="K3236" s="201">
        <f>COUNTIFS(rl_key,$A$3208,rl_eff,"&gt;="&amp;$B3236,rl_eff,"&lt;="&amp;$C3236)</f>
        <v/>
      </c>
      <c r="L3236" s="201">
        <f>SUMIFS(rl_daysafter,rl_key,$A$3208,rl_effmonth,$B3236,rl_first,1)</f>
        <v/>
      </c>
      <c r="M3236" s="209">
        <f>IF($K3236=0,0,MIN(1,$L3236/$D3236))</f>
        <v/>
      </c>
      <c r="N3236" s="208">
        <f>IF($K3236=0,$J3236,(1-$M3236)*$I3236+$M3236*$J3236)</f>
        <v/>
      </c>
      <c r="O3236" s="209">
        <f>IF($F3236&lt;$B$3209,$E$3209+$I$3209*($F3236-$A$3209),IF($F3236&lt;$C$3209,$F$3209+$J$3209*($F3236-$B$3209),$G$3209+$K$3209*($F3236-$C$3209)))</f>
        <v/>
      </c>
      <c r="P3236" s="208">
        <f>MIN(1,MAX(0,(nr_MEndPm1-$G3236+0.5)/$C$3208))-MIN(1,MAX(0,(nr_MStartPm1-1-$G3236+0.5)/$C$3208))</f>
        <v/>
      </c>
      <c r="Q3236" s="208">
        <f>MIN(1,MAX(0,(nr_MEndP-$G3236+0.5)/$C$3208))-MIN(1,MAX(0,(nr_MStartP-1-$G3236+0.5)/$C$3208))</f>
        <v/>
      </c>
      <c r="R3236" s="208">
        <f>MIN(1,MAX(0,(nr_MEndP1-$G3236+0.5)/$C$3208))-MIN(1,MAX(0,(nr_MStartP1-1-$G3236+0.5)/$C$3208))</f>
        <v/>
      </c>
      <c r="S3236" s="208">
        <f>IF($L$3208,$N3236*IF($O$3208=1,$O3236/$F$3208,1),"")</f>
        <v/>
      </c>
      <c r="T3236" s="208">
        <f>IF(NOT($L$3208),"",IF($G3236&lt;nr_MStartP,$S3236,$T3224*(1+IF($G3236&lt;nr_MStartP1,$M$3208,$N$3208))))</f>
        <v/>
      </c>
      <c r="U3236" s="208">
        <f>IF($L$3208,$T3236,$N3236)</f>
        <v/>
      </c>
    </row>
    <row r="3237">
      <c r="A3237" s="145" t="n">
        <v>27</v>
      </c>
      <c r="B3237" s="204">
        <f>EDATE($B3236,1)</f>
        <v/>
      </c>
      <c r="C3237" s="205">
        <f>EOMONTH($B3237,0)</f>
        <v/>
      </c>
      <c r="D3237" s="201">
        <f>$C3237-$B3237+1</f>
        <v/>
      </c>
      <c r="E3237" s="201">
        <f>MONTH($B3237)</f>
        <v/>
      </c>
      <c r="F3237" s="235">
        <f>($B3237+$C3237+1)/2</f>
        <v/>
      </c>
      <c r="G3237" s="201">
        <f>YEAR($B3237)*12+MONTH($B3237)-1</f>
        <v/>
      </c>
      <c r="H3237" s="207">
        <f>IF(OR(nr_SeasonOn="OFF",$D$3208=0,$E$3208=0),1,12*INDEX(se_block,$D$3208,$E3237)/$E$3208)</f>
        <v/>
      </c>
      <c r="I3237" s="208">
        <f>EXP(SUMPRODUCT((rl_eff&lt;$B3237)*(rl_key=$A$3208)*rl_ln1p))</f>
        <v/>
      </c>
      <c r="J3237" s="208">
        <f>EXP(SUMPRODUCT((rl_eff&lt;=$C3237)*(rl_key=$A$3208)*rl_ln1p))</f>
        <v/>
      </c>
      <c r="K3237" s="201">
        <f>COUNTIFS(rl_key,$A$3208,rl_eff,"&gt;="&amp;$B3237,rl_eff,"&lt;="&amp;$C3237)</f>
        <v/>
      </c>
      <c r="L3237" s="201">
        <f>SUMIFS(rl_daysafter,rl_key,$A$3208,rl_effmonth,$B3237,rl_first,1)</f>
        <v/>
      </c>
      <c r="M3237" s="209">
        <f>IF($K3237=0,0,MIN(1,$L3237/$D3237))</f>
        <v/>
      </c>
      <c r="N3237" s="208">
        <f>IF($K3237=0,$J3237,(1-$M3237)*$I3237+$M3237*$J3237)</f>
        <v/>
      </c>
      <c r="O3237" s="209">
        <f>IF($F3237&lt;$B$3209,$E$3209+$I$3209*($F3237-$A$3209),IF($F3237&lt;$C$3209,$F$3209+$J$3209*($F3237-$B$3209),$G$3209+$K$3209*($F3237-$C$3209)))</f>
        <v/>
      </c>
      <c r="P3237" s="208">
        <f>MIN(1,MAX(0,(nr_MEndPm1-$G3237+0.5)/$C$3208))-MIN(1,MAX(0,(nr_MStartPm1-1-$G3237+0.5)/$C$3208))</f>
        <v/>
      </c>
      <c r="Q3237" s="208">
        <f>MIN(1,MAX(0,(nr_MEndP-$G3237+0.5)/$C$3208))-MIN(1,MAX(0,(nr_MStartP-1-$G3237+0.5)/$C$3208))</f>
        <v/>
      </c>
      <c r="R3237" s="208">
        <f>MIN(1,MAX(0,(nr_MEndP1-$G3237+0.5)/$C$3208))-MIN(1,MAX(0,(nr_MStartP1-1-$G3237+0.5)/$C$3208))</f>
        <v/>
      </c>
      <c r="S3237" s="208">
        <f>IF($L$3208,$N3237*IF($O$3208=1,$O3237/$F$3208,1),"")</f>
        <v/>
      </c>
      <c r="T3237" s="208">
        <f>IF(NOT($L$3208),"",IF($G3237&lt;nr_MStartP,$S3237,$T3225*(1+IF($G3237&lt;nr_MStartP1,$M$3208,$N$3208))))</f>
        <v/>
      </c>
      <c r="U3237" s="208">
        <f>IF($L$3208,$T3237,$N3237)</f>
        <v/>
      </c>
    </row>
    <row r="3238">
      <c r="A3238" s="145" t="n">
        <v>28</v>
      </c>
      <c r="B3238" s="204">
        <f>EDATE($B3237,1)</f>
        <v/>
      </c>
      <c r="C3238" s="205">
        <f>EOMONTH($B3238,0)</f>
        <v/>
      </c>
      <c r="D3238" s="201">
        <f>$C3238-$B3238+1</f>
        <v/>
      </c>
      <c r="E3238" s="201">
        <f>MONTH($B3238)</f>
        <v/>
      </c>
      <c r="F3238" s="235">
        <f>($B3238+$C3238+1)/2</f>
        <v/>
      </c>
      <c r="G3238" s="201">
        <f>YEAR($B3238)*12+MONTH($B3238)-1</f>
        <v/>
      </c>
      <c r="H3238" s="207">
        <f>IF(OR(nr_SeasonOn="OFF",$D$3208=0,$E$3208=0),1,12*INDEX(se_block,$D$3208,$E3238)/$E$3208)</f>
        <v/>
      </c>
      <c r="I3238" s="208">
        <f>EXP(SUMPRODUCT((rl_eff&lt;$B3238)*(rl_key=$A$3208)*rl_ln1p))</f>
        <v/>
      </c>
      <c r="J3238" s="208">
        <f>EXP(SUMPRODUCT((rl_eff&lt;=$C3238)*(rl_key=$A$3208)*rl_ln1p))</f>
        <v/>
      </c>
      <c r="K3238" s="201">
        <f>COUNTIFS(rl_key,$A$3208,rl_eff,"&gt;="&amp;$B3238,rl_eff,"&lt;="&amp;$C3238)</f>
        <v/>
      </c>
      <c r="L3238" s="201">
        <f>SUMIFS(rl_daysafter,rl_key,$A$3208,rl_effmonth,$B3238,rl_first,1)</f>
        <v/>
      </c>
      <c r="M3238" s="209">
        <f>IF($K3238=0,0,MIN(1,$L3238/$D3238))</f>
        <v/>
      </c>
      <c r="N3238" s="208">
        <f>IF($K3238=0,$J3238,(1-$M3238)*$I3238+$M3238*$J3238)</f>
        <v/>
      </c>
      <c r="O3238" s="209">
        <f>IF($F3238&lt;$B$3209,$E$3209+$I$3209*($F3238-$A$3209),IF($F3238&lt;$C$3209,$F$3209+$J$3209*($F3238-$B$3209),$G$3209+$K$3209*($F3238-$C$3209)))</f>
        <v/>
      </c>
      <c r="P3238" s="208">
        <f>MIN(1,MAX(0,(nr_MEndPm1-$G3238+0.5)/$C$3208))-MIN(1,MAX(0,(nr_MStartPm1-1-$G3238+0.5)/$C$3208))</f>
        <v/>
      </c>
      <c r="Q3238" s="208">
        <f>MIN(1,MAX(0,(nr_MEndP-$G3238+0.5)/$C$3208))-MIN(1,MAX(0,(nr_MStartP-1-$G3238+0.5)/$C$3208))</f>
        <v/>
      </c>
      <c r="R3238" s="208">
        <f>MIN(1,MAX(0,(nr_MEndP1-$G3238+0.5)/$C$3208))-MIN(1,MAX(0,(nr_MStartP1-1-$G3238+0.5)/$C$3208))</f>
        <v/>
      </c>
      <c r="S3238" s="208">
        <f>IF($L$3208,$N3238*IF($O$3208=1,$O3238/$F$3208,1),"")</f>
        <v/>
      </c>
      <c r="T3238" s="208">
        <f>IF(NOT($L$3208),"",IF($G3238&lt;nr_MStartP,$S3238,$T3226*(1+IF($G3238&lt;nr_MStartP1,$M$3208,$N$3208))))</f>
        <v/>
      </c>
      <c r="U3238" s="208">
        <f>IF($L$3208,$T3238,$N3238)</f>
        <v/>
      </c>
    </row>
    <row r="3239">
      <c r="A3239" s="145" t="n">
        <v>29</v>
      </c>
      <c r="B3239" s="204">
        <f>EDATE($B3238,1)</f>
        <v/>
      </c>
      <c r="C3239" s="205">
        <f>EOMONTH($B3239,0)</f>
        <v/>
      </c>
      <c r="D3239" s="201">
        <f>$C3239-$B3239+1</f>
        <v/>
      </c>
      <c r="E3239" s="201">
        <f>MONTH($B3239)</f>
        <v/>
      </c>
      <c r="F3239" s="235">
        <f>($B3239+$C3239+1)/2</f>
        <v/>
      </c>
      <c r="G3239" s="201">
        <f>YEAR($B3239)*12+MONTH($B3239)-1</f>
        <v/>
      </c>
      <c r="H3239" s="207">
        <f>IF(OR(nr_SeasonOn="OFF",$D$3208=0,$E$3208=0),1,12*INDEX(se_block,$D$3208,$E3239)/$E$3208)</f>
        <v/>
      </c>
      <c r="I3239" s="208">
        <f>EXP(SUMPRODUCT((rl_eff&lt;$B3239)*(rl_key=$A$3208)*rl_ln1p))</f>
        <v/>
      </c>
      <c r="J3239" s="208">
        <f>EXP(SUMPRODUCT((rl_eff&lt;=$C3239)*(rl_key=$A$3208)*rl_ln1p))</f>
        <v/>
      </c>
      <c r="K3239" s="201">
        <f>COUNTIFS(rl_key,$A$3208,rl_eff,"&gt;="&amp;$B3239,rl_eff,"&lt;="&amp;$C3239)</f>
        <v/>
      </c>
      <c r="L3239" s="201">
        <f>SUMIFS(rl_daysafter,rl_key,$A$3208,rl_effmonth,$B3239,rl_first,1)</f>
        <v/>
      </c>
      <c r="M3239" s="209">
        <f>IF($K3239=0,0,MIN(1,$L3239/$D3239))</f>
        <v/>
      </c>
      <c r="N3239" s="208">
        <f>IF($K3239=0,$J3239,(1-$M3239)*$I3239+$M3239*$J3239)</f>
        <v/>
      </c>
      <c r="O3239" s="209">
        <f>IF($F3239&lt;$B$3209,$E$3209+$I$3209*($F3239-$A$3209),IF($F3239&lt;$C$3209,$F$3209+$J$3209*($F3239-$B$3209),$G$3209+$K$3209*($F3239-$C$3209)))</f>
        <v/>
      </c>
      <c r="P3239" s="208">
        <f>MIN(1,MAX(0,(nr_MEndPm1-$G3239+0.5)/$C$3208))-MIN(1,MAX(0,(nr_MStartPm1-1-$G3239+0.5)/$C$3208))</f>
        <v/>
      </c>
      <c r="Q3239" s="208">
        <f>MIN(1,MAX(0,(nr_MEndP-$G3239+0.5)/$C$3208))-MIN(1,MAX(0,(nr_MStartP-1-$G3239+0.5)/$C$3208))</f>
        <v/>
      </c>
      <c r="R3239" s="208">
        <f>MIN(1,MAX(0,(nr_MEndP1-$G3239+0.5)/$C$3208))-MIN(1,MAX(0,(nr_MStartP1-1-$G3239+0.5)/$C$3208))</f>
        <v/>
      </c>
      <c r="S3239" s="208">
        <f>IF($L$3208,$N3239*IF($O$3208=1,$O3239/$F$3208,1),"")</f>
        <v/>
      </c>
      <c r="T3239" s="208">
        <f>IF(NOT($L$3208),"",IF($G3239&lt;nr_MStartP,$S3239,$T3227*(1+IF($G3239&lt;nr_MStartP1,$M$3208,$N$3208))))</f>
        <v/>
      </c>
      <c r="U3239" s="208">
        <f>IF($L$3208,$T3239,$N3239)</f>
        <v/>
      </c>
    </row>
    <row r="3240">
      <c r="A3240" s="145" t="n">
        <v>30</v>
      </c>
      <c r="B3240" s="204">
        <f>EDATE($B3239,1)</f>
        <v/>
      </c>
      <c r="C3240" s="205">
        <f>EOMONTH($B3240,0)</f>
        <v/>
      </c>
      <c r="D3240" s="201">
        <f>$C3240-$B3240+1</f>
        <v/>
      </c>
      <c r="E3240" s="201">
        <f>MONTH($B3240)</f>
        <v/>
      </c>
      <c r="F3240" s="235">
        <f>($B3240+$C3240+1)/2</f>
        <v/>
      </c>
      <c r="G3240" s="201">
        <f>YEAR($B3240)*12+MONTH($B3240)-1</f>
        <v/>
      </c>
      <c r="H3240" s="207">
        <f>IF(OR(nr_SeasonOn="OFF",$D$3208=0,$E$3208=0),1,12*INDEX(se_block,$D$3208,$E3240)/$E$3208)</f>
        <v/>
      </c>
      <c r="I3240" s="208">
        <f>EXP(SUMPRODUCT((rl_eff&lt;$B3240)*(rl_key=$A$3208)*rl_ln1p))</f>
        <v/>
      </c>
      <c r="J3240" s="208">
        <f>EXP(SUMPRODUCT((rl_eff&lt;=$C3240)*(rl_key=$A$3208)*rl_ln1p))</f>
        <v/>
      </c>
      <c r="K3240" s="201">
        <f>COUNTIFS(rl_key,$A$3208,rl_eff,"&gt;="&amp;$B3240,rl_eff,"&lt;="&amp;$C3240)</f>
        <v/>
      </c>
      <c r="L3240" s="201">
        <f>SUMIFS(rl_daysafter,rl_key,$A$3208,rl_effmonth,$B3240,rl_first,1)</f>
        <v/>
      </c>
      <c r="M3240" s="209">
        <f>IF($K3240=0,0,MIN(1,$L3240/$D3240))</f>
        <v/>
      </c>
      <c r="N3240" s="208">
        <f>IF($K3240=0,$J3240,(1-$M3240)*$I3240+$M3240*$J3240)</f>
        <v/>
      </c>
      <c r="O3240" s="209">
        <f>IF($F3240&lt;$B$3209,$E$3209+$I$3209*($F3240-$A$3209),IF($F3240&lt;$C$3209,$F$3209+$J$3209*($F3240-$B$3209),$G$3209+$K$3209*($F3240-$C$3209)))</f>
        <v/>
      </c>
      <c r="P3240" s="208">
        <f>MIN(1,MAX(0,(nr_MEndPm1-$G3240+0.5)/$C$3208))-MIN(1,MAX(0,(nr_MStartPm1-1-$G3240+0.5)/$C$3208))</f>
        <v/>
      </c>
      <c r="Q3240" s="208">
        <f>MIN(1,MAX(0,(nr_MEndP-$G3240+0.5)/$C$3208))-MIN(1,MAX(0,(nr_MStartP-1-$G3240+0.5)/$C$3208))</f>
        <v/>
      </c>
      <c r="R3240" s="208">
        <f>MIN(1,MAX(0,(nr_MEndP1-$G3240+0.5)/$C$3208))-MIN(1,MAX(0,(nr_MStartP1-1-$G3240+0.5)/$C$3208))</f>
        <v/>
      </c>
      <c r="S3240" s="208">
        <f>IF($L$3208,$N3240*IF($O$3208=1,$O3240/$F$3208,1),"")</f>
        <v/>
      </c>
      <c r="T3240" s="208">
        <f>IF(NOT($L$3208),"",IF($G3240&lt;nr_MStartP,$S3240,$T3228*(1+IF($G3240&lt;nr_MStartP1,$M$3208,$N$3208))))</f>
        <v/>
      </c>
      <c r="U3240" s="208">
        <f>IF($L$3208,$T3240,$N3240)</f>
        <v/>
      </c>
    </row>
    <row r="3241">
      <c r="A3241" s="145" t="n">
        <v>31</v>
      </c>
      <c r="B3241" s="204">
        <f>EDATE($B3240,1)</f>
        <v/>
      </c>
      <c r="C3241" s="205">
        <f>EOMONTH($B3241,0)</f>
        <v/>
      </c>
      <c r="D3241" s="201">
        <f>$C3241-$B3241+1</f>
        <v/>
      </c>
      <c r="E3241" s="201">
        <f>MONTH($B3241)</f>
        <v/>
      </c>
      <c r="F3241" s="235">
        <f>($B3241+$C3241+1)/2</f>
        <v/>
      </c>
      <c r="G3241" s="201">
        <f>YEAR($B3241)*12+MONTH($B3241)-1</f>
        <v/>
      </c>
      <c r="H3241" s="207">
        <f>IF(OR(nr_SeasonOn="OFF",$D$3208=0,$E$3208=0),1,12*INDEX(se_block,$D$3208,$E3241)/$E$3208)</f>
        <v/>
      </c>
      <c r="I3241" s="208">
        <f>EXP(SUMPRODUCT((rl_eff&lt;$B3241)*(rl_key=$A$3208)*rl_ln1p))</f>
        <v/>
      </c>
      <c r="J3241" s="208">
        <f>EXP(SUMPRODUCT((rl_eff&lt;=$C3241)*(rl_key=$A$3208)*rl_ln1p))</f>
        <v/>
      </c>
      <c r="K3241" s="201">
        <f>COUNTIFS(rl_key,$A$3208,rl_eff,"&gt;="&amp;$B3241,rl_eff,"&lt;="&amp;$C3241)</f>
        <v/>
      </c>
      <c r="L3241" s="201">
        <f>SUMIFS(rl_daysafter,rl_key,$A$3208,rl_effmonth,$B3241,rl_first,1)</f>
        <v/>
      </c>
      <c r="M3241" s="209">
        <f>IF($K3241=0,0,MIN(1,$L3241/$D3241))</f>
        <v/>
      </c>
      <c r="N3241" s="208">
        <f>IF($K3241=0,$J3241,(1-$M3241)*$I3241+$M3241*$J3241)</f>
        <v/>
      </c>
      <c r="O3241" s="209">
        <f>IF($F3241&lt;$B$3209,$E$3209+$I$3209*($F3241-$A$3209),IF($F3241&lt;$C$3209,$F$3209+$J$3209*($F3241-$B$3209),$G$3209+$K$3209*($F3241-$C$3209)))</f>
        <v/>
      </c>
      <c r="P3241" s="208">
        <f>MIN(1,MAX(0,(nr_MEndPm1-$G3241+0.5)/$C$3208))-MIN(1,MAX(0,(nr_MStartPm1-1-$G3241+0.5)/$C$3208))</f>
        <v/>
      </c>
      <c r="Q3241" s="208">
        <f>MIN(1,MAX(0,(nr_MEndP-$G3241+0.5)/$C$3208))-MIN(1,MAX(0,(nr_MStartP-1-$G3241+0.5)/$C$3208))</f>
        <v/>
      </c>
      <c r="R3241" s="208">
        <f>MIN(1,MAX(0,(nr_MEndP1-$G3241+0.5)/$C$3208))-MIN(1,MAX(0,(nr_MStartP1-1-$G3241+0.5)/$C$3208))</f>
        <v/>
      </c>
      <c r="S3241" s="208">
        <f>IF($L$3208,$N3241*IF($O$3208=1,$O3241/$F$3208,1),"")</f>
        <v/>
      </c>
      <c r="T3241" s="208">
        <f>IF(NOT($L$3208),"",IF($G3241&lt;nr_MStartP,$S3241,$T3229*(1+IF($G3241&lt;nr_MStartP1,$M$3208,$N$3208))))</f>
        <v/>
      </c>
      <c r="U3241" s="208">
        <f>IF($L$3208,$T3241,$N3241)</f>
        <v/>
      </c>
    </row>
    <row r="3242">
      <c r="A3242" s="145" t="n">
        <v>32</v>
      </c>
      <c r="B3242" s="204">
        <f>EDATE($B3241,1)</f>
        <v/>
      </c>
      <c r="C3242" s="205">
        <f>EOMONTH($B3242,0)</f>
        <v/>
      </c>
      <c r="D3242" s="201">
        <f>$C3242-$B3242+1</f>
        <v/>
      </c>
      <c r="E3242" s="201">
        <f>MONTH($B3242)</f>
        <v/>
      </c>
      <c r="F3242" s="235">
        <f>($B3242+$C3242+1)/2</f>
        <v/>
      </c>
      <c r="G3242" s="201">
        <f>YEAR($B3242)*12+MONTH($B3242)-1</f>
        <v/>
      </c>
      <c r="H3242" s="207">
        <f>IF(OR(nr_SeasonOn="OFF",$D$3208=0,$E$3208=0),1,12*INDEX(se_block,$D$3208,$E3242)/$E$3208)</f>
        <v/>
      </c>
      <c r="I3242" s="208">
        <f>EXP(SUMPRODUCT((rl_eff&lt;$B3242)*(rl_key=$A$3208)*rl_ln1p))</f>
        <v/>
      </c>
      <c r="J3242" s="208">
        <f>EXP(SUMPRODUCT((rl_eff&lt;=$C3242)*(rl_key=$A$3208)*rl_ln1p))</f>
        <v/>
      </c>
      <c r="K3242" s="201">
        <f>COUNTIFS(rl_key,$A$3208,rl_eff,"&gt;="&amp;$B3242,rl_eff,"&lt;="&amp;$C3242)</f>
        <v/>
      </c>
      <c r="L3242" s="201">
        <f>SUMIFS(rl_daysafter,rl_key,$A$3208,rl_effmonth,$B3242,rl_first,1)</f>
        <v/>
      </c>
      <c r="M3242" s="209">
        <f>IF($K3242=0,0,MIN(1,$L3242/$D3242))</f>
        <v/>
      </c>
      <c r="N3242" s="208">
        <f>IF($K3242=0,$J3242,(1-$M3242)*$I3242+$M3242*$J3242)</f>
        <v/>
      </c>
      <c r="O3242" s="209">
        <f>IF($F3242&lt;$B$3209,$E$3209+$I$3209*($F3242-$A$3209),IF($F3242&lt;$C$3209,$F$3209+$J$3209*($F3242-$B$3209),$G$3209+$K$3209*($F3242-$C$3209)))</f>
        <v/>
      </c>
      <c r="P3242" s="208">
        <f>MIN(1,MAX(0,(nr_MEndPm1-$G3242+0.5)/$C$3208))-MIN(1,MAX(0,(nr_MStartPm1-1-$G3242+0.5)/$C$3208))</f>
        <v/>
      </c>
      <c r="Q3242" s="208">
        <f>MIN(1,MAX(0,(nr_MEndP-$G3242+0.5)/$C$3208))-MIN(1,MAX(0,(nr_MStartP-1-$G3242+0.5)/$C$3208))</f>
        <v/>
      </c>
      <c r="R3242" s="208">
        <f>MIN(1,MAX(0,(nr_MEndP1-$G3242+0.5)/$C$3208))-MIN(1,MAX(0,(nr_MStartP1-1-$G3242+0.5)/$C$3208))</f>
        <v/>
      </c>
      <c r="S3242" s="208">
        <f>IF($L$3208,$N3242*IF($O$3208=1,$O3242/$F$3208,1),"")</f>
        <v/>
      </c>
      <c r="T3242" s="208">
        <f>IF(NOT($L$3208),"",IF($G3242&lt;nr_MStartP,$S3242,$T3230*(1+IF($G3242&lt;nr_MStartP1,$M$3208,$N$3208))))</f>
        <v/>
      </c>
      <c r="U3242" s="208">
        <f>IF($L$3208,$T3242,$N3242)</f>
        <v/>
      </c>
    </row>
    <row r="3243">
      <c r="A3243" s="145" t="n">
        <v>33</v>
      </c>
      <c r="B3243" s="204">
        <f>EDATE($B3242,1)</f>
        <v/>
      </c>
      <c r="C3243" s="205">
        <f>EOMONTH($B3243,0)</f>
        <v/>
      </c>
      <c r="D3243" s="201">
        <f>$C3243-$B3243+1</f>
        <v/>
      </c>
      <c r="E3243" s="201">
        <f>MONTH($B3243)</f>
        <v/>
      </c>
      <c r="F3243" s="235">
        <f>($B3243+$C3243+1)/2</f>
        <v/>
      </c>
      <c r="G3243" s="201">
        <f>YEAR($B3243)*12+MONTH($B3243)-1</f>
        <v/>
      </c>
      <c r="H3243" s="207">
        <f>IF(OR(nr_SeasonOn="OFF",$D$3208=0,$E$3208=0),1,12*INDEX(se_block,$D$3208,$E3243)/$E$3208)</f>
        <v/>
      </c>
      <c r="I3243" s="208">
        <f>EXP(SUMPRODUCT((rl_eff&lt;$B3243)*(rl_key=$A$3208)*rl_ln1p))</f>
        <v/>
      </c>
      <c r="J3243" s="208">
        <f>EXP(SUMPRODUCT((rl_eff&lt;=$C3243)*(rl_key=$A$3208)*rl_ln1p))</f>
        <v/>
      </c>
      <c r="K3243" s="201">
        <f>COUNTIFS(rl_key,$A$3208,rl_eff,"&gt;="&amp;$B3243,rl_eff,"&lt;="&amp;$C3243)</f>
        <v/>
      </c>
      <c r="L3243" s="201">
        <f>SUMIFS(rl_daysafter,rl_key,$A$3208,rl_effmonth,$B3243,rl_first,1)</f>
        <v/>
      </c>
      <c r="M3243" s="209">
        <f>IF($K3243=0,0,MIN(1,$L3243/$D3243))</f>
        <v/>
      </c>
      <c r="N3243" s="208">
        <f>IF($K3243=0,$J3243,(1-$M3243)*$I3243+$M3243*$J3243)</f>
        <v/>
      </c>
      <c r="O3243" s="209">
        <f>IF($F3243&lt;$B$3209,$E$3209+$I$3209*($F3243-$A$3209),IF($F3243&lt;$C$3209,$F$3209+$J$3209*($F3243-$B$3209),$G$3209+$K$3209*($F3243-$C$3209)))</f>
        <v/>
      </c>
      <c r="P3243" s="208">
        <f>MIN(1,MAX(0,(nr_MEndPm1-$G3243+0.5)/$C$3208))-MIN(1,MAX(0,(nr_MStartPm1-1-$G3243+0.5)/$C$3208))</f>
        <v/>
      </c>
      <c r="Q3243" s="208">
        <f>MIN(1,MAX(0,(nr_MEndP-$G3243+0.5)/$C$3208))-MIN(1,MAX(0,(nr_MStartP-1-$G3243+0.5)/$C$3208))</f>
        <v/>
      </c>
      <c r="R3243" s="208">
        <f>MIN(1,MAX(0,(nr_MEndP1-$G3243+0.5)/$C$3208))-MIN(1,MAX(0,(nr_MStartP1-1-$G3243+0.5)/$C$3208))</f>
        <v/>
      </c>
      <c r="S3243" s="208">
        <f>IF($L$3208,$N3243*IF($O$3208=1,$O3243/$F$3208,1),"")</f>
        <v/>
      </c>
      <c r="T3243" s="208">
        <f>IF(NOT($L$3208),"",IF($G3243&lt;nr_MStartP,$S3243,$T3231*(1+IF($G3243&lt;nr_MStartP1,$M$3208,$N$3208))))</f>
        <v/>
      </c>
      <c r="U3243" s="208">
        <f>IF($L$3208,$T3243,$N3243)</f>
        <v/>
      </c>
    </row>
    <row r="3244">
      <c r="A3244" s="145" t="n">
        <v>34</v>
      </c>
      <c r="B3244" s="204">
        <f>EDATE($B3243,1)</f>
        <v/>
      </c>
      <c r="C3244" s="205">
        <f>EOMONTH($B3244,0)</f>
        <v/>
      </c>
      <c r="D3244" s="201">
        <f>$C3244-$B3244+1</f>
        <v/>
      </c>
      <c r="E3244" s="201">
        <f>MONTH($B3244)</f>
        <v/>
      </c>
      <c r="F3244" s="235">
        <f>($B3244+$C3244+1)/2</f>
        <v/>
      </c>
      <c r="G3244" s="201">
        <f>YEAR($B3244)*12+MONTH($B3244)-1</f>
        <v/>
      </c>
      <c r="H3244" s="207">
        <f>IF(OR(nr_SeasonOn="OFF",$D$3208=0,$E$3208=0),1,12*INDEX(se_block,$D$3208,$E3244)/$E$3208)</f>
        <v/>
      </c>
      <c r="I3244" s="208">
        <f>EXP(SUMPRODUCT((rl_eff&lt;$B3244)*(rl_key=$A$3208)*rl_ln1p))</f>
        <v/>
      </c>
      <c r="J3244" s="208">
        <f>EXP(SUMPRODUCT((rl_eff&lt;=$C3244)*(rl_key=$A$3208)*rl_ln1p))</f>
        <v/>
      </c>
      <c r="K3244" s="201">
        <f>COUNTIFS(rl_key,$A$3208,rl_eff,"&gt;="&amp;$B3244,rl_eff,"&lt;="&amp;$C3244)</f>
        <v/>
      </c>
      <c r="L3244" s="201">
        <f>SUMIFS(rl_daysafter,rl_key,$A$3208,rl_effmonth,$B3244,rl_first,1)</f>
        <v/>
      </c>
      <c r="M3244" s="209">
        <f>IF($K3244=0,0,MIN(1,$L3244/$D3244))</f>
        <v/>
      </c>
      <c r="N3244" s="208">
        <f>IF($K3244=0,$J3244,(1-$M3244)*$I3244+$M3244*$J3244)</f>
        <v/>
      </c>
      <c r="O3244" s="209">
        <f>IF($F3244&lt;$B$3209,$E$3209+$I$3209*($F3244-$A$3209),IF($F3244&lt;$C$3209,$F$3209+$J$3209*($F3244-$B$3209),$G$3209+$K$3209*($F3244-$C$3209)))</f>
        <v/>
      </c>
      <c r="P3244" s="208">
        <f>MIN(1,MAX(0,(nr_MEndPm1-$G3244+0.5)/$C$3208))-MIN(1,MAX(0,(nr_MStartPm1-1-$G3244+0.5)/$C$3208))</f>
        <v/>
      </c>
      <c r="Q3244" s="208">
        <f>MIN(1,MAX(0,(nr_MEndP-$G3244+0.5)/$C$3208))-MIN(1,MAX(0,(nr_MStartP-1-$G3244+0.5)/$C$3208))</f>
        <v/>
      </c>
      <c r="R3244" s="208">
        <f>MIN(1,MAX(0,(nr_MEndP1-$G3244+0.5)/$C$3208))-MIN(1,MAX(0,(nr_MStartP1-1-$G3244+0.5)/$C$3208))</f>
        <v/>
      </c>
      <c r="S3244" s="208">
        <f>IF($L$3208,$N3244*IF($O$3208=1,$O3244/$F$3208,1),"")</f>
        <v/>
      </c>
      <c r="T3244" s="208">
        <f>IF(NOT($L$3208),"",IF($G3244&lt;nr_MStartP,$S3244,$T3232*(1+IF($G3244&lt;nr_MStartP1,$M$3208,$N$3208))))</f>
        <v/>
      </c>
      <c r="U3244" s="208">
        <f>IF($L$3208,$T3244,$N3244)</f>
        <v/>
      </c>
    </row>
    <row r="3245">
      <c r="A3245" s="145" t="n">
        <v>35</v>
      </c>
      <c r="B3245" s="204">
        <f>EDATE($B3244,1)</f>
        <v/>
      </c>
      <c r="C3245" s="205">
        <f>EOMONTH($B3245,0)</f>
        <v/>
      </c>
      <c r="D3245" s="201">
        <f>$C3245-$B3245+1</f>
        <v/>
      </c>
      <c r="E3245" s="201">
        <f>MONTH($B3245)</f>
        <v/>
      </c>
      <c r="F3245" s="235">
        <f>($B3245+$C3245+1)/2</f>
        <v/>
      </c>
      <c r="G3245" s="201">
        <f>YEAR($B3245)*12+MONTH($B3245)-1</f>
        <v/>
      </c>
      <c r="H3245" s="207">
        <f>IF(OR(nr_SeasonOn="OFF",$D$3208=0,$E$3208=0),1,12*INDEX(se_block,$D$3208,$E3245)/$E$3208)</f>
        <v/>
      </c>
      <c r="I3245" s="208">
        <f>EXP(SUMPRODUCT((rl_eff&lt;$B3245)*(rl_key=$A$3208)*rl_ln1p))</f>
        <v/>
      </c>
      <c r="J3245" s="208">
        <f>EXP(SUMPRODUCT((rl_eff&lt;=$C3245)*(rl_key=$A$3208)*rl_ln1p))</f>
        <v/>
      </c>
      <c r="K3245" s="201">
        <f>COUNTIFS(rl_key,$A$3208,rl_eff,"&gt;="&amp;$B3245,rl_eff,"&lt;="&amp;$C3245)</f>
        <v/>
      </c>
      <c r="L3245" s="201">
        <f>SUMIFS(rl_daysafter,rl_key,$A$3208,rl_effmonth,$B3245,rl_first,1)</f>
        <v/>
      </c>
      <c r="M3245" s="209">
        <f>IF($K3245=0,0,MIN(1,$L3245/$D3245))</f>
        <v/>
      </c>
      <c r="N3245" s="208">
        <f>IF($K3245=0,$J3245,(1-$M3245)*$I3245+$M3245*$J3245)</f>
        <v/>
      </c>
      <c r="O3245" s="209">
        <f>IF($F3245&lt;$B$3209,$E$3209+$I$3209*($F3245-$A$3209),IF($F3245&lt;$C$3209,$F$3209+$J$3209*($F3245-$B$3209),$G$3209+$K$3209*($F3245-$C$3209)))</f>
        <v/>
      </c>
      <c r="P3245" s="208">
        <f>MIN(1,MAX(0,(nr_MEndPm1-$G3245+0.5)/$C$3208))-MIN(1,MAX(0,(nr_MStartPm1-1-$G3245+0.5)/$C$3208))</f>
        <v/>
      </c>
      <c r="Q3245" s="208">
        <f>MIN(1,MAX(0,(nr_MEndP-$G3245+0.5)/$C$3208))-MIN(1,MAX(0,(nr_MStartP-1-$G3245+0.5)/$C$3208))</f>
        <v/>
      </c>
      <c r="R3245" s="208">
        <f>MIN(1,MAX(0,(nr_MEndP1-$G3245+0.5)/$C$3208))-MIN(1,MAX(0,(nr_MStartP1-1-$G3245+0.5)/$C$3208))</f>
        <v/>
      </c>
      <c r="S3245" s="208">
        <f>IF($L$3208,$N3245*IF($O$3208=1,$O3245/$F$3208,1),"")</f>
        <v/>
      </c>
      <c r="T3245" s="208">
        <f>IF(NOT($L$3208),"",IF($G3245&lt;nr_MStartP,$S3245,$T3233*(1+IF($G3245&lt;nr_MStartP1,$M$3208,$N$3208))))</f>
        <v/>
      </c>
      <c r="U3245" s="208">
        <f>IF($L$3208,$T3245,$N3245)</f>
        <v/>
      </c>
    </row>
    <row r="3246">
      <c r="A3246" s="145" t="n">
        <v>36</v>
      </c>
      <c r="B3246" s="204">
        <f>EDATE($B3245,1)</f>
        <v/>
      </c>
      <c r="C3246" s="205">
        <f>EOMONTH($B3246,0)</f>
        <v/>
      </c>
      <c r="D3246" s="201">
        <f>$C3246-$B3246+1</f>
        <v/>
      </c>
      <c r="E3246" s="201">
        <f>MONTH($B3246)</f>
        <v/>
      </c>
      <c r="F3246" s="235">
        <f>($B3246+$C3246+1)/2</f>
        <v/>
      </c>
      <c r="G3246" s="201">
        <f>YEAR($B3246)*12+MONTH($B3246)-1</f>
        <v/>
      </c>
      <c r="H3246" s="207">
        <f>IF(OR(nr_SeasonOn="OFF",$D$3208=0,$E$3208=0),1,12*INDEX(se_block,$D$3208,$E3246)/$E$3208)</f>
        <v/>
      </c>
      <c r="I3246" s="208">
        <f>EXP(SUMPRODUCT((rl_eff&lt;$B3246)*(rl_key=$A$3208)*rl_ln1p))</f>
        <v/>
      </c>
      <c r="J3246" s="208">
        <f>EXP(SUMPRODUCT((rl_eff&lt;=$C3246)*(rl_key=$A$3208)*rl_ln1p))</f>
        <v/>
      </c>
      <c r="K3246" s="201">
        <f>COUNTIFS(rl_key,$A$3208,rl_eff,"&gt;="&amp;$B3246,rl_eff,"&lt;="&amp;$C3246)</f>
        <v/>
      </c>
      <c r="L3246" s="201">
        <f>SUMIFS(rl_daysafter,rl_key,$A$3208,rl_effmonth,$B3246,rl_first,1)</f>
        <v/>
      </c>
      <c r="M3246" s="209">
        <f>IF($K3246=0,0,MIN(1,$L3246/$D3246))</f>
        <v/>
      </c>
      <c r="N3246" s="208">
        <f>IF($K3246=0,$J3246,(1-$M3246)*$I3246+$M3246*$J3246)</f>
        <v/>
      </c>
      <c r="O3246" s="209">
        <f>IF($F3246&lt;$B$3209,$E$3209+$I$3209*($F3246-$A$3209),IF($F3246&lt;$C$3209,$F$3209+$J$3209*($F3246-$B$3209),$G$3209+$K$3209*($F3246-$C$3209)))</f>
        <v/>
      </c>
      <c r="P3246" s="208">
        <f>MIN(1,MAX(0,(nr_MEndPm1-$G3246+0.5)/$C$3208))-MIN(1,MAX(0,(nr_MStartPm1-1-$G3246+0.5)/$C$3208))</f>
        <v/>
      </c>
      <c r="Q3246" s="208">
        <f>MIN(1,MAX(0,(nr_MEndP-$G3246+0.5)/$C$3208))-MIN(1,MAX(0,(nr_MStartP-1-$G3246+0.5)/$C$3208))</f>
        <v/>
      </c>
      <c r="R3246" s="208">
        <f>MIN(1,MAX(0,(nr_MEndP1-$G3246+0.5)/$C$3208))-MIN(1,MAX(0,(nr_MStartP1-1-$G3246+0.5)/$C$3208))</f>
        <v/>
      </c>
      <c r="S3246" s="208">
        <f>IF($L$3208,$N3246*IF($O$3208=1,$O3246/$F$3208,1),"")</f>
        <v/>
      </c>
      <c r="T3246" s="208">
        <f>IF(NOT($L$3208),"",IF($G3246&lt;nr_MStartP,$S3246,$T3234*(1+IF($G3246&lt;nr_MStartP1,$M$3208,$N$3208))))</f>
        <v/>
      </c>
      <c r="U3246" s="208">
        <f>IF($L$3208,$T3246,$N3246)</f>
        <v/>
      </c>
    </row>
    <row r="3247">
      <c r="A3247" s="145" t="n">
        <v>37</v>
      </c>
      <c r="B3247" s="204">
        <f>EDATE($B3246,1)</f>
        <v/>
      </c>
      <c r="C3247" s="205">
        <f>EOMONTH($B3247,0)</f>
        <v/>
      </c>
      <c r="D3247" s="201">
        <f>$C3247-$B3247+1</f>
        <v/>
      </c>
      <c r="E3247" s="201">
        <f>MONTH($B3247)</f>
        <v/>
      </c>
      <c r="F3247" s="235">
        <f>($B3247+$C3247+1)/2</f>
        <v/>
      </c>
      <c r="G3247" s="201">
        <f>YEAR($B3247)*12+MONTH($B3247)-1</f>
        <v/>
      </c>
      <c r="H3247" s="207">
        <f>IF(OR(nr_SeasonOn="OFF",$D$3208=0,$E$3208=0),1,12*INDEX(se_block,$D$3208,$E3247)/$E$3208)</f>
        <v/>
      </c>
      <c r="I3247" s="208">
        <f>EXP(SUMPRODUCT((rl_eff&lt;$B3247)*(rl_key=$A$3208)*rl_ln1p))</f>
        <v/>
      </c>
      <c r="J3247" s="208">
        <f>EXP(SUMPRODUCT((rl_eff&lt;=$C3247)*(rl_key=$A$3208)*rl_ln1p))</f>
        <v/>
      </c>
      <c r="K3247" s="201">
        <f>COUNTIFS(rl_key,$A$3208,rl_eff,"&gt;="&amp;$B3247,rl_eff,"&lt;="&amp;$C3247)</f>
        <v/>
      </c>
      <c r="L3247" s="201">
        <f>SUMIFS(rl_daysafter,rl_key,$A$3208,rl_effmonth,$B3247,rl_first,1)</f>
        <v/>
      </c>
      <c r="M3247" s="209">
        <f>IF($K3247=0,0,MIN(1,$L3247/$D3247))</f>
        <v/>
      </c>
      <c r="N3247" s="208">
        <f>IF($K3247=0,$J3247,(1-$M3247)*$I3247+$M3247*$J3247)</f>
        <v/>
      </c>
      <c r="O3247" s="209">
        <f>IF($F3247&lt;$B$3209,$E$3209+$I$3209*($F3247-$A$3209),IF($F3247&lt;$C$3209,$F$3209+$J$3209*($F3247-$B$3209),$G$3209+$K$3209*($F3247-$C$3209)))</f>
        <v/>
      </c>
      <c r="P3247" s="208">
        <f>MIN(1,MAX(0,(nr_MEndPm1-$G3247+0.5)/$C$3208))-MIN(1,MAX(0,(nr_MStartPm1-1-$G3247+0.5)/$C$3208))</f>
        <v/>
      </c>
      <c r="Q3247" s="208">
        <f>MIN(1,MAX(0,(nr_MEndP-$G3247+0.5)/$C$3208))-MIN(1,MAX(0,(nr_MStartP-1-$G3247+0.5)/$C$3208))</f>
        <v/>
      </c>
      <c r="R3247" s="208">
        <f>MIN(1,MAX(0,(nr_MEndP1-$G3247+0.5)/$C$3208))-MIN(1,MAX(0,(nr_MStartP1-1-$G3247+0.5)/$C$3208))</f>
        <v/>
      </c>
      <c r="S3247" s="208">
        <f>IF($L$3208,$N3247*IF($O$3208=1,$O3247/$F$3208,1),"")</f>
        <v/>
      </c>
      <c r="T3247" s="208">
        <f>IF(NOT($L$3208),"",IF($G3247&lt;nr_MStartP,$S3247,$T3235*(1+IF($G3247&lt;nr_MStartP1,$M$3208,$N$3208))))</f>
        <v/>
      </c>
      <c r="U3247" s="208">
        <f>IF($L$3208,$T3247,$N3247)</f>
        <v/>
      </c>
    </row>
    <row r="3248">
      <c r="A3248" s="145" t="n">
        <v>38</v>
      </c>
      <c r="B3248" s="204">
        <f>EDATE($B3247,1)</f>
        <v/>
      </c>
      <c r="C3248" s="205">
        <f>EOMONTH($B3248,0)</f>
        <v/>
      </c>
      <c r="D3248" s="201">
        <f>$C3248-$B3248+1</f>
        <v/>
      </c>
      <c r="E3248" s="201">
        <f>MONTH($B3248)</f>
        <v/>
      </c>
      <c r="F3248" s="235">
        <f>($B3248+$C3248+1)/2</f>
        <v/>
      </c>
      <c r="G3248" s="201">
        <f>YEAR($B3248)*12+MONTH($B3248)-1</f>
        <v/>
      </c>
      <c r="H3248" s="207">
        <f>IF(OR(nr_SeasonOn="OFF",$D$3208=0,$E$3208=0),1,12*INDEX(se_block,$D$3208,$E3248)/$E$3208)</f>
        <v/>
      </c>
      <c r="I3248" s="208">
        <f>EXP(SUMPRODUCT((rl_eff&lt;$B3248)*(rl_key=$A$3208)*rl_ln1p))</f>
        <v/>
      </c>
      <c r="J3248" s="208">
        <f>EXP(SUMPRODUCT((rl_eff&lt;=$C3248)*(rl_key=$A$3208)*rl_ln1p))</f>
        <v/>
      </c>
      <c r="K3248" s="201">
        <f>COUNTIFS(rl_key,$A$3208,rl_eff,"&gt;="&amp;$B3248,rl_eff,"&lt;="&amp;$C3248)</f>
        <v/>
      </c>
      <c r="L3248" s="201">
        <f>SUMIFS(rl_daysafter,rl_key,$A$3208,rl_effmonth,$B3248,rl_first,1)</f>
        <v/>
      </c>
      <c r="M3248" s="209">
        <f>IF($K3248=0,0,MIN(1,$L3248/$D3248))</f>
        <v/>
      </c>
      <c r="N3248" s="208">
        <f>IF($K3248=0,$J3248,(1-$M3248)*$I3248+$M3248*$J3248)</f>
        <v/>
      </c>
      <c r="O3248" s="209">
        <f>IF($F3248&lt;$B$3209,$E$3209+$I$3209*($F3248-$A$3209),IF($F3248&lt;$C$3209,$F$3209+$J$3209*($F3248-$B$3209),$G$3209+$K$3209*($F3248-$C$3209)))</f>
        <v/>
      </c>
      <c r="P3248" s="208">
        <f>MIN(1,MAX(0,(nr_MEndPm1-$G3248+0.5)/$C$3208))-MIN(1,MAX(0,(nr_MStartPm1-1-$G3248+0.5)/$C$3208))</f>
        <v/>
      </c>
      <c r="Q3248" s="208">
        <f>MIN(1,MAX(0,(nr_MEndP-$G3248+0.5)/$C$3208))-MIN(1,MAX(0,(nr_MStartP-1-$G3248+0.5)/$C$3208))</f>
        <v/>
      </c>
      <c r="R3248" s="208">
        <f>MIN(1,MAX(0,(nr_MEndP1-$G3248+0.5)/$C$3208))-MIN(1,MAX(0,(nr_MStartP1-1-$G3248+0.5)/$C$3208))</f>
        <v/>
      </c>
      <c r="S3248" s="208">
        <f>IF($L$3208,$N3248*IF($O$3208=1,$O3248/$F$3208,1),"")</f>
        <v/>
      </c>
      <c r="T3248" s="208">
        <f>IF(NOT($L$3208),"",IF($G3248&lt;nr_MStartP,$S3248,$T3236*(1+IF($G3248&lt;nr_MStartP1,$M$3208,$N$3208))))</f>
        <v/>
      </c>
      <c r="U3248" s="208">
        <f>IF($L$3208,$T3248,$N3248)</f>
        <v/>
      </c>
    </row>
    <row r="3249">
      <c r="A3249" s="145" t="n">
        <v>39</v>
      </c>
      <c r="B3249" s="204">
        <f>EDATE($B3248,1)</f>
        <v/>
      </c>
      <c r="C3249" s="205">
        <f>EOMONTH($B3249,0)</f>
        <v/>
      </c>
      <c r="D3249" s="201">
        <f>$C3249-$B3249+1</f>
        <v/>
      </c>
      <c r="E3249" s="201">
        <f>MONTH($B3249)</f>
        <v/>
      </c>
      <c r="F3249" s="235">
        <f>($B3249+$C3249+1)/2</f>
        <v/>
      </c>
      <c r="G3249" s="201">
        <f>YEAR($B3249)*12+MONTH($B3249)-1</f>
        <v/>
      </c>
      <c r="H3249" s="207">
        <f>IF(OR(nr_SeasonOn="OFF",$D$3208=0,$E$3208=0),1,12*INDEX(se_block,$D$3208,$E3249)/$E$3208)</f>
        <v/>
      </c>
      <c r="I3249" s="208">
        <f>EXP(SUMPRODUCT((rl_eff&lt;$B3249)*(rl_key=$A$3208)*rl_ln1p))</f>
        <v/>
      </c>
      <c r="J3249" s="208">
        <f>EXP(SUMPRODUCT((rl_eff&lt;=$C3249)*(rl_key=$A$3208)*rl_ln1p))</f>
        <v/>
      </c>
      <c r="K3249" s="201">
        <f>COUNTIFS(rl_key,$A$3208,rl_eff,"&gt;="&amp;$B3249,rl_eff,"&lt;="&amp;$C3249)</f>
        <v/>
      </c>
      <c r="L3249" s="201">
        <f>SUMIFS(rl_daysafter,rl_key,$A$3208,rl_effmonth,$B3249,rl_first,1)</f>
        <v/>
      </c>
      <c r="M3249" s="209">
        <f>IF($K3249=0,0,MIN(1,$L3249/$D3249))</f>
        <v/>
      </c>
      <c r="N3249" s="208">
        <f>IF($K3249=0,$J3249,(1-$M3249)*$I3249+$M3249*$J3249)</f>
        <v/>
      </c>
      <c r="O3249" s="209">
        <f>IF($F3249&lt;$B$3209,$E$3209+$I$3209*($F3249-$A$3209),IF($F3249&lt;$C$3209,$F$3209+$J$3209*($F3249-$B$3209),$G$3209+$K$3209*($F3249-$C$3209)))</f>
        <v/>
      </c>
      <c r="P3249" s="208">
        <f>MIN(1,MAX(0,(nr_MEndPm1-$G3249+0.5)/$C$3208))-MIN(1,MAX(0,(nr_MStartPm1-1-$G3249+0.5)/$C$3208))</f>
        <v/>
      </c>
      <c r="Q3249" s="208">
        <f>MIN(1,MAX(0,(nr_MEndP-$G3249+0.5)/$C$3208))-MIN(1,MAX(0,(nr_MStartP-1-$G3249+0.5)/$C$3208))</f>
        <v/>
      </c>
      <c r="R3249" s="208">
        <f>MIN(1,MAX(0,(nr_MEndP1-$G3249+0.5)/$C$3208))-MIN(1,MAX(0,(nr_MStartP1-1-$G3249+0.5)/$C$3208))</f>
        <v/>
      </c>
      <c r="S3249" s="208">
        <f>IF($L$3208,$N3249*IF($O$3208=1,$O3249/$F$3208,1),"")</f>
        <v/>
      </c>
      <c r="T3249" s="208">
        <f>IF(NOT($L$3208),"",IF($G3249&lt;nr_MStartP,$S3249,$T3237*(1+IF($G3249&lt;nr_MStartP1,$M$3208,$N$3208))))</f>
        <v/>
      </c>
      <c r="U3249" s="208">
        <f>IF($L$3208,$T3249,$N3249)</f>
        <v/>
      </c>
    </row>
    <row r="3250">
      <c r="A3250" s="145" t="n">
        <v>40</v>
      </c>
      <c r="B3250" s="204">
        <f>EDATE($B3249,1)</f>
        <v/>
      </c>
      <c r="C3250" s="205">
        <f>EOMONTH($B3250,0)</f>
        <v/>
      </c>
      <c r="D3250" s="201">
        <f>$C3250-$B3250+1</f>
        <v/>
      </c>
      <c r="E3250" s="201">
        <f>MONTH($B3250)</f>
        <v/>
      </c>
      <c r="F3250" s="235">
        <f>($B3250+$C3250+1)/2</f>
        <v/>
      </c>
      <c r="G3250" s="201">
        <f>YEAR($B3250)*12+MONTH($B3250)-1</f>
        <v/>
      </c>
      <c r="H3250" s="207">
        <f>IF(OR(nr_SeasonOn="OFF",$D$3208=0,$E$3208=0),1,12*INDEX(se_block,$D$3208,$E3250)/$E$3208)</f>
        <v/>
      </c>
      <c r="I3250" s="208">
        <f>EXP(SUMPRODUCT((rl_eff&lt;$B3250)*(rl_key=$A$3208)*rl_ln1p))</f>
        <v/>
      </c>
      <c r="J3250" s="208">
        <f>EXP(SUMPRODUCT((rl_eff&lt;=$C3250)*(rl_key=$A$3208)*rl_ln1p))</f>
        <v/>
      </c>
      <c r="K3250" s="201">
        <f>COUNTIFS(rl_key,$A$3208,rl_eff,"&gt;="&amp;$B3250,rl_eff,"&lt;="&amp;$C3250)</f>
        <v/>
      </c>
      <c r="L3250" s="201">
        <f>SUMIFS(rl_daysafter,rl_key,$A$3208,rl_effmonth,$B3250,rl_first,1)</f>
        <v/>
      </c>
      <c r="M3250" s="209">
        <f>IF($K3250=0,0,MIN(1,$L3250/$D3250))</f>
        <v/>
      </c>
      <c r="N3250" s="208">
        <f>IF($K3250=0,$J3250,(1-$M3250)*$I3250+$M3250*$J3250)</f>
        <v/>
      </c>
      <c r="O3250" s="209">
        <f>IF($F3250&lt;$B$3209,$E$3209+$I$3209*($F3250-$A$3209),IF($F3250&lt;$C$3209,$F$3209+$J$3209*($F3250-$B$3209),$G$3209+$K$3209*($F3250-$C$3209)))</f>
        <v/>
      </c>
      <c r="P3250" s="208">
        <f>MIN(1,MAX(0,(nr_MEndPm1-$G3250+0.5)/$C$3208))-MIN(1,MAX(0,(nr_MStartPm1-1-$G3250+0.5)/$C$3208))</f>
        <v/>
      </c>
      <c r="Q3250" s="208">
        <f>MIN(1,MAX(0,(nr_MEndP-$G3250+0.5)/$C$3208))-MIN(1,MAX(0,(nr_MStartP-1-$G3250+0.5)/$C$3208))</f>
        <v/>
      </c>
      <c r="R3250" s="208">
        <f>MIN(1,MAX(0,(nr_MEndP1-$G3250+0.5)/$C$3208))-MIN(1,MAX(0,(nr_MStartP1-1-$G3250+0.5)/$C$3208))</f>
        <v/>
      </c>
      <c r="S3250" s="208">
        <f>IF($L$3208,$N3250*IF($O$3208=1,$O3250/$F$3208,1),"")</f>
        <v/>
      </c>
      <c r="T3250" s="208">
        <f>IF(NOT($L$3208),"",IF($G3250&lt;nr_MStartP,$S3250,$T3238*(1+IF($G3250&lt;nr_MStartP1,$M$3208,$N$3208))))</f>
        <v/>
      </c>
      <c r="U3250" s="208">
        <f>IF($L$3208,$T3250,$N3250)</f>
        <v/>
      </c>
    </row>
    <row r="3251">
      <c r="A3251" s="145" t="n">
        <v>41</v>
      </c>
      <c r="B3251" s="204">
        <f>EDATE($B3250,1)</f>
        <v/>
      </c>
      <c r="C3251" s="205">
        <f>EOMONTH($B3251,0)</f>
        <v/>
      </c>
      <c r="D3251" s="201">
        <f>$C3251-$B3251+1</f>
        <v/>
      </c>
      <c r="E3251" s="201">
        <f>MONTH($B3251)</f>
        <v/>
      </c>
      <c r="F3251" s="235">
        <f>($B3251+$C3251+1)/2</f>
        <v/>
      </c>
      <c r="G3251" s="201">
        <f>YEAR($B3251)*12+MONTH($B3251)-1</f>
        <v/>
      </c>
      <c r="H3251" s="207">
        <f>IF(OR(nr_SeasonOn="OFF",$D$3208=0,$E$3208=0),1,12*INDEX(se_block,$D$3208,$E3251)/$E$3208)</f>
        <v/>
      </c>
      <c r="I3251" s="208">
        <f>EXP(SUMPRODUCT((rl_eff&lt;$B3251)*(rl_key=$A$3208)*rl_ln1p))</f>
        <v/>
      </c>
      <c r="J3251" s="208">
        <f>EXP(SUMPRODUCT((rl_eff&lt;=$C3251)*(rl_key=$A$3208)*rl_ln1p))</f>
        <v/>
      </c>
      <c r="K3251" s="201">
        <f>COUNTIFS(rl_key,$A$3208,rl_eff,"&gt;="&amp;$B3251,rl_eff,"&lt;="&amp;$C3251)</f>
        <v/>
      </c>
      <c r="L3251" s="201">
        <f>SUMIFS(rl_daysafter,rl_key,$A$3208,rl_effmonth,$B3251,rl_first,1)</f>
        <v/>
      </c>
      <c r="M3251" s="209">
        <f>IF($K3251=0,0,MIN(1,$L3251/$D3251))</f>
        <v/>
      </c>
      <c r="N3251" s="208">
        <f>IF($K3251=0,$J3251,(1-$M3251)*$I3251+$M3251*$J3251)</f>
        <v/>
      </c>
      <c r="O3251" s="209">
        <f>IF($F3251&lt;$B$3209,$E$3209+$I$3209*($F3251-$A$3209),IF($F3251&lt;$C$3209,$F$3209+$J$3209*($F3251-$B$3209),$G$3209+$K$3209*($F3251-$C$3209)))</f>
        <v/>
      </c>
      <c r="P3251" s="208">
        <f>MIN(1,MAX(0,(nr_MEndPm1-$G3251+0.5)/$C$3208))-MIN(1,MAX(0,(nr_MStartPm1-1-$G3251+0.5)/$C$3208))</f>
        <v/>
      </c>
      <c r="Q3251" s="208">
        <f>MIN(1,MAX(0,(nr_MEndP-$G3251+0.5)/$C$3208))-MIN(1,MAX(0,(nr_MStartP-1-$G3251+0.5)/$C$3208))</f>
        <v/>
      </c>
      <c r="R3251" s="208">
        <f>MIN(1,MAX(0,(nr_MEndP1-$G3251+0.5)/$C$3208))-MIN(1,MAX(0,(nr_MStartP1-1-$G3251+0.5)/$C$3208))</f>
        <v/>
      </c>
      <c r="S3251" s="208">
        <f>IF($L$3208,$N3251*IF($O$3208=1,$O3251/$F$3208,1),"")</f>
        <v/>
      </c>
      <c r="T3251" s="208">
        <f>IF(NOT($L$3208),"",IF($G3251&lt;nr_MStartP,$S3251,$T3239*(1+IF($G3251&lt;nr_MStartP1,$M$3208,$N$3208))))</f>
        <v/>
      </c>
      <c r="U3251" s="208">
        <f>IF($L$3208,$T3251,$N3251)</f>
        <v/>
      </c>
    </row>
    <row r="3252">
      <c r="A3252" s="145" t="n">
        <v>42</v>
      </c>
      <c r="B3252" s="204">
        <f>EDATE($B3251,1)</f>
        <v/>
      </c>
      <c r="C3252" s="205">
        <f>EOMONTH($B3252,0)</f>
        <v/>
      </c>
      <c r="D3252" s="201">
        <f>$C3252-$B3252+1</f>
        <v/>
      </c>
      <c r="E3252" s="201">
        <f>MONTH($B3252)</f>
        <v/>
      </c>
      <c r="F3252" s="235">
        <f>($B3252+$C3252+1)/2</f>
        <v/>
      </c>
      <c r="G3252" s="201">
        <f>YEAR($B3252)*12+MONTH($B3252)-1</f>
        <v/>
      </c>
      <c r="H3252" s="207">
        <f>IF(OR(nr_SeasonOn="OFF",$D$3208=0,$E$3208=0),1,12*INDEX(se_block,$D$3208,$E3252)/$E$3208)</f>
        <v/>
      </c>
      <c r="I3252" s="208">
        <f>EXP(SUMPRODUCT((rl_eff&lt;$B3252)*(rl_key=$A$3208)*rl_ln1p))</f>
        <v/>
      </c>
      <c r="J3252" s="208">
        <f>EXP(SUMPRODUCT((rl_eff&lt;=$C3252)*(rl_key=$A$3208)*rl_ln1p))</f>
        <v/>
      </c>
      <c r="K3252" s="201">
        <f>COUNTIFS(rl_key,$A$3208,rl_eff,"&gt;="&amp;$B3252,rl_eff,"&lt;="&amp;$C3252)</f>
        <v/>
      </c>
      <c r="L3252" s="201">
        <f>SUMIFS(rl_daysafter,rl_key,$A$3208,rl_effmonth,$B3252,rl_first,1)</f>
        <v/>
      </c>
      <c r="M3252" s="209">
        <f>IF($K3252=0,0,MIN(1,$L3252/$D3252))</f>
        <v/>
      </c>
      <c r="N3252" s="208">
        <f>IF($K3252=0,$J3252,(1-$M3252)*$I3252+$M3252*$J3252)</f>
        <v/>
      </c>
      <c r="O3252" s="209">
        <f>IF($F3252&lt;$B$3209,$E$3209+$I$3209*($F3252-$A$3209),IF($F3252&lt;$C$3209,$F$3209+$J$3209*($F3252-$B$3209),$G$3209+$K$3209*($F3252-$C$3209)))</f>
        <v/>
      </c>
      <c r="P3252" s="208">
        <f>MIN(1,MAX(0,(nr_MEndPm1-$G3252+0.5)/$C$3208))-MIN(1,MAX(0,(nr_MStartPm1-1-$G3252+0.5)/$C$3208))</f>
        <v/>
      </c>
      <c r="Q3252" s="208">
        <f>MIN(1,MAX(0,(nr_MEndP-$G3252+0.5)/$C$3208))-MIN(1,MAX(0,(nr_MStartP-1-$G3252+0.5)/$C$3208))</f>
        <v/>
      </c>
      <c r="R3252" s="208">
        <f>MIN(1,MAX(0,(nr_MEndP1-$G3252+0.5)/$C$3208))-MIN(1,MAX(0,(nr_MStartP1-1-$G3252+0.5)/$C$3208))</f>
        <v/>
      </c>
      <c r="S3252" s="208">
        <f>IF($L$3208,$N3252*IF($O$3208=1,$O3252/$F$3208,1),"")</f>
        <v/>
      </c>
      <c r="T3252" s="208">
        <f>IF(NOT($L$3208),"",IF($G3252&lt;nr_MStartP,$S3252,$T3240*(1+IF($G3252&lt;nr_MStartP1,$M$3208,$N$3208))))</f>
        <v/>
      </c>
      <c r="U3252" s="208">
        <f>IF($L$3208,$T3252,$N3252)</f>
        <v/>
      </c>
    </row>
    <row r="3253">
      <c r="A3253" s="145" t="n">
        <v>43</v>
      </c>
      <c r="B3253" s="204">
        <f>EDATE($B3252,1)</f>
        <v/>
      </c>
      <c r="C3253" s="205">
        <f>EOMONTH($B3253,0)</f>
        <v/>
      </c>
      <c r="D3253" s="201">
        <f>$C3253-$B3253+1</f>
        <v/>
      </c>
      <c r="E3253" s="201">
        <f>MONTH($B3253)</f>
        <v/>
      </c>
      <c r="F3253" s="235">
        <f>($B3253+$C3253+1)/2</f>
        <v/>
      </c>
      <c r="G3253" s="201">
        <f>YEAR($B3253)*12+MONTH($B3253)-1</f>
        <v/>
      </c>
      <c r="H3253" s="207">
        <f>IF(OR(nr_SeasonOn="OFF",$D$3208=0,$E$3208=0),1,12*INDEX(se_block,$D$3208,$E3253)/$E$3208)</f>
        <v/>
      </c>
      <c r="I3253" s="208">
        <f>EXP(SUMPRODUCT((rl_eff&lt;$B3253)*(rl_key=$A$3208)*rl_ln1p))</f>
        <v/>
      </c>
      <c r="J3253" s="208">
        <f>EXP(SUMPRODUCT((rl_eff&lt;=$C3253)*(rl_key=$A$3208)*rl_ln1p))</f>
        <v/>
      </c>
      <c r="K3253" s="201">
        <f>COUNTIFS(rl_key,$A$3208,rl_eff,"&gt;="&amp;$B3253,rl_eff,"&lt;="&amp;$C3253)</f>
        <v/>
      </c>
      <c r="L3253" s="201">
        <f>SUMIFS(rl_daysafter,rl_key,$A$3208,rl_effmonth,$B3253,rl_first,1)</f>
        <v/>
      </c>
      <c r="M3253" s="209">
        <f>IF($K3253=0,0,MIN(1,$L3253/$D3253))</f>
        <v/>
      </c>
      <c r="N3253" s="208">
        <f>IF($K3253=0,$J3253,(1-$M3253)*$I3253+$M3253*$J3253)</f>
        <v/>
      </c>
      <c r="O3253" s="209">
        <f>IF($F3253&lt;$B$3209,$E$3209+$I$3209*($F3253-$A$3209),IF($F3253&lt;$C$3209,$F$3209+$J$3209*($F3253-$B$3209),$G$3209+$K$3209*($F3253-$C$3209)))</f>
        <v/>
      </c>
      <c r="P3253" s="208">
        <f>MIN(1,MAX(0,(nr_MEndPm1-$G3253+0.5)/$C$3208))-MIN(1,MAX(0,(nr_MStartPm1-1-$G3253+0.5)/$C$3208))</f>
        <v/>
      </c>
      <c r="Q3253" s="208">
        <f>MIN(1,MAX(0,(nr_MEndP-$G3253+0.5)/$C$3208))-MIN(1,MAX(0,(nr_MStartP-1-$G3253+0.5)/$C$3208))</f>
        <v/>
      </c>
      <c r="R3253" s="208">
        <f>MIN(1,MAX(0,(nr_MEndP1-$G3253+0.5)/$C$3208))-MIN(1,MAX(0,(nr_MStartP1-1-$G3253+0.5)/$C$3208))</f>
        <v/>
      </c>
      <c r="S3253" s="208">
        <f>IF($L$3208,$N3253*IF($O$3208=1,$O3253/$F$3208,1),"")</f>
        <v/>
      </c>
      <c r="T3253" s="208">
        <f>IF(NOT($L$3208),"",IF($G3253&lt;nr_MStartP,$S3253,$T3241*(1+IF($G3253&lt;nr_MStartP1,$M$3208,$N$3208))))</f>
        <v/>
      </c>
      <c r="U3253" s="208">
        <f>IF($L$3208,$T3253,$N3253)</f>
        <v/>
      </c>
    </row>
    <row r="3254">
      <c r="A3254" s="145" t="n">
        <v>44</v>
      </c>
      <c r="B3254" s="204">
        <f>EDATE($B3253,1)</f>
        <v/>
      </c>
      <c r="C3254" s="205">
        <f>EOMONTH($B3254,0)</f>
        <v/>
      </c>
      <c r="D3254" s="201">
        <f>$C3254-$B3254+1</f>
        <v/>
      </c>
      <c r="E3254" s="201">
        <f>MONTH($B3254)</f>
        <v/>
      </c>
      <c r="F3254" s="235">
        <f>($B3254+$C3254+1)/2</f>
        <v/>
      </c>
      <c r="G3254" s="201">
        <f>YEAR($B3254)*12+MONTH($B3254)-1</f>
        <v/>
      </c>
      <c r="H3254" s="207">
        <f>IF(OR(nr_SeasonOn="OFF",$D$3208=0,$E$3208=0),1,12*INDEX(se_block,$D$3208,$E3254)/$E$3208)</f>
        <v/>
      </c>
      <c r="I3254" s="208">
        <f>EXP(SUMPRODUCT((rl_eff&lt;$B3254)*(rl_key=$A$3208)*rl_ln1p))</f>
        <v/>
      </c>
      <c r="J3254" s="208">
        <f>EXP(SUMPRODUCT((rl_eff&lt;=$C3254)*(rl_key=$A$3208)*rl_ln1p))</f>
        <v/>
      </c>
      <c r="K3254" s="201">
        <f>COUNTIFS(rl_key,$A$3208,rl_eff,"&gt;="&amp;$B3254,rl_eff,"&lt;="&amp;$C3254)</f>
        <v/>
      </c>
      <c r="L3254" s="201">
        <f>SUMIFS(rl_daysafter,rl_key,$A$3208,rl_effmonth,$B3254,rl_first,1)</f>
        <v/>
      </c>
      <c r="M3254" s="209">
        <f>IF($K3254=0,0,MIN(1,$L3254/$D3254))</f>
        <v/>
      </c>
      <c r="N3254" s="208">
        <f>IF($K3254=0,$J3254,(1-$M3254)*$I3254+$M3254*$J3254)</f>
        <v/>
      </c>
      <c r="O3254" s="209">
        <f>IF($F3254&lt;$B$3209,$E$3209+$I$3209*($F3254-$A$3209),IF($F3254&lt;$C$3209,$F$3209+$J$3209*($F3254-$B$3209),$G$3209+$K$3209*($F3254-$C$3209)))</f>
        <v/>
      </c>
      <c r="P3254" s="208">
        <f>MIN(1,MAX(0,(nr_MEndPm1-$G3254+0.5)/$C$3208))-MIN(1,MAX(0,(nr_MStartPm1-1-$G3254+0.5)/$C$3208))</f>
        <v/>
      </c>
      <c r="Q3254" s="208">
        <f>MIN(1,MAX(0,(nr_MEndP-$G3254+0.5)/$C$3208))-MIN(1,MAX(0,(nr_MStartP-1-$G3254+0.5)/$C$3208))</f>
        <v/>
      </c>
      <c r="R3254" s="208">
        <f>MIN(1,MAX(0,(nr_MEndP1-$G3254+0.5)/$C$3208))-MIN(1,MAX(0,(nr_MStartP1-1-$G3254+0.5)/$C$3208))</f>
        <v/>
      </c>
      <c r="S3254" s="208">
        <f>IF($L$3208,$N3254*IF($O$3208=1,$O3254/$F$3208,1),"")</f>
        <v/>
      </c>
      <c r="T3254" s="208">
        <f>IF(NOT($L$3208),"",IF($G3254&lt;nr_MStartP,$S3254,$T3242*(1+IF($G3254&lt;nr_MStartP1,$M$3208,$N$3208))))</f>
        <v/>
      </c>
      <c r="U3254" s="208">
        <f>IF($L$3208,$T3254,$N3254)</f>
        <v/>
      </c>
    </row>
    <row r="3255">
      <c r="A3255" s="145" t="n">
        <v>45</v>
      </c>
      <c r="B3255" s="204">
        <f>EDATE($B3254,1)</f>
        <v/>
      </c>
      <c r="C3255" s="205">
        <f>EOMONTH($B3255,0)</f>
        <v/>
      </c>
      <c r="D3255" s="201">
        <f>$C3255-$B3255+1</f>
        <v/>
      </c>
      <c r="E3255" s="201">
        <f>MONTH($B3255)</f>
        <v/>
      </c>
      <c r="F3255" s="235">
        <f>($B3255+$C3255+1)/2</f>
        <v/>
      </c>
      <c r="G3255" s="201">
        <f>YEAR($B3255)*12+MONTH($B3255)-1</f>
        <v/>
      </c>
      <c r="H3255" s="207">
        <f>IF(OR(nr_SeasonOn="OFF",$D$3208=0,$E$3208=0),1,12*INDEX(se_block,$D$3208,$E3255)/$E$3208)</f>
        <v/>
      </c>
      <c r="I3255" s="208">
        <f>EXP(SUMPRODUCT((rl_eff&lt;$B3255)*(rl_key=$A$3208)*rl_ln1p))</f>
        <v/>
      </c>
      <c r="J3255" s="208">
        <f>EXP(SUMPRODUCT((rl_eff&lt;=$C3255)*(rl_key=$A$3208)*rl_ln1p))</f>
        <v/>
      </c>
      <c r="K3255" s="201">
        <f>COUNTIFS(rl_key,$A$3208,rl_eff,"&gt;="&amp;$B3255,rl_eff,"&lt;="&amp;$C3255)</f>
        <v/>
      </c>
      <c r="L3255" s="201">
        <f>SUMIFS(rl_daysafter,rl_key,$A$3208,rl_effmonth,$B3255,rl_first,1)</f>
        <v/>
      </c>
      <c r="M3255" s="209">
        <f>IF($K3255=0,0,MIN(1,$L3255/$D3255))</f>
        <v/>
      </c>
      <c r="N3255" s="208">
        <f>IF($K3255=0,$J3255,(1-$M3255)*$I3255+$M3255*$J3255)</f>
        <v/>
      </c>
      <c r="O3255" s="209">
        <f>IF($F3255&lt;$B$3209,$E$3209+$I$3209*($F3255-$A$3209),IF($F3255&lt;$C$3209,$F$3209+$J$3209*($F3255-$B$3209),$G$3209+$K$3209*($F3255-$C$3209)))</f>
        <v/>
      </c>
      <c r="P3255" s="208">
        <f>MIN(1,MAX(0,(nr_MEndPm1-$G3255+0.5)/$C$3208))-MIN(1,MAX(0,(nr_MStartPm1-1-$G3255+0.5)/$C$3208))</f>
        <v/>
      </c>
      <c r="Q3255" s="208">
        <f>MIN(1,MAX(0,(nr_MEndP-$G3255+0.5)/$C$3208))-MIN(1,MAX(0,(nr_MStartP-1-$G3255+0.5)/$C$3208))</f>
        <v/>
      </c>
      <c r="R3255" s="208">
        <f>MIN(1,MAX(0,(nr_MEndP1-$G3255+0.5)/$C$3208))-MIN(1,MAX(0,(nr_MStartP1-1-$G3255+0.5)/$C$3208))</f>
        <v/>
      </c>
      <c r="S3255" s="208">
        <f>IF($L$3208,$N3255*IF($O$3208=1,$O3255/$F$3208,1),"")</f>
        <v/>
      </c>
      <c r="T3255" s="208">
        <f>IF(NOT($L$3208),"",IF($G3255&lt;nr_MStartP,$S3255,$T3243*(1+IF($G3255&lt;nr_MStartP1,$M$3208,$N$3208))))</f>
        <v/>
      </c>
      <c r="U3255" s="208">
        <f>IF($L$3208,$T3255,$N3255)</f>
        <v/>
      </c>
    </row>
    <row r="3256">
      <c r="A3256" s="145" t="n">
        <v>46</v>
      </c>
      <c r="B3256" s="204">
        <f>EDATE($B3255,1)</f>
        <v/>
      </c>
      <c r="C3256" s="205">
        <f>EOMONTH($B3256,0)</f>
        <v/>
      </c>
      <c r="D3256" s="201">
        <f>$C3256-$B3256+1</f>
        <v/>
      </c>
      <c r="E3256" s="201">
        <f>MONTH($B3256)</f>
        <v/>
      </c>
      <c r="F3256" s="235">
        <f>($B3256+$C3256+1)/2</f>
        <v/>
      </c>
      <c r="G3256" s="201">
        <f>YEAR($B3256)*12+MONTH($B3256)-1</f>
        <v/>
      </c>
      <c r="H3256" s="207">
        <f>IF(OR(nr_SeasonOn="OFF",$D$3208=0,$E$3208=0),1,12*INDEX(se_block,$D$3208,$E3256)/$E$3208)</f>
        <v/>
      </c>
      <c r="I3256" s="208">
        <f>EXP(SUMPRODUCT((rl_eff&lt;$B3256)*(rl_key=$A$3208)*rl_ln1p))</f>
        <v/>
      </c>
      <c r="J3256" s="208">
        <f>EXP(SUMPRODUCT((rl_eff&lt;=$C3256)*(rl_key=$A$3208)*rl_ln1p))</f>
        <v/>
      </c>
      <c r="K3256" s="201">
        <f>COUNTIFS(rl_key,$A$3208,rl_eff,"&gt;="&amp;$B3256,rl_eff,"&lt;="&amp;$C3256)</f>
        <v/>
      </c>
      <c r="L3256" s="201">
        <f>SUMIFS(rl_daysafter,rl_key,$A$3208,rl_effmonth,$B3256,rl_first,1)</f>
        <v/>
      </c>
      <c r="M3256" s="209">
        <f>IF($K3256=0,0,MIN(1,$L3256/$D3256))</f>
        <v/>
      </c>
      <c r="N3256" s="208">
        <f>IF($K3256=0,$J3256,(1-$M3256)*$I3256+$M3256*$J3256)</f>
        <v/>
      </c>
      <c r="O3256" s="209">
        <f>IF($F3256&lt;$B$3209,$E$3209+$I$3209*($F3256-$A$3209),IF($F3256&lt;$C$3209,$F$3209+$J$3209*($F3256-$B$3209),$G$3209+$K$3209*($F3256-$C$3209)))</f>
        <v/>
      </c>
      <c r="P3256" s="208">
        <f>MIN(1,MAX(0,(nr_MEndPm1-$G3256+0.5)/$C$3208))-MIN(1,MAX(0,(nr_MStartPm1-1-$G3256+0.5)/$C$3208))</f>
        <v/>
      </c>
      <c r="Q3256" s="208">
        <f>MIN(1,MAX(0,(nr_MEndP-$G3256+0.5)/$C$3208))-MIN(1,MAX(0,(nr_MStartP-1-$G3256+0.5)/$C$3208))</f>
        <v/>
      </c>
      <c r="R3256" s="208">
        <f>MIN(1,MAX(0,(nr_MEndP1-$G3256+0.5)/$C$3208))-MIN(1,MAX(0,(nr_MStartP1-1-$G3256+0.5)/$C$3208))</f>
        <v/>
      </c>
      <c r="S3256" s="208">
        <f>IF($L$3208,$N3256*IF($O$3208=1,$O3256/$F$3208,1),"")</f>
        <v/>
      </c>
      <c r="T3256" s="208">
        <f>IF(NOT($L$3208),"",IF($G3256&lt;nr_MStartP,$S3256,$T3244*(1+IF($G3256&lt;nr_MStartP1,$M$3208,$N$3208))))</f>
        <v/>
      </c>
      <c r="U3256" s="208">
        <f>IF($L$3208,$T3256,$N3256)</f>
        <v/>
      </c>
    </row>
    <row r="3257">
      <c r="A3257" s="145" t="n">
        <v>47</v>
      </c>
      <c r="B3257" s="204">
        <f>EDATE($B3256,1)</f>
        <v/>
      </c>
      <c r="C3257" s="205">
        <f>EOMONTH($B3257,0)</f>
        <v/>
      </c>
      <c r="D3257" s="201">
        <f>$C3257-$B3257+1</f>
        <v/>
      </c>
      <c r="E3257" s="201">
        <f>MONTH($B3257)</f>
        <v/>
      </c>
      <c r="F3257" s="235">
        <f>($B3257+$C3257+1)/2</f>
        <v/>
      </c>
      <c r="G3257" s="201">
        <f>YEAR($B3257)*12+MONTH($B3257)-1</f>
        <v/>
      </c>
      <c r="H3257" s="207">
        <f>IF(OR(nr_SeasonOn="OFF",$D$3208=0,$E$3208=0),1,12*INDEX(se_block,$D$3208,$E3257)/$E$3208)</f>
        <v/>
      </c>
      <c r="I3257" s="208">
        <f>EXP(SUMPRODUCT((rl_eff&lt;$B3257)*(rl_key=$A$3208)*rl_ln1p))</f>
        <v/>
      </c>
      <c r="J3257" s="208">
        <f>EXP(SUMPRODUCT((rl_eff&lt;=$C3257)*(rl_key=$A$3208)*rl_ln1p))</f>
        <v/>
      </c>
      <c r="K3257" s="201">
        <f>COUNTIFS(rl_key,$A$3208,rl_eff,"&gt;="&amp;$B3257,rl_eff,"&lt;="&amp;$C3257)</f>
        <v/>
      </c>
      <c r="L3257" s="201">
        <f>SUMIFS(rl_daysafter,rl_key,$A$3208,rl_effmonth,$B3257,rl_first,1)</f>
        <v/>
      </c>
      <c r="M3257" s="209">
        <f>IF($K3257=0,0,MIN(1,$L3257/$D3257))</f>
        <v/>
      </c>
      <c r="N3257" s="208">
        <f>IF($K3257=0,$J3257,(1-$M3257)*$I3257+$M3257*$J3257)</f>
        <v/>
      </c>
      <c r="O3257" s="209">
        <f>IF($F3257&lt;$B$3209,$E$3209+$I$3209*($F3257-$A$3209),IF($F3257&lt;$C$3209,$F$3209+$J$3209*($F3257-$B$3209),$G$3209+$K$3209*($F3257-$C$3209)))</f>
        <v/>
      </c>
      <c r="P3257" s="208">
        <f>MIN(1,MAX(0,(nr_MEndPm1-$G3257+0.5)/$C$3208))-MIN(1,MAX(0,(nr_MStartPm1-1-$G3257+0.5)/$C$3208))</f>
        <v/>
      </c>
      <c r="Q3257" s="208">
        <f>MIN(1,MAX(0,(nr_MEndP-$G3257+0.5)/$C$3208))-MIN(1,MAX(0,(nr_MStartP-1-$G3257+0.5)/$C$3208))</f>
        <v/>
      </c>
      <c r="R3257" s="208">
        <f>MIN(1,MAX(0,(nr_MEndP1-$G3257+0.5)/$C$3208))-MIN(1,MAX(0,(nr_MStartP1-1-$G3257+0.5)/$C$3208))</f>
        <v/>
      </c>
      <c r="S3257" s="208">
        <f>IF($L$3208,$N3257*IF($O$3208=1,$O3257/$F$3208,1),"")</f>
        <v/>
      </c>
      <c r="T3257" s="208">
        <f>IF(NOT($L$3208),"",IF($G3257&lt;nr_MStartP,$S3257,$T3245*(1+IF($G3257&lt;nr_MStartP1,$M$3208,$N$3208))))</f>
        <v/>
      </c>
      <c r="U3257" s="208">
        <f>IF($L$3208,$T3257,$N3257)</f>
        <v/>
      </c>
    </row>
    <row r="3258">
      <c r="A3258" s="145" t="n">
        <v>48</v>
      </c>
      <c r="B3258" s="204">
        <f>EDATE($B3257,1)</f>
        <v/>
      </c>
      <c r="C3258" s="205">
        <f>EOMONTH($B3258,0)</f>
        <v/>
      </c>
      <c r="D3258" s="201">
        <f>$C3258-$B3258+1</f>
        <v/>
      </c>
      <c r="E3258" s="201">
        <f>MONTH($B3258)</f>
        <v/>
      </c>
      <c r="F3258" s="235">
        <f>($B3258+$C3258+1)/2</f>
        <v/>
      </c>
      <c r="G3258" s="201">
        <f>YEAR($B3258)*12+MONTH($B3258)-1</f>
        <v/>
      </c>
      <c r="H3258" s="207">
        <f>IF(OR(nr_SeasonOn="OFF",$D$3208=0,$E$3208=0),1,12*INDEX(se_block,$D$3208,$E3258)/$E$3208)</f>
        <v/>
      </c>
      <c r="I3258" s="208">
        <f>EXP(SUMPRODUCT((rl_eff&lt;$B3258)*(rl_key=$A$3208)*rl_ln1p))</f>
        <v/>
      </c>
      <c r="J3258" s="208">
        <f>EXP(SUMPRODUCT((rl_eff&lt;=$C3258)*(rl_key=$A$3208)*rl_ln1p))</f>
        <v/>
      </c>
      <c r="K3258" s="201">
        <f>COUNTIFS(rl_key,$A$3208,rl_eff,"&gt;="&amp;$B3258,rl_eff,"&lt;="&amp;$C3258)</f>
        <v/>
      </c>
      <c r="L3258" s="201">
        <f>SUMIFS(rl_daysafter,rl_key,$A$3208,rl_effmonth,$B3258,rl_first,1)</f>
        <v/>
      </c>
      <c r="M3258" s="209">
        <f>IF($K3258=0,0,MIN(1,$L3258/$D3258))</f>
        <v/>
      </c>
      <c r="N3258" s="208">
        <f>IF($K3258=0,$J3258,(1-$M3258)*$I3258+$M3258*$J3258)</f>
        <v/>
      </c>
      <c r="O3258" s="209">
        <f>IF($F3258&lt;$B$3209,$E$3209+$I$3209*($F3258-$A$3209),IF($F3258&lt;$C$3209,$F$3209+$J$3209*($F3258-$B$3209),$G$3209+$K$3209*($F3258-$C$3209)))</f>
        <v/>
      </c>
      <c r="P3258" s="208">
        <f>MIN(1,MAX(0,(nr_MEndPm1-$G3258+0.5)/$C$3208))-MIN(1,MAX(0,(nr_MStartPm1-1-$G3258+0.5)/$C$3208))</f>
        <v/>
      </c>
      <c r="Q3258" s="208">
        <f>MIN(1,MAX(0,(nr_MEndP-$G3258+0.5)/$C$3208))-MIN(1,MAX(0,(nr_MStartP-1-$G3258+0.5)/$C$3208))</f>
        <v/>
      </c>
      <c r="R3258" s="208">
        <f>MIN(1,MAX(0,(nr_MEndP1-$G3258+0.5)/$C$3208))-MIN(1,MAX(0,(nr_MStartP1-1-$G3258+0.5)/$C$3208))</f>
        <v/>
      </c>
      <c r="S3258" s="208">
        <f>IF($L$3208,$N3258*IF($O$3208=1,$O3258/$F$3208,1),"")</f>
        <v/>
      </c>
      <c r="T3258" s="208">
        <f>IF(NOT($L$3208),"",IF($G3258&lt;nr_MStartP,$S3258,$T3246*(1+IF($G3258&lt;nr_MStartP1,$M$3208,$N$3208))))</f>
        <v/>
      </c>
      <c r="U3258" s="208">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184">
        <f>SUMPRODUCT($H$3211:$H$3258,$Q$3211:$Q$3258,$O$3211:$O$3258)/SUMPRODUCT($H$3211:$H$3258,$Q$3211:$Q$3258)</f>
        <v/>
      </c>
      <c r="G3259" s="184">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184">
        <f>IF(N(INDEX(lr_mind,60))=0,1,INDEX(lr_mind,60))</f>
        <v/>
      </c>
      <c r="G3262" s="184">
        <f>IF(N(INDEX(lr_m0,60))=0,1,INDEX(lr_m0,60))</f>
        <v/>
      </c>
      <c r="H3262" s="73">
        <f>IF(N(INDEX(lr_m0asof,60))=0,DATE(nr_PlanYear-1,10,1),INDEX(lr_m0asof,60))</f>
        <v/>
      </c>
      <c r="I3262" s="184">
        <f>IF(N(INDEX(lr_m1,60))=0,1,INDEX(lr_m1,60))</f>
        <v/>
      </c>
      <c r="J3262" s="184">
        <f>INDEX(lr_mprior,60)</f>
        <v/>
      </c>
      <c r="K3262" s="184">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145" t="n">
        <v>1</v>
      </c>
      <c r="B3265" s="204">
        <f>DATE(nr_PlanYear-2,1,1)</f>
        <v/>
      </c>
      <c r="C3265" s="205">
        <f>EOMONTH($B3265,0)</f>
        <v/>
      </c>
      <c r="D3265" s="201">
        <f>$C3265-$B3265+1</f>
        <v/>
      </c>
      <c r="E3265" s="201">
        <f>MONTH($B3265)</f>
        <v/>
      </c>
      <c r="F3265" s="235">
        <f>($B3265+$C3265+1)/2</f>
        <v/>
      </c>
      <c r="G3265" s="201">
        <f>YEAR($B3265)*12+MONTH($B3265)-1</f>
        <v/>
      </c>
      <c r="H3265" s="207">
        <f>IF(OR(nr_SeasonOn="OFF",$D$3262=0,$E$3262=0),1,12*INDEX(se_block,$D$3262,$E3265)/$E$3262)</f>
        <v/>
      </c>
      <c r="I3265" s="208">
        <f>EXP(SUMPRODUCT((rl_eff&lt;$B3265)*(rl_key=$A$3262)*rl_ln1p))</f>
        <v/>
      </c>
      <c r="J3265" s="208">
        <f>EXP(SUMPRODUCT((rl_eff&lt;=$C3265)*(rl_key=$A$3262)*rl_ln1p))</f>
        <v/>
      </c>
      <c r="K3265" s="201">
        <f>COUNTIFS(rl_key,$A$3262,rl_eff,"&gt;="&amp;$B3265,rl_eff,"&lt;="&amp;$C3265)</f>
        <v/>
      </c>
      <c r="L3265" s="201">
        <f>SUMIFS(rl_daysafter,rl_key,$A$3262,rl_effmonth,$B3265,rl_first,1)</f>
        <v/>
      </c>
      <c r="M3265" s="209">
        <f>IF($K3265=0,0,MIN(1,$L3265/$D3265))</f>
        <v/>
      </c>
      <c r="N3265" s="208">
        <f>IF($K3265=0,$J3265,(1-$M3265)*$I3265+$M3265*$J3265)</f>
        <v/>
      </c>
      <c r="O3265" s="209">
        <f>IF($F3265&lt;$B$3263,$E$3263+$I$3263*($F3265-$A$3263),IF($F3265&lt;$C$3263,$F$3263+$J$3263*($F3265-$B$3263),$G$3263+$K$3263*($F3265-$C$3263)))</f>
        <v/>
      </c>
      <c r="P3265" s="208">
        <f>MIN(1,MAX(0,(nr_MEndPm1-$G3265+0.5)/$C$3262))-MIN(1,MAX(0,(nr_MStartPm1-1-$G3265+0.5)/$C$3262))</f>
        <v/>
      </c>
      <c r="Q3265" s="208">
        <f>MIN(1,MAX(0,(nr_MEndP-$G3265+0.5)/$C$3262))-MIN(1,MAX(0,(nr_MStartP-1-$G3265+0.5)/$C$3262))</f>
        <v/>
      </c>
      <c r="R3265" s="208">
        <f>MIN(1,MAX(0,(nr_MEndP1-$G3265+0.5)/$C$3262))-MIN(1,MAX(0,(nr_MStartP1-1-$G3265+0.5)/$C$3262))</f>
        <v/>
      </c>
      <c r="S3265" s="208">
        <f>IF($L$3262,$N3265*IF($O$3262=1,$O3265/$F$3262,1),"")</f>
        <v/>
      </c>
      <c r="T3265" s="208">
        <f>IF(NOT($L$3262),"",IF($G3265&lt;nr_MStartP,$S3265,$T3253*(1+IF($G3265&lt;nr_MStartP1,$M$3262,$N$3262))))</f>
        <v/>
      </c>
      <c r="U3265" s="208">
        <f>IF($L$3262,$T3265,$N3265)</f>
        <v/>
      </c>
    </row>
    <row r="3266">
      <c r="A3266" s="145" t="n">
        <v>2</v>
      </c>
      <c r="B3266" s="204">
        <f>EDATE($B3265,1)</f>
        <v/>
      </c>
      <c r="C3266" s="205">
        <f>EOMONTH($B3266,0)</f>
        <v/>
      </c>
      <c r="D3266" s="201">
        <f>$C3266-$B3266+1</f>
        <v/>
      </c>
      <c r="E3266" s="201">
        <f>MONTH($B3266)</f>
        <v/>
      </c>
      <c r="F3266" s="235">
        <f>($B3266+$C3266+1)/2</f>
        <v/>
      </c>
      <c r="G3266" s="201">
        <f>YEAR($B3266)*12+MONTH($B3266)-1</f>
        <v/>
      </c>
      <c r="H3266" s="207">
        <f>IF(OR(nr_SeasonOn="OFF",$D$3262=0,$E$3262=0),1,12*INDEX(se_block,$D$3262,$E3266)/$E$3262)</f>
        <v/>
      </c>
      <c r="I3266" s="208">
        <f>EXP(SUMPRODUCT((rl_eff&lt;$B3266)*(rl_key=$A$3262)*rl_ln1p))</f>
        <v/>
      </c>
      <c r="J3266" s="208">
        <f>EXP(SUMPRODUCT((rl_eff&lt;=$C3266)*(rl_key=$A$3262)*rl_ln1p))</f>
        <v/>
      </c>
      <c r="K3266" s="201">
        <f>COUNTIFS(rl_key,$A$3262,rl_eff,"&gt;="&amp;$B3266,rl_eff,"&lt;="&amp;$C3266)</f>
        <v/>
      </c>
      <c r="L3266" s="201">
        <f>SUMIFS(rl_daysafter,rl_key,$A$3262,rl_effmonth,$B3266,rl_first,1)</f>
        <v/>
      </c>
      <c r="M3266" s="209">
        <f>IF($K3266=0,0,MIN(1,$L3266/$D3266))</f>
        <v/>
      </c>
      <c r="N3266" s="208">
        <f>IF($K3266=0,$J3266,(1-$M3266)*$I3266+$M3266*$J3266)</f>
        <v/>
      </c>
      <c r="O3266" s="209">
        <f>IF($F3266&lt;$B$3263,$E$3263+$I$3263*($F3266-$A$3263),IF($F3266&lt;$C$3263,$F$3263+$J$3263*($F3266-$B$3263),$G$3263+$K$3263*($F3266-$C$3263)))</f>
        <v/>
      </c>
      <c r="P3266" s="208">
        <f>MIN(1,MAX(0,(nr_MEndPm1-$G3266+0.5)/$C$3262))-MIN(1,MAX(0,(nr_MStartPm1-1-$G3266+0.5)/$C$3262))</f>
        <v/>
      </c>
      <c r="Q3266" s="208">
        <f>MIN(1,MAX(0,(nr_MEndP-$G3266+0.5)/$C$3262))-MIN(1,MAX(0,(nr_MStartP-1-$G3266+0.5)/$C$3262))</f>
        <v/>
      </c>
      <c r="R3266" s="208">
        <f>MIN(1,MAX(0,(nr_MEndP1-$G3266+0.5)/$C$3262))-MIN(1,MAX(0,(nr_MStartP1-1-$G3266+0.5)/$C$3262))</f>
        <v/>
      </c>
      <c r="S3266" s="208">
        <f>IF($L$3262,$N3266*IF($O$3262=1,$O3266/$F$3262,1),"")</f>
        <v/>
      </c>
      <c r="T3266" s="208">
        <f>IF(NOT($L$3262),"",IF($G3266&lt;nr_MStartP,$S3266,$T3254*(1+IF($G3266&lt;nr_MStartP1,$M$3262,$N$3262))))</f>
        <v/>
      </c>
      <c r="U3266" s="208">
        <f>IF($L$3262,$T3266,$N3266)</f>
        <v/>
      </c>
    </row>
    <row r="3267">
      <c r="A3267" s="145" t="n">
        <v>3</v>
      </c>
      <c r="B3267" s="204">
        <f>EDATE($B3266,1)</f>
        <v/>
      </c>
      <c r="C3267" s="205">
        <f>EOMONTH($B3267,0)</f>
        <v/>
      </c>
      <c r="D3267" s="201">
        <f>$C3267-$B3267+1</f>
        <v/>
      </c>
      <c r="E3267" s="201">
        <f>MONTH($B3267)</f>
        <v/>
      </c>
      <c r="F3267" s="235">
        <f>($B3267+$C3267+1)/2</f>
        <v/>
      </c>
      <c r="G3267" s="201">
        <f>YEAR($B3267)*12+MONTH($B3267)-1</f>
        <v/>
      </c>
      <c r="H3267" s="207">
        <f>IF(OR(nr_SeasonOn="OFF",$D$3262=0,$E$3262=0),1,12*INDEX(se_block,$D$3262,$E3267)/$E$3262)</f>
        <v/>
      </c>
      <c r="I3267" s="208">
        <f>EXP(SUMPRODUCT((rl_eff&lt;$B3267)*(rl_key=$A$3262)*rl_ln1p))</f>
        <v/>
      </c>
      <c r="J3267" s="208">
        <f>EXP(SUMPRODUCT((rl_eff&lt;=$C3267)*(rl_key=$A$3262)*rl_ln1p))</f>
        <v/>
      </c>
      <c r="K3267" s="201">
        <f>COUNTIFS(rl_key,$A$3262,rl_eff,"&gt;="&amp;$B3267,rl_eff,"&lt;="&amp;$C3267)</f>
        <v/>
      </c>
      <c r="L3267" s="201">
        <f>SUMIFS(rl_daysafter,rl_key,$A$3262,rl_effmonth,$B3267,rl_first,1)</f>
        <v/>
      </c>
      <c r="M3267" s="209">
        <f>IF($K3267=0,0,MIN(1,$L3267/$D3267))</f>
        <v/>
      </c>
      <c r="N3267" s="208">
        <f>IF($K3267=0,$J3267,(1-$M3267)*$I3267+$M3267*$J3267)</f>
        <v/>
      </c>
      <c r="O3267" s="209">
        <f>IF($F3267&lt;$B$3263,$E$3263+$I$3263*($F3267-$A$3263),IF($F3267&lt;$C$3263,$F$3263+$J$3263*($F3267-$B$3263),$G$3263+$K$3263*($F3267-$C$3263)))</f>
        <v/>
      </c>
      <c r="P3267" s="208">
        <f>MIN(1,MAX(0,(nr_MEndPm1-$G3267+0.5)/$C$3262))-MIN(1,MAX(0,(nr_MStartPm1-1-$G3267+0.5)/$C$3262))</f>
        <v/>
      </c>
      <c r="Q3267" s="208">
        <f>MIN(1,MAX(0,(nr_MEndP-$G3267+0.5)/$C$3262))-MIN(1,MAX(0,(nr_MStartP-1-$G3267+0.5)/$C$3262))</f>
        <v/>
      </c>
      <c r="R3267" s="208">
        <f>MIN(1,MAX(0,(nr_MEndP1-$G3267+0.5)/$C$3262))-MIN(1,MAX(0,(nr_MStartP1-1-$G3267+0.5)/$C$3262))</f>
        <v/>
      </c>
      <c r="S3267" s="208">
        <f>IF($L$3262,$N3267*IF($O$3262=1,$O3267/$F$3262,1),"")</f>
        <v/>
      </c>
      <c r="T3267" s="208">
        <f>IF(NOT($L$3262),"",IF($G3267&lt;nr_MStartP,$S3267,$T3255*(1+IF($G3267&lt;nr_MStartP1,$M$3262,$N$3262))))</f>
        <v/>
      </c>
      <c r="U3267" s="208">
        <f>IF($L$3262,$T3267,$N3267)</f>
        <v/>
      </c>
    </row>
    <row r="3268">
      <c r="A3268" s="145" t="n">
        <v>4</v>
      </c>
      <c r="B3268" s="204">
        <f>EDATE($B3267,1)</f>
        <v/>
      </c>
      <c r="C3268" s="205">
        <f>EOMONTH($B3268,0)</f>
        <v/>
      </c>
      <c r="D3268" s="201">
        <f>$C3268-$B3268+1</f>
        <v/>
      </c>
      <c r="E3268" s="201">
        <f>MONTH($B3268)</f>
        <v/>
      </c>
      <c r="F3268" s="235">
        <f>($B3268+$C3268+1)/2</f>
        <v/>
      </c>
      <c r="G3268" s="201">
        <f>YEAR($B3268)*12+MONTH($B3268)-1</f>
        <v/>
      </c>
      <c r="H3268" s="207">
        <f>IF(OR(nr_SeasonOn="OFF",$D$3262=0,$E$3262=0),1,12*INDEX(se_block,$D$3262,$E3268)/$E$3262)</f>
        <v/>
      </c>
      <c r="I3268" s="208">
        <f>EXP(SUMPRODUCT((rl_eff&lt;$B3268)*(rl_key=$A$3262)*rl_ln1p))</f>
        <v/>
      </c>
      <c r="J3268" s="208">
        <f>EXP(SUMPRODUCT((rl_eff&lt;=$C3268)*(rl_key=$A$3262)*rl_ln1p))</f>
        <v/>
      </c>
      <c r="K3268" s="201">
        <f>COUNTIFS(rl_key,$A$3262,rl_eff,"&gt;="&amp;$B3268,rl_eff,"&lt;="&amp;$C3268)</f>
        <v/>
      </c>
      <c r="L3268" s="201">
        <f>SUMIFS(rl_daysafter,rl_key,$A$3262,rl_effmonth,$B3268,rl_first,1)</f>
        <v/>
      </c>
      <c r="M3268" s="209">
        <f>IF($K3268=0,0,MIN(1,$L3268/$D3268))</f>
        <v/>
      </c>
      <c r="N3268" s="208">
        <f>IF($K3268=0,$J3268,(1-$M3268)*$I3268+$M3268*$J3268)</f>
        <v/>
      </c>
      <c r="O3268" s="209">
        <f>IF($F3268&lt;$B$3263,$E$3263+$I$3263*($F3268-$A$3263),IF($F3268&lt;$C$3263,$F$3263+$J$3263*($F3268-$B$3263),$G$3263+$K$3263*($F3268-$C$3263)))</f>
        <v/>
      </c>
      <c r="P3268" s="208">
        <f>MIN(1,MAX(0,(nr_MEndPm1-$G3268+0.5)/$C$3262))-MIN(1,MAX(0,(nr_MStartPm1-1-$G3268+0.5)/$C$3262))</f>
        <v/>
      </c>
      <c r="Q3268" s="208">
        <f>MIN(1,MAX(0,(nr_MEndP-$G3268+0.5)/$C$3262))-MIN(1,MAX(0,(nr_MStartP-1-$G3268+0.5)/$C$3262))</f>
        <v/>
      </c>
      <c r="R3268" s="208">
        <f>MIN(1,MAX(0,(nr_MEndP1-$G3268+0.5)/$C$3262))-MIN(1,MAX(0,(nr_MStartP1-1-$G3268+0.5)/$C$3262))</f>
        <v/>
      </c>
      <c r="S3268" s="208">
        <f>IF($L$3262,$N3268*IF($O$3262=1,$O3268/$F$3262,1),"")</f>
        <v/>
      </c>
      <c r="T3268" s="208">
        <f>IF(NOT($L$3262),"",IF($G3268&lt;nr_MStartP,$S3268,$T3256*(1+IF($G3268&lt;nr_MStartP1,$M$3262,$N$3262))))</f>
        <v/>
      </c>
      <c r="U3268" s="208">
        <f>IF($L$3262,$T3268,$N3268)</f>
        <v/>
      </c>
    </row>
    <row r="3269">
      <c r="A3269" s="145" t="n">
        <v>5</v>
      </c>
      <c r="B3269" s="204">
        <f>EDATE($B3268,1)</f>
        <v/>
      </c>
      <c r="C3269" s="205">
        <f>EOMONTH($B3269,0)</f>
        <v/>
      </c>
      <c r="D3269" s="201">
        <f>$C3269-$B3269+1</f>
        <v/>
      </c>
      <c r="E3269" s="201">
        <f>MONTH($B3269)</f>
        <v/>
      </c>
      <c r="F3269" s="235">
        <f>($B3269+$C3269+1)/2</f>
        <v/>
      </c>
      <c r="G3269" s="201">
        <f>YEAR($B3269)*12+MONTH($B3269)-1</f>
        <v/>
      </c>
      <c r="H3269" s="207">
        <f>IF(OR(nr_SeasonOn="OFF",$D$3262=0,$E$3262=0),1,12*INDEX(se_block,$D$3262,$E3269)/$E$3262)</f>
        <v/>
      </c>
      <c r="I3269" s="208">
        <f>EXP(SUMPRODUCT((rl_eff&lt;$B3269)*(rl_key=$A$3262)*rl_ln1p))</f>
        <v/>
      </c>
      <c r="J3269" s="208">
        <f>EXP(SUMPRODUCT((rl_eff&lt;=$C3269)*(rl_key=$A$3262)*rl_ln1p))</f>
        <v/>
      </c>
      <c r="K3269" s="201">
        <f>COUNTIFS(rl_key,$A$3262,rl_eff,"&gt;="&amp;$B3269,rl_eff,"&lt;="&amp;$C3269)</f>
        <v/>
      </c>
      <c r="L3269" s="201">
        <f>SUMIFS(rl_daysafter,rl_key,$A$3262,rl_effmonth,$B3269,rl_first,1)</f>
        <v/>
      </c>
      <c r="M3269" s="209">
        <f>IF($K3269=0,0,MIN(1,$L3269/$D3269))</f>
        <v/>
      </c>
      <c r="N3269" s="208">
        <f>IF($K3269=0,$J3269,(1-$M3269)*$I3269+$M3269*$J3269)</f>
        <v/>
      </c>
      <c r="O3269" s="209">
        <f>IF($F3269&lt;$B$3263,$E$3263+$I$3263*($F3269-$A$3263),IF($F3269&lt;$C$3263,$F$3263+$J$3263*($F3269-$B$3263),$G$3263+$K$3263*($F3269-$C$3263)))</f>
        <v/>
      </c>
      <c r="P3269" s="208">
        <f>MIN(1,MAX(0,(nr_MEndPm1-$G3269+0.5)/$C$3262))-MIN(1,MAX(0,(nr_MStartPm1-1-$G3269+0.5)/$C$3262))</f>
        <v/>
      </c>
      <c r="Q3269" s="208">
        <f>MIN(1,MAX(0,(nr_MEndP-$G3269+0.5)/$C$3262))-MIN(1,MAX(0,(nr_MStartP-1-$G3269+0.5)/$C$3262))</f>
        <v/>
      </c>
      <c r="R3269" s="208">
        <f>MIN(1,MAX(0,(nr_MEndP1-$G3269+0.5)/$C$3262))-MIN(1,MAX(0,(nr_MStartP1-1-$G3269+0.5)/$C$3262))</f>
        <v/>
      </c>
      <c r="S3269" s="208">
        <f>IF($L$3262,$N3269*IF($O$3262=1,$O3269/$F$3262,1),"")</f>
        <v/>
      </c>
      <c r="T3269" s="208">
        <f>IF(NOT($L$3262),"",IF($G3269&lt;nr_MStartP,$S3269,$T3257*(1+IF($G3269&lt;nr_MStartP1,$M$3262,$N$3262))))</f>
        <v/>
      </c>
      <c r="U3269" s="208">
        <f>IF($L$3262,$T3269,$N3269)</f>
        <v/>
      </c>
    </row>
    <row r="3270">
      <c r="A3270" s="145" t="n">
        <v>6</v>
      </c>
      <c r="B3270" s="204">
        <f>EDATE($B3269,1)</f>
        <v/>
      </c>
      <c r="C3270" s="205">
        <f>EOMONTH($B3270,0)</f>
        <v/>
      </c>
      <c r="D3270" s="201">
        <f>$C3270-$B3270+1</f>
        <v/>
      </c>
      <c r="E3270" s="201">
        <f>MONTH($B3270)</f>
        <v/>
      </c>
      <c r="F3270" s="235">
        <f>($B3270+$C3270+1)/2</f>
        <v/>
      </c>
      <c r="G3270" s="201">
        <f>YEAR($B3270)*12+MONTH($B3270)-1</f>
        <v/>
      </c>
      <c r="H3270" s="207">
        <f>IF(OR(nr_SeasonOn="OFF",$D$3262=0,$E$3262=0),1,12*INDEX(se_block,$D$3262,$E3270)/$E$3262)</f>
        <v/>
      </c>
      <c r="I3270" s="208">
        <f>EXP(SUMPRODUCT((rl_eff&lt;$B3270)*(rl_key=$A$3262)*rl_ln1p))</f>
        <v/>
      </c>
      <c r="J3270" s="208">
        <f>EXP(SUMPRODUCT((rl_eff&lt;=$C3270)*(rl_key=$A$3262)*rl_ln1p))</f>
        <v/>
      </c>
      <c r="K3270" s="201">
        <f>COUNTIFS(rl_key,$A$3262,rl_eff,"&gt;="&amp;$B3270,rl_eff,"&lt;="&amp;$C3270)</f>
        <v/>
      </c>
      <c r="L3270" s="201">
        <f>SUMIFS(rl_daysafter,rl_key,$A$3262,rl_effmonth,$B3270,rl_first,1)</f>
        <v/>
      </c>
      <c r="M3270" s="209">
        <f>IF($K3270=0,0,MIN(1,$L3270/$D3270))</f>
        <v/>
      </c>
      <c r="N3270" s="208">
        <f>IF($K3270=0,$J3270,(1-$M3270)*$I3270+$M3270*$J3270)</f>
        <v/>
      </c>
      <c r="O3270" s="209">
        <f>IF($F3270&lt;$B$3263,$E$3263+$I$3263*($F3270-$A$3263),IF($F3270&lt;$C$3263,$F$3263+$J$3263*($F3270-$B$3263),$G$3263+$K$3263*($F3270-$C$3263)))</f>
        <v/>
      </c>
      <c r="P3270" s="208">
        <f>MIN(1,MAX(0,(nr_MEndPm1-$G3270+0.5)/$C$3262))-MIN(1,MAX(0,(nr_MStartPm1-1-$G3270+0.5)/$C$3262))</f>
        <v/>
      </c>
      <c r="Q3270" s="208">
        <f>MIN(1,MAX(0,(nr_MEndP-$G3270+0.5)/$C$3262))-MIN(1,MAX(0,(nr_MStartP-1-$G3270+0.5)/$C$3262))</f>
        <v/>
      </c>
      <c r="R3270" s="208">
        <f>MIN(1,MAX(0,(nr_MEndP1-$G3270+0.5)/$C$3262))-MIN(1,MAX(0,(nr_MStartP1-1-$G3270+0.5)/$C$3262))</f>
        <v/>
      </c>
      <c r="S3270" s="208">
        <f>IF($L$3262,$N3270*IF($O$3262=1,$O3270/$F$3262,1),"")</f>
        <v/>
      </c>
      <c r="T3270" s="208">
        <f>IF(NOT($L$3262),"",IF($G3270&lt;nr_MStartP,$S3270,$T3258*(1+IF($G3270&lt;nr_MStartP1,$M$3262,$N$3262))))</f>
        <v/>
      </c>
      <c r="U3270" s="208">
        <f>IF($L$3262,$T3270,$N3270)</f>
        <v/>
      </c>
    </row>
    <row r="3271">
      <c r="A3271" s="145" t="n">
        <v>7</v>
      </c>
      <c r="B3271" s="204">
        <f>EDATE($B3270,1)</f>
        <v/>
      </c>
      <c r="C3271" s="205">
        <f>EOMONTH($B3271,0)</f>
        <v/>
      </c>
      <c r="D3271" s="201">
        <f>$C3271-$B3271+1</f>
        <v/>
      </c>
      <c r="E3271" s="201">
        <f>MONTH($B3271)</f>
        <v/>
      </c>
      <c r="F3271" s="235">
        <f>($B3271+$C3271+1)/2</f>
        <v/>
      </c>
      <c r="G3271" s="201">
        <f>YEAR($B3271)*12+MONTH($B3271)-1</f>
        <v/>
      </c>
      <c r="H3271" s="207">
        <f>IF(OR(nr_SeasonOn="OFF",$D$3262=0,$E$3262=0),1,12*INDEX(se_block,$D$3262,$E3271)/$E$3262)</f>
        <v/>
      </c>
      <c r="I3271" s="208">
        <f>EXP(SUMPRODUCT((rl_eff&lt;$B3271)*(rl_key=$A$3262)*rl_ln1p))</f>
        <v/>
      </c>
      <c r="J3271" s="208">
        <f>EXP(SUMPRODUCT((rl_eff&lt;=$C3271)*(rl_key=$A$3262)*rl_ln1p))</f>
        <v/>
      </c>
      <c r="K3271" s="201">
        <f>COUNTIFS(rl_key,$A$3262,rl_eff,"&gt;="&amp;$B3271,rl_eff,"&lt;="&amp;$C3271)</f>
        <v/>
      </c>
      <c r="L3271" s="201">
        <f>SUMIFS(rl_daysafter,rl_key,$A$3262,rl_effmonth,$B3271,rl_first,1)</f>
        <v/>
      </c>
      <c r="M3271" s="209">
        <f>IF($K3271=0,0,MIN(1,$L3271/$D3271))</f>
        <v/>
      </c>
      <c r="N3271" s="208">
        <f>IF($K3271=0,$J3271,(1-$M3271)*$I3271+$M3271*$J3271)</f>
        <v/>
      </c>
      <c r="O3271" s="209">
        <f>IF($F3271&lt;$B$3263,$E$3263+$I$3263*($F3271-$A$3263),IF($F3271&lt;$C$3263,$F$3263+$J$3263*($F3271-$B$3263),$G$3263+$K$3263*($F3271-$C$3263)))</f>
        <v/>
      </c>
      <c r="P3271" s="208">
        <f>MIN(1,MAX(0,(nr_MEndPm1-$G3271+0.5)/$C$3262))-MIN(1,MAX(0,(nr_MStartPm1-1-$G3271+0.5)/$C$3262))</f>
        <v/>
      </c>
      <c r="Q3271" s="208">
        <f>MIN(1,MAX(0,(nr_MEndP-$G3271+0.5)/$C$3262))-MIN(1,MAX(0,(nr_MStartP-1-$G3271+0.5)/$C$3262))</f>
        <v/>
      </c>
      <c r="R3271" s="208">
        <f>MIN(1,MAX(0,(nr_MEndP1-$G3271+0.5)/$C$3262))-MIN(1,MAX(0,(nr_MStartP1-1-$G3271+0.5)/$C$3262))</f>
        <v/>
      </c>
      <c r="S3271" s="208">
        <f>IF($L$3262,$N3271*IF($O$3262=1,$O3271/$F$3262,1),"")</f>
        <v/>
      </c>
      <c r="T3271" s="208">
        <f>IF(NOT($L$3262),"",IF($G3271&lt;nr_MStartP,$S3271,$T3259*(1+IF($G3271&lt;nr_MStartP1,$M$3262,$N$3262))))</f>
        <v/>
      </c>
      <c r="U3271" s="208">
        <f>IF($L$3262,$T3271,$N3271)</f>
        <v/>
      </c>
    </row>
    <row r="3272">
      <c r="A3272" s="145" t="n">
        <v>8</v>
      </c>
      <c r="B3272" s="204">
        <f>EDATE($B3271,1)</f>
        <v/>
      </c>
      <c r="C3272" s="205">
        <f>EOMONTH($B3272,0)</f>
        <v/>
      </c>
      <c r="D3272" s="201">
        <f>$C3272-$B3272+1</f>
        <v/>
      </c>
      <c r="E3272" s="201">
        <f>MONTH($B3272)</f>
        <v/>
      </c>
      <c r="F3272" s="235">
        <f>($B3272+$C3272+1)/2</f>
        <v/>
      </c>
      <c r="G3272" s="201">
        <f>YEAR($B3272)*12+MONTH($B3272)-1</f>
        <v/>
      </c>
      <c r="H3272" s="207">
        <f>IF(OR(nr_SeasonOn="OFF",$D$3262=0,$E$3262=0),1,12*INDEX(se_block,$D$3262,$E3272)/$E$3262)</f>
        <v/>
      </c>
      <c r="I3272" s="208">
        <f>EXP(SUMPRODUCT((rl_eff&lt;$B3272)*(rl_key=$A$3262)*rl_ln1p))</f>
        <v/>
      </c>
      <c r="J3272" s="208">
        <f>EXP(SUMPRODUCT((rl_eff&lt;=$C3272)*(rl_key=$A$3262)*rl_ln1p))</f>
        <v/>
      </c>
      <c r="K3272" s="201">
        <f>COUNTIFS(rl_key,$A$3262,rl_eff,"&gt;="&amp;$B3272,rl_eff,"&lt;="&amp;$C3272)</f>
        <v/>
      </c>
      <c r="L3272" s="201">
        <f>SUMIFS(rl_daysafter,rl_key,$A$3262,rl_effmonth,$B3272,rl_first,1)</f>
        <v/>
      </c>
      <c r="M3272" s="209">
        <f>IF($K3272=0,0,MIN(1,$L3272/$D3272))</f>
        <v/>
      </c>
      <c r="N3272" s="208">
        <f>IF($K3272=0,$J3272,(1-$M3272)*$I3272+$M3272*$J3272)</f>
        <v/>
      </c>
      <c r="O3272" s="209">
        <f>IF($F3272&lt;$B$3263,$E$3263+$I$3263*($F3272-$A$3263),IF($F3272&lt;$C$3263,$F$3263+$J$3263*($F3272-$B$3263),$G$3263+$K$3263*($F3272-$C$3263)))</f>
        <v/>
      </c>
      <c r="P3272" s="208">
        <f>MIN(1,MAX(0,(nr_MEndPm1-$G3272+0.5)/$C$3262))-MIN(1,MAX(0,(nr_MStartPm1-1-$G3272+0.5)/$C$3262))</f>
        <v/>
      </c>
      <c r="Q3272" s="208">
        <f>MIN(1,MAX(0,(nr_MEndP-$G3272+0.5)/$C$3262))-MIN(1,MAX(0,(nr_MStartP-1-$G3272+0.5)/$C$3262))</f>
        <v/>
      </c>
      <c r="R3272" s="208">
        <f>MIN(1,MAX(0,(nr_MEndP1-$G3272+0.5)/$C$3262))-MIN(1,MAX(0,(nr_MStartP1-1-$G3272+0.5)/$C$3262))</f>
        <v/>
      </c>
      <c r="S3272" s="208">
        <f>IF($L$3262,$N3272*IF($O$3262=1,$O3272/$F$3262,1),"")</f>
        <v/>
      </c>
      <c r="T3272" s="208">
        <f>IF(NOT($L$3262),"",IF($G3272&lt;nr_MStartP,$S3272,$T3260*(1+IF($G3272&lt;nr_MStartP1,$M$3262,$N$3262))))</f>
        <v/>
      </c>
      <c r="U3272" s="208">
        <f>IF($L$3262,$T3272,$N3272)</f>
        <v/>
      </c>
    </row>
    <row r="3273">
      <c r="A3273" s="145" t="n">
        <v>9</v>
      </c>
      <c r="B3273" s="204">
        <f>EDATE($B3272,1)</f>
        <v/>
      </c>
      <c r="C3273" s="205">
        <f>EOMONTH($B3273,0)</f>
        <v/>
      </c>
      <c r="D3273" s="201">
        <f>$C3273-$B3273+1</f>
        <v/>
      </c>
      <c r="E3273" s="201">
        <f>MONTH($B3273)</f>
        <v/>
      </c>
      <c r="F3273" s="235">
        <f>($B3273+$C3273+1)/2</f>
        <v/>
      </c>
      <c r="G3273" s="201">
        <f>YEAR($B3273)*12+MONTH($B3273)-1</f>
        <v/>
      </c>
      <c r="H3273" s="207">
        <f>IF(OR(nr_SeasonOn="OFF",$D$3262=0,$E$3262=0),1,12*INDEX(se_block,$D$3262,$E3273)/$E$3262)</f>
        <v/>
      </c>
      <c r="I3273" s="208">
        <f>EXP(SUMPRODUCT((rl_eff&lt;$B3273)*(rl_key=$A$3262)*rl_ln1p))</f>
        <v/>
      </c>
      <c r="J3273" s="208">
        <f>EXP(SUMPRODUCT((rl_eff&lt;=$C3273)*(rl_key=$A$3262)*rl_ln1p))</f>
        <v/>
      </c>
      <c r="K3273" s="201">
        <f>COUNTIFS(rl_key,$A$3262,rl_eff,"&gt;="&amp;$B3273,rl_eff,"&lt;="&amp;$C3273)</f>
        <v/>
      </c>
      <c r="L3273" s="201">
        <f>SUMIFS(rl_daysafter,rl_key,$A$3262,rl_effmonth,$B3273,rl_first,1)</f>
        <v/>
      </c>
      <c r="M3273" s="209">
        <f>IF($K3273=0,0,MIN(1,$L3273/$D3273))</f>
        <v/>
      </c>
      <c r="N3273" s="208">
        <f>IF($K3273=0,$J3273,(1-$M3273)*$I3273+$M3273*$J3273)</f>
        <v/>
      </c>
      <c r="O3273" s="209">
        <f>IF($F3273&lt;$B$3263,$E$3263+$I$3263*($F3273-$A$3263),IF($F3273&lt;$C$3263,$F$3263+$J$3263*($F3273-$B$3263),$G$3263+$K$3263*($F3273-$C$3263)))</f>
        <v/>
      </c>
      <c r="P3273" s="208">
        <f>MIN(1,MAX(0,(nr_MEndPm1-$G3273+0.5)/$C$3262))-MIN(1,MAX(0,(nr_MStartPm1-1-$G3273+0.5)/$C$3262))</f>
        <v/>
      </c>
      <c r="Q3273" s="208">
        <f>MIN(1,MAX(0,(nr_MEndP-$G3273+0.5)/$C$3262))-MIN(1,MAX(0,(nr_MStartP-1-$G3273+0.5)/$C$3262))</f>
        <v/>
      </c>
      <c r="R3273" s="208">
        <f>MIN(1,MAX(0,(nr_MEndP1-$G3273+0.5)/$C$3262))-MIN(1,MAX(0,(nr_MStartP1-1-$G3273+0.5)/$C$3262))</f>
        <v/>
      </c>
      <c r="S3273" s="208">
        <f>IF($L$3262,$N3273*IF($O$3262=1,$O3273/$F$3262,1),"")</f>
        <v/>
      </c>
      <c r="T3273" s="208">
        <f>IF(NOT($L$3262),"",IF($G3273&lt;nr_MStartP,$S3273,$T3261*(1+IF($G3273&lt;nr_MStartP1,$M$3262,$N$3262))))</f>
        <v/>
      </c>
      <c r="U3273" s="208">
        <f>IF($L$3262,$T3273,$N3273)</f>
        <v/>
      </c>
    </row>
    <row r="3274">
      <c r="A3274" s="145" t="n">
        <v>10</v>
      </c>
      <c r="B3274" s="204">
        <f>EDATE($B3273,1)</f>
        <v/>
      </c>
      <c r="C3274" s="205">
        <f>EOMONTH($B3274,0)</f>
        <v/>
      </c>
      <c r="D3274" s="201">
        <f>$C3274-$B3274+1</f>
        <v/>
      </c>
      <c r="E3274" s="201">
        <f>MONTH($B3274)</f>
        <v/>
      </c>
      <c r="F3274" s="235">
        <f>($B3274+$C3274+1)/2</f>
        <v/>
      </c>
      <c r="G3274" s="201">
        <f>YEAR($B3274)*12+MONTH($B3274)-1</f>
        <v/>
      </c>
      <c r="H3274" s="207">
        <f>IF(OR(nr_SeasonOn="OFF",$D$3262=0,$E$3262=0),1,12*INDEX(se_block,$D$3262,$E3274)/$E$3262)</f>
        <v/>
      </c>
      <c r="I3274" s="208">
        <f>EXP(SUMPRODUCT((rl_eff&lt;$B3274)*(rl_key=$A$3262)*rl_ln1p))</f>
        <v/>
      </c>
      <c r="J3274" s="208">
        <f>EXP(SUMPRODUCT((rl_eff&lt;=$C3274)*(rl_key=$A$3262)*rl_ln1p))</f>
        <v/>
      </c>
      <c r="K3274" s="201">
        <f>COUNTIFS(rl_key,$A$3262,rl_eff,"&gt;="&amp;$B3274,rl_eff,"&lt;="&amp;$C3274)</f>
        <v/>
      </c>
      <c r="L3274" s="201">
        <f>SUMIFS(rl_daysafter,rl_key,$A$3262,rl_effmonth,$B3274,rl_first,1)</f>
        <v/>
      </c>
      <c r="M3274" s="209">
        <f>IF($K3274=0,0,MIN(1,$L3274/$D3274))</f>
        <v/>
      </c>
      <c r="N3274" s="208">
        <f>IF($K3274=0,$J3274,(1-$M3274)*$I3274+$M3274*$J3274)</f>
        <v/>
      </c>
      <c r="O3274" s="209">
        <f>IF($F3274&lt;$B$3263,$E$3263+$I$3263*($F3274-$A$3263),IF($F3274&lt;$C$3263,$F$3263+$J$3263*($F3274-$B$3263),$G$3263+$K$3263*($F3274-$C$3263)))</f>
        <v/>
      </c>
      <c r="P3274" s="208">
        <f>MIN(1,MAX(0,(nr_MEndPm1-$G3274+0.5)/$C$3262))-MIN(1,MAX(0,(nr_MStartPm1-1-$G3274+0.5)/$C$3262))</f>
        <v/>
      </c>
      <c r="Q3274" s="208">
        <f>MIN(1,MAX(0,(nr_MEndP-$G3274+0.5)/$C$3262))-MIN(1,MAX(0,(nr_MStartP-1-$G3274+0.5)/$C$3262))</f>
        <v/>
      </c>
      <c r="R3274" s="208">
        <f>MIN(1,MAX(0,(nr_MEndP1-$G3274+0.5)/$C$3262))-MIN(1,MAX(0,(nr_MStartP1-1-$G3274+0.5)/$C$3262))</f>
        <v/>
      </c>
      <c r="S3274" s="208">
        <f>IF($L$3262,$N3274*IF($O$3262=1,$O3274/$F$3262,1),"")</f>
        <v/>
      </c>
      <c r="T3274" s="208">
        <f>IF(NOT($L$3262),"",IF($G3274&lt;nr_MStartP,$S3274,$T3262*(1+IF($G3274&lt;nr_MStartP1,$M$3262,$N$3262))))</f>
        <v/>
      </c>
      <c r="U3274" s="208">
        <f>IF($L$3262,$T3274,$N3274)</f>
        <v/>
      </c>
    </row>
    <row r="3275">
      <c r="A3275" s="145" t="n">
        <v>11</v>
      </c>
      <c r="B3275" s="204">
        <f>EDATE($B3274,1)</f>
        <v/>
      </c>
      <c r="C3275" s="205">
        <f>EOMONTH($B3275,0)</f>
        <v/>
      </c>
      <c r="D3275" s="201">
        <f>$C3275-$B3275+1</f>
        <v/>
      </c>
      <c r="E3275" s="201">
        <f>MONTH($B3275)</f>
        <v/>
      </c>
      <c r="F3275" s="235">
        <f>($B3275+$C3275+1)/2</f>
        <v/>
      </c>
      <c r="G3275" s="201">
        <f>YEAR($B3275)*12+MONTH($B3275)-1</f>
        <v/>
      </c>
      <c r="H3275" s="207">
        <f>IF(OR(nr_SeasonOn="OFF",$D$3262=0,$E$3262=0),1,12*INDEX(se_block,$D$3262,$E3275)/$E$3262)</f>
        <v/>
      </c>
      <c r="I3275" s="208">
        <f>EXP(SUMPRODUCT((rl_eff&lt;$B3275)*(rl_key=$A$3262)*rl_ln1p))</f>
        <v/>
      </c>
      <c r="J3275" s="208">
        <f>EXP(SUMPRODUCT((rl_eff&lt;=$C3275)*(rl_key=$A$3262)*rl_ln1p))</f>
        <v/>
      </c>
      <c r="K3275" s="201">
        <f>COUNTIFS(rl_key,$A$3262,rl_eff,"&gt;="&amp;$B3275,rl_eff,"&lt;="&amp;$C3275)</f>
        <v/>
      </c>
      <c r="L3275" s="201">
        <f>SUMIFS(rl_daysafter,rl_key,$A$3262,rl_effmonth,$B3275,rl_first,1)</f>
        <v/>
      </c>
      <c r="M3275" s="209">
        <f>IF($K3275=0,0,MIN(1,$L3275/$D3275))</f>
        <v/>
      </c>
      <c r="N3275" s="208">
        <f>IF($K3275=0,$J3275,(1-$M3275)*$I3275+$M3275*$J3275)</f>
        <v/>
      </c>
      <c r="O3275" s="209">
        <f>IF($F3275&lt;$B$3263,$E$3263+$I$3263*($F3275-$A$3263),IF($F3275&lt;$C$3263,$F$3263+$J$3263*($F3275-$B$3263),$G$3263+$K$3263*($F3275-$C$3263)))</f>
        <v/>
      </c>
      <c r="P3275" s="208">
        <f>MIN(1,MAX(0,(nr_MEndPm1-$G3275+0.5)/$C$3262))-MIN(1,MAX(0,(nr_MStartPm1-1-$G3275+0.5)/$C$3262))</f>
        <v/>
      </c>
      <c r="Q3275" s="208">
        <f>MIN(1,MAX(0,(nr_MEndP-$G3275+0.5)/$C$3262))-MIN(1,MAX(0,(nr_MStartP-1-$G3275+0.5)/$C$3262))</f>
        <v/>
      </c>
      <c r="R3275" s="208">
        <f>MIN(1,MAX(0,(nr_MEndP1-$G3275+0.5)/$C$3262))-MIN(1,MAX(0,(nr_MStartP1-1-$G3275+0.5)/$C$3262))</f>
        <v/>
      </c>
      <c r="S3275" s="208">
        <f>IF($L$3262,$N3275*IF($O$3262=1,$O3275/$F$3262,1),"")</f>
        <v/>
      </c>
      <c r="T3275" s="208">
        <f>IF(NOT($L$3262),"",IF($G3275&lt;nr_MStartP,$S3275,$T3263*(1+IF($G3275&lt;nr_MStartP1,$M$3262,$N$3262))))</f>
        <v/>
      </c>
      <c r="U3275" s="208">
        <f>IF($L$3262,$T3275,$N3275)</f>
        <v/>
      </c>
    </row>
    <row r="3276">
      <c r="A3276" s="145" t="n">
        <v>12</v>
      </c>
      <c r="B3276" s="204">
        <f>EDATE($B3275,1)</f>
        <v/>
      </c>
      <c r="C3276" s="205">
        <f>EOMONTH($B3276,0)</f>
        <v/>
      </c>
      <c r="D3276" s="201">
        <f>$C3276-$B3276+1</f>
        <v/>
      </c>
      <c r="E3276" s="201">
        <f>MONTH($B3276)</f>
        <v/>
      </c>
      <c r="F3276" s="235">
        <f>($B3276+$C3276+1)/2</f>
        <v/>
      </c>
      <c r="G3276" s="201">
        <f>YEAR($B3276)*12+MONTH($B3276)-1</f>
        <v/>
      </c>
      <c r="H3276" s="207">
        <f>IF(OR(nr_SeasonOn="OFF",$D$3262=0,$E$3262=0),1,12*INDEX(se_block,$D$3262,$E3276)/$E$3262)</f>
        <v/>
      </c>
      <c r="I3276" s="208">
        <f>EXP(SUMPRODUCT((rl_eff&lt;$B3276)*(rl_key=$A$3262)*rl_ln1p))</f>
        <v/>
      </c>
      <c r="J3276" s="208">
        <f>EXP(SUMPRODUCT((rl_eff&lt;=$C3276)*(rl_key=$A$3262)*rl_ln1p))</f>
        <v/>
      </c>
      <c r="K3276" s="201">
        <f>COUNTIFS(rl_key,$A$3262,rl_eff,"&gt;="&amp;$B3276,rl_eff,"&lt;="&amp;$C3276)</f>
        <v/>
      </c>
      <c r="L3276" s="201">
        <f>SUMIFS(rl_daysafter,rl_key,$A$3262,rl_effmonth,$B3276,rl_first,1)</f>
        <v/>
      </c>
      <c r="M3276" s="209">
        <f>IF($K3276=0,0,MIN(1,$L3276/$D3276))</f>
        <v/>
      </c>
      <c r="N3276" s="208">
        <f>IF($K3276=0,$J3276,(1-$M3276)*$I3276+$M3276*$J3276)</f>
        <v/>
      </c>
      <c r="O3276" s="209">
        <f>IF($F3276&lt;$B$3263,$E$3263+$I$3263*($F3276-$A$3263),IF($F3276&lt;$C$3263,$F$3263+$J$3263*($F3276-$B$3263),$G$3263+$K$3263*($F3276-$C$3263)))</f>
        <v/>
      </c>
      <c r="P3276" s="208">
        <f>MIN(1,MAX(0,(nr_MEndPm1-$G3276+0.5)/$C$3262))-MIN(1,MAX(0,(nr_MStartPm1-1-$G3276+0.5)/$C$3262))</f>
        <v/>
      </c>
      <c r="Q3276" s="208">
        <f>MIN(1,MAX(0,(nr_MEndP-$G3276+0.5)/$C$3262))-MIN(1,MAX(0,(nr_MStartP-1-$G3276+0.5)/$C$3262))</f>
        <v/>
      </c>
      <c r="R3276" s="208">
        <f>MIN(1,MAX(0,(nr_MEndP1-$G3276+0.5)/$C$3262))-MIN(1,MAX(0,(nr_MStartP1-1-$G3276+0.5)/$C$3262))</f>
        <v/>
      </c>
      <c r="S3276" s="208">
        <f>IF($L$3262,$N3276*IF($O$3262=1,$O3276/$F$3262,1),"")</f>
        <v/>
      </c>
      <c r="T3276" s="208">
        <f>IF(NOT($L$3262),"",IF($G3276&lt;nr_MStartP,$S3276,$T3264*(1+IF($G3276&lt;nr_MStartP1,$M$3262,$N$3262))))</f>
        <v/>
      </c>
      <c r="U3276" s="208">
        <f>IF($L$3262,$T3276,$N3276)</f>
        <v/>
      </c>
    </row>
    <row r="3277">
      <c r="A3277" s="145" t="n">
        <v>13</v>
      </c>
      <c r="B3277" s="204">
        <f>EDATE($B3276,1)</f>
        <v/>
      </c>
      <c r="C3277" s="205">
        <f>EOMONTH($B3277,0)</f>
        <v/>
      </c>
      <c r="D3277" s="201">
        <f>$C3277-$B3277+1</f>
        <v/>
      </c>
      <c r="E3277" s="201">
        <f>MONTH($B3277)</f>
        <v/>
      </c>
      <c r="F3277" s="235">
        <f>($B3277+$C3277+1)/2</f>
        <v/>
      </c>
      <c r="G3277" s="201">
        <f>YEAR($B3277)*12+MONTH($B3277)-1</f>
        <v/>
      </c>
      <c r="H3277" s="207">
        <f>IF(OR(nr_SeasonOn="OFF",$D$3262=0,$E$3262=0),1,12*INDEX(se_block,$D$3262,$E3277)/$E$3262)</f>
        <v/>
      </c>
      <c r="I3277" s="208">
        <f>EXP(SUMPRODUCT((rl_eff&lt;$B3277)*(rl_key=$A$3262)*rl_ln1p))</f>
        <v/>
      </c>
      <c r="J3277" s="208">
        <f>EXP(SUMPRODUCT((rl_eff&lt;=$C3277)*(rl_key=$A$3262)*rl_ln1p))</f>
        <v/>
      </c>
      <c r="K3277" s="201">
        <f>COUNTIFS(rl_key,$A$3262,rl_eff,"&gt;="&amp;$B3277,rl_eff,"&lt;="&amp;$C3277)</f>
        <v/>
      </c>
      <c r="L3277" s="201">
        <f>SUMIFS(rl_daysafter,rl_key,$A$3262,rl_effmonth,$B3277,rl_first,1)</f>
        <v/>
      </c>
      <c r="M3277" s="209">
        <f>IF($K3277=0,0,MIN(1,$L3277/$D3277))</f>
        <v/>
      </c>
      <c r="N3277" s="208">
        <f>IF($K3277=0,$J3277,(1-$M3277)*$I3277+$M3277*$J3277)</f>
        <v/>
      </c>
      <c r="O3277" s="209">
        <f>IF($F3277&lt;$B$3263,$E$3263+$I$3263*($F3277-$A$3263),IF($F3277&lt;$C$3263,$F$3263+$J$3263*($F3277-$B$3263),$G$3263+$K$3263*($F3277-$C$3263)))</f>
        <v/>
      </c>
      <c r="P3277" s="208">
        <f>MIN(1,MAX(0,(nr_MEndPm1-$G3277+0.5)/$C$3262))-MIN(1,MAX(0,(nr_MStartPm1-1-$G3277+0.5)/$C$3262))</f>
        <v/>
      </c>
      <c r="Q3277" s="208">
        <f>MIN(1,MAX(0,(nr_MEndP-$G3277+0.5)/$C$3262))-MIN(1,MAX(0,(nr_MStartP-1-$G3277+0.5)/$C$3262))</f>
        <v/>
      </c>
      <c r="R3277" s="208">
        <f>MIN(1,MAX(0,(nr_MEndP1-$G3277+0.5)/$C$3262))-MIN(1,MAX(0,(nr_MStartP1-1-$G3277+0.5)/$C$3262))</f>
        <v/>
      </c>
      <c r="S3277" s="208">
        <f>IF($L$3262,$N3277*IF($O$3262=1,$O3277/$F$3262,1),"")</f>
        <v/>
      </c>
      <c r="T3277" s="208">
        <f>IF(NOT($L$3262),"",IF($G3277&lt;nr_MStartP,$S3277,$T3265*(1+IF($G3277&lt;nr_MStartP1,$M$3262,$N$3262))))</f>
        <v/>
      </c>
      <c r="U3277" s="208">
        <f>IF($L$3262,$T3277,$N3277)</f>
        <v/>
      </c>
    </row>
    <row r="3278">
      <c r="A3278" s="145" t="n">
        <v>14</v>
      </c>
      <c r="B3278" s="204">
        <f>EDATE($B3277,1)</f>
        <v/>
      </c>
      <c r="C3278" s="205">
        <f>EOMONTH($B3278,0)</f>
        <v/>
      </c>
      <c r="D3278" s="201">
        <f>$C3278-$B3278+1</f>
        <v/>
      </c>
      <c r="E3278" s="201">
        <f>MONTH($B3278)</f>
        <v/>
      </c>
      <c r="F3278" s="235">
        <f>($B3278+$C3278+1)/2</f>
        <v/>
      </c>
      <c r="G3278" s="201">
        <f>YEAR($B3278)*12+MONTH($B3278)-1</f>
        <v/>
      </c>
      <c r="H3278" s="207">
        <f>IF(OR(nr_SeasonOn="OFF",$D$3262=0,$E$3262=0),1,12*INDEX(se_block,$D$3262,$E3278)/$E$3262)</f>
        <v/>
      </c>
      <c r="I3278" s="208">
        <f>EXP(SUMPRODUCT((rl_eff&lt;$B3278)*(rl_key=$A$3262)*rl_ln1p))</f>
        <v/>
      </c>
      <c r="J3278" s="208">
        <f>EXP(SUMPRODUCT((rl_eff&lt;=$C3278)*(rl_key=$A$3262)*rl_ln1p))</f>
        <v/>
      </c>
      <c r="K3278" s="201">
        <f>COUNTIFS(rl_key,$A$3262,rl_eff,"&gt;="&amp;$B3278,rl_eff,"&lt;="&amp;$C3278)</f>
        <v/>
      </c>
      <c r="L3278" s="201">
        <f>SUMIFS(rl_daysafter,rl_key,$A$3262,rl_effmonth,$B3278,rl_first,1)</f>
        <v/>
      </c>
      <c r="M3278" s="209">
        <f>IF($K3278=0,0,MIN(1,$L3278/$D3278))</f>
        <v/>
      </c>
      <c r="N3278" s="208">
        <f>IF($K3278=0,$J3278,(1-$M3278)*$I3278+$M3278*$J3278)</f>
        <v/>
      </c>
      <c r="O3278" s="209">
        <f>IF($F3278&lt;$B$3263,$E$3263+$I$3263*($F3278-$A$3263),IF($F3278&lt;$C$3263,$F$3263+$J$3263*($F3278-$B$3263),$G$3263+$K$3263*($F3278-$C$3263)))</f>
        <v/>
      </c>
      <c r="P3278" s="208">
        <f>MIN(1,MAX(0,(nr_MEndPm1-$G3278+0.5)/$C$3262))-MIN(1,MAX(0,(nr_MStartPm1-1-$G3278+0.5)/$C$3262))</f>
        <v/>
      </c>
      <c r="Q3278" s="208">
        <f>MIN(1,MAX(0,(nr_MEndP-$G3278+0.5)/$C$3262))-MIN(1,MAX(0,(nr_MStartP-1-$G3278+0.5)/$C$3262))</f>
        <v/>
      </c>
      <c r="R3278" s="208">
        <f>MIN(1,MAX(0,(nr_MEndP1-$G3278+0.5)/$C$3262))-MIN(1,MAX(0,(nr_MStartP1-1-$G3278+0.5)/$C$3262))</f>
        <v/>
      </c>
      <c r="S3278" s="208">
        <f>IF($L$3262,$N3278*IF($O$3262=1,$O3278/$F$3262,1),"")</f>
        <v/>
      </c>
      <c r="T3278" s="208">
        <f>IF(NOT($L$3262),"",IF($G3278&lt;nr_MStartP,$S3278,$T3266*(1+IF($G3278&lt;nr_MStartP1,$M$3262,$N$3262))))</f>
        <v/>
      </c>
      <c r="U3278" s="208">
        <f>IF($L$3262,$T3278,$N3278)</f>
        <v/>
      </c>
    </row>
    <row r="3279">
      <c r="A3279" s="145" t="n">
        <v>15</v>
      </c>
      <c r="B3279" s="204">
        <f>EDATE($B3278,1)</f>
        <v/>
      </c>
      <c r="C3279" s="205">
        <f>EOMONTH($B3279,0)</f>
        <v/>
      </c>
      <c r="D3279" s="201">
        <f>$C3279-$B3279+1</f>
        <v/>
      </c>
      <c r="E3279" s="201">
        <f>MONTH($B3279)</f>
        <v/>
      </c>
      <c r="F3279" s="235">
        <f>($B3279+$C3279+1)/2</f>
        <v/>
      </c>
      <c r="G3279" s="201">
        <f>YEAR($B3279)*12+MONTH($B3279)-1</f>
        <v/>
      </c>
      <c r="H3279" s="207">
        <f>IF(OR(nr_SeasonOn="OFF",$D$3262=0,$E$3262=0),1,12*INDEX(se_block,$D$3262,$E3279)/$E$3262)</f>
        <v/>
      </c>
      <c r="I3279" s="208">
        <f>EXP(SUMPRODUCT((rl_eff&lt;$B3279)*(rl_key=$A$3262)*rl_ln1p))</f>
        <v/>
      </c>
      <c r="J3279" s="208">
        <f>EXP(SUMPRODUCT((rl_eff&lt;=$C3279)*(rl_key=$A$3262)*rl_ln1p))</f>
        <v/>
      </c>
      <c r="K3279" s="201">
        <f>COUNTIFS(rl_key,$A$3262,rl_eff,"&gt;="&amp;$B3279,rl_eff,"&lt;="&amp;$C3279)</f>
        <v/>
      </c>
      <c r="L3279" s="201">
        <f>SUMIFS(rl_daysafter,rl_key,$A$3262,rl_effmonth,$B3279,rl_first,1)</f>
        <v/>
      </c>
      <c r="M3279" s="209">
        <f>IF($K3279=0,0,MIN(1,$L3279/$D3279))</f>
        <v/>
      </c>
      <c r="N3279" s="208">
        <f>IF($K3279=0,$J3279,(1-$M3279)*$I3279+$M3279*$J3279)</f>
        <v/>
      </c>
      <c r="O3279" s="209">
        <f>IF($F3279&lt;$B$3263,$E$3263+$I$3263*($F3279-$A$3263),IF($F3279&lt;$C$3263,$F$3263+$J$3263*($F3279-$B$3263),$G$3263+$K$3263*($F3279-$C$3263)))</f>
        <v/>
      </c>
      <c r="P3279" s="208">
        <f>MIN(1,MAX(0,(nr_MEndPm1-$G3279+0.5)/$C$3262))-MIN(1,MAX(0,(nr_MStartPm1-1-$G3279+0.5)/$C$3262))</f>
        <v/>
      </c>
      <c r="Q3279" s="208">
        <f>MIN(1,MAX(0,(nr_MEndP-$G3279+0.5)/$C$3262))-MIN(1,MAX(0,(nr_MStartP-1-$G3279+0.5)/$C$3262))</f>
        <v/>
      </c>
      <c r="R3279" s="208">
        <f>MIN(1,MAX(0,(nr_MEndP1-$G3279+0.5)/$C$3262))-MIN(1,MAX(0,(nr_MStartP1-1-$G3279+0.5)/$C$3262))</f>
        <v/>
      </c>
      <c r="S3279" s="208">
        <f>IF($L$3262,$N3279*IF($O$3262=1,$O3279/$F$3262,1),"")</f>
        <v/>
      </c>
      <c r="T3279" s="208">
        <f>IF(NOT($L$3262),"",IF($G3279&lt;nr_MStartP,$S3279,$T3267*(1+IF($G3279&lt;nr_MStartP1,$M$3262,$N$3262))))</f>
        <v/>
      </c>
      <c r="U3279" s="208">
        <f>IF($L$3262,$T3279,$N3279)</f>
        <v/>
      </c>
    </row>
    <row r="3280">
      <c r="A3280" s="145" t="n">
        <v>16</v>
      </c>
      <c r="B3280" s="204">
        <f>EDATE($B3279,1)</f>
        <v/>
      </c>
      <c r="C3280" s="205">
        <f>EOMONTH($B3280,0)</f>
        <v/>
      </c>
      <c r="D3280" s="201">
        <f>$C3280-$B3280+1</f>
        <v/>
      </c>
      <c r="E3280" s="201">
        <f>MONTH($B3280)</f>
        <v/>
      </c>
      <c r="F3280" s="235">
        <f>($B3280+$C3280+1)/2</f>
        <v/>
      </c>
      <c r="G3280" s="201">
        <f>YEAR($B3280)*12+MONTH($B3280)-1</f>
        <v/>
      </c>
      <c r="H3280" s="207">
        <f>IF(OR(nr_SeasonOn="OFF",$D$3262=0,$E$3262=0),1,12*INDEX(se_block,$D$3262,$E3280)/$E$3262)</f>
        <v/>
      </c>
      <c r="I3280" s="208">
        <f>EXP(SUMPRODUCT((rl_eff&lt;$B3280)*(rl_key=$A$3262)*rl_ln1p))</f>
        <v/>
      </c>
      <c r="J3280" s="208">
        <f>EXP(SUMPRODUCT((rl_eff&lt;=$C3280)*(rl_key=$A$3262)*rl_ln1p))</f>
        <v/>
      </c>
      <c r="K3280" s="201">
        <f>COUNTIFS(rl_key,$A$3262,rl_eff,"&gt;="&amp;$B3280,rl_eff,"&lt;="&amp;$C3280)</f>
        <v/>
      </c>
      <c r="L3280" s="201">
        <f>SUMIFS(rl_daysafter,rl_key,$A$3262,rl_effmonth,$B3280,rl_first,1)</f>
        <v/>
      </c>
      <c r="M3280" s="209">
        <f>IF($K3280=0,0,MIN(1,$L3280/$D3280))</f>
        <v/>
      </c>
      <c r="N3280" s="208">
        <f>IF($K3280=0,$J3280,(1-$M3280)*$I3280+$M3280*$J3280)</f>
        <v/>
      </c>
      <c r="O3280" s="209">
        <f>IF($F3280&lt;$B$3263,$E$3263+$I$3263*($F3280-$A$3263),IF($F3280&lt;$C$3263,$F$3263+$J$3263*($F3280-$B$3263),$G$3263+$K$3263*($F3280-$C$3263)))</f>
        <v/>
      </c>
      <c r="P3280" s="208">
        <f>MIN(1,MAX(0,(nr_MEndPm1-$G3280+0.5)/$C$3262))-MIN(1,MAX(0,(nr_MStartPm1-1-$G3280+0.5)/$C$3262))</f>
        <v/>
      </c>
      <c r="Q3280" s="208">
        <f>MIN(1,MAX(0,(nr_MEndP-$G3280+0.5)/$C$3262))-MIN(1,MAX(0,(nr_MStartP-1-$G3280+0.5)/$C$3262))</f>
        <v/>
      </c>
      <c r="R3280" s="208">
        <f>MIN(1,MAX(0,(nr_MEndP1-$G3280+0.5)/$C$3262))-MIN(1,MAX(0,(nr_MStartP1-1-$G3280+0.5)/$C$3262))</f>
        <v/>
      </c>
      <c r="S3280" s="208">
        <f>IF($L$3262,$N3280*IF($O$3262=1,$O3280/$F$3262,1),"")</f>
        <v/>
      </c>
      <c r="T3280" s="208">
        <f>IF(NOT($L$3262),"",IF($G3280&lt;nr_MStartP,$S3280,$T3268*(1+IF($G3280&lt;nr_MStartP1,$M$3262,$N$3262))))</f>
        <v/>
      </c>
      <c r="U3280" s="208">
        <f>IF($L$3262,$T3280,$N3280)</f>
        <v/>
      </c>
    </row>
    <row r="3281">
      <c r="A3281" s="145" t="n">
        <v>17</v>
      </c>
      <c r="B3281" s="204">
        <f>EDATE($B3280,1)</f>
        <v/>
      </c>
      <c r="C3281" s="205">
        <f>EOMONTH($B3281,0)</f>
        <v/>
      </c>
      <c r="D3281" s="201">
        <f>$C3281-$B3281+1</f>
        <v/>
      </c>
      <c r="E3281" s="201">
        <f>MONTH($B3281)</f>
        <v/>
      </c>
      <c r="F3281" s="235">
        <f>($B3281+$C3281+1)/2</f>
        <v/>
      </c>
      <c r="G3281" s="201">
        <f>YEAR($B3281)*12+MONTH($B3281)-1</f>
        <v/>
      </c>
      <c r="H3281" s="207">
        <f>IF(OR(nr_SeasonOn="OFF",$D$3262=0,$E$3262=0),1,12*INDEX(se_block,$D$3262,$E3281)/$E$3262)</f>
        <v/>
      </c>
      <c r="I3281" s="208">
        <f>EXP(SUMPRODUCT((rl_eff&lt;$B3281)*(rl_key=$A$3262)*rl_ln1p))</f>
        <v/>
      </c>
      <c r="J3281" s="208">
        <f>EXP(SUMPRODUCT((rl_eff&lt;=$C3281)*(rl_key=$A$3262)*rl_ln1p))</f>
        <v/>
      </c>
      <c r="K3281" s="201">
        <f>COUNTIFS(rl_key,$A$3262,rl_eff,"&gt;="&amp;$B3281,rl_eff,"&lt;="&amp;$C3281)</f>
        <v/>
      </c>
      <c r="L3281" s="201">
        <f>SUMIFS(rl_daysafter,rl_key,$A$3262,rl_effmonth,$B3281,rl_first,1)</f>
        <v/>
      </c>
      <c r="M3281" s="209">
        <f>IF($K3281=0,0,MIN(1,$L3281/$D3281))</f>
        <v/>
      </c>
      <c r="N3281" s="208">
        <f>IF($K3281=0,$J3281,(1-$M3281)*$I3281+$M3281*$J3281)</f>
        <v/>
      </c>
      <c r="O3281" s="209">
        <f>IF($F3281&lt;$B$3263,$E$3263+$I$3263*($F3281-$A$3263),IF($F3281&lt;$C$3263,$F$3263+$J$3263*($F3281-$B$3263),$G$3263+$K$3263*($F3281-$C$3263)))</f>
        <v/>
      </c>
      <c r="P3281" s="208">
        <f>MIN(1,MAX(0,(nr_MEndPm1-$G3281+0.5)/$C$3262))-MIN(1,MAX(0,(nr_MStartPm1-1-$G3281+0.5)/$C$3262))</f>
        <v/>
      </c>
      <c r="Q3281" s="208">
        <f>MIN(1,MAX(0,(nr_MEndP-$G3281+0.5)/$C$3262))-MIN(1,MAX(0,(nr_MStartP-1-$G3281+0.5)/$C$3262))</f>
        <v/>
      </c>
      <c r="R3281" s="208">
        <f>MIN(1,MAX(0,(nr_MEndP1-$G3281+0.5)/$C$3262))-MIN(1,MAX(0,(nr_MStartP1-1-$G3281+0.5)/$C$3262))</f>
        <v/>
      </c>
      <c r="S3281" s="208">
        <f>IF($L$3262,$N3281*IF($O$3262=1,$O3281/$F$3262,1),"")</f>
        <v/>
      </c>
      <c r="T3281" s="208">
        <f>IF(NOT($L$3262),"",IF($G3281&lt;nr_MStartP,$S3281,$T3269*(1+IF($G3281&lt;nr_MStartP1,$M$3262,$N$3262))))</f>
        <v/>
      </c>
      <c r="U3281" s="208">
        <f>IF($L$3262,$T3281,$N3281)</f>
        <v/>
      </c>
    </row>
    <row r="3282">
      <c r="A3282" s="145" t="n">
        <v>18</v>
      </c>
      <c r="B3282" s="204">
        <f>EDATE($B3281,1)</f>
        <v/>
      </c>
      <c r="C3282" s="205">
        <f>EOMONTH($B3282,0)</f>
        <v/>
      </c>
      <c r="D3282" s="201">
        <f>$C3282-$B3282+1</f>
        <v/>
      </c>
      <c r="E3282" s="201">
        <f>MONTH($B3282)</f>
        <v/>
      </c>
      <c r="F3282" s="235">
        <f>($B3282+$C3282+1)/2</f>
        <v/>
      </c>
      <c r="G3282" s="201">
        <f>YEAR($B3282)*12+MONTH($B3282)-1</f>
        <v/>
      </c>
      <c r="H3282" s="207">
        <f>IF(OR(nr_SeasonOn="OFF",$D$3262=0,$E$3262=0),1,12*INDEX(se_block,$D$3262,$E3282)/$E$3262)</f>
        <v/>
      </c>
      <c r="I3282" s="208">
        <f>EXP(SUMPRODUCT((rl_eff&lt;$B3282)*(rl_key=$A$3262)*rl_ln1p))</f>
        <v/>
      </c>
      <c r="J3282" s="208">
        <f>EXP(SUMPRODUCT((rl_eff&lt;=$C3282)*(rl_key=$A$3262)*rl_ln1p))</f>
        <v/>
      </c>
      <c r="K3282" s="201">
        <f>COUNTIFS(rl_key,$A$3262,rl_eff,"&gt;="&amp;$B3282,rl_eff,"&lt;="&amp;$C3282)</f>
        <v/>
      </c>
      <c r="L3282" s="201">
        <f>SUMIFS(rl_daysafter,rl_key,$A$3262,rl_effmonth,$B3282,rl_first,1)</f>
        <v/>
      </c>
      <c r="M3282" s="209">
        <f>IF($K3282=0,0,MIN(1,$L3282/$D3282))</f>
        <v/>
      </c>
      <c r="N3282" s="208">
        <f>IF($K3282=0,$J3282,(1-$M3282)*$I3282+$M3282*$J3282)</f>
        <v/>
      </c>
      <c r="O3282" s="209">
        <f>IF($F3282&lt;$B$3263,$E$3263+$I$3263*($F3282-$A$3263),IF($F3282&lt;$C$3263,$F$3263+$J$3263*($F3282-$B$3263),$G$3263+$K$3263*($F3282-$C$3263)))</f>
        <v/>
      </c>
      <c r="P3282" s="208">
        <f>MIN(1,MAX(0,(nr_MEndPm1-$G3282+0.5)/$C$3262))-MIN(1,MAX(0,(nr_MStartPm1-1-$G3282+0.5)/$C$3262))</f>
        <v/>
      </c>
      <c r="Q3282" s="208">
        <f>MIN(1,MAX(0,(nr_MEndP-$G3282+0.5)/$C$3262))-MIN(1,MAX(0,(nr_MStartP-1-$G3282+0.5)/$C$3262))</f>
        <v/>
      </c>
      <c r="R3282" s="208">
        <f>MIN(1,MAX(0,(nr_MEndP1-$G3282+0.5)/$C$3262))-MIN(1,MAX(0,(nr_MStartP1-1-$G3282+0.5)/$C$3262))</f>
        <v/>
      </c>
      <c r="S3282" s="208">
        <f>IF($L$3262,$N3282*IF($O$3262=1,$O3282/$F$3262,1),"")</f>
        <v/>
      </c>
      <c r="T3282" s="208">
        <f>IF(NOT($L$3262),"",IF($G3282&lt;nr_MStartP,$S3282,$T3270*(1+IF($G3282&lt;nr_MStartP1,$M$3262,$N$3262))))</f>
        <v/>
      </c>
      <c r="U3282" s="208">
        <f>IF($L$3262,$T3282,$N3282)</f>
        <v/>
      </c>
    </row>
    <row r="3283">
      <c r="A3283" s="145" t="n">
        <v>19</v>
      </c>
      <c r="B3283" s="204">
        <f>EDATE($B3282,1)</f>
        <v/>
      </c>
      <c r="C3283" s="205">
        <f>EOMONTH($B3283,0)</f>
        <v/>
      </c>
      <c r="D3283" s="201">
        <f>$C3283-$B3283+1</f>
        <v/>
      </c>
      <c r="E3283" s="201">
        <f>MONTH($B3283)</f>
        <v/>
      </c>
      <c r="F3283" s="235">
        <f>($B3283+$C3283+1)/2</f>
        <v/>
      </c>
      <c r="G3283" s="201">
        <f>YEAR($B3283)*12+MONTH($B3283)-1</f>
        <v/>
      </c>
      <c r="H3283" s="207">
        <f>IF(OR(nr_SeasonOn="OFF",$D$3262=0,$E$3262=0),1,12*INDEX(se_block,$D$3262,$E3283)/$E$3262)</f>
        <v/>
      </c>
      <c r="I3283" s="208">
        <f>EXP(SUMPRODUCT((rl_eff&lt;$B3283)*(rl_key=$A$3262)*rl_ln1p))</f>
        <v/>
      </c>
      <c r="J3283" s="208">
        <f>EXP(SUMPRODUCT((rl_eff&lt;=$C3283)*(rl_key=$A$3262)*rl_ln1p))</f>
        <v/>
      </c>
      <c r="K3283" s="201">
        <f>COUNTIFS(rl_key,$A$3262,rl_eff,"&gt;="&amp;$B3283,rl_eff,"&lt;="&amp;$C3283)</f>
        <v/>
      </c>
      <c r="L3283" s="201">
        <f>SUMIFS(rl_daysafter,rl_key,$A$3262,rl_effmonth,$B3283,rl_first,1)</f>
        <v/>
      </c>
      <c r="M3283" s="209">
        <f>IF($K3283=0,0,MIN(1,$L3283/$D3283))</f>
        <v/>
      </c>
      <c r="N3283" s="208">
        <f>IF($K3283=0,$J3283,(1-$M3283)*$I3283+$M3283*$J3283)</f>
        <v/>
      </c>
      <c r="O3283" s="209">
        <f>IF($F3283&lt;$B$3263,$E$3263+$I$3263*($F3283-$A$3263),IF($F3283&lt;$C$3263,$F$3263+$J$3263*($F3283-$B$3263),$G$3263+$K$3263*($F3283-$C$3263)))</f>
        <v/>
      </c>
      <c r="P3283" s="208">
        <f>MIN(1,MAX(0,(nr_MEndPm1-$G3283+0.5)/$C$3262))-MIN(1,MAX(0,(nr_MStartPm1-1-$G3283+0.5)/$C$3262))</f>
        <v/>
      </c>
      <c r="Q3283" s="208">
        <f>MIN(1,MAX(0,(nr_MEndP-$G3283+0.5)/$C$3262))-MIN(1,MAX(0,(nr_MStartP-1-$G3283+0.5)/$C$3262))</f>
        <v/>
      </c>
      <c r="R3283" s="208">
        <f>MIN(1,MAX(0,(nr_MEndP1-$G3283+0.5)/$C$3262))-MIN(1,MAX(0,(nr_MStartP1-1-$G3283+0.5)/$C$3262))</f>
        <v/>
      </c>
      <c r="S3283" s="208">
        <f>IF($L$3262,$N3283*IF($O$3262=1,$O3283/$F$3262,1),"")</f>
        <v/>
      </c>
      <c r="T3283" s="208">
        <f>IF(NOT($L$3262),"",IF($G3283&lt;nr_MStartP,$S3283,$T3271*(1+IF($G3283&lt;nr_MStartP1,$M$3262,$N$3262))))</f>
        <v/>
      </c>
      <c r="U3283" s="208">
        <f>IF($L$3262,$T3283,$N3283)</f>
        <v/>
      </c>
    </row>
    <row r="3284">
      <c r="A3284" s="145" t="n">
        <v>20</v>
      </c>
      <c r="B3284" s="204">
        <f>EDATE($B3283,1)</f>
        <v/>
      </c>
      <c r="C3284" s="205">
        <f>EOMONTH($B3284,0)</f>
        <v/>
      </c>
      <c r="D3284" s="201">
        <f>$C3284-$B3284+1</f>
        <v/>
      </c>
      <c r="E3284" s="201">
        <f>MONTH($B3284)</f>
        <v/>
      </c>
      <c r="F3284" s="235">
        <f>($B3284+$C3284+1)/2</f>
        <v/>
      </c>
      <c r="G3284" s="201">
        <f>YEAR($B3284)*12+MONTH($B3284)-1</f>
        <v/>
      </c>
      <c r="H3284" s="207">
        <f>IF(OR(nr_SeasonOn="OFF",$D$3262=0,$E$3262=0),1,12*INDEX(se_block,$D$3262,$E3284)/$E$3262)</f>
        <v/>
      </c>
      <c r="I3284" s="208">
        <f>EXP(SUMPRODUCT((rl_eff&lt;$B3284)*(rl_key=$A$3262)*rl_ln1p))</f>
        <v/>
      </c>
      <c r="J3284" s="208">
        <f>EXP(SUMPRODUCT((rl_eff&lt;=$C3284)*(rl_key=$A$3262)*rl_ln1p))</f>
        <v/>
      </c>
      <c r="K3284" s="201">
        <f>COUNTIFS(rl_key,$A$3262,rl_eff,"&gt;="&amp;$B3284,rl_eff,"&lt;="&amp;$C3284)</f>
        <v/>
      </c>
      <c r="L3284" s="201">
        <f>SUMIFS(rl_daysafter,rl_key,$A$3262,rl_effmonth,$B3284,rl_first,1)</f>
        <v/>
      </c>
      <c r="M3284" s="209">
        <f>IF($K3284=0,0,MIN(1,$L3284/$D3284))</f>
        <v/>
      </c>
      <c r="N3284" s="208">
        <f>IF($K3284=0,$J3284,(1-$M3284)*$I3284+$M3284*$J3284)</f>
        <v/>
      </c>
      <c r="O3284" s="209">
        <f>IF($F3284&lt;$B$3263,$E$3263+$I$3263*($F3284-$A$3263),IF($F3284&lt;$C$3263,$F$3263+$J$3263*($F3284-$B$3263),$G$3263+$K$3263*($F3284-$C$3263)))</f>
        <v/>
      </c>
      <c r="P3284" s="208">
        <f>MIN(1,MAX(0,(nr_MEndPm1-$G3284+0.5)/$C$3262))-MIN(1,MAX(0,(nr_MStartPm1-1-$G3284+0.5)/$C$3262))</f>
        <v/>
      </c>
      <c r="Q3284" s="208">
        <f>MIN(1,MAX(0,(nr_MEndP-$G3284+0.5)/$C$3262))-MIN(1,MAX(0,(nr_MStartP-1-$G3284+0.5)/$C$3262))</f>
        <v/>
      </c>
      <c r="R3284" s="208">
        <f>MIN(1,MAX(0,(nr_MEndP1-$G3284+0.5)/$C$3262))-MIN(1,MAX(0,(nr_MStartP1-1-$G3284+0.5)/$C$3262))</f>
        <v/>
      </c>
      <c r="S3284" s="208">
        <f>IF($L$3262,$N3284*IF($O$3262=1,$O3284/$F$3262,1),"")</f>
        <v/>
      </c>
      <c r="T3284" s="208">
        <f>IF(NOT($L$3262),"",IF($G3284&lt;nr_MStartP,$S3284,$T3272*(1+IF($G3284&lt;nr_MStartP1,$M$3262,$N$3262))))</f>
        <v/>
      </c>
      <c r="U3284" s="208">
        <f>IF($L$3262,$T3284,$N3284)</f>
        <v/>
      </c>
    </row>
    <row r="3285">
      <c r="A3285" s="145" t="n">
        <v>21</v>
      </c>
      <c r="B3285" s="204">
        <f>EDATE($B3284,1)</f>
        <v/>
      </c>
      <c r="C3285" s="205">
        <f>EOMONTH($B3285,0)</f>
        <v/>
      </c>
      <c r="D3285" s="201">
        <f>$C3285-$B3285+1</f>
        <v/>
      </c>
      <c r="E3285" s="201">
        <f>MONTH($B3285)</f>
        <v/>
      </c>
      <c r="F3285" s="235">
        <f>($B3285+$C3285+1)/2</f>
        <v/>
      </c>
      <c r="G3285" s="201">
        <f>YEAR($B3285)*12+MONTH($B3285)-1</f>
        <v/>
      </c>
      <c r="H3285" s="207">
        <f>IF(OR(nr_SeasonOn="OFF",$D$3262=0,$E$3262=0),1,12*INDEX(se_block,$D$3262,$E3285)/$E$3262)</f>
        <v/>
      </c>
      <c r="I3285" s="208">
        <f>EXP(SUMPRODUCT((rl_eff&lt;$B3285)*(rl_key=$A$3262)*rl_ln1p))</f>
        <v/>
      </c>
      <c r="J3285" s="208">
        <f>EXP(SUMPRODUCT((rl_eff&lt;=$C3285)*(rl_key=$A$3262)*rl_ln1p))</f>
        <v/>
      </c>
      <c r="K3285" s="201">
        <f>COUNTIFS(rl_key,$A$3262,rl_eff,"&gt;="&amp;$B3285,rl_eff,"&lt;="&amp;$C3285)</f>
        <v/>
      </c>
      <c r="L3285" s="201">
        <f>SUMIFS(rl_daysafter,rl_key,$A$3262,rl_effmonth,$B3285,rl_first,1)</f>
        <v/>
      </c>
      <c r="M3285" s="209">
        <f>IF($K3285=0,0,MIN(1,$L3285/$D3285))</f>
        <v/>
      </c>
      <c r="N3285" s="208">
        <f>IF($K3285=0,$J3285,(1-$M3285)*$I3285+$M3285*$J3285)</f>
        <v/>
      </c>
      <c r="O3285" s="209">
        <f>IF($F3285&lt;$B$3263,$E$3263+$I$3263*($F3285-$A$3263),IF($F3285&lt;$C$3263,$F$3263+$J$3263*($F3285-$B$3263),$G$3263+$K$3263*($F3285-$C$3263)))</f>
        <v/>
      </c>
      <c r="P3285" s="208">
        <f>MIN(1,MAX(0,(nr_MEndPm1-$G3285+0.5)/$C$3262))-MIN(1,MAX(0,(nr_MStartPm1-1-$G3285+0.5)/$C$3262))</f>
        <v/>
      </c>
      <c r="Q3285" s="208">
        <f>MIN(1,MAX(0,(nr_MEndP-$G3285+0.5)/$C$3262))-MIN(1,MAX(0,(nr_MStartP-1-$G3285+0.5)/$C$3262))</f>
        <v/>
      </c>
      <c r="R3285" s="208">
        <f>MIN(1,MAX(0,(nr_MEndP1-$G3285+0.5)/$C$3262))-MIN(1,MAX(0,(nr_MStartP1-1-$G3285+0.5)/$C$3262))</f>
        <v/>
      </c>
      <c r="S3285" s="208">
        <f>IF($L$3262,$N3285*IF($O$3262=1,$O3285/$F$3262,1),"")</f>
        <v/>
      </c>
      <c r="T3285" s="208">
        <f>IF(NOT($L$3262),"",IF($G3285&lt;nr_MStartP,$S3285,$T3273*(1+IF($G3285&lt;nr_MStartP1,$M$3262,$N$3262))))</f>
        <v/>
      </c>
      <c r="U3285" s="208">
        <f>IF($L$3262,$T3285,$N3285)</f>
        <v/>
      </c>
    </row>
    <row r="3286">
      <c r="A3286" s="145" t="n">
        <v>22</v>
      </c>
      <c r="B3286" s="204">
        <f>EDATE($B3285,1)</f>
        <v/>
      </c>
      <c r="C3286" s="205">
        <f>EOMONTH($B3286,0)</f>
        <v/>
      </c>
      <c r="D3286" s="201">
        <f>$C3286-$B3286+1</f>
        <v/>
      </c>
      <c r="E3286" s="201">
        <f>MONTH($B3286)</f>
        <v/>
      </c>
      <c r="F3286" s="235">
        <f>($B3286+$C3286+1)/2</f>
        <v/>
      </c>
      <c r="G3286" s="201">
        <f>YEAR($B3286)*12+MONTH($B3286)-1</f>
        <v/>
      </c>
      <c r="H3286" s="207">
        <f>IF(OR(nr_SeasonOn="OFF",$D$3262=0,$E$3262=0),1,12*INDEX(se_block,$D$3262,$E3286)/$E$3262)</f>
        <v/>
      </c>
      <c r="I3286" s="208">
        <f>EXP(SUMPRODUCT((rl_eff&lt;$B3286)*(rl_key=$A$3262)*rl_ln1p))</f>
        <v/>
      </c>
      <c r="J3286" s="208">
        <f>EXP(SUMPRODUCT((rl_eff&lt;=$C3286)*(rl_key=$A$3262)*rl_ln1p))</f>
        <v/>
      </c>
      <c r="K3286" s="201">
        <f>COUNTIFS(rl_key,$A$3262,rl_eff,"&gt;="&amp;$B3286,rl_eff,"&lt;="&amp;$C3286)</f>
        <v/>
      </c>
      <c r="L3286" s="201">
        <f>SUMIFS(rl_daysafter,rl_key,$A$3262,rl_effmonth,$B3286,rl_first,1)</f>
        <v/>
      </c>
      <c r="M3286" s="209">
        <f>IF($K3286=0,0,MIN(1,$L3286/$D3286))</f>
        <v/>
      </c>
      <c r="N3286" s="208">
        <f>IF($K3286=0,$J3286,(1-$M3286)*$I3286+$M3286*$J3286)</f>
        <v/>
      </c>
      <c r="O3286" s="209">
        <f>IF($F3286&lt;$B$3263,$E$3263+$I$3263*($F3286-$A$3263),IF($F3286&lt;$C$3263,$F$3263+$J$3263*($F3286-$B$3263),$G$3263+$K$3263*($F3286-$C$3263)))</f>
        <v/>
      </c>
      <c r="P3286" s="208">
        <f>MIN(1,MAX(0,(nr_MEndPm1-$G3286+0.5)/$C$3262))-MIN(1,MAX(0,(nr_MStartPm1-1-$G3286+0.5)/$C$3262))</f>
        <v/>
      </c>
      <c r="Q3286" s="208">
        <f>MIN(1,MAX(0,(nr_MEndP-$G3286+0.5)/$C$3262))-MIN(1,MAX(0,(nr_MStartP-1-$G3286+0.5)/$C$3262))</f>
        <v/>
      </c>
      <c r="R3286" s="208">
        <f>MIN(1,MAX(0,(nr_MEndP1-$G3286+0.5)/$C$3262))-MIN(1,MAX(0,(nr_MStartP1-1-$G3286+0.5)/$C$3262))</f>
        <v/>
      </c>
      <c r="S3286" s="208">
        <f>IF($L$3262,$N3286*IF($O$3262=1,$O3286/$F$3262,1),"")</f>
        <v/>
      </c>
      <c r="T3286" s="208">
        <f>IF(NOT($L$3262),"",IF($G3286&lt;nr_MStartP,$S3286,$T3274*(1+IF($G3286&lt;nr_MStartP1,$M$3262,$N$3262))))</f>
        <v/>
      </c>
      <c r="U3286" s="208">
        <f>IF($L$3262,$T3286,$N3286)</f>
        <v/>
      </c>
    </row>
    <row r="3287">
      <c r="A3287" s="145" t="n">
        <v>23</v>
      </c>
      <c r="B3287" s="204">
        <f>EDATE($B3286,1)</f>
        <v/>
      </c>
      <c r="C3287" s="205">
        <f>EOMONTH($B3287,0)</f>
        <v/>
      </c>
      <c r="D3287" s="201">
        <f>$C3287-$B3287+1</f>
        <v/>
      </c>
      <c r="E3287" s="201">
        <f>MONTH($B3287)</f>
        <v/>
      </c>
      <c r="F3287" s="235">
        <f>($B3287+$C3287+1)/2</f>
        <v/>
      </c>
      <c r="G3287" s="201">
        <f>YEAR($B3287)*12+MONTH($B3287)-1</f>
        <v/>
      </c>
      <c r="H3287" s="207">
        <f>IF(OR(nr_SeasonOn="OFF",$D$3262=0,$E$3262=0),1,12*INDEX(se_block,$D$3262,$E3287)/$E$3262)</f>
        <v/>
      </c>
      <c r="I3287" s="208">
        <f>EXP(SUMPRODUCT((rl_eff&lt;$B3287)*(rl_key=$A$3262)*rl_ln1p))</f>
        <v/>
      </c>
      <c r="J3287" s="208">
        <f>EXP(SUMPRODUCT((rl_eff&lt;=$C3287)*(rl_key=$A$3262)*rl_ln1p))</f>
        <v/>
      </c>
      <c r="K3287" s="201">
        <f>COUNTIFS(rl_key,$A$3262,rl_eff,"&gt;="&amp;$B3287,rl_eff,"&lt;="&amp;$C3287)</f>
        <v/>
      </c>
      <c r="L3287" s="201">
        <f>SUMIFS(rl_daysafter,rl_key,$A$3262,rl_effmonth,$B3287,rl_first,1)</f>
        <v/>
      </c>
      <c r="M3287" s="209">
        <f>IF($K3287=0,0,MIN(1,$L3287/$D3287))</f>
        <v/>
      </c>
      <c r="N3287" s="208">
        <f>IF($K3287=0,$J3287,(1-$M3287)*$I3287+$M3287*$J3287)</f>
        <v/>
      </c>
      <c r="O3287" s="209">
        <f>IF($F3287&lt;$B$3263,$E$3263+$I$3263*($F3287-$A$3263),IF($F3287&lt;$C$3263,$F$3263+$J$3263*($F3287-$B$3263),$G$3263+$K$3263*($F3287-$C$3263)))</f>
        <v/>
      </c>
      <c r="P3287" s="208">
        <f>MIN(1,MAX(0,(nr_MEndPm1-$G3287+0.5)/$C$3262))-MIN(1,MAX(0,(nr_MStartPm1-1-$G3287+0.5)/$C$3262))</f>
        <v/>
      </c>
      <c r="Q3287" s="208">
        <f>MIN(1,MAX(0,(nr_MEndP-$G3287+0.5)/$C$3262))-MIN(1,MAX(0,(nr_MStartP-1-$G3287+0.5)/$C$3262))</f>
        <v/>
      </c>
      <c r="R3287" s="208">
        <f>MIN(1,MAX(0,(nr_MEndP1-$G3287+0.5)/$C$3262))-MIN(1,MAX(0,(nr_MStartP1-1-$G3287+0.5)/$C$3262))</f>
        <v/>
      </c>
      <c r="S3287" s="208">
        <f>IF($L$3262,$N3287*IF($O$3262=1,$O3287/$F$3262,1),"")</f>
        <v/>
      </c>
      <c r="T3287" s="208">
        <f>IF(NOT($L$3262),"",IF($G3287&lt;nr_MStartP,$S3287,$T3275*(1+IF($G3287&lt;nr_MStartP1,$M$3262,$N$3262))))</f>
        <v/>
      </c>
      <c r="U3287" s="208">
        <f>IF($L$3262,$T3287,$N3287)</f>
        <v/>
      </c>
    </row>
    <row r="3288">
      <c r="A3288" s="145" t="n">
        <v>24</v>
      </c>
      <c r="B3288" s="204">
        <f>EDATE($B3287,1)</f>
        <v/>
      </c>
      <c r="C3288" s="205">
        <f>EOMONTH($B3288,0)</f>
        <v/>
      </c>
      <c r="D3288" s="201">
        <f>$C3288-$B3288+1</f>
        <v/>
      </c>
      <c r="E3288" s="201">
        <f>MONTH($B3288)</f>
        <v/>
      </c>
      <c r="F3288" s="235">
        <f>($B3288+$C3288+1)/2</f>
        <v/>
      </c>
      <c r="G3288" s="201">
        <f>YEAR($B3288)*12+MONTH($B3288)-1</f>
        <v/>
      </c>
      <c r="H3288" s="207">
        <f>IF(OR(nr_SeasonOn="OFF",$D$3262=0,$E$3262=0),1,12*INDEX(se_block,$D$3262,$E3288)/$E$3262)</f>
        <v/>
      </c>
      <c r="I3288" s="208">
        <f>EXP(SUMPRODUCT((rl_eff&lt;$B3288)*(rl_key=$A$3262)*rl_ln1p))</f>
        <v/>
      </c>
      <c r="J3288" s="208">
        <f>EXP(SUMPRODUCT((rl_eff&lt;=$C3288)*(rl_key=$A$3262)*rl_ln1p))</f>
        <v/>
      </c>
      <c r="K3288" s="201">
        <f>COUNTIFS(rl_key,$A$3262,rl_eff,"&gt;="&amp;$B3288,rl_eff,"&lt;="&amp;$C3288)</f>
        <v/>
      </c>
      <c r="L3288" s="201">
        <f>SUMIFS(rl_daysafter,rl_key,$A$3262,rl_effmonth,$B3288,rl_first,1)</f>
        <v/>
      </c>
      <c r="M3288" s="209">
        <f>IF($K3288=0,0,MIN(1,$L3288/$D3288))</f>
        <v/>
      </c>
      <c r="N3288" s="208">
        <f>IF($K3288=0,$J3288,(1-$M3288)*$I3288+$M3288*$J3288)</f>
        <v/>
      </c>
      <c r="O3288" s="209">
        <f>IF($F3288&lt;$B$3263,$E$3263+$I$3263*($F3288-$A$3263),IF($F3288&lt;$C$3263,$F$3263+$J$3263*($F3288-$B$3263),$G$3263+$K$3263*($F3288-$C$3263)))</f>
        <v/>
      </c>
      <c r="P3288" s="208">
        <f>MIN(1,MAX(0,(nr_MEndPm1-$G3288+0.5)/$C$3262))-MIN(1,MAX(0,(nr_MStartPm1-1-$G3288+0.5)/$C$3262))</f>
        <v/>
      </c>
      <c r="Q3288" s="208">
        <f>MIN(1,MAX(0,(nr_MEndP-$G3288+0.5)/$C$3262))-MIN(1,MAX(0,(nr_MStartP-1-$G3288+0.5)/$C$3262))</f>
        <v/>
      </c>
      <c r="R3288" s="208">
        <f>MIN(1,MAX(0,(nr_MEndP1-$G3288+0.5)/$C$3262))-MIN(1,MAX(0,(nr_MStartP1-1-$G3288+0.5)/$C$3262))</f>
        <v/>
      </c>
      <c r="S3288" s="208">
        <f>IF($L$3262,$N3288*IF($O$3262=1,$O3288/$F$3262,1),"")</f>
        <v/>
      </c>
      <c r="T3288" s="208">
        <f>IF(NOT($L$3262),"",IF($G3288&lt;nr_MStartP,$S3288,$T3276*(1+IF($G3288&lt;nr_MStartP1,$M$3262,$N$3262))))</f>
        <v/>
      </c>
      <c r="U3288" s="208">
        <f>IF($L$3262,$T3288,$N3288)</f>
        <v/>
      </c>
    </row>
    <row r="3289">
      <c r="A3289" s="145" t="n">
        <v>25</v>
      </c>
      <c r="B3289" s="204">
        <f>EDATE($B3288,1)</f>
        <v/>
      </c>
      <c r="C3289" s="205">
        <f>EOMONTH($B3289,0)</f>
        <v/>
      </c>
      <c r="D3289" s="201">
        <f>$C3289-$B3289+1</f>
        <v/>
      </c>
      <c r="E3289" s="201">
        <f>MONTH($B3289)</f>
        <v/>
      </c>
      <c r="F3289" s="235">
        <f>($B3289+$C3289+1)/2</f>
        <v/>
      </c>
      <c r="G3289" s="201">
        <f>YEAR($B3289)*12+MONTH($B3289)-1</f>
        <v/>
      </c>
      <c r="H3289" s="207">
        <f>IF(OR(nr_SeasonOn="OFF",$D$3262=0,$E$3262=0),1,12*INDEX(se_block,$D$3262,$E3289)/$E$3262)</f>
        <v/>
      </c>
      <c r="I3289" s="208">
        <f>EXP(SUMPRODUCT((rl_eff&lt;$B3289)*(rl_key=$A$3262)*rl_ln1p))</f>
        <v/>
      </c>
      <c r="J3289" s="208">
        <f>EXP(SUMPRODUCT((rl_eff&lt;=$C3289)*(rl_key=$A$3262)*rl_ln1p))</f>
        <v/>
      </c>
      <c r="K3289" s="201">
        <f>COUNTIFS(rl_key,$A$3262,rl_eff,"&gt;="&amp;$B3289,rl_eff,"&lt;="&amp;$C3289)</f>
        <v/>
      </c>
      <c r="L3289" s="201">
        <f>SUMIFS(rl_daysafter,rl_key,$A$3262,rl_effmonth,$B3289,rl_first,1)</f>
        <v/>
      </c>
      <c r="M3289" s="209">
        <f>IF($K3289=0,0,MIN(1,$L3289/$D3289))</f>
        <v/>
      </c>
      <c r="N3289" s="208">
        <f>IF($K3289=0,$J3289,(1-$M3289)*$I3289+$M3289*$J3289)</f>
        <v/>
      </c>
      <c r="O3289" s="209">
        <f>IF($F3289&lt;$B$3263,$E$3263+$I$3263*($F3289-$A$3263),IF($F3289&lt;$C$3263,$F$3263+$J$3263*($F3289-$B$3263),$G$3263+$K$3263*($F3289-$C$3263)))</f>
        <v/>
      </c>
      <c r="P3289" s="208">
        <f>MIN(1,MAX(0,(nr_MEndPm1-$G3289+0.5)/$C$3262))-MIN(1,MAX(0,(nr_MStartPm1-1-$G3289+0.5)/$C$3262))</f>
        <v/>
      </c>
      <c r="Q3289" s="208">
        <f>MIN(1,MAX(0,(nr_MEndP-$G3289+0.5)/$C$3262))-MIN(1,MAX(0,(nr_MStartP-1-$G3289+0.5)/$C$3262))</f>
        <v/>
      </c>
      <c r="R3289" s="208">
        <f>MIN(1,MAX(0,(nr_MEndP1-$G3289+0.5)/$C$3262))-MIN(1,MAX(0,(nr_MStartP1-1-$G3289+0.5)/$C$3262))</f>
        <v/>
      </c>
      <c r="S3289" s="208">
        <f>IF($L$3262,$N3289*IF($O$3262=1,$O3289/$F$3262,1),"")</f>
        <v/>
      </c>
      <c r="T3289" s="208">
        <f>IF(NOT($L$3262),"",IF($G3289&lt;nr_MStartP,$S3289,$T3277*(1+IF($G3289&lt;nr_MStartP1,$M$3262,$N$3262))))</f>
        <v/>
      </c>
      <c r="U3289" s="208">
        <f>IF($L$3262,$T3289,$N3289)</f>
        <v/>
      </c>
    </row>
    <row r="3290">
      <c r="A3290" s="145" t="n">
        <v>26</v>
      </c>
      <c r="B3290" s="204">
        <f>EDATE($B3289,1)</f>
        <v/>
      </c>
      <c r="C3290" s="205">
        <f>EOMONTH($B3290,0)</f>
        <v/>
      </c>
      <c r="D3290" s="201">
        <f>$C3290-$B3290+1</f>
        <v/>
      </c>
      <c r="E3290" s="201">
        <f>MONTH($B3290)</f>
        <v/>
      </c>
      <c r="F3290" s="235">
        <f>($B3290+$C3290+1)/2</f>
        <v/>
      </c>
      <c r="G3290" s="201">
        <f>YEAR($B3290)*12+MONTH($B3290)-1</f>
        <v/>
      </c>
      <c r="H3290" s="207">
        <f>IF(OR(nr_SeasonOn="OFF",$D$3262=0,$E$3262=0),1,12*INDEX(se_block,$D$3262,$E3290)/$E$3262)</f>
        <v/>
      </c>
      <c r="I3290" s="208">
        <f>EXP(SUMPRODUCT((rl_eff&lt;$B3290)*(rl_key=$A$3262)*rl_ln1p))</f>
        <v/>
      </c>
      <c r="J3290" s="208">
        <f>EXP(SUMPRODUCT((rl_eff&lt;=$C3290)*(rl_key=$A$3262)*rl_ln1p))</f>
        <v/>
      </c>
      <c r="K3290" s="201">
        <f>COUNTIFS(rl_key,$A$3262,rl_eff,"&gt;="&amp;$B3290,rl_eff,"&lt;="&amp;$C3290)</f>
        <v/>
      </c>
      <c r="L3290" s="201">
        <f>SUMIFS(rl_daysafter,rl_key,$A$3262,rl_effmonth,$B3290,rl_first,1)</f>
        <v/>
      </c>
      <c r="M3290" s="209">
        <f>IF($K3290=0,0,MIN(1,$L3290/$D3290))</f>
        <v/>
      </c>
      <c r="N3290" s="208">
        <f>IF($K3290=0,$J3290,(1-$M3290)*$I3290+$M3290*$J3290)</f>
        <v/>
      </c>
      <c r="O3290" s="209">
        <f>IF($F3290&lt;$B$3263,$E$3263+$I$3263*($F3290-$A$3263),IF($F3290&lt;$C$3263,$F$3263+$J$3263*($F3290-$B$3263),$G$3263+$K$3263*($F3290-$C$3263)))</f>
        <v/>
      </c>
      <c r="P3290" s="208">
        <f>MIN(1,MAX(0,(nr_MEndPm1-$G3290+0.5)/$C$3262))-MIN(1,MAX(0,(nr_MStartPm1-1-$G3290+0.5)/$C$3262))</f>
        <v/>
      </c>
      <c r="Q3290" s="208">
        <f>MIN(1,MAX(0,(nr_MEndP-$G3290+0.5)/$C$3262))-MIN(1,MAX(0,(nr_MStartP-1-$G3290+0.5)/$C$3262))</f>
        <v/>
      </c>
      <c r="R3290" s="208">
        <f>MIN(1,MAX(0,(nr_MEndP1-$G3290+0.5)/$C$3262))-MIN(1,MAX(0,(nr_MStartP1-1-$G3290+0.5)/$C$3262))</f>
        <v/>
      </c>
      <c r="S3290" s="208">
        <f>IF($L$3262,$N3290*IF($O$3262=1,$O3290/$F$3262,1),"")</f>
        <v/>
      </c>
      <c r="T3290" s="208">
        <f>IF(NOT($L$3262),"",IF($G3290&lt;nr_MStartP,$S3290,$T3278*(1+IF($G3290&lt;nr_MStartP1,$M$3262,$N$3262))))</f>
        <v/>
      </c>
      <c r="U3290" s="208">
        <f>IF($L$3262,$T3290,$N3290)</f>
        <v/>
      </c>
    </row>
    <row r="3291">
      <c r="A3291" s="145" t="n">
        <v>27</v>
      </c>
      <c r="B3291" s="204">
        <f>EDATE($B3290,1)</f>
        <v/>
      </c>
      <c r="C3291" s="205">
        <f>EOMONTH($B3291,0)</f>
        <v/>
      </c>
      <c r="D3291" s="201">
        <f>$C3291-$B3291+1</f>
        <v/>
      </c>
      <c r="E3291" s="201">
        <f>MONTH($B3291)</f>
        <v/>
      </c>
      <c r="F3291" s="235">
        <f>($B3291+$C3291+1)/2</f>
        <v/>
      </c>
      <c r="G3291" s="201">
        <f>YEAR($B3291)*12+MONTH($B3291)-1</f>
        <v/>
      </c>
      <c r="H3291" s="207">
        <f>IF(OR(nr_SeasonOn="OFF",$D$3262=0,$E$3262=0),1,12*INDEX(se_block,$D$3262,$E3291)/$E$3262)</f>
        <v/>
      </c>
      <c r="I3291" s="208">
        <f>EXP(SUMPRODUCT((rl_eff&lt;$B3291)*(rl_key=$A$3262)*rl_ln1p))</f>
        <v/>
      </c>
      <c r="J3291" s="208">
        <f>EXP(SUMPRODUCT((rl_eff&lt;=$C3291)*(rl_key=$A$3262)*rl_ln1p))</f>
        <v/>
      </c>
      <c r="K3291" s="201">
        <f>COUNTIFS(rl_key,$A$3262,rl_eff,"&gt;="&amp;$B3291,rl_eff,"&lt;="&amp;$C3291)</f>
        <v/>
      </c>
      <c r="L3291" s="201">
        <f>SUMIFS(rl_daysafter,rl_key,$A$3262,rl_effmonth,$B3291,rl_first,1)</f>
        <v/>
      </c>
      <c r="M3291" s="209">
        <f>IF($K3291=0,0,MIN(1,$L3291/$D3291))</f>
        <v/>
      </c>
      <c r="N3291" s="208">
        <f>IF($K3291=0,$J3291,(1-$M3291)*$I3291+$M3291*$J3291)</f>
        <v/>
      </c>
      <c r="O3291" s="209">
        <f>IF($F3291&lt;$B$3263,$E$3263+$I$3263*($F3291-$A$3263),IF($F3291&lt;$C$3263,$F$3263+$J$3263*($F3291-$B$3263),$G$3263+$K$3263*($F3291-$C$3263)))</f>
        <v/>
      </c>
      <c r="P3291" s="208">
        <f>MIN(1,MAX(0,(nr_MEndPm1-$G3291+0.5)/$C$3262))-MIN(1,MAX(0,(nr_MStartPm1-1-$G3291+0.5)/$C$3262))</f>
        <v/>
      </c>
      <c r="Q3291" s="208">
        <f>MIN(1,MAX(0,(nr_MEndP-$G3291+0.5)/$C$3262))-MIN(1,MAX(0,(nr_MStartP-1-$G3291+0.5)/$C$3262))</f>
        <v/>
      </c>
      <c r="R3291" s="208">
        <f>MIN(1,MAX(0,(nr_MEndP1-$G3291+0.5)/$C$3262))-MIN(1,MAX(0,(nr_MStartP1-1-$G3291+0.5)/$C$3262))</f>
        <v/>
      </c>
      <c r="S3291" s="208">
        <f>IF($L$3262,$N3291*IF($O$3262=1,$O3291/$F$3262,1),"")</f>
        <v/>
      </c>
      <c r="T3291" s="208">
        <f>IF(NOT($L$3262),"",IF($G3291&lt;nr_MStartP,$S3291,$T3279*(1+IF($G3291&lt;nr_MStartP1,$M$3262,$N$3262))))</f>
        <v/>
      </c>
      <c r="U3291" s="208">
        <f>IF($L$3262,$T3291,$N3291)</f>
        <v/>
      </c>
    </row>
    <row r="3292">
      <c r="A3292" s="145" t="n">
        <v>28</v>
      </c>
      <c r="B3292" s="204">
        <f>EDATE($B3291,1)</f>
        <v/>
      </c>
      <c r="C3292" s="205">
        <f>EOMONTH($B3292,0)</f>
        <v/>
      </c>
      <c r="D3292" s="201">
        <f>$C3292-$B3292+1</f>
        <v/>
      </c>
      <c r="E3292" s="201">
        <f>MONTH($B3292)</f>
        <v/>
      </c>
      <c r="F3292" s="235">
        <f>($B3292+$C3292+1)/2</f>
        <v/>
      </c>
      <c r="G3292" s="201">
        <f>YEAR($B3292)*12+MONTH($B3292)-1</f>
        <v/>
      </c>
      <c r="H3292" s="207">
        <f>IF(OR(nr_SeasonOn="OFF",$D$3262=0,$E$3262=0),1,12*INDEX(se_block,$D$3262,$E3292)/$E$3262)</f>
        <v/>
      </c>
      <c r="I3292" s="208">
        <f>EXP(SUMPRODUCT((rl_eff&lt;$B3292)*(rl_key=$A$3262)*rl_ln1p))</f>
        <v/>
      </c>
      <c r="J3292" s="208">
        <f>EXP(SUMPRODUCT((rl_eff&lt;=$C3292)*(rl_key=$A$3262)*rl_ln1p))</f>
        <v/>
      </c>
      <c r="K3292" s="201">
        <f>COUNTIFS(rl_key,$A$3262,rl_eff,"&gt;="&amp;$B3292,rl_eff,"&lt;="&amp;$C3292)</f>
        <v/>
      </c>
      <c r="L3292" s="201">
        <f>SUMIFS(rl_daysafter,rl_key,$A$3262,rl_effmonth,$B3292,rl_first,1)</f>
        <v/>
      </c>
      <c r="M3292" s="209">
        <f>IF($K3292=0,0,MIN(1,$L3292/$D3292))</f>
        <v/>
      </c>
      <c r="N3292" s="208">
        <f>IF($K3292=0,$J3292,(1-$M3292)*$I3292+$M3292*$J3292)</f>
        <v/>
      </c>
      <c r="O3292" s="209">
        <f>IF($F3292&lt;$B$3263,$E$3263+$I$3263*($F3292-$A$3263),IF($F3292&lt;$C$3263,$F$3263+$J$3263*($F3292-$B$3263),$G$3263+$K$3263*($F3292-$C$3263)))</f>
        <v/>
      </c>
      <c r="P3292" s="208">
        <f>MIN(1,MAX(0,(nr_MEndPm1-$G3292+0.5)/$C$3262))-MIN(1,MAX(0,(nr_MStartPm1-1-$G3292+0.5)/$C$3262))</f>
        <v/>
      </c>
      <c r="Q3292" s="208">
        <f>MIN(1,MAX(0,(nr_MEndP-$G3292+0.5)/$C$3262))-MIN(1,MAX(0,(nr_MStartP-1-$G3292+0.5)/$C$3262))</f>
        <v/>
      </c>
      <c r="R3292" s="208">
        <f>MIN(1,MAX(0,(nr_MEndP1-$G3292+0.5)/$C$3262))-MIN(1,MAX(0,(nr_MStartP1-1-$G3292+0.5)/$C$3262))</f>
        <v/>
      </c>
      <c r="S3292" s="208">
        <f>IF($L$3262,$N3292*IF($O$3262=1,$O3292/$F$3262,1),"")</f>
        <v/>
      </c>
      <c r="T3292" s="208">
        <f>IF(NOT($L$3262),"",IF($G3292&lt;nr_MStartP,$S3292,$T3280*(1+IF($G3292&lt;nr_MStartP1,$M$3262,$N$3262))))</f>
        <v/>
      </c>
      <c r="U3292" s="208">
        <f>IF($L$3262,$T3292,$N3292)</f>
        <v/>
      </c>
    </row>
    <row r="3293">
      <c r="A3293" s="145" t="n">
        <v>29</v>
      </c>
      <c r="B3293" s="204">
        <f>EDATE($B3292,1)</f>
        <v/>
      </c>
      <c r="C3293" s="205">
        <f>EOMONTH($B3293,0)</f>
        <v/>
      </c>
      <c r="D3293" s="201">
        <f>$C3293-$B3293+1</f>
        <v/>
      </c>
      <c r="E3293" s="201">
        <f>MONTH($B3293)</f>
        <v/>
      </c>
      <c r="F3293" s="235">
        <f>($B3293+$C3293+1)/2</f>
        <v/>
      </c>
      <c r="G3293" s="201">
        <f>YEAR($B3293)*12+MONTH($B3293)-1</f>
        <v/>
      </c>
      <c r="H3293" s="207">
        <f>IF(OR(nr_SeasonOn="OFF",$D$3262=0,$E$3262=0),1,12*INDEX(se_block,$D$3262,$E3293)/$E$3262)</f>
        <v/>
      </c>
      <c r="I3293" s="208">
        <f>EXP(SUMPRODUCT((rl_eff&lt;$B3293)*(rl_key=$A$3262)*rl_ln1p))</f>
        <v/>
      </c>
      <c r="J3293" s="208">
        <f>EXP(SUMPRODUCT((rl_eff&lt;=$C3293)*(rl_key=$A$3262)*rl_ln1p))</f>
        <v/>
      </c>
      <c r="K3293" s="201">
        <f>COUNTIFS(rl_key,$A$3262,rl_eff,"&gt;="&amp;$B3293,rl_eff,"&lt;="&amp;$C3293)</f>
        <v/>
      </c>
      <c r="L3293" s="201">
        <f>SUMIFS(rl_daysafter,rl_key,$A$3262,rl_effmonth,$B3293,rl_first,1)</f>
        <v/>
      </c>
      <c r="M3293" s="209">
        <f>IF($K3293=0,0,MIN(1,$L3293/$D3293))</f>
        <v/>
      </c>
      <c r="N3293" s="208">
        <f>IF($K3293=0,$J3293,(1-$M3293)*$I3293+$M3293*$J3293)</f>
        <v/>
      </c>
      <c r="O3293" s="209">
        <f>IF($F3293&lt;$B$3263,$E$3263+$I$3263*($F3293-$A$3263),IF($F3293&lt;$C$3263,$F$3263+$J$3263*($F3293-$B$3263),$G$3263+$K$3263*($F3293-$C$3263)))</f>
        <v/>
      </c>
      <c r="P3293" s="208">
        <f>MIN(1,MAX(0,(nr_MEndPm1-$G3293+0.5)/$C$3262))-MIN(1,MAX(0,(nr_MStartPm1-1-$G3293+0.5)/$C$3262))</f>
        <v/>
      </c>
      <c r="Q3293" s="208">
        <f>MIN(1,MAX(0,(nr_MEndP-$G3293+0.5)/$C$3262))-MIN(1,MAX(0,(nr_MStartP-1-$G3293+0.5)/$C$3262))</f>
        <v/>
      </c>
      <c r="R3293" s="208">
        <f>MIN(1,MAX(0,(nr_MEndP1-$G3293+0.5)/$C$3262))-MIN(1,MAX(0,(nr_MStartP1-1-$G3293+0.5)/$C$3262))</f>
        <v/>
      </c>
      <c r="S3293" s="208">
        <f>IF($L$3262,$N3293*IF($O$3262=1,$O3293/$F$3262,1),"")</f>
        <v/>
      </c>
      <c r="T3293" s="208">
        <f>IF(NOT($L$3262),"",IF($G3293&lt;nr_MStartP,$S3293,$T3281*(1+IF($G3293&lt;nr_MStartP1,$M$3262,$N$3262))))</f>
        <v/>
      </c>
      <c r="U3293" s="208">
        <f>IF($L$3262,$T3293,$N3293)</f>
        <v/>
      </c>
    </row>
    <row r="3294">
      <c r="A3294" s="145" t="n">
        <v>30</v>
      </c>
      <c r="B3294" s="204">
        <f>EDATE($B3293,1)</f>
        <v/>
      </c>
      <c r="C3294" s="205">
        <f>EOMONTH($B3294,0)</f>
        <v/>
      </c>
      <c r="D3294" s="201">
        <f>$C3294-$B3294+1</f>
        <v/>
      </c>
      <c r="E3294" s="201">
        <f>MONTH($B3294)</f>
        <v/>
      </c>
      <c r="F3294" s="235">
        <f>($B3294+$C3294+1)/2</f>
        <v/>
      </c>
      <c r="G3294" s="201">
        <f>YEAR($B3294)*12+MONTH($B3294)-1</f>
        <v/>
      </c>
      <c r="H3294" s="207">
        <f>IF(OR(nr_SeasonOn="OFF",$D$3262=0,$E$3262=0),1,12*INDEX(se_block,$D$3262,$E3294)/$E$3262)</f>
        <v/>
      </c>
      <c r="I3294" s="208">
        <f>EXP(SUMPRODUCT((rl_eff&lt;$B3294)*(rl_key=$A$3262)*rl_ln1p))</f>
        <v/>
      </c>
      <c r="J3294" s="208">
        <f>EXP(SUMPRODUCT((rl_eff&lt;=$C3294)*(rl_key=$A$3262)*rl_ln1p))</f>
        <v/>
      </c>
      <c r="K3294" s="201">
        <f>COUNTIFS(rl_key,$A$3262,rl_eff,"&gt;="&amp;$B3294,rl_eff,"&lt;="&amp;$C3294)</f>
        <v/>
      </c>
      <c r="L3294" s="201">
        <f>SUMIFS(rl_daysafter,rl_key,$A$3262,rl_effmonth,$B3294,rl_first,1)</f>
        <v/>
      </c>
      <c r="M3294" s="209">
        <f>IF($K3294=0,0,MIN(1,$L3294/$D3294))</f>
        <v/>
      </c>
      <c r="N3294" s="208">
        <f>IF($K3294=0,$J3294,(1-$M3294)*$I3294+$M3294*$J3294)</f>
        <v/>
      </c>
      <c r="O3294" s="209">
        <f>IF($F3294&lt;$B$3263,$E$3263+$I$3263*($F3294-$A$3263),IF($F3294&lt;$C$3263,$F$3263+$J$3263*($F3294-$B$3263),$G$3263+$K$3263*($F3294-$C$3263)))</f>
        <v/>
      </c>
      <c r="P3294" s="208">
        <f>MIN(1,MAX(0,(nr_MEndPm1-$G3294+0.5)/$C$3262))-MIN(1,MAX(0,(nr_MStartPm1-1-$G3294+0.5)/$C$3262))</f>
        <v/>
      </c>
      <c r="Q3294" s="208">
        <f>MIN(1,MAX(0,(nr_MEndP-$G3294+0.5)/$C$3262))-MIN(1,MAX(0,(nr_MStartP-1-$G3294+0.5)/$C$3262))</f>
        <v/>
      </c>
      <c r="R3294" s="208">
        <f>MIN(1,MAX(0,(nr_MEndP1-$G3294+0.5)/$C$3262))-MIN(1,MAX(0,(nr_MStartP1-1-$G3294+0.5)/$C$3262))</f>
        <v/>
      </c>
      <c r="S3294" s="208">
        <f>IF($L$3262,$N3294*IF($O$3262=1,$O3294/$F$3262,1),"")</f>
        <v/>
      </c>
      <c r="T3294" s="208">
        <f>IF(NOT($L$3262),"",IF($G3294&lt;nr_MStartP,$S3294,$T3282*(1+IF($G3294&lt;nr_MStartP1,$M$3262,$N$3262))))</f>
        <v/>
      </c>
      <c r="U3294" s="208">
        <f>IF($L$3262,$T3294,$N3294)</f>
        <v/>
      </c>
    </row>
    <row r="3295">
      <c r="A3295" s="145" t="n">
        <v>31</v>
      </c>
      <c r="B3295" s="204">
        <f>EDATE($B3294,1)</f>
        <v/>
      </c>
      <c r="C3295" s="205">
        <f>EOMONTH($B3295,0)</f>
        <v/>
      </c>
      <c r="D3295" s="201">
        <f>$C3295-$B3295+1</f>
        <v/>
      </c>
      <c r="E3295" s="201">
        <f>MONTH($B3295)</f>
        <v/>
      </c>
      <c r="F3295" s="235">
        <f>($B3295+$C3295+1)/2</f>
        <v/>
      </c>
      <c r="G3295" s="201">
        <f>YEAR($B3295)*12+MONTH($B3295)-1</f>
        <v/>
      </c>
      <c r="H3295" s="207">
        <f>IF(OR(nr_SeasonOn="OFF",$D$3262=0,$E$3262=0),1,12*INDEX(se_block,$D$3262,$E3295)/$E$3262)</f>
        <v/>
      </c>
      <c r="I3295" s="208">
        <f>EXP(SUMPRODUCT((rl_eff&lt;$B3295)*(rl_key=$A$3262)*rl_ln1p))</f>
        <v/>
      </c>
      <c r="J3295" s="208">
        <f>EXP(SUMPRODUCT((rl_eff&lt;=$C3295)*(rl_key=$A$3262)*rl_ln1p))</f>
        <v/>
      </c>
      <c r="K3295" s="201">
        <f>COUNTIFS(rl_key,$A$3262,rl_eff,"&gt;="&amp;$B3295,rl_eff,"&lt;="&amp;$C3295)</f>
        <v/>
      </c>
      <c r="L3295" s="201">
        <f>SUMIFS(rl_daysafter,rl_key,$A$3262,rl_effmonth,$B3295,rl_first,1)</f>
        <v/>
      </c>
      <c r="M3295" s="209">
        <f>IF($K3295=0,0,MIN(1,$L3295/$D3295))</f>
        <v/>
      </c>
      <c r="N3295" s="208">
        <f>IF($K3295=0,$J3295,(1-$M3295)*$I3295+$M3295*$J3295)</f>
        <v/>
      </c>
      <c r="O3295" s="209">
        <f>IF($F3295&lt;$B$3263,$E$3263+$I$3263*($F3295-$A$3263),IF($F3295&lt;$C$3263,$F$3263+$J$3263*($F3295-$B$3263),$G$3263+$K$3263*($F3295-$C$3263)))</f>
        <v/>
      </c>
      <c r="P3295" s="208">
        <f>MIN(1,MAX(0,(nr_MEndPm1-$G3295+0.5)/$C$3262))-MIN(1,MAX(0,(nr_MStartPm1-1-$G3295+0.5)/$C$3262))</f>
        <v/>
      </c>
      <c r="Q3295" s="208">
        <f>MIN(1,MAX(0,(nr_MEndP-$G3295+0.5)/$C$3262))-MIN(1,MAX(0,(nr_MStartP-1-$G3295+0.5)/$C$3262))</f>
        <v/>
      </c>
      <c r="R3295" s="208">
        <f>MIN(1,MAX(0,(nr_MEndP1-$G3295+0.5)/$C$3262))-MIN(1,MAX(0,(nr_MStartP1-1-$G3295+0.5)/$C$3262))</f>
        <v/>
      </c>
      <c r="S3295" s="208">
        <f>IF($L$3262,$N3295*IF($O$3262=1,$O3295/$F$3262,1),"")</f>
        <v/>
      </c>
      <c r="T3295" s="208">
        <f>IF(NOT($L$3262),"",IF($G3295&lt;nr_MStartP,$S3295,$T3283*(1+IF($G3295&lt;nr_MStartP1,$M$3262,$N$3262))))</f>
        <v/>
      </c>
      <c r="U3295" s="208">
        <f>IF($L$3262,$T3295,$N3295)</f>
        <v/>
      </c>
    </row>
    <row r="3296">
      <c r="A3296" s="145" t="n">
        <v>32</v>
      </c>
      <c r="B3296" s="204">
        <f>EDATE($B3295,1)</f>
        <v/>
      </c>
      <c r="C3296" s="205">
        <f>EOMONTH($B3296,0)</f>
        <v/>
      </c>
      <c r="D3296" s="201">
        <f>$C3296-$B3296+1</f>
        <v/>
      </c>
      <c r="E3296" s="201">
        <f>MONTH($B3296)</f>
        <v/>
      </c>
      <c r="F3296" s="235">
        <f>($B3296+$C3296+1)/2</f>
        <v/>
      </c>
      <c r="G3296" s="201">
        <f>YEAR($B3296)*12+MONTH($B3296)-1</f>
        <v/>
      </c>
      <c r="H3296" s="207">
        <f>IF(OR(nr_SeasonOn="OFF",$D$3262=0,$E$3262=0),1,12*INDEX(se_block,$D$3262,$E3296)/$E$3262)</f>
        <v/>
      </c>
      <c r="I3296" s="208">
        <f>EXP(SUMPRODUCT((rl_eff&lt;$B3296)*(rl_key=$A$3262)*rl_ln1p))</f>
        <v/>
      </c>
      <c r="J3296" s="208">
        <f>EXP(SUMPRODUCT((rl_eff&lt;=$C3296)*(rl_key=$A$3262)*rl_ln1p))</f>
        <v/>
      </c>
      <c r="K3296" s="201">
        <f>COUNTIFS(rl_key,$A$3262,rl_eff,"&gt;="&amp;$B3296,rl_eff,"&lt;="&amp;$C3296)</f>
        <v/>
      </c>
      <c r="L3296" s="201">
        <f>SUMIFS(rl_daysafter,rl_key,$A$3262,rl_effmonth,$B3296,rl_first,1)</f>
        <v/>
      </c>
      <c r="M3296" s="209">
        <f>IF($K3296=0,0,MIN(1,$L3296/$D3296))</f>
        <v/>
      </c>
      <c r="N3296" s="208">
        <f>IF($K3296=0,$J3296,(1-$M3296)*$I3296+$M3296*$J3296)</f>
        <v/>
      </c>
      <c r="O3296" s="209">
        <f>IF($F3296&lt;$B$3263,$E$3263+$I$3263*($F3296-$A$3263),IF($F3296&lt;$C$3263,$F$3263+$J$3263*($F3296-$B$3263),$G$3263+$K$3263*($F3296-$C$3263)))</f>
        <v/>
      </c>
      <c r="P3296" s="208">
        <f>MIN(1,MAX(0,(nr_MEndPm1-$G3296+0.5)/$C$3262))-MIN(1,MAX(0,(nr_MStartPm1-1-$G3296+0.5)/$C$3262))</f>
        <v/>
      </c>
      <c r="Q3296" s="208">
        <f>MIN(1,MAX(0,(nr_MEndP-$G3296+0.5)/$C$3262))-MIN(1,MAX(0,(nr_MStartP-1-$G3296+0.5)/$C$3262))</f>
        <v/>
      </c>
      <c r="R3296" s="208">
        <f>MIN(1,MAX(0,(nr_MEndP1-$G3296+0.5)/$C$3262))-MIN(1,MAX(0,(nr_MStartP1-1-$G3296+0.5)/$C$3262))</f>
        <v/>
      </c>
      <c r="S3296" s="208">
        <f>IF($L$3262,$N3296*IF($O$3262=1,$O3296/$F$3262,1),"")</f>
        <v/>
      </c>
      <c r="T3296" s="208">
        <f>IF(NOT($L$3262),"",IF($G3296&lt;nr_MStartP,$S3296,$T3284*(1+IF($G3296&lt;nr_MStartP1,$M$3262,$N$3262))))</f>
        <v/>
      </c>
      <c r="U3296" s="208">
        <f>IF($L$3262,$T3296,$N3296)</f>
        <v/>
      </c>
    </row>
    <row r="3297">
      <c r="A3297" s="145" t="n">
        <v>33</v>
      </c>
      <c r="B3297" s="204">
        <f>EDATE($B3296,1)</f>
        <v/>
      </c>
      <c r="C3297" s="205">
        <f>EOMONTH($B3297,0)</f>
        <v/>
      </c>
      <c r="D3297" s="201">
        <f>$C3297-$B3297+1</f>
        <v/>
      </c>
      <c r="E3297" s="201">
        <f>MONTH($B3297)</f>
        <v/>
      </c>
      <c r="F3297" s="235">
        <f>($B3297+$C3297+1)/2</f>
        <v/>
      </c>
      <c r="G3297" s="201">
        <f>YEAR($B3297)*12+MONTH($B3297)-1</f>
        <v/>
      </c>
      <c r="H3297" s="207">
        <f>IF(OR(nr_SeasonOn="OFF",$D$3262=0,$E$3262=0),1,12*INDEX(se_block,$D$3262,$E3297)/$E$3262)</f>
        <v/>
      </c>
      <c r="I3297" s="208">
        <f>EXP(SUMPRODUCT((rl_eff&lt;$B3297)*(rl_key=$A$3262)*rl_ln1p))</f>
        <v/>
      </c>
      <c r="J3297" s="208">
        <f>EXP(SUMPRODUCT((rl_eff&lt;=$C3297)*(rl_key=$A$3262)*rl_ln1p))</f>
        <v/>
      </c>
      <c r="K3297" s="201">
        <f>COUNTIFS(rl_key,$A$3262,rl_eff,"&gt;="&amp;$B3297,rl_eff,"&lt;="&amp;$C3297)</f>
        <v/>
      </c>
      <c r="L3297" s="201">
        <f>SUMIFS(rl_daysafter,rl_key,$A$3262,rl_effmonth,$B3297,rl_first,1)</f>
        <v/>
      </c>
      <c r="M3297" s="209">
        <f>IF($K3297=0,0,MIN(1,$L3297/$D3297))</f>
        <v/>
      </c>
      <c r="N3297" s="208">
        <f>IF($K3297=0,$J3297,(1-$M3297)*$I3297+$M3297*$J3297)</f>
        <v/>
      </c>
      <c r="O3297" s="209">
        <f>IF($F3297&lt;$B$3263,$E$3263+$I$3263*($F3297-$A$3263),IF($F3297&lt;$C$3263,$F$3263+$J$3263*($F3297-$B$3263),$G$3263+$K$3263*($F3297-$C$3263)))</f>
        <v/>
      </c>
      <c r="P3297" s="208">
        <f>MIN(1,MAX(0,(nr_MEndPm1-$G3297+0.5)/$C$3262))-MIN(1,MAX(0,(nr_MStartPm1-1-$G3297+0.5)/$C$3262))</f>
        <v/>
      </c>
      <c r="Q3297" s="208">
        <f>MIN(1,MAX(0,(nr_MEndP-$G3297+0.5)/$C$3262))-MIN(1,MAX(0,(nr_MStartP-1-$G3297+0.5)/$C$3262))</f>
        <v/>
      </c>
      <c r="R3297" s="208">
        <f>MIN(1,MAX(0,(nr_MEndP1-$G3297+0.5)/$C$3262))-MIN(1,MAX(0,(nr_MStartP1-1-$G3297+0.5)/$C$3262))</f>
        <v/>
      </c>
      <c r="S3297" s="208">
        <f>IF($L$3262,$N3297*IF($O$3262=1,$O3297/$F$3262,1),"")</f>
        <v/>
      </c>
      <c r="T3297" s="208">
        <f>IF(NOT($L$3262),"",IF($G3297&lt;nr_MStartP,$S3297,$T3285*(1+IF($G3297&lt;nr_MStartP1,$M$3262,$N$3262))))</f>
        <v/>
      </c>
      <c r="U3297" s="208">
        <f>IF($L$3262,$T3297,$N3297)</f>
        <v/>
      </c>
    </row>
    <row r="3298">
      <c r="A3298" s="145" t="n">
        <v>34</v>
      </c>
      <c r="B3298" s="204">
        <f>EDATE($B3297,1)</f>
        <v/>
      </c>
      <c r="C3298" s="205">
        <f>EOMONTH($B3298,0)</f>
        <v/>
      </c>
      <c r="D3298" s="201">
        <f>$C3298-$B3298+1</f>
        <v/>
      </c>
      <c r="E3298" s="201">
        <f>MONTH($B3298)</f>
        <v/>
      </c>
      <c r="F3298" s="235">
        <f>($B3298+$C3298+1)/2</f>
        <v/>
      </c>
      <c r="G3298" s="201">
        <f>YEAR($B3298)*12+MONTH($B3298)-1</f>
        <v/>
      </c>
      <c r="H3298" s="207">
        <f>IF(OR(nr_SeasonOn="OFF",$D$3262=0,$E$3262=0),1,12*INDEX(se_block,$D$3262,$E3298)/$E$3262)</f>
        <v/>
      </c>
      <c r="I3298" s="208">
        <f>EXP(SUMPRODUCT((rl_eff&lt;$B3298)*(rl_key=$A$3262)*rl_ln1p))</f>
        <v/>
      </c>
      <c r="J3298" s="208">
        <f>EXP(SUMPRODUCT((rl_eff&lt;=$C3298)*(rl_key=$A$3262)*rl_ln1p))</f>
        <v/>
      </c>
      <c r="K3298" s="201">
        <f>COUNTIFS(rl_key,$A$3262,rl_eff,"&gt;="&amp;$B3298,rl_eff,"&lt;="&amp;$C3298)</f>
        <v/>
      </c>
      <c r="L3298" s="201">
        <f>SUMIFS(rl_daysafter,rl_key,$A$3262,rl_effmonth,$B3298,rl_first,1)</f>
        <v/>
      </c>
      <c r="M3298" s="209">
        <f>IF($K3298=0,0,MIN(1,$L3298/$D3298))</f>
        <v/>
      </c>
      <c r="N3298" s="208">
        <f>IF($K3298=0,$J3298,(1-$M3298)*$I3298+$M3298*$J3298)</f>
        <v/>
      </c>
      <c r="O3298" s="209">
        <f>IF($F3298&lt;$B$3263,$E$3263+$I$3263*($F3298-$A$3263),IF($F3298&lt;$C$3263,$F$3263+$J$3263*($F3298-$B$3263),$G$3263+$K$3263*($F3298-$C$3263)))</f>
        <v/>
      </c>
      <c r="P3298" s="208">
        <f>MIN(1,MAX(0,(nr_MEndPm1-$G3298+0.5)/$C$3262))-MIN(1,MAX(0,(nr_MStartPm1-1-$G3298+0.5)/$C$3262))</f>
        <v/>
      </c>
      <c r="Q3298" s="208">
        <f>MIN(1,MAX(0,(nr_MEndP-$G3298+0.5)/$C$3262))-MIN(1,MAX(0,(nr_MStartP-1-$G3298+0.5)/$C$3262))</f>
        <v/>
      </c>
      <c r="R3298" s="208">
        <f>MIN(1,MAX(0,(nr_MEndP1-$G3298+0.5)/$C$3262))-MIN(1,MAX(0,(nr_MStartP1-1-$G3298+0.5)/$C$3262))</f>
        <v/>
      </c>
      <c r="S3298" s="208">
        <f>IF($L$3262,$N3298*IF($O$3262=1,$O3298/$F$3262,1),"")</f>
        <v/>
      </c>
      <c r="T3298" s="208">
        <f>IF(NOT($L$3262),"",IF($G3298&lt;nr_MStartP,$S3298,$T3286*(1+IF($G3298&lt;nr_MStartP1,$M$3262,$N$3262))))</f>
        <v/>
      </c>
      <c r="U3298" s="208">
        <f>IF($L$3262,$T3298,$N3298)</f>
        <v/>
      </c>
    </row>
    <row r="3299">
      <c r="A3299" s="145" t="n">
        <v>35</v>
      </c>
      <c r="B3299" s="204">
        <f>EDATE($B3298,1)</f>
        <v/>
      </c>
      <c r="C3299" s="205">
        <f>EOMONTH($B3299,0)</f>
        <v/>
      </c>
      <c r="D3299" s="201">
        <f>$C3299-$B3299+1</f>
        <v/>
      </c>
      <c r="E3299" s="201">
        <f>MONTH($B3299)</f>
        <v/>
      </c>
      <c r="F3299" s="235">
        <f>($B3299+$C3299+1)/2</f>
        <v/>
      </c>
      <c r="G3299" s="201">
        <f>YEAR($B3299)*12+MONTH($B3299)-1</f>
        <v/>
      </c>
      <c r="H3299" s="207">
        <f>IF(OR(nr_SeasonOn="OFF",$D$3262=0,$E$3262=0),1,12*INDEX(se_block,$D$3262,$E3299)/$E$3262)</f>
        <v/>
      </c>
      <c r="I3299" s="208">
        <f>EXP(SUMPRODUCT((rl_eff&lt;$B3299)*(rl_key=$A$3262)*rl_ln1p))</f>
        <v/>
      </c>
      <c r="J3299" s="208">
        <f>EXP(SUMPRODUCT((rl_eff&lt;=$C3299)*(rl_key=$A$3262)*rl_ln1p))</f>
        <v/>
      </c>
      <c r="K3299" s="201">
        <f>COUNTIFS(rl_key,$A$3262,rl_eff,"&gt;="&amp;$B3299,rl_eff,"&lt;="&amp;$C3299)</f>
        <v/>
      </c>
      <c r="L3299" s="201">
        <f>SUMIFS(rl_daysafter,rl_key,$A$3262,rl_effmonth,$B3299,rl_first,1)</f>
        <v/>
      </c>
      <c r="M3299" s="209">
        <f>IF($K3299=0,0,MIN(1,$L3299/$D3299))</f>
        <v/>
      </c>
      <c r="N3299" s="208">
        <f>IF($K3299=0,$J3299,(1-$M3299)*$I3299+$M3299*$J3299)</f>
        <v/>
      </c>
      <c r="O3299" s="209">
        <f>IF($F3299&lt;$B$3263,$E$3263+$I$3263*($F3299-$A$3263),IF($F3299&lt;$C$3263,$F$3263+$J$3263*($F3299-$B$3263),$G$3263+$K$3263*($F3299-$C$3263)))</f>
        <v/>
      </c>
      <c r="P3299" s="208">
        <f>MIN(1,MAX(0,(nr_MEndPm1-$G3299+0.5)/$C$3262))-MIN(1,MAX(0,(nr_MStartPm1-1-$G3299+0.5)/$C$3262))</f>
        <v/>
      </c>
      <c r="Q3299" s="208">
        <f>MIN(1,MAX(0,(nr_MEndP-$G3299+0.5)/$C$3262))-MIN(1,MAX(0,(nr_MStartP-1-$G3299+0.5)/$C$3262))</f>
        <v/>
      </c>
      <c r="R3299" s="208">
        <f>MIN(1,MAX(0,(nr_MEndP1-$G3299+0.5)/$C$3262))-MIN(1,MAX(0,(nr_MStartP1-1-$G3299+0.5)/$C$3262))</f>
        <v/>
      </c>
      <c r="S3299" s="208">
        <f>IF($L$3262,$N3299*IF($O$3262=1,$O3299/$F$3262,1),"")</f>
        <v/>
      </c>
      <c r="T3299" s="208">
        <f>IF(NOT($L$3262),"",IF($G3299&lt;nr_MStartP,$S3299,$T3287*(1+IF($G3299&lt;nr_MStartP1,$M$3262,$N$3262))))</f>
        <v/>
      </c>
      <c r="U3299" s="208">
        <f>IF($L$3262,$T3299,$N3299)</f>
        <v/>
      </c>
    </row>
    <row r="3300">
      <c r="A3300" s="145" t="n">
        <v>36</v>
      </c>
      <c r="B3300" s="204">
        <f>EDATE($B3299,1)</f>
        <v/>
      </c>
      <c r="C3300" s="205">
        <f>EOMONTH($B3300,0)</f>
        <v/>
      </c>
      <c r="D3300" s="201">
        <f>$C3300-$B3300+1</f>
        <v/>
      </c>
      <c r="E3300" s="201">
        <f>MONTH($B3300)</f>
        <v/>
      </c>
      <c r="F3300" s="235">
        <f>($B3300+$C3300+1)/2</f>
        <v/>
      </c>
      <c r="G3300" s="201">
        <f>YEAR($B3300)*12+MONTH($B3300)-1</f>
        <v/>
      </c>
      <c r="H3300" s="207">
        <f>IF(OR(nr_SeasonOn="OFF",$D$3262=0,$E$3262=0),1,12*INDEX(se_block,$D$3262,$E3300)/$E$3262)</f>
        <v/>
      </c>
      <c r="I3300" s="208">
        <f>EXP(SUMPRODUCT((rl_eff&lt;$B3300)*(rl_key=$A$3262)*rl_ln1p))</f>
        <v/>
      </c>
      <c r="J3300" s="208">
        <f>EXP(SUMPRODUCT((rl_eff&lt;=$C3300)*(rl_key=$A$3262)*rl_ln1p))</f>
        <v/>
      </c>
      <c r="K3300" s="201">
        <f>COUNTIFS(rl_key,$A$3262,rl_eff,"&gt;="&amp;$B3300,rl_eff,"&lt;="&amp;$C3300)</f>
        <v/>
      </c>
      <c r="L3300" s="201">
        <f>SUMIFS(rl_daysafter,rl_key,$A$3262,rl_effmonth,$B3300,rl_first,1)</f>
        <v/>
      </c>
      <c r="M3300" s="209">
        <f>IF($K3300=0,0,MIN(1,$L3300/$D3300))</f>
        <v/>
      </c>
      <c r="N3300" s="208">
        <f>IF($K3300=0,$J3300,(1-$M3300)*$I3300+$M3300*$J3300)</f>
        <v/>
      </c>
      <c r="O3300" s="209">
        <f>IF($F3300&lt;$B$3263,$E$3263+$I$3263*($F3300-$A$3263),IF($F3300&lt;$C$3263,$F$3263+$J$3263*($F3300-$B$3263),$G$3263+$K$3263*($F3300-$C$3263)))</f>
        <v/>
      </c>
      <c r="P3300" s="208">
        <f>MIN(1,MAX(0,(nr_MEndPm1-$G3300+0.5)/$C$3262))-MIN(1,MAX(0,(nr_MStartPm1-1-$G3300+0.5)/$C$3262))</f>
        <v/>
      </c>
      <c r="Q3300" s="208">
        <f>MIN(1,MAX(0,(nr_MEndP-$G3300+0.5)/$C$3262))-MIN(1,MAX(0,(nr_MStartP-1-$G3300+0.5)/$C$3262))</f>
        <v/>
      </c>
      <c r="R3300" s="208">
        <f>MIN(1,MAX(0,(nr_MEndP1-$G3300+0.5)/$C$3262))-MIN(1,MAX(0,(nr_MStartP1-1-$G3300+0.5)/$C$3262))</f>
        <v/>
      </c>
      <c r="S3300" s="208">
        <f>IF($L$3262,$N3300*IF($O$3262=1,$O3300/$F$3262,1),"")</f>
        <v/>
      </c>
      <c r="T3300" s="208">
        <f>IF(NOT($L$3262),"",IF($G3300&lt;nr_MStartP,$S3300,$T3288*(1+IF($G3300&lt;nr_MStartP1,$M$3262,$N$3262))))</f>
        <v/>
      </c>
      <c r="U3300" s="208">
        <f>IF($L$3262,$T3300,$N3300)</f>
        <v/>
      </c>
    </row>
    <row r="3301">
      <c r="A3301" s="145" t="n">
        <v>37</v>
      </c>
      <c r="B3301" s="204">
        <f>EDATE($B3300,1)</f>
        <v/>
      </c>
      <c r="C3301" s="205">
        <f>EOMONTH($B3301,0)</f>
        <v/>
      </c>
      <c r="D3301" s="201">
        <f>$C3301-$B3301+1</f>
        <v/>
      </c>
      <c r="E3301" s="201">
        <f>MONTH($B3301)</f>
        <v/>
      </c>
      <c r="F3301" s="235">
        <f>($B3301+$C3301+1)/2</f>
        <v/>
      </c>
      <c r="G3301" s="201">
        <f>YEAR($B3301)*12+MONTH($B3301)-1</f>
        <v/>
      </c>
      <c r="H3301" s="207">
        <f>IF(OR(nr_SeasonOn="OFF",$D$3262=0,$E$3262=0),1,12*INDEX(se_block,$D$3262,$E3301)/$E$3262)</f>
        <v/>
      </c>
      <c r="I3301" s="208">
        <f>EXP(SUMPRODUCT((rl_eff&lt;$B3301)*(rl_key=$A$3262)*rl_ln1p))</f>
        <v/>
      </c>
      <c r="J3301" s="208">
        <f>EXP(SUMPRODUCT((rl_eff&lt;=$C3301)*(rl_key=$A$3262)*rl_ln1p))</f>
        <v/>
      </c>
      <c r="K3301" s="201">
        <f>COUNTIFS(rl_key,$A$3262,rl_eff,"&gt;="&amp;$B3301,rl_eff,"&lt;="&amp;$C3301)</f>
        <v/>
      </c>
      <c r="L3301" s="201">
        <f>SUMIFS(rl_daysafter,rl_key,$A$3262,rl_effmonth,$B3301,rl_first,1)</f>
        <v/>
      </c>
      <c r="M3301" s="209">
        <f>IF($K3301=0,0,MIN(1,$L3301/$D3301))</f>
        <v/>
      </c>
      <c r="N3301" s="208">
        <f>IF($K3301=0,$J3301,(1-$M3301)*$I3301+$M3301*$J3301)</f>
        <v/>
      </c>
      <c r="O3301" s="209">
        <f>IF($F3301&lt;$B$3263,$E$3263+$I$3263*($F3301-$A$3263),IF($F3301&lt;$C$3263,$F$3263+$J$3263*($F3301-$B$3263),$G$3263+$K$3263*($F3301-$C$3263)))</f>
        <v/>
      </c>
      <c r="P3301" s="208">
        <f>MIN(1,MAX(0,(nr_MEndPm1-$G3301+0.5)/$C$3262))-MIN(1,MAX(0,(nr_MStartPm1-1-$G3301+0.5)/$C$3262))</f>
        <v/>
      </c>
      <c r="Q3301" s="208">
        <f>MIN(1,MAX(0,(nr_MEndP-$G3301+0.5)/$C$3262))-MIN(1,MAX(0,(nr_MStartP-1-$G3301+0.5)/$C$3262))</f>
        <v/>
      </c>
      <c r="R3301" s="208">
        <f>MIN(1,MAX(0,(nr_MEndP1-$G3301+0.5)/$C$3262))-MIN(1,MAX(0,(nr_MStartP1-1-$G3301+0.5)/$C$3262))</f>
        <v/>
      </c>
      <c r="S3301" s="208">
        <f>IF($L$3262,$N3301*IF($O$3262=1,$O3301/$F$3262,1),"")</f>
        <v/>
      </c>
      <c r="T3301" s="208">
        <f>IF(NOT($L$3262),"",IF($G3301&lt;nr_MStartP,$S3301,$T3289*(1+IF($G3301&lt;nr_MStartP1,$M$3262,$N$3262))))</f>
        <v/>
      </c>
      <c r="U3301" s="208">
        <f>IF($L$3262,$T3301,$N3301)</f>
        <v/>
      </c>
    </row>
    <row r="3302">
      <c r="A3302" s="145" t="n">
        <v>38</v>
      </c>
      <c r="B3302" s="204">
        <f>EDATE($B3301,1)</f>
        <v/>
      </c>
      <c r="C3302" s="205">
        <f>EOMONTH($B3302,0)</f>
        <v/>
      </c>
      <c r="D3302" s="201">
        <f>$C3302-$B3302+1</f>
        <v/>
      </c>
      <c r="E3302" s="201">
        <f>MONTH($B3302)</f>
        <v/>
      </c>
      <c r="F3302" s="235">
        <f>($B3302+$C3302+1)/2</f>
        <v/>
      </c>
      <c r="G3302" s="201">
        <f>YEAR($B3302)*12+MONTH($B3302)-1</f>
        <v/>
      </c>
      <c r="H3302" s="207">
        <f>IF(OR(nr_SeasonOn="OFF",$D$3262=0,$E$3262=0),1,12*INDEX(se_block,$D$3262,$E3302)/$E$3262)</f>
        <v/>
      </c>
      <c r="I3302" s="208">
        <f>EXP(SUMPRODUCT((rl_eff&lt;$B3302)*(rl_key=$A$3262)*rl_ln1p))</f>
        <v/>
      </c>
      <c r="J3302" s="208">
        <f>EXP(SUMPRODUCT((rl_eff&lt;=$C3302)*(rl_key=$A$3262)*rl_ln1p))</f>
        <v/>
      </c>
      <c r="K3302" s="201">
        <f>COUNTIFS(rl_key,$A$3262,rl_eff,"&gt;="&amp;$B3302,rl_eff,"&lt;="&amp;$C3302)</f>
        <v/>
      </c>
      <c r="L3302" s="201">
        <f>SUMIFS(rl_daysafter,rl_key,$A$3262,rl_effmonth,$B3302,rl_first,1)</f>
        <v/>
      </c>
      <c r="M3302" s="209">
        <f>IF($K3302=0,0,MIN(1,$L3302/$D3302))</f>
        <v/>
      </c>
      <c r="N3302" s="208">
        <f>IF($K3302=0,$J3302,(1-$M3302)*$I3302+$M3302*$J3302)</f>
        <v/>
      </c>
      <c r="O3302" s="209">
        <f>IF($F3302&lt;$B$3263,$E$3263+$I$3263*($F3302-$A$3263),IF($F3302&lt;$C$3263,$F$3263+$J$3263*($F3302-$B$3263),$G$3263+$K$3263*($F3302-$C$3263)))</f>
        <v/>
      </c>
      <c r="P3302" s="208">
        <f>MIN(1,MAX(0,(nr_MEndPm1-$G3302+0.5)/$C$3262))-MIN(1,MAX(0,(nr_MStartPm1-1-$G3302+0.5)/$C$3262))</f>
        <v/>
      </c>
      <c r="Q3302" s="208">
        <f>MIN(1,MAX(0,(nr_MEndP-$G3302+0.5)/$C$3262))-MIN(1,MAX(0,(nr_MStartP-1-$G3302+0.5)/$C$3262))</f>
        <v/>
      </c>
      <c r="R3302" s="208">
        <f>MIN(1,MAX(0,(nr_MEndP1-$G3302+0.5)/$C$3262))-MIN(1,MAX(0,(nr_MStartP1-1-$G3302+0.5)/$C$3262))</f>
        <v/>
      </c>
      <c r="S3302" s="208">
        <f>IF($L$3262,$N3302*IF($O$3262=1,$O3302/$F$3262,1),"")</f>
        <v/>
      </c>
      <c r="T3302" s="208">
        <f>IF(NOT($L$3262),"",IF($G3302&lt;nr_MStartP,$S3302,$T3290*(1+IF($G3302&lt;nr_MStartP1,$M$3262,$N$3262))))</f>
        <v/>
      </c>
      <c r="U3302" s="208">
        <f>IF($L$3262,$T3302,$N3302)</f>
        <v/>
      </c>
    </row>
    <row r="3303">
      <c r="A3303" s="145" t="n">
        <v>39</v>
      </c>
      <c r="B3303" s="204">
        <f>EDATE($B3302,1)</f>
        <v/>
      </c>
      <c r="C3303" s="205">
        <f>EOMONTH($B3303,0)</f>
        <v/>
      </c>
      <c r="D3303" s="201">
        <f>$C3303-$B3303+1</f>
        <v/>
      </c>
      <c r="E3303" s="201">
        <f>MONTH($B3303)</f>
        <v/>
      </c>
      <c r="F3303" s="235">
        <f>($B3303+$C3303+1)/2</f>
        <v/>
      </c>
      <c r="G3303" s="201">
        <f>YEAR($B3303)*12+MONTH($B3303)-1</f>
        <v/>
      </c>
      <c r="H3303" s="207">
        <f>IF(OR(nr_SeasonOn="OFF",$D$3262=0,$E$3262=0),1,12*INDEX(se_block,$D$3262,$E3303)/$E$3262)</f>
        <v/>
      </c>
      <c r="I3303" s="208">
        <f>EXP(SUMPRODUCT((rl_eff&lt;$B3303)*(rl_key=$A$3262)*rl_ln1p))</f>
        <v/>
      </c>
      <c r="J3303" s="208">
        <f>EXP(SUMPRODUCT((rl_eff&lt;=$C3303)*(rl_key=$A$3262)*rl_ln1p))</f>
        <v/>
      </c>
      <c r="K3303" s="201">
        <f>COUNTIFS(rl_key,$A$3262,rl_eff,"&gt;="&amp;$B3303,rl_eff,"&lt;="&amp;$C3303)</f>
        <v/>
      </c>
      <c r="L3303" s="201">
        <f>SUMIFS(rl_daysafter,rl_key,$A$3262,rl_effmonth,$B3303,rl_first,1)</f>
        <v/>
      </c>
      <c r="M3303" s="209">
        <f>IF($K3303=0,0,MIN(1,$L3303/$D3303))</f>
        <v/>
      </c>
      <c r="N3303" s="208">
        <f>IF($K3303=0,$J3303,(1-$M3303)*$I3303+$M3303*$J3303)</f>
        <v/>
      </c>
      <c r="O3303" s="209">
        <f>IF($F3303&lt;$B$3263,$E$3263+$I$3263*($F3303-$A$3263),IF($F3303&lt;$C$3263,$F$3263+$J$3263*($F3303-$B$3263),$G$3263+$K$3263*($F3303-$C$3263)))</f>
        <v/>
      </c>
      <c r="P3303" s="208">
        <f>MIN(1,MAX(0,(nr_MEndPm1-$G3303+0.5)/$C$3262))-MIN(1,MAX(0,(nr_MStartPm1-1-$G3303+0.5)/$C$3262))</f>
        <v/>
      </c>
      <c r="Q3303" s="208">
        <f>MIN(1,MAX(0,(nr_MEndP-$G3303+0.5)/$C$3262))-MIN(1,MAX(0,(nr_MStartP-1-$G3303+0.5)/$C$3262))</f>
        <v/>
      </c>
      <c r="R3303" s="208">
        <f>MIN(1,MAX(0,(nr_MEndP1-$G3303+0.5)/$C$3262))-MIN(1,MAX(0,(nr_MStartP1-1-$G3303+0.5)/$C$3262))</f>
        <v/>
      </c>
      <c r="S3303" s="208">
        <f>IF($L$3262,$N3303*IF($O$3262=1,$O3303/$F$3262,1),"")</f>
        <v/>
      </c>
      <c r="T3303" s="208">
        <f>IF(NOT($L$3262),"",IF($G3303&lt;nr_MStartP,$S3303,$T3291*(1+IF($G3303&lt;nr_MStartP1,$M$3262,$N$3262))))</f>
        <v/>
      </c>
      <c r="U3303" s="208">
        <f>IF($L$3262,$T3303,$N3303)</f>
        <v/>
      </c>
    </row>
    <row r="3304">
      <c r="A3304" s="145" t="n">
        <v>40</v>
      </c>
      <c r="B3304" s="204">
        <f>EDATE($B3303,1)</f>
        <v/>
      </c>
      <c r="C3304" s="205">
        <f>EOMONTH($B3304,0)</f>
        <v/>
      </c>
      <c r="D3304" s="201">
        <f>$C3304-$B3304+1</f>
        <v/>
      </c>
      <c r="E3304" s="201">
        <f>MONTH($B3304)</f>
        <v/>
      </c>
      <c r="F3304" s="235">
        <f>($B3304+$C3304+1)/2</f>
        <v/>
      </c>
      <c r="G3304" s="201">
        <f>YEAR($B3304)*12+MONTH($B3304)-1</f>
        <v/>
      </c>
      <c r="H3304" s="207">
        <f>IF(OR(nr_SeasonOn="OFF",$D$3262=0,$E$3262=0),1,12*INDEX(se_block,$D$3262,$E3304)/$E$3262)</f>
        <v/>
      </c>
      <c r="I3304" s="208">
        <f>EXP(SUMPRODUCT((rl_eff&lt;$B3304)*(rl_key=$A$3262)*rl_ln1p))</f>
        <v/>
      </c>
      <c r="J3304" s="208">
        <f>EXP(SUMPRODUCT((rl_eff&lt;=$C3304)*(rl_key=$A$3262)*rl_ln1p))</f>
        <v/>
      </c>
      <c r="K3304" s="201">
        <f>COUNTIFS(rl_key,$A$3262,rl_eff,"&gt;="&amp;$B3304,rl_eff,"&lt;="&amp;$C3304)</f>
        <v/>
      </c>
      <c r="L3304" s="201">
        <f>SUMIFS(rl_daysafter,rl_key,$A$3262,rl_effmonth,$B3304,rl_first,1)</f>
        <v/>
      </c>
      <c r="M3304" s="209">
        <f>IF($K3304=0,0,MIN(1,$L3304/$D3304))</f>
        <v/>
      </c>
      <c r="N3304" s="208">
        <f>IF($K3304=0,$J3304,(1-$M3304)*$I3304+$M3304*$J3304)</f>
        <v/>
      </c>
      <c r="O3304" s="209">
        <f>IF($F3304&lt;$B$3263,$E$3263+$I$3263*($F3304-$A$3263),IF($F3304&lt;$C$3263,$F$3263+$J$3263*($F3304-$B$3263),$G$3263+$K$3263*($F3304-$C$3263)))</f>
        <v/>
      </c>
      <c r="P3304" s="208">
        <f>MIN(1,MAX(0,(nr_MEndPm1-$G3304+0.5)/$C$3262))-MIN(1,MAX(0,(nr_MStartPm1-1-$G3304+0.5)/$C$3262))</f>
        <v/>
      </c>
      <c r="Q3304" s="208">
        <f>MIN(1,MAX(0,(nr_MEndP-$G3304+0.5)/$C$3262))-MIN(1,MAX(0,(nr_MStartP-1-$G3304+0.5)/$C$3262))</f>
        <v/>
      </c>
      <c r="R3304" s="208">
        <f>MIN(1,MAX(0,(nr_MEndP1-$G3304+0.5)/$C$3262))-MIN(1,MAX(0,(nr_MStartP1-1-$G3304+0.5)/$C$3262))</f>
        <v/>
      </c>
      <c r="S3304" s="208">
        <f>IF($L$3262,$N3304*IF($O$3262=1,$O3304/$F$3262,1),"")</f>
        <v/>
      </c>
      <c r="T3304" s="208">
        <f>IF(NOT($L$3262),"",IF($G3304&lt;nr_MStartP,$S3304,$T3292*(1+IF($G3304&lt;nr_MStartP1,$M$3262,$N$3262))))</f>
        <v/>
      </c>
      <c r="U3304" s="208">
        <f>IF($L$3262,$T3304,$N3304)</f>
        <v/>
      </c>
    </row>
    <row r="3305">
      <c r="A3305" s="145" t="n">
        <v>41</v>
      </c>
      <c r="B3305" s="204">
        <f>EDATE($B3304,1)</f>
        <v/>
      </c>
      <c r="C3305" s="205">
        <f>EOMONTH($B3305,0)</f>
        <v/>
      </c>
      <c r="D3305" s="201">
        <f>$C3305-$B3305+1</f>
        <v/>
      </c>
      <c r="E3305" s="201">
        <f>MONTH($B3305)</f>
        <v/>
      </c>
      <c r="F3305" s="235">
        <f>($B3305+$C3305+1)/2</f>
        <v/>
      </c>
      <c r="G3305" s="201">
        <f>YEAR($B3305)*12+MONTH($B3305)-1</f>
        <v/>
      </c>
      <c r="H3305" s="207">
        <f>IF(OR(nr_SeasonOn="OFF",$D$3262=0,$E$3262=0),1,12*INDEX(se_block,$D$3262,$E3305)/$E$3262)</f>
        <v/>
      </c>
      <c r="I3305" s="208">
        <f>EXP(SUMPRODUCT((rl_eff&lt;$B3305)*(rl_key=$A$3262)*rl_ln1p))</f>
        <v/>
      </c>
      <c r="J3305" s="208">
        <f>EXP(SUMPRODUCT((rl_eff&lt;=$C3305)*(rl_key=$A$3262)*rl_ln1p))</f>
        <v/>
      </c>
      <c r="K3305" s="201">
        <f>COUNTIFS(rl_key,$A$3262,rl_eff,"&gt;="&amp;$B3305,rl_eff,"&lt;="&amp;$C3305)</f>
        <v/>
      </c>
      <c r="L3305" s="201">
        <f>SUMIFS(rl_daysafter,rl_key,$A$3262,rl_effmonth,$B3305,rl_first,1)</f>
        <v/>
      </c>
      <c r="M3305" s="209">
        <f>IF($K3305=0,0,MIN(1,$L3305/$D3305))</f>
        <v/>
      </c>
      <c r="N3305" s="208">
        <f>IF($K3305=0,$J3305,(1-$M3305)*$I3305+$M3305*$J3305)</f>
        <v/>
      </c>
      <c r="O3305" s="209">
        <f>IF($F3305&lt;$B$3263,$E$3263+$I$3263*($F3305-$A$3263),IF($F3305&lt;$C$3263,$F$3263+$J$3263*($F3305-$B$3263),$G$3263+$K$3263*($F3305-$C$3263)))</f>
        <v/>
      </c>
      <c r="P3305" s="208">
        <f>MIN(1,MAX(0,(nr_MEndPm1-$G3305+0.5)/$C$3262))-MIN(1,MAX(0,(nr_MStartPm1-1-$G3305+0.5)/$C$3262))</f>
        <v/>
      </c>
      <c r="Q3305" s="208">
        <f>MIN(1,MAX(0,(nr_MEndP-$G3305+0.5)/$C$3262))-MIN(1,MAX(0,(nr_MStartP-1-$G3305+0.5)/$C$3262))</f>
        <v/>
      </c>
      <c r="R3305" s="208">
        <f>MIN(1,MAX(0,(nr_MEndP1-$G3305+0.5)/$C$3262))-MIN(1,MAX(0,(nr_MStartP1-1-$G3305+0.5)/$C$3262))</f>
        <v/>
      </c>
      <c r="S3305" s="208">
        <f>IF($L$3262,$N3305*IF($O$3262=1,$O3305/$F$3262,1),"")</f>
        <v/>
      </c>
      <c r="T3305" s="208">
        <f>IF(NOT($L$3262),"",IF($G3305&lt;nr_MStartP,$S3305,$T3293*(1+IF($G3305&lt;nr_MStartP1,$M$3262,$N$3262))))</f>
        <v/>
      </c>
      <c r="U3305" s="208">
        <f>IF($L$3262,$T3305,$N3305)</f>
        <v/>
      </c>
    </row>
    <row r="3306">
      <c r="A3306" s="145" t="n">
        <v>42</v>
      </c>
      <c r="B3306" s="204">
        <f>EDATE($B3305,1)</f>
        <v/>
      </c>
      <c r="C3306" s="205">
        <f>EOMONTH($B3306,0)</f>
        <v/>
      </c>
      <c r="D3306" s="201">
        <f>$C3306-$B3306+1</f>
        <v/>
      </c>
      <c r="E3306" s="201">
        <f>MONTH($B3306)</f>
        <v/>
      </c>
      <c r="F3306" s="235">
        <f>($B3306+$C3306+1)/2</f>
        <v/>
      </c>
      <c r="G3306" s="201">
        <f>YEAR($B3306)*12+MONTH($B3306)-1</f>
        <v/>
      </c>
      <c r="H3306" s="207">
        <f>IF(OR(nr_SeasonOn="OFF",$D$3262=0,$E$3262=0),1,12*INDEX(se_block,$D$3262,$E3306)/$E$3262)</f>
        <v/>
      </c>
      <c r="I3306" s="208">
        <f>EXP(SUMPRODUCT((rl_eff&lt;$B3306)*(rl_key=$A$3262)*rl_ln1p))</f>
        <v/>
      </c>
      <c r="J3306" s="208">
        <f>EXP(SUMPRODUCT((rl_eff&lt;=$C3306)*(rl_key=$A$3262)*rl_ln1p))</f>
        <v/>
      </c>
      <c r="K3306" s="201">
        <f>COUNTIFS(rl_key,$A$3262,rl_eff,"&gt;="&amp;$B3306,rl_eff,"&lt;="&amp;$C3306)</f>
        <v/>
      </c>
      <c r="L3306" s="201">
        <f>SUMIFS(rl_daysafter,rl_key,$A$3262,rl_effmonth,$B3306,rl_first,1)</f>
        <v/>
      </c>
      <c r="M3306" s="209">
        <f>IF($K3306=0,0,MIN(1,$L3306/$D3306))</f>
        <v/>
      </c>
      <c r="N3306" s="208">
        <f>IF($K3306=0,$J3306,(1-$M3306)*$I3306+$M3306*$J3306)</f>
        <v/>
      </c>
      <c r="O3306" s="209">
        <f>IF($F3306&lt;$B$3263,$E$3263+$I$3263*($F3306-$A$3263),IF($F3306&lt;$C$3263,$F$3263+$J$3263*($F3306-$B$3263),$G$3263+$K$3263*($F3306-$C$3263)))</f>
        <v/>
      </c>
      <c r="P3306" s="208">
        <f>MIN(1,MAX(0,(nr_MEndPm1-$G3306+0.5)/$C$3262))-MIN(1,MAX(0,(nr_MStartPm1-1-$G3306+0.5)/$C$3262))</f>
        <v/>
      </c>
      <c r="Q3306" s="208">
        <f>MIN(1,MAX(0,(nr_MEndP-$G3306+0.5)/$C$3262))-MIN(1,MAX(0,(nr_MStartP-1-$G3306+0.5)/$C$3262))</f>
        <v/>
      </c>
      <c r="R3306" s="208">
        <f>MIN(1,MAX(0,(nr_MEndP1-$G3306+0.5)/$C$3262))-MIN(1,MAX(0,(nr_MStartP1-1-$G3306+0.5)/$C$3262))</f>
        <v/>
      </c>
      <c r="S3306" s="208">
        <f>IF($L$3262,$N3306*IF($O$3262=1,$O3306/$F$3262,1),"")</f>
        <v/>
      </c>
      <c r="T3306" s="208">
        <f>IF(NOT($L$3262),"",IF($G3306&lt;nr_MStartP,$S3306,$T3294*(1+IF($G3306&lt;nr_MStartP1,$M$3262,$N$3262))))</f>
        <v/>
      </c>
      <c r="U3306" s="208">
        <f>IF($L$3262,$T3306,$N3306)</f>
        <v/>
      </c>
    </row>
    <row r="3307">
      <c r="A3307" s="145" t="n">
        <v>43</v>
      </c>
      <c r="B3307" s="204">
        <f>EDATE($B3306,1)</f>
        <v/>
      </c>
      <c r="C3307" s="205">
        <f>EOMONTH($B3307,0)</f>
        <v/>
      </c>
      <c r="D3307" s="201">
        <f>$C3307-$B3307+1</f>
        <v/>
      </c>
      <c r="E3307" s="201">
        <f>MONTH($B3307)</f>
        <v/>
      </c>
      <c r="F3307" s="235">
        <f>($B3307+$C3307+1)/2</f>
        <v/>
      </c>
      <c r="G3307" s="201">
        <f>YEAR($B3307)*12+MONTH($B3307)-1</f>
        <v/>
      </c>
      <c r="H3307" s="207">
        <f>IF(OR(nr_SeasonOn="OFF",$D$3262=0,$E$3262=0),1,12*INDEX(se_block,$D$3262,$E3307)/$E$3262)</f>
        <v/>
      </c>
      <c r="I3307" s="208">
        <f>EXP(SUMPRODUCT((rl_eff&lt;$B3307)*(rl_key=$A$3262)*rl_ln1p))</f>
        <v/>
      </c>
      <c r="J3307" s="208">
        <f>EXP(SUMPRODUCT((rl_eff&lt;=$C3307)*(rl_key=$A$3262)*rl_ln1p))</f>
        <v/>
      </c>
      <c r="K3307" s="201">
        <f>COUNTIFS(rl_key,$A$3262,rl_eff,"&gt;="&amp;$B3307,rl_eff,"&lt;="&amp;$C3307)</f>
        <v/>
      </c>
      <c r="L3307" s="201">
        <f>SUMIFS(rl_daysafter,rl_key,$A$3262,rl_effmonth,$B3307,rl_first,1)</f>
        <v/>
      </c>
      <c r="M3307" s="209">
        <f>IF($K3307=0,0,MIN(1,$L3307/$D3307))</f>
        <v/>
      </c>
      <c r="N3307" s="208">
        <f>IF($K3307=0,$J3307,(1-$M3307)*$I3307+$M3307*$J3307)</f>
        <v/>
      </c>
      <c r="O3307" s="209">
        <f>IF($F3307&lt;$B$3263,$E$3263+$I$3263*($F3307-$A$3263),IF($F3307&lt;$C$3263,$F$3263+$J$3263*($F3307-$B$3263),$G$3263+$K$3263*($F3307-$C$3263)))</f>
        <v/>
      </c>
      <c r="P3307" s="208">
        <f>MIN(1,MAX(0,(nr_MEndPm1-$G3307+0.5)/$C$3262))-MIN(1,MAX(0,(nr_MStartPm1-1-$G3307+0.5)/$C$3262))</f>
        <v/>
      </c>
      <c r="Q3307" s="208">
        <f>MIN(1,MAX(0,(nr_MEndP-$G3307+0.5)/$C$3262))-MIN(1,MAX(0,(nr_MStartP-1-$G3307+0.5)/$C$3262))</f>
        <v/>
      </c>
      <c r="R3307" s="208">
        <f>MIN(1,MAX(0,(nr_MEndP1-$G3307+0.5)/$C$3262))-MIN(1,MAX(0,(nr_MStartP1-1-$G3307+0.5)/$C$3262))</f>
        <v/>
      </c>
      <c r="S3307" s="208">
        <f>IF($L$3262,$N3307*IF($O$3262=1,$O3307/$F$3262,1),"")</f>
        <v/>
      </c>
      <c r="T3307" s="208">
        <f>IF(NOT($L$3262),"",IF($G3307&lt;nr_MStartP,$S3307,$T3295*(1+IF($G3307&lt;nr_MStartP1,$M$3262,$N$3262))))</f>
        <v/>
      </c>
      <c r="U3307" s="208">
        <f>IF($L$3262,$T3307,$N3307)</f>
        <v/>
      </c>
    </row>
    <row r="3308">
      <c r="A3308" s="145" t="n">
        <v>44</v>
      </c>
      <c r="B3308" s="204">
        <f>EDATE($B3307,1)</f>
        <v/>
      </c>
      <c r="C3308" s="205">
        <f>EOMONTH($B3308,0)</f>
        <v/>
      </c>
      <c r="D3308" s="201">
        <f>$C3308-$B3308+1</f>
        <v/>
      </c>
      <c r="E3308" s="201">
        <f>MONTH($B3308)</f>
        <v/>
      </c>
      <c r="F3308" s="235">
        <f>($B3308+$C3308+1)/2</f>
        <v/>
      </c>
      <c r="G3308" s="201">
        <f>YEAR($B3308)*12+MONTH($B3308)-1</f>
        <v/>
      </c>
      <c r="H3308" s="207">
        <f>IF(OR(nr_SeasonOn="OFF",$D$3262=0,$E$3262=0),1,12*INDEX(se_block,$D$3262,$E3308)/$E$3262)</f>
        <v/>
      </c>
      <c r="I3308" s="208">
        <f>EXP(SUMPRODUCT((rl_eff&lt;$B3308)*(rl_key=$A$3262)*rl_ln1p))</f>
        <v/>
      </c>
      <c r="J3308" s="208">
        <f>EXP(SUMPRODUCT((rl_eff&lt;=$C3308)*(rl_key=$A$3262)*rl_ln1p))</f>
        <v/>
      </c>
      <c r="K3308" s="201">
        <f>COUNTIFS(rl_key,$A$3262,rl_eff,"&gt;="&amp;$B3308,rl_eff,"&lt;="&amp;$C3308)</f>
        <v/>
      </c>
      <c r="L3308" s="201">
        <f>SUMIFS(rl_daysafter,rl_key,$A$3262,rl_effmonth,$B3308,rl_first,1)</f>
        <v/>
      </c>
      <c r="M3308" s="209">
        <f>IF($K3308=0,0,MIN(1,$L3308/$D3308))</f>
        <v/>
      </c>
      <c r="N3308" s="208">
        <f>IF($K3308=0,$J3308,(1-$M3308)*$I3308+$M3308*$J3308)</f>
        <v/>
      </c>
      <c r="O3308" s="209">
        <f>IF($F3308&lt;$B$3263,$E$3263+$I$3263*($F3308-$A$3263),IF($F3308&lt;$C$3263,$F$3263+$J$3263*($F3308-$B$3263),$G$3263+$K$3263*($F3308-$C$3263)))</f>
        <v/>
      </c>
      <c r="P3308" s="208">
        <f>MIN(1,MAX(0,(nr_MEndPm1-$G3308+0.5)/$C$3262))-MIN(1,MAX(0,(nr_MStartPm1-1-$G3308+0.5)/$C$3262))</f>
        <v/>
      </c>
      <c r="Q3308" s="208">
        <f>MIN(1,MAX(0,(nr_MEndP-$G3308+0.5)/$C$3262))-MIN(1,MAX(0,(nr_MStartP-1-$G3308+0.5)/$C$3262))</f>
        <v/>
      </c>
      <c r="R3308" s="208">
        <f>MIN(1,MAX(0,(nr_MEndP1-$G3308+0.5)/$C$3262))-MIN(1,MAX(0,(nr_MStartP1-1-$G3308+0.5)/$C$3262))</f>
        <v/>
      </c>
      <c r="S3308" s="208">
        <f>IF($L$3262,$N3308*IF($O$3262=1,$O3308/$F$3262,1),"")</f>
        <v/>
      </c>
      <c r="T3308" s="208">
        <f>IF(NOT($L$3262),"",IF($G3308&lt;nr_MStartP,$S3308,$T3296*(1+IF($G3308&lt;nr_MStartP1,$M$3262,$N$3262))))</f>
        <v/>
      </c>
      <c r="U3308" s="208">
        <f>IF($L$3262,$T3308,$N3308)</f>
        <v/>
      </c>
    </row>
    <row r="3309">
      <c r="A3309" s="145" t="n">
        <v>45</v>
      </c>
      <c r="B3309" s="204">
        <f>EDATE($B3308,1)</f>
        <v/>
      </c>
      <c r="C3309" s="205">
        <f>EOMONTH($B3309,0)</f>
        <v/>
      </c>
      <c r="D3309" s="201">
        <f>$C3309-$B3309+1</f>
        <v/>
      </c>
      <c r="E3309" s="201">
        <f>MONTH($B3309)</f>
        <v/>
      </c>
      <c r="F3309" s="235">
        <f>($B3309+$C3309+1)/2</f>
        <v/>
      </c>
      <c r="G3309" s="201">
        <f>YEAR($B3309)*12+MONTH($B3309)-1</f>
        <v/>
      </c>
      <c r="H3309" s="207">
        <f>IF(OR(nr_SeasonOn="OFF",$D$3262=0,$E$3262=0),1,12*INDEX(se_block,$D$3262,$E3309)/$E$3262)</f>
        <v/>
      </c>
      <c r="I3309" s="208">
        <f>EXP(SUMPRODUCT((rl_eff&lt;$B3309)*(rl_key=$A$3262)*rl_ln1p))</f>
        <v/>
      </c>
      <c r="J3309" s="208">
        <f>EXP(SUMPRODUCT((rl_eff&lt;=$C3309)*(rl_key=$A$3262)*rl_ln1p))</f>
        <v/>
      </c>
      <c r="K3309" s="201">
        <f>COUNTIFS(rl_key,$A$3262,rl_eff,"&gt;="&amp;$B3309,rl_eff,"&lt;="&amp;$C3309)</f>
        <v/>
      </c>
      <c r="L3309" s="201">
        <f>SUMIFS(rl_daysafter,rl_key,$A$3262,rl_effmonth,$B3309,rl_first,1)</f>
        <v/>
      </c>
      <c r="M3309" s="209">
        <f>IF($K3309=0,0,MIN(1,$L3309/$D3309))</f>
        <v/>
      </c>
      <c r="N3309" s="208">
        <f>IF($K3309=0,$J3309,(1-$M3309)*$I3309+$M3309*$J3309)</f>
        <v/>
      </c>
      <c r="O3309" s="209">
        <f>IF($F3309&lt;$B$3263,$E$3263+$I$3263*($F3309-$A$3263),IF($F3309&lt;$C$3263,$F$3263+$J$3263*($F3309-$B$3263),$G$3263+$K$3263*($F3309-$C$3263)))</f>
        <v/>
      </c>
      <c r="P3309" s="208">
        <f>MIN(1,MAX(0,(nr_MEndPm1-$G3309+0.5)/$C$3262))-MIN(1,MAX(0,(nr_MStartPm1-1-$G3309+0.5)/$C$3262))</f>
        <v/>
      </c>
      <c r="Q3309" s="208">
        <f>MIN(1,MAX(0,(nr_MEndP-$G3309+0.5)/$C$3262))-MIN(1,MAX(0,(nr_MStartP-1-$G3309+0.5)/$C$3262))</f>
        <v/>
      </c>
      <c r="R3309" s="208">
        <f>MIN(1,MAX(0,(nr_MEndP1-$G3309+0.5)/$C$3262))-MIN(1,MAX(0,(nr_MStartP1-1-$G3309+0.5)/$C$3262))</f>
        <v/>
      </c>
      <c r="S3309" s="208">
        <f>IF($L$3262,$N3309*IF($O$3262=1,$O3309/$F$3262,1),"")</f>
        <v/>
      </c>
      <c r="T3309" s="208">
        <f>IF(NOT($L$3262),"",IF($G3309&lt;nr_MStartP,$S3309,$T3297*(1+IF($G3309&lt;nr_MStartP1,$M$3262,$N$3262))))</f>
        <v/>
      </c>
      <c r="U3309" s="208">
        <f>IF($L$3262,$T3309,$N3309)</f>
        <v/>
      </c>
    </row>
    <row r="3310">
      <c r="A3310" s="145" t="n">
        <v>46</v>
      </c>
      <c r="B3310" s="204">
        <f>EDATE($B3309,1)</f>
        <v/>
      </c>
      <c r="C3310" s="205">
        <f>EOMONTH($B3310,0)</f>
        <v/>
      </c>
      <c r="D3310" s="201">
        <f>$C3310-$B3310+1</f>
        <v/>
      </c>
      <c r="E3310" s="201">
        <f>MONTH($B3310)</f>
        <v/>
      </c>
      <c r="F3310" s="235">
        <f>($B3310+$C3310+1)/2</f>
        <v/>
      </c>
      <c r="G3310" s="201">
        <f>YEAR($B3310)*12+MONTH($B3310)-1</f>
        <v/>
      </c>
      <c r="H3310" s="207">
        <f>IF(OR(nr_SeasonOn="OFF",$D$3262=0,$E$3262=0),1,12*INDEX(se_block,$D$3262,$E3310)/$E$3262)</f>
        <v/>
      </c>
      <c r="I3310" s="208">
        <f>EXP(SUMPRODUCT((rl_eff&lt;$B3310)*(rl_key=$A$3262)*rl_ln1p))</f>
        <v/>
      </c>
      <c r="J3310" s="208">
        <f>EXP(SUMPRODUCT((rl_eff&lt;=$C3310)*(rl_key=$A$3262)*rl_ln1p))</f>
        <v/>
      </c>
      <c r="K3310" s="201">
        <f>COUNTIFS(rl_key,$A$3262,rl_eff,"&gt;="&amp;$B3310,rl_eff,"&lt;="&amp;$C3310)</f>
        <v/>
      </c>
      <c r="L3310" s="201">
        <f>SUMIFS(rl_daysafter,rl_key,$A$3262,rl_effmonth,$B3310,rl_first,1)</f>
        <v/>
      </c>
      <c r="M3310" s="209">
        <f>IF($K3310=0,0,MIN(1,$L3310/$D3310))</f>
        <v/>
      </c>
      <c r="N3310" s="208">
        <f>IF($K3310=0,$J3310,(1-$M3310)*$I3310+$M3310*$J3310)</f>
        <v/>
      </c>
      <c r="O3310" s="209">
        <f>IF($F3310&lt;$B$3263,$E$3263+$I$3263*($F3310-$A$3263),IF($F3310&lt;$C$3263,$F$3263+$J$3263*($F3310-$B$3263),$G$3263+$K$3263*($F3310-$C$3263)))</f>
        <v/>
      </c>
      <c r="P3310" s="208">
        <f>MIN(1,MAX(0,(nr_MEndPm1-$G3310+0.5)/$C$3262))-MIN(1,MAX(0,(nr_MStartPm1-1-$G3310+0.5)/$C$3262))</f>
        <v/>
      </c>
      <c r="Q3310" s="208">
        <f>MIN(1,MAX(0,(nr_MEndP-$G3310+0.5)/$C$3262))-MIN(1,MAX(0,(nr_MStartP-1-$G3310+0.5)/$C$3262))</f>
        <v/>
      </c>
      <c r="R3310" s="208">
        <f>MIN(1,MAX(0,(nr_MEndP1-$G3310+0.5)/$C$3262))-MIN(1,MAX(0,(nr_MStartP1-1-$G3310+0.5)/$C$3262))</f>
        <v/>
      </c>
      <c r="S3310" s="208">
        <f>IF($L$3262,$N3310*IF($O$3262=1,$O3310/$F$3262,1),"")</f>
        <v/>
      </c>
      <c r="T3310" s="208">
        <f>IF(NOT($L$3262),"",IF($G3310&lt;nr_MStartP,$S3310,$T3298*(1+IF($G3310&lt;nr_MStartP1,$M$3262,$N$3262))))</f>
        <v/>
      </c>
      <c r="U3310" s="208">
        <f>IF($L$3262,$T3310,$N3310)</f>
        <v/>
      </c>
    </row>
    <row r="3311">
      <c r="A3311" s="145" t="n">
        <v>47</v>
      </c>
      <c r="B3311" s="204">
        <f>EDATE($B3310,1)</f>
        <v/>
      </c>
      <c r="C3311" s="205">
        <f>EOMONTH($B3311,0)</f>
        <v/>
      </c>
      <c r="D3311" s="201">
        <f>$C3311-$B3311+1</f>
        <v/>
      </c>
      <c r="E3311" s="201">
        <f>MONTH($B3311)</f>
        <v/>
      </c>
      <c r="F3311" s="235">
        <f>($B3311+$C3311+1)/2</f>
        <v/>
      </c>
      <c r="G3311" s="201">
        <f>YEAR($B3311)*12+MONTH($B3311)-1</f>
        <v/>
      </c>
      <c r="H3311" s="207">
        <f>IF(OR(nr_SeasonOn="OFF",$D$3262=0,$E$3262=0),1,12*INDEX(se_block,$D$3262,$E3311)/$E$3262)</f>
        <v/>
      </c>
      <c r="I3311" s="208">
        <f>EXP(SUMPRODUCT((rl_eff&lt;$B3311)*(rl_key=$A$3262)*rl_ln1p))</f>
        <v/>
      </c>
      <c r="J3311" s="208">
        <f>EXP(SUMPRODUCT((rl_eff&lt;=$C3311)*(rl_key=$A$3262)*rl_ln1p))</f>
        <v/>
      </c>
      <c r="K3311" s="201">
        <f>COUNTIFS(rl_key,$A$3262,rl_eff,"&gt;="&amp;$B3311,rl_eff,"&lt;="&amp;$C3311)</f>
        <v/>
      </c>
      <c r="L3311" s="201">
        <f>SUMIFS(rl_daysafter,rl_key,$A$3262,rl_effmonth,$B3311,rl_first,1)</f>
        <v/>
      </c>
      <c r="M3311" s="209">
        <f>IF($K3311=0,0,MIN(1,$L3311/$D3311))</f>
        <v/>
      </c>
      <c r="N3311" s="208">
        <f>IF($K3311=0,$J3311,(1-$M3311)*$I3311+$M3311*$J3311)</f>
        <v/>
      </c>
      <c r="O3311" s="209">
        <f>IF($F3311&lt;$B$3263,$E$3263+$I$3263*($F3311-$A$3263),IF($F3311&lt;$C$3263,$F$3263+$J$3263*($F3311-$B$3263),$G$3263+$K$3263*($F3311-$C$3263)))</f>
        <v/>
      </c>
      <c r="P3311" s="208">
        <f>MIN(1,MAX(0,(nr_MEndPm1-$G3311+0.5)/$C$3262))-MIN(1,MAX(0,(nr_MStartPm1-1-$G3311+0.5)/$C$3262))</f>
        <v/>
      </c>
      <c r="Q3311" s="208">
        <f>MIN(1,MAX(0,(nr_MEndP-$G3311+0.5)/$C$3262))-MIN(1,MAX(0,(nr_MStartP-1-$G3311+0.5)/$C$3262))</f>
        <v/>
      </c>
      <c r="R3311" s="208">
        <f>MIN(1,MAX(0,(nr_MEndP1-$G3311+0.5)/$C$3262))-MIN(1,MAX(0,(nr_MStartP1-1-$G3311+0.5)/$C$3262))</f>
        <v/>
      </c>
      <c r="S3311" s="208">
        <f>IF($L$3262,$N3311*IF($O$3262=1,$O3311/$F$3262,1),"")</f>
        <v/>
      </c>
      <c r="T3311" s="208">
        <f>IF(NOT($L$3262),"",IF($G3311&lt;nr_MStartP,$S3311,$T3299*(1+IF($G3311&lt;nr_MStartP1,$M$3262,$N$3262))))</f>
        <v/>
      </c>
      <c r="U3311" s="208">
        <f>IF($L$3262,$T3311,$N3311)</f>
        <v/>
      </c>
    </row>
    <row r="3312">
      <c r="A3312" s="145" t="n">
        <v>48</v>
      </c>
      <c r="B3312" s="204">
        <f>EDATE($B3311,1)</f>
        <v/>
      </c>
      <c r="C3312" s="205">
        <f>EOMONTH($B3312,0)</f>
        <v/>
      </c>
      <c r="D3312" s="201">
        <f>$C3312-$B3312+1</f>
        <v/>
      </c>
      <c r="E3312" s="201">
        <f>MONTH($B3312)</f>
        <v/>
      </c>
      <c r="F3312" s="235">
        <f>($B3312+$C3312+1)/2</f>
        <v/>
      </c>
      <c r="G3312" s="201">
        <f>YEAR($B3312)*12+MONTH($B3312)-1</f>
        <v/>
      </c>
      <c r="H3312" s="207">
        <f>IF(OR(nr_SeasonOn="OFF",$D$3262=0,$E$3262=0),1,12*INDEX(se_block,$D$3262,$E3312)/$E$3262)</f>
        <v/>
      </c>
      <c r="I3312" s="208">
        <f>EXP(SUMPRODUCT((rl_eff&lt;$B3312)*(rl_key=$A$3262)*rl_ln1p))</f>
        <v/>
      </c>
      <c r="J3312" s="208">
        <f>EXP(SUMPRODUCT((rl_eff&lt;=$C3312)*(rl_key=$A$3262)*rl_ln1p))</f>
        <v/>
      </c>
      <c r="K3312" s="201">
        <f>COUNTIFS(rl_key,$A$3262,rl_eff,"&gt;="&amp;$B3312,rl_eff,"&lt;="&amp;$C3312)</f>
        <v/>
      </c>
      <c r="L3312" s="201">
        <f>SUMIFS(rl_daysafter,rl_key,$A$3262,rl_effmonth,$B3312,rl_first,1)</f>
        <v/>
      </c>
      <c r="M3312" s="209">
        <f>IF($K3312=0,0,MIN(1,$L3312/$D3312))</f>
        <v/>
      </c>
      <c r="N3312" s="208">
        <f>IF($K3312=0,$J3312,(1-$M3312)*$I3312+$M3312*$J3312)</f>
        <v/>
      </c>
      <c r="O3312" s="209">
        <f>IF($F3312&lt;$B$3263,$E$3263+$I$3263*($F3312-$A$3263),IF($F3312&lt;$C$3263,$F$3263+$J$3263*($F3312-$B$3263),$G$3263+$K$3263*($F3312-$C$3263)))</f>
        <v/>
      </c>
      <c r="P3312" s="208">
        <f>MIN(1,MAX(0,(nr_MEndPm1-$G3312+0.5)/$C$3262))-MIN(1,MAX(0,(nr_MStartPm1-1-$G3312+0.5)/$C$3262))</f>
        <v/>
      </c>
      <c r="Q3312" s="208">
        <f>MIN(1,MAX(0,(nr_MEndP-$G3312+0.5)/$C$3262))-MIN(1,MAX(0,(nr_MStartP-1-$G3312+0.5)/$C$3262))</f>
        <v/>
      </c>
      <c r="R3312" s="208">
        <f>MIN(1,MAX(0,(nr_MEndP1-$G3312+0.5)/$C$3262))-MIN(1,MAX(0,(nr_MStartP1-1-$G3312+0.5)/$C$3262))</f>
        <v/>
      </c>
      <c r="S3312" s="208">
        <f>IF($L$3262,$N3312*IF($O$3262=1,$O3312/$F$3262,1),"")</f>
        <v/>
      </c>
      <c r="T3312" s="208">
        <f>IF(NOT($L$3262),"",IF($G3312&lt;nr_MStartP,$S3312,$T3300*(1+IF($G3312&lt;nr_MStartP1,$M$3262,$N$3262))))</f>
        <v/>
      </c>
      <c r="U3312" s="208">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184">
        <f>SUMPRODUCT($H$3265:$H$3312,$Q$3265:$Q$3312,$O$3265:$O$3312)/SUMPRODUCT($H$3265:$H$3312,$Q$3265:$Q$3312)</f>
        <v/>
      </c>
      <c r="G3313" s="184">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184">
        <f>IF(N(INDEX(lr_mind,61))=0,1,INDEX(lr_mind,61))</f>
        <v/>
      </c>
      <c r="G3316" s="184">
        <f>IF(N(INDEX(lr_m0,61))=0,1,INDEX(lr_m0,61))</f>
        <v/>
      </c>
      <c r="H3316" s="73">
        <f>IF(N(INDEX(lr_m0asof,61))=0,DATE(nr_PlanYear-1,10,1),INDEX(lr_m0asof,61))</f>
        <v/>
      </c>
      <c r="I3316" s="184">
        <f>IF(N(INDEX(lr_m1,61))=0,1,INDEX(lr_m1,61))</f>
        <v/>
      </c>
      <c r="J3316" s="184">
        <f>INDEX(lr_mprior,61)</f>
        <v/>
      </c>
      <c r="K3316" s="184">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145" t="n">
        <v>1</v>
      </c>
      <c r="B3319" s="204">
        <f>DATE(nr_PlanYear-2,1,1)</f>
        <v/>
      </c>
      <c r="C3319" s="205">
        <f>EOMONTH($B3319,0)</f>
        <v/>
      </c>
      <c r="D3319" s="201">
        <f>$C3319-$B3319+1</f>
        <v/>
      </c>
      <c r="E3319" s="201">
        <f>MONTH($B3319)</f>
        <v/>
      </c>
      <c r="F3319" s="235">
        <f>($B3319+$C3319+1)/2</f>
        <v/>
      </c>
      <c r="G3319" s="201">
        <f>YEAR($B3319)*12+MONTH($B3319)-1</f>
        <v/>
      </c>
      <c r="H3319" s="207">
        <f>IF(OR(nr_SeasonOn="OFF",$D$3316=0,$E$3316=0),1,12*INDEX(se_block,$D$3316,$E3319)/$E$3316)</f>
        <v/>
      </c>
      <c r="I3319" s="208">
        <f>EXP(SUMPRODUCT((rl_eff&lt;$B3319)*(rl_key=$A$3316)*rl_ln1p))</f>
        <v/>
      </c>
      <c r="J3319" s="208">
        <f>EXP(SUMPRODUCT((rl_eff&lt;=$C3319)*(rl_key=$A$3316)*rl_ln1p))</f>
        <v/>
      </c>
      <c r="K3319" s="201">
        <f>COUNTIFS(rl_key,$A$3316,rl_eff,"&gt;="&amp;$B3319,rl_eff,"&lt;="&amp;$C3319)</f>
        <v/>
      </c>
      <c r="L3319" s="201">
        <f>SUMIFS(rl_daysafter,rl_key,$A$3316,rl_effmonth,$B3319,rl_first,1)</f>
        <v/>
      </c>
      <c r="M3319" s="209">
        <f>IF($K3319=0,0,MIN(1,$L3319/$D3319))</f>
        <v/>
      </c>
      <c r="N3319" s="208">
        <f>IF($K3319=0,$J3319,(1-$M3319)*$I3319+$M3319*$J3319)</f>
        <v/>
      </c>
      <c r="O3319" s="209">
        <f>IF($F3319&lt;$B$3317,$E$3317+$I$3317*($F3319-$A$3317),IF($F3319&lt;$C$3317,$F$3317+$J$3317*($F3319-$B$3317),$G$3317+$K$3317*($F3319-$C$3317)))</f>
        <v/>
      </c>
      <c r="P3319" s="208">
        <f>MIN(1,MAX(0,(nr_MEndPm1-$G3319+0.5)/$C$3316))-MIN(1,MAX(0,(nr_MStartPm1-1-$G3319+0.5)/$C$3316))</f>
        <v/>
      </c>
      <c r="Q3319" s="208">
        <f>MIN(1,MAX(0,(nr_MEndP-$G3319+0.5)/$C$3316))-MIN(1,MAX(0,(nr_MStartP-1-$G3319+0.5)/$C$3316))</f>
        <v/>
      </c>
      <c r="R3319" s="208">
        <f>MIN(1,MAX(0,(nr_MEndP1-$G3319+0.5)/$C$3316))-MIN(1,MAX(0,(nr_MStartP1-1-$G3319+0.5)/$C$3316))</f>
        <v/>
      </c>
      <c r="S3319" s="208">
        <f>IF($L$3316,$N3319*IF($O$3316=1,$O3319/$F$3316,1),"")</f>
        <v/>
      </c>
      <c r="T3319" s="208">
        <f>IF(NOT($L$3316),"",IF($G3319&lt;nr_MStartP,$S3319,$T3307*(1+IF($G3319&lt;nr_MStartP1,$M$3316,$N$3316))))</f>
        <v/>
      </c>
      <c r="U3319" s="208">
        <f>IF($L$3316,$T3319,$N3319)</f>
        <v/>
      </c>
    </row>
    <row r="3320">
      <c r="A3320" s="145" t="n">
        <v>2</v>
      </c>
      <c r="B3320" s="204">
        <f>EDATE($B3319,1)</f>
        <v/>
      </c>
      <c r="C3320" s="205">
        <f>EOMONTH($B3320,0)</f>
        <v/>
      </c>
      <c r="D3320" s="201">
        <f>$C3320-$B3320+1</f>
        <v/>
      </c>
      <c r="E3320" s="201">
        <f>MONTH($B3320)</f>
        <v/>
      </c>
      <c r="F3320" s="235">
        <f>($B3320+$C3320+1)/2</f>
        <v/>
      </c>
      <c r="G3320" s="201">
        <f>YEAR($B3320)*12+MONTH($B3320)-1</f>
        <v/>
      </c>
      <c r="H3320" s="207">
        <f>IF(OR(nr_SeasonOn="OFF",$D$3316=0,$E$3316=0),1,12*INDEX(se_block,$D$3316,$E3320)/$E$3316)</f>
        <v/>
      </c>
      <c r="I3320" s="208">
        <f>EXP(SUMPRODUCT((rl_eff&lt;$B3320)*(rl_key=$A$3316)*rl_ln1p))</f>
        <v/>
      </c>
      <c r="J3320" s="208">
        <f>EXP(SUMPRODUCT((rl_eff&lt;=$C3320)*(rl_key=$A$3316)*rl_ln1p))</f>
        <v/>
      </c>
      <c r="K3320" s="201">
        <f>COUNTIFS(rl_key,$A$3316,rl_eff,"&gt;="&amp;$B3320,rl_eff,"&lt;="&amp;$C3320)</f>
        <v/>
      </c>
      <c r="L3320" s="201">
        <f>SUMIFS(rl_daysafter,rl_key,$A$3316,rl_effmonth,$B3320,rl_first,1)</f>
        <v/>
      </c>
      <c r="M3320" s="209">
        <f>IF($K3320=0,0,MIN(1,$L3320/$D3320))</f>
        <v/>
      </c>
      <c r="N3320" s="208">
        <f>IF($K3320=0,$J3320,(1-$M3320)*$I3320+$M3320*$J3320)</f>
        <v/>
      </c>
      <c r="O3320" s="209">
        <f>IF($F3320&lt;$B$3317,$E$3317+$I$3317*($F3320-$A$3317),IF($F3320&lt;$C$3317,$F$3317+$J$3317*($F3320-$B$3317),$G$3317+$K$3317*($F3320-$C$3317)))</f>
        <v/>
      </c>
      <c r="P3320" s="208">
        <f>MIN(1,MAX(0,(nr_MEndPm1-$G3320+0.5)/$C$3316))-MIN(1,MAX(0,(nr_MStartPm1-1-$G3320+0.5)/$C$3316))</f>
        <v/>
      </c>
      <c r="Q3320" s="208">
        <f>MIN(1,MAX(0,(nr_MEndP-$G3320+0.5)/$C$3316))-MIN(1,MAX(0,(nr_MStartP-1-$G3320+0.5)/$C$3316))</f>
        <v/>
      </c>
      <c r="R3320" s="208">
        <f>MIN(1,MAX(0,(nr_MEndP1-$G3320+0.5)/$C$3316))-MIN(1,MAX(0,(nr_MStartP1-1-$G3320+0.5)/$C$3316))</f>
        <v/>
      </c>
      <c r="S3320" s="208">
        <f>IF($L$3316,$N3320*IF($O$3316=1,$O3320/$F$3316,1),"")</f>
        <v/>
      </c>
      <c r="T3320" s="208">
        <f>IF(NOT($L$3316),"",IF($G3320&lt;nr_MStartP,$S3320,$T3308*(1+IF($G3320&lt;nr_MStartP1,$M$3316,$N$3316))))</f>
        <v/>
      </c>
      <c r="U3320" s="208">
        <f>IF($L$3316,$T3320,$N3320)</f>
        <v/>
      </c>
    </row>
    <row r="3321">
      <c r="A3321" s="145" t="n">
        <v>3</v>
      </c>
      <c r="B3321" s="204">
        <f>EDATE($B3320,1)</f>
        <v/>
      </c>
      <c r="C3321" s="205">
        <f>EOMONTH($B3321,0)</f>
        <v/>
      </c>
      <c r="D3321" s="201">
        <f>$C3321-$B3321+1</f>
        <v/>
      </c>
      <c r="E3321" s="201">
        <f>MONTH($B3321)</f>
        <v/>
      </c>
      <c r="F3321" s="235">
        <f>($B3321+$C3321+1)/2</f>
        <v/>
      </c>
      <c r="G3321" s="201">
        <f>YEAR($B3321)*12+MONTH($B3321)-1</f>
        <v/>
      </c>
      <c r="H3321" s="207">
        <f>IF(OR(nr_SeasonOn="OFF",$D$3316=0,$E$3316=0),1,12*INDEX(se_block,$D$3316,$E3321)/$E$3316)</f>
        <v/>
      </c>
      <c r="I3321" s="208">
        <f>EXP(SUMPRODUCT((rl_eff&lt;$B3321)*(rl_key=$A$3316)*rl_ln1p))</f>
        <v/>
      </c>
      <c r="J3321" s="208">
        <f>EXP(SUMPRODUCT((rl_eff&lt;=$C3321)*(rl_key=$A$3316)*rl_ln1p))</f>
        <v/>
      </c>
      <c r="K3321" s="201">
        <f>COUNTIFS(rl_key,$A$3316,rl_eff,"&gt;="&amp;$B3321,rl_eff,"&lt;="&amp;$C3321)</f>
        <v/>
      </c>
      <c r="L3321" s="201">
        <f>SUMIFS(rl_daysafter,rl_key,$A$3316,rl_effmonth,$B3321,rl_first,1)</f>
        <v/>
      </c>
      <c r="M3321" s="209">
        <f>IF($K3321=0,0,MIN(1,$L3321/$D3321))</f>
        <v/>
      </c>
      <c r="N3321" s="208">
        <f>IF($K3321=0,$J3321,(1-$M3321)*$I3321+$M3321*$J3321)</f>
        <v/>
      </c>
      <c r="O3321" s="209">
        <f>IF($F3321&lt;$B$3317,$E$3317+$I$3317*($F3321-$A$3317),IF($F3321&lt;$C$3317,$F$3317+$J$3317*($F3321-$B$3317),$G$3317+$K$3317*($F3321-$C$3317)))</f>
        <v/>
      </c>
      <c r="P3321" s="208">
        <f>MIN(1,MAX(0,(nr_MEndPm1-$G3321+0.5)/$C$3316))-MIN(1,MAX(0,(nr_MStartPm1-1-$G3321+0.5)/$C$3316))</f>
        <v/>
      </c>
      <c r="Q3321" s="208">
        <f>MIN(1,MAX(0,(nr_MEndP-$G3321+0.5)/$C$3316))-MIN(1,MAX(0,(nr_MStartP-1-$G3321+0.5)/$C$3316))</f>
        <v/>
      </c>
      <c r="R3321" s="208">
        <f>MIN(1,MAX(0,(nr_MEndP1-$G3321+0.5)/$C$3316))-MIN(1,MAX(0,(nr_MStartP1-1-$G3321+0.5)/$C$3316))</f>
        <v/>
      </c>
      <c r="S3321" s="208">
        <f>IF($L$3316,$N3321*IF($O$3316=1,$O3321/$F$3316,1),"")</f>
        <v/>
      </c>
      <c r="T3321" s="208">
        <f>IF(NOT($L$3316),"",IF($G3321&lt;nr_MStartP,$S3321,$T3309*(1+IF($G3321&lt;nr_MStartP1,$M$3316,$N$3316))))</f>
        <v/>
      </c>
      <c r="U3321" s="208">
        <f>IF($L$3316,$T3321,$N3321)</f>
        <v/>
      </c>
    </row>
    <row r="3322">
      <c r="A3322" s="145" t="n">
        <v>4</v>
      </c>
      <c r="B3322" s="204">
        <f>EDATE($B3321,1)</f>
        <v/>
      </c>
      <c r="C3322" s="205">
        <f>EOMONTH($B3322,0)</f>
        <v/>
      </c>
      <c r="D3322" s="201">
        <f>$C3322-$B3322+1</f>
        <v/>
      </c>
      <c r="E3322" s="201">
        <f>MONTH($B3322)</f>
        <v/>
      </c>
      <c r="F3322" s="235">
        <f>($B3322+$C3322+1)/2</f>
        <v/>
      </c>
      <c r="G3322" s="201">
        <f>YEAR($B3322)*12+MONTH($B3322)-1</f>
        <v/>
      </c>
      <c r="H3322" s="207">
        <f>IF(OR(nr_SeasonOn="OFF",$D$3316=0,$E$3316=0),1,12*INDEX(se_block,$D$3316,$E3322)/$E$3316)</f>
        <v/>
      </c>
      <c r="I3322" s="208">
        <f>EXP(SUMPRODUCT((rl_eff&lt;$B3322)*(rl_key=$A$3316)*rl_ln1p))</f>
        <v/>
      </c>
      <c r="J3322" s="208">
        <f>EXP(SUMPRODUCT((rl_eff&lt;=$C3322)*(rl_key=$A$3316)*rl_ln1p))</f>
        <v/>
      </c>
      <c r="K3322" s="201">
        <f>COUNTIFS(rl_key,$A$3316,rl_eff,"&gt;="&amp;$B3322,rl_eff,"&lt;="&amp;$C3322)</f>
        <v/>
      </c>
      <c r="L3322" s="201">
        <f>SUMIFS(rl_daysafter,rl_key,$A$3316,rl_effmonth,$B3322,rl_first,1)</f>
        <v/>
      </c>
      <c r="M3322" s="209">
        <f>IF($K3322=0,0,MIN(1,$L3322/$D3322))</f>
        <v/>
      </c>
      <c r="N3322" s="208">
        <f>IF($K3322=0,$J3322,(1-$M3322)*$I3322+$M3322*$J3322)</f>
        <v/>
      </c>
      <c r="O3322" s="209">
        <f>IF($F3322&lt;$B$3317,$E$3317+$I$3317*($F3322-$A$3317),IF($F3322&lt;$C$3317,$F$3317+$J$3317*($F3322-$B$3317),$G$3317+$K$3317*($F3322-$C$3317)))</f>
        <v/>
      </c>
      <c r="P3322" s="208">
        <f>MIN(1,MAX(0,(nr_MEndPm1-$G3322+0.5)/$C$3316))-MIN(1,MAX(0,(nr_MStartPm1-1-$G3322+0.5)/$C$3316))</f>
        <v/>
      </c>
      <c r="Q3322" s="208">
        <f>MIN(1,MAX(0,(nr_MEndP-$G3322+0.5)/$C$3316))-MIN(1,MAX(0,(nr_MStartP-1-$G3322+0.5)/$C$3316))</f>
        <v/>
      </c>
      <c r="R3322" s="208">
        <f>MIN(1,MAX(0,(nr_MEndP1-$G3322+0.5)/$C$3316))-MIN(1,MAX(0,(nr_MStartP1-1-$G3322+0.5)/$C$3316))</f>
        <v/>
      </c>
      <c r="S3322" s="208">
        <f>IF($L$3316,$N3322*IF($O$3316=1,$O3322/$F$3316,1),"")</f>
        <v/>
      </c>
      <c r="T3322" s="208">
        <f>IF(NOT($L$3316),"",IF($G3322&lt;nr_MStartP,$S3322,$T3310*(1+IF($G3322&lt;nr_MStartP1,$M$3316,$N$3316))))</f>
        <v/>
      </c>
      <c r="U3322" s="208">
        <f>IF($L$3316,$T3322,$N3322)</f>
        <v/>
      </c>
    </row>
    <row r="3323">
      <c r="A3323" s="145" t="n">
        <v>5</v>
      </c>
      <c r="B3323" s="204">
        <f>EDATE($B3322,1)</f>
        <v/>
      </c>
      <c r="C3323" s="205">
        <f>EOMONTH($B3323,0)</f>
        <v/>
      </c>
      <c r="D3323" s="201">
        <f>$C3323-$B3323+1</f>
        <v/>
      </c>
      <c r="E3323" s="201">
        <f>MONTH($B3323)</f>
        <v/>
      </c>
      <c r="F3323" s="235">
        <f>($B3323+$C3323+1)/2</f>
        <v/>
      </c>
      <c r="G3323" s="201">
        <f>YEAR($B3323)*12+MONTH($B3323)-1</f>
        <v/>
      </c>
      <c r="H3323" s="207">
        <f>IF(OR(nr_SeasonOn="OFF",$D$3316=0,$E$3316=0),1,12*INDEX(se_block,$D$3316,$E3323)/$E$3316)</f>
        <v/>
      </c>
      <c r="I3323" s="208">
        <f>EXP(SUMPRODUCT((rl_eff&lt;$B3323)*(rl_key=$A$3316)*rl_ln1p))</f>
        <v/>
      </c>
      <c r="J3323" s="208">
        <f>EXP(SUMPRODUCT((rl_eff&lt;=$C3323)*(rl_key=$A$3316)*rl_ln1p))</f>
        <v/>
      </c>
      <c r="K3323" s="201">
        <f>COUNTIFS(rl_key,$A$3316,rl_eff,"&gt;="&amp;$B3323,rl_eff,"&lt;="&amp;$C3323)</f>
        <v/>
      </c>
      <c r="L3323" s="201">
        <f>SUMIFS(rl_daysafter,rl_key,$A$3316,rl_effmonth,$B3323,rl_first,1)</f>
        <v/>
      </c>
      <c r="M3323" s="209">
        <f>IF($K3323=0,0,MIN(1,$L3323/$D3323))</f>
        <v/>
      </c>
      <c r="N3323" s="208">
        <f>IF($K3323=0,$J3323,(1-$M3323)*$I3323+$M3323*$J3323)</f>
        <v/>
      </c>
      <c r="O3323" s="209">
        <f>IF($F3323&lt;$B$3317,$E$3317+$I$3317*($F3323-$A$3317),IF($F3323&lt;$C$3317,$F$3317+$J$3317*($F3323-$B$3317),$G$3317+$K$3317*($F3323-$C$3317)))</f>
        <v/>
      </c>
      <c r="P3323" s="208">
        <f>MIN(1,MAX(0,(nr_MEndPm1-$G3323+0.5)/$C$3316))-MIN(1,MAX(0,(nr_MStartPm1-1-$G3323+0.5)/$C$3316))</f>
        <v/>
      </c>
      <c r="Q3323" s="208">
        <f>MIN(1,MAX(0,(nr_MEndP-$G3323+0.5)/$C$3316))-MIN(1,MAX(0,(nr_MStartP-1-$G3323+0.5)/$C$3316))</f>
        <v/>
      </c>
      <c r="R3323" s="208">
        <f>MIN(1,MAX(0,(nr_MEndP1-$G3323+0.5)/$C$3316))-MIN(1,MAX(0,(nr_MStartP1-1-$G3323+0.5)/$C$3316))</f>
        <v/>
      </c>
      <c r="S3323" s="208">
        <f>IF($L$3316,$N3323*IF($O$3316=1,$O3323/$F$3316,1),"")</f>
        <v/>
      </c>
      <c r="T3323" s="208">
        <f>IF(NOT($L$3316),"",IF($G3323&lt;nr_MStartP,$S3323,$T3311*(1+IF($G3323&lt;nr_MStartP1,$M$3316,$N$3316))))</f>
        <v/>
      </c>
      <c r="U3323" s="208">
        <f>IF($L$3316,$T3323,$N3323)</f>
        <v/>
      </c>
    </row>
    <row r="3324">
      <c r="A3324" s="145" t="n">
        <v>6</v>
      </c>
      <c r="B3324" s="204">
        <f>EDATE($B3323,1)</f>
        <v/>
      </c>
      <c r="C3324" s="205">
        <f>EOMONTH($B3324,0)</f>
        <v/>
      </c>
      <c r="D3324" s="201">
        <f>$C3324-$B3324+1</f>
        <v/>
      </c>
      <c r="E3324" s="201">
        <f>MONTH($B3324)</f>
        <v/>
      </c>
      <c r="F3324" s="235">
        <f>($B3324+$C3324+1)/2</f>
        <v/>
      </c>
      <c r="G3324" s="201">
        <f>YEAR($B3324)*12+MONTH($B3324)-1</f>
        <v/>
      </c>
      <c r="H3324" s="207">
        <f>IF(OR(nr_SeasonOn="OFF",$D$3316=0,$E$3316=0),1,12*INDEX(se_block,$D$3316,$E3324)/$E$3316)</f>
        <v/>
      </c>
      <c r="I3324" s="208">
        <f>EXP(SUMPRODUCT((rl_eff&lt;$B3324)*(rl_key=$A$3316)*rl_ln1p))</f>
        <v/>
      </c>
      <c r="J3324" s="208">
        <f>EXP(SUMPRODUCT((rl_eff&lt;=$C3324)*(rl_key=$A$3316)*rl_ln1p))</f>
        <v/>
      </c>
      <c r="K3324" s="201">
        <f>COUNTIFS(rl_key,$A$3316,rl_eff,"&gt;="&amp;$B3324,rl_eff,"&lt;="&amp;$C3324)</f>
        <v/>
      </c>
      <c r="L3324" s="201">
        <f>SUMIFS(rl_daysafter,rl_key,$A$3316,rl_effmonth,$B3324,rl_first,1)</f>
        <v/>
      </c>
      <c r="M3324" s="209">
        <f>IF($K3324=0,0,MIN(1,$L3324/$D3324))</f>
        <v/>
      </c>
      <c r="N3324" s="208">
        <f>IF($K3324=0,$J3324,(1-$M3324)*$I3324+$M3324*$J3324)</f>
        <v/>
      </c>
      <c r="O3324" s="209">
        <f>IF($F3324&lt;$B$3317,$E$3317+$I$3317*($F3324-$A$3317),IF($F3324&lt;$C$3317,$F$3317+$J$3317*($F3324-$B$3317),$G$3317+$K$3317*($F3324-$C$3317)))</f>
        <v/>
      </c>
      <c r="P3324" s="208">
        <f>MIN(1,MAX(0,(nr_MEndPm1-$G3324+0.5)/$C$3316))-MIN(1,MAX(0,(nr_MStartPm1-1-$G3324+0.5)/$C$3316))</f>
        <v/>
      </c>
      <c r="Q3324" s="208">
        <f>MIN(1,MAX(0,(nr_MEndP-$G3324+0.5)/$C$3316))-MIN(1,MAX(0,(nr_MStartP-1-$G3324+0.5)/$C$3316))</f>
        <v/>
      </c>
      <c r="R3324" s="208">
        <f>MIN(1,MAX(0,(nr_MEndP1-$G3324+0.5)/$C$3316))-MIN(1,MAX(0,(nr_MStartP1-1-$G3324+0.5)/$C$3316))</f>
        <v/>
      </c>
      <c r="S3324" s="208">
        <f>IF($L$3316,$N3324*IF($O$3316=1,$O3324/$F$3316,1),"")</f>
        <v/>
      </c>
      <c r="T3324" s="208">
        <f>IF(NOT($L$3316),"",IF($G3324&lt;nr_MStartP,$S3324,$T3312*(1+IF($G3324&lt;nr_MStartP1,$M$3316,$N$3316))))</f>
        <v/>
      </c>
      <c r="U3324" s="208">
        <f>IF($L$3316,$T3324,$N3324)</f>
        <v/>
      </c>
    </row>
    <row r="3325">
      <c r="A3325" s="145" t="n">
        <v>7</v>
      </c>
      <c r="B3325" s="204">
        <f>EDATE($B3324,1)</f>
        <v/>
      </c>
      <c r="C3325" s="205">
        <f>EOMONTH($B3325,0)</f>
        <v/>
      </c>
      <c r="D3325" s="201">
        <f>$C3325-$B3325+1</f>
        <v/>
      </c>
      <c r="E3325" s="201">
        <f>MONTH($B3325)</f>
        <v/>
      </c>
      <c r="F3325" s="235">
        <f>($B3325+$C3325+1)/2</f>
        <v/>
      </c>
      <c r="G3325" s="201">
        <f>YEAR($B3325)*12+MONTH($B3325)-1</f>
        <v/>
      </c>
      <c r="H3325" s="207">
        <f>IF(OR(nr_SeasonOn="OFF",$D$3316=0,$E$3316=0),1,12*INDEX(se_block,$D$3316,$E3325)/$E$3316)</f>
        <v/>
      </c>
      <c r="I3325" s="208">
        <f>EXP(SUMPRODUCT((rl_eff&lt;$B3325)*(rl_key=$A$3316)*rl_ln1p))</f>
        <v/>
      </c>
      <c r="J3325" s="208">
        <f>EXP(SUMPRODUCT((rl_eff&lt;=$C3325)*(rl_key=$A$3316)*rl_ln1p))</f>
        <v/>
      </c>
      <c r="K3325" s="201">
        <f>COUNTIFS(rl_key,$A$3316,rl_eff,"&gt;="&amp;$B3325,rl_eff,"&lt;="&amp;$C3325)</f>
        <v/>
      </c>
      <c r="L3325" s="201">
        <f>SUMIFS(rl_daysafter,rl_key,$A$3316,rl_effmonth,$B3325,rl_first,1)</f>
        <v/>
      </c>
      <c r="M3325" s="209">
        <f>IF($K3325=0,0,MIN(1,$L3325/$D3325))</f>
        <v/>
      </c>
      <c r="N3325" s="208">
        <f>IF($K3325=0,$J3325,(1-$M3325)*$I3325+$M3325*$J3325)</f>
        <v/>
      </c>
      <c r="O3325" s="209">
        <f>IF($F3325&lt;$B$3317,$E$3317+$I$3317*($F3325-$A$3317),IF($F3325&lt;$C$3317,$F$3317+$J$3317*($F3325-$B$3317),$G$3317+$K$3317*($F3325-$C$3317)))</f>
        <v/>
      </c>
      <c r="P3325" s="208">
        <f>MIN(1,MAX(0,(nr_MEndPm1-$G3325+0.5)/$C$3316))-MIN(1,MAX(0,(nr_MStartPm1-1-$G3325+0.5)/$C$3316))</f>
        <v/>
      </c>
      <c r="Q3325" s="208">
        <f>MIN(1,MAX(0,(nr_MEndP-$G3325+0.5)/$C$3316))-MIN(1,MAX(0,(nr_MStartP-1-$G3325+0.5)/$C$3316))</f>
        <v/>
      </c>
      <c r="R3325" s="208">
        <f>MIN(1,MAX(0,(nr_MEndP1-$G3325+0.5)/$C$3316))-MIN(1,MAX(0,(nr_MStartP1-1-$G3325+0.5)/$C$3316))</f>
        <v/>
      </c>
      <c r="S3325" s="208">
        <f>IF($L$3316,$N3325*IF($O$3316=1,$O3325/$F$3316,1),"")</f>
        <v/>
      </c>
      <c r="T3325" s="208">
        <f>IF(NOT($L$3316),"",IF($G3325&lt;nr_MStartP,$S3325,$T3313*(1+IF($G3325&lt;nr_MStartP1,$M$3316,$N$3316))))</f>
        <v/>
      </c>
      <c r="U3325" s="208">
        <f>IF($L$3316,$T3325,$N3325)</f>
        <v/>
      </c>
    </row>
    <row r="3326">
      <c r="A3326" s="145" t="n">
        <v>8</v>
      </c>
      <c r="B3326" s="204">
        <f>EDATE($B3325,1)</f>
        <v/>
      </c>
      <c r="C3326" s="205">
        <f>EOMONTH($B3326,0)</f>
        <v/>
      </c>
      <c r="D3326" s="201">
        <f>$C3326-$B3326+1</f>
        <v/>
      </c>
      <c r="E3326" s="201">
        <f>MONTH($B3326)</f>
        <v/>
      </c>
      <c r="F3326" s="235">
        <f>($B3326+$C3326+1)/2</f>
        <v/>
      </c>
      <c r="G3326" s="201">
        <f>YEAR($B3326)*12+MONTH($B3326)-1</f>
        <v/>
      </c>
      <c r="H3326" s="207">
        <f>IF(OR(nr_SeasonOn="OFF",$D$3316=0,$E$3316=0),1,12*INDEX(se_block,$D$3316,$E3326)/$E$3316)</f>
        <v/>
      </c>
      <c r="I3326" s="208">
        <f>EXP(SUMPRODUCT((rl_eff&lt;$B3326)*(rl_key=$A$3316)*rl_ln1p))</f>
        <v/>
      </c>
      <c r="J3326" s="208">
        <f>EXP(SUMPRODUCT((rl_eff&lt;=$C3326)*(rl_key=$A$3316)*rl_ln1p))</f>
        <v/>
      </c>
      <c r="K3326" s="201">
        <f>COUNTIFS(rl_key,$A$3316,rl_eff,"&gt;="&amp;$B3326,rl_eff,"&lt;="&amp;$C3326)</f>
        <v/>
      </c>
      <c r="L3326" s="201">
        <f>SUMIFS(rl_daysafter,rl_key,$A$3316,rl_effmonth,$B3326,rl_first,1)</f>
        <v/>
      </c>
      <c r="M3326" s="209">
        <f>IF($K3326=0,0,MIN(1,$L3326/$D3326))</f>
        <v/>
      </c>
      <c r="N3326" s="208">
        <f>IF($K3326=0,$J3326,(1-$M3326)*$I3326+$M3326*$J3326)</f>
        <v/>
      </c>
      <c r="O3326" s="209">
        <f>IF($F3326&lt;$B$3317,$E$3317+$I$3317*($F3326-$A$3317),IF($F3326&lt;$C$3317,$F$3317+$J$3317*($F3326-$B$3317),$G$3317+$K$3317*($F3326-$C$3317)))</f>
        <v/>
      </c>
      <c r="P3326" s="208">
        <f>MIN(1,MAX(0,(nr_MEndPm1-$G3326+0.5)/$C$3316))-MIN(1,MAX(0,(nr_MStartPm1-1-$G3326+0.5)/$C$3316))</f>
        <v/>
      </c>
      <c r="Q3326" s="208">
        <f>MIN(1,MAX(0,(nr_MEndP-$G3326+0.5)/$C$3316))-MIN(1,MAX(0,(nr_MStartP-1-$G3326+0.5)/$C$3316))</f>
        <v/>
      </c>
      <c r="R3326" s="208">
        <f>MIN(1,MAX(0,(nr_MEndP1-$G3326+0.5)/$C$3316))-MIN(1,MAX(0,(nr_MStartP1-1-$G3326+0.5)/$C$3316))</f>
        <v/>
      </c>
      <c r="S3326" s="208">
        <f>IF($L$3316,$N3326*IF($O$3316=1,$O3326/$F$3316,1),"")</f>
        <v/>
      </c>
      <c r="T3326" s="208">
        <f>IF(NOT($L$3316),"",IF($G3326&lt;nr_MStartP,$S3326,$T3314*(1+IF($G3326&lt;nr_MStartP1,$M$3316,$N$3316))))</f>
        <v/>
      </c>
      <c r="U3326" s="208">
        <f>IF($L$3316,$T3326,$N3326)</f>
        <v/>
      </c>
    </row>
    <row r="3327">
      <c r="A3327" s="145" t="n">
        <v>9</v>
      </c>
      <c r="B3327" s="204">
        <f>EDATE($B3326,1)</f>
        <v/>
      </c>
      <c r="C3327" s="205">
        <f>EOMONTH($B3327,0)</f>
        <v/>
      </c>
      <c r="D3327" s="201">
        <f>$C3327-$B3327+1</f>
        <v/>
      </c>
      <c r="E3327" s="201">
        <f>MONTH($B3327)</f>
        <v/>
      </c>
      <c r="F3327" s="235">
        <f>($B3327+$C3327+1)/2</f>
        <v/>
      </c>
      <c r="G3327" s="201">
        <f>YEAR($B3327)*12+MONTH($B3327)-1</f>
        <v/>
      </c>
      <c r="H3327" s="207">
        <f>IF(OR(nr_SeasonOn="OFF",$D$3316=0,$E$3316=0),1,12*INDEX(se_block,$D$3316,$E3327)/$E$3316)</f>
        <v/>
      </c>
      <c r="I3327" s="208">
        <f>EXP(SUMPRODUCT((rl_eff&lt;$B3327)*(rl_key=$A$3316)*rl_ln1p))</f>
        <v/>
      </c>
      <c r="J3327" s="208">
        <f>EXP(SUMPRODUCT((rl_eff&lt;=$C3327)*(rl_key=$A$3316)*rl_ln1p))</f>
        <v/>
      </c>
      <c r="K3327" s="201">
        <f>COUNTIFS(rl_key,$A$3316,rl_eff,"&gt;="&amp;$B3327,rl_eff,"&lt;="&amp;$C3327)</f>
        <v/>
      </c>
      <c r="L3327" s="201">
        <f>SUMIFS(rl_daysafter,rl_key,$A$3316,rl_effmonth,$B3327,rl_first,1)</f>
        <v/>
      </c>
      <c r="M3327" s="209">
        <f>IF($K3327=0,0,MIN(1,$L3327/$D3327))</f>
        <v/>
      </c>
      <c r="N3327" s="208">
        <f>IF($K3327=0,$J3327,(1-$M3327)*$I3327+$M3327*$J3327)</f>
        <v/>
      </c>
      <c r="O3327" s="209">
        <f>IF($F3327&lt;$B$3317,$E$3317+$I$3317*($F3327-$A$3317),IF($F3327&lt;$C$3317,$F$3317+$J$3317*($F3327-$B$3317),$G$3317+$K$3317*($F3327-$C$3317)))</f>
        <v/>
      </c>
      <c r="P3327" s="208">
        <f>MIN(1,MAX(0,(nr_MEndPm1-$G3327+0.5)/$C$3316))-MIN(1,MAX(0,(nr_MStartPm1-1-$G3327+0.5)/$C$3316))</f>
        <v/>
      </c>
      <c r="Q3327" s="208">
        <f>MIN(1,MAX(0,(nr_MEndP-$G3327+0.5)/$C$3316))-MIN(1,MAX(0,(nr_MStartP-1-$G3327+0.5)/$C$3316))</f>
        <v/>
      </c>
      <c r="R3327" s="208">
        <f>MIN(1,MAX(0,(nr_MEndP1-$G3327+0.5)/$C$3316))-MIN(1,MAX(0,(nr_MStartP1-1-$G3327+0.5)/$C$3316))</f>
        <v/>
      </c>
      <c r="S3327" s="208">
        <f>IF($L$3316,$N3327*IF($O$3316=1,$O3327/$F$3316,1),"")</f>
        <v/>
      </c>
      <c r="T3327" s="208">
        <f>IF(NOT($L$3316),"",IF($G3327&lt;nr_MStartP,$S3327,$T3315*(1+IF($G3327&lt;nr_MStartP1,$M$3316,$N$3316))))</f>
        <v/>
      </c>
      <c r="U3327" s="208">
        <f>IF($L$3316,$T3327,$N3327)</f>
        <v/>
      </c>
    </row>
    <row r="3328">
      <c r="A3328" s="145" t="n">
        <v>10</v>
      </c>
      <c r="B3328" s="204">
        <f>EDATE($B3327,1)</f>
        <v/>
      </c>
      <c r="C3328" s="205">
        <f>EOMONTH($B3328,0)</f>
        <v/>
      </c>
      <c r="D3328" s="201">
        <f>$C3328-$B3328+1</f>
        <v/>
      </c>
      <c r="E3328" s="201">
        <f>MONTH($B3328)</f>
        <v/>
      </c>
      <c r="F3328" s="235">
        <f>($B3328+$C3328+1)/2</f>
        <v/>
      </c>
      <c r="G3328" s="201">
        <f>YEAR($B3328)*12+MONTH($B3328)-1</f>
        <v/>
      </c>
      <c r="H3328" s="207">
        <f>IF(OR(nr_SeasonOn="OFF",$D$3316=0,$E$3316=0),1,12*INDEX(se_block,$D$3316,$E3328)/$E$3316)</f>
        <v/>
      </c>
      <c r="I3328" s="208">
        <f>EXP(SUMPRODUCT((rl_eff&lt;$B3328)*(rl_key=$A$3316)*rl_ln1p))</f>
        <v/>
      </c>
      <c r="J3328" s="208">
        <f>EXP(SUMPRODUCT((rl_eff&lt;=$C3328)*(rl_key=$A$3316)*rl_ln1p))</f>
        <v/>
      </c>
      <c r="K3328" s="201">
        <f>COUNTIFS(rl_key,$A$3316,rl_eff,"&gt;="&amp;$B3328,rl_eff,"&lt;="&amp;$C3328)</f>
        <v/>
      </c>
      <c r="L3328" s="201">
        <f>SUMIFS(rl_daysafter,rl_key,$A$3316,rl_effmonth,$B3328,rl_first,1)</f>
        <v/>
      </c>
      <c r="M3328" s="209">
        <f>IF($K3328=0,0,MIN(1,$L3328/$D3328))</f>
        <v/>
      </c>
      <c r="N3328" s="208">
        <f>IF($K3328=0,$J3328,(1-$M3328)*$I3328+$M3328*$J3328)</f>
        <v/>
      </c>
      <c r="O3328" s="209">
        <f>IF($F3328&lt;$B$3317,$E$3317+$I$3317*($F3328-$A$3317),IF($F3328&lt;$C$3317,$F$3317+$J$3317*($F3328-$B$3317),$G$3317+$K$3317*($F3328-$C$3317)))</f>
        <v/>
      </c>
      <c r="P3328" s="208">
        <f>MIN(1,MAX(0,(nr_MEndPm1-$G3328+0.5)/$C$3316))-MIN(1,MAX(0,(nr_MStartPm1-1-$G3328+0.5)/$C$3316))</f>
        <v/>
      </c>
      <c r="Q3328" s="208">
        <f>MIN(1,MAX(0,(nr_MEndP-$G3328+0.5)/$C$3316))-MIN(1,MAX(0,(nr_MStartP-1-$G3328+0.5)/$C$3316))</f>
        <v/>
      </c>
      <c r="R3328" s="208">
        <f>MIN(1,MAX(0,(nr_MEndP1-$G3328+0.5)/$C$3316))-MIN(1,MAX(0,(nr_MStartP1-1-$G3328+0.5)/$C$3316))</f>
        <v/>
      </c>
      <c r="S3328" s="208">
        <f>IF($L$3316,$N3328*IF($O$3316=1,$O3328/$F$3316,1),"")</f>
        <v/>
      </c>
      <c r="T3328" s="208">
        <f>IF(NOT($L$3316),"",IF($G3328&lt;nr_MStartP,$S3328,$T3316*(1+IF($G3328&lt;nr_MStartP1,$M$3316,$N$3316))))</f>
        <v/>
      </c>
      <c r="U3328" s="208">
        <f>IF($L$3316,$T3328,$N3328)</f>
        <v/>
      </c>
    </row>
    <row r="3329">
      <c r="A3329" s="145" t="n">
        <v>11</v>
      </c>
      <c r="B3329" s="204">
        <f>EDATE($B3328,1)</f>
        <v/>
      </c>
      <c r="C3329" s="205">
        <f>EOMONTH($B3329,0)</f>
        <v/>
      </c>
      <c r="D3329" s="201">
        <f>$C3329-$B3329+1</f>
        <v/>
      </c>
      <c r="E3329" s="201">
        <f>MONTH($B3329)</f>
        <v/>
      </c>
      <c r="F3329" s="235">
        <f>($B3329+$C3329+1)/2</f>
        <v/>
      </c>
      <c r="G3329" s="201">
        <f>YEAR($B3329)*12+MONTH($B3329)-1</f>
        <v/>
      </c>
      <c r="H3329" s="207">
        <f>IF(OR(nr_SeasonOn="OFF",$D$3316=0,$E$3316=0),1,12*INDEX(se_block,$D$3316,$E3329)/$E$3316)</f>
        <v/>
      </c>
      <c r="I3329" s="208">
        <f>EXP(SUMPRODUCT((rl_eff&lt;$B3329)*(rl_key=$A$3316)*rl_ln1p))</f>
        <v/>
      </c>
      <c r="J3329" s="208">
        <f>EXP(SUMPRODUCT((rl_eff&lt;=$C3329)*(rl_key=$A$3316)*rl_ln1p))</f>
        <v/>
      </c>
      <c r="K3329" s="201">
        <f>COUNTIFS(rl_key,$A$3316,rl_eff,"&gt;="&amp;$B3329,rl_eff,"&lt;="&amp;$C3329)</f>
        <v/>
      </c>
      <c r="L3329" s="201">
        <f>SUMIFS(rl_daysafter,rl_key,$A$3316,rl_effmonth,$B3329,rl_first,1)</f>
        <v/>
      </c>
      <c r="M3329" s="209">
        <f>IF($K3329=0,0,MIN(1,$L3329/$D3329))</f>
        <v/>
      </c>
      <c r="N3329" s="208">
        <f>IF($K3329=0,$J3329,(1-$M3329)*$I3329+$M3329*$J3329)</f>
        <v/>
      </c>
      <c r="O3329" s="209">
        <f>IF($F3329&lt;$B$3317,$E$3317+$I$3317*($F3329-$A$3317),IF($F3329&lt;$C$3317,$F$3317+$J$3317*($F3329-$B$3317),$G$3317+$K$3317*($F3329-$C$3317)))</f>
        <v/>
      </c>
      <c r="P3329" s="208">
        <f>MIN(1,MAX(0,(nr_MEndPm1-$G3329+0.5)/$C$3316))-MIN(1,MAX(0,(nr_MStartPm1-1-$G3329+0.5)/$C$3316))</f>
        <v/>
      </c>
      <c r="Q3329" s="208">
        <f>MIN(1,MAX(0,(nr_MEndP-$G3329+0.5)/$C$3316))-MIN(1,MAX(0,(nr_MStartP-1-$G3329+0.5)/$C$3316))</f>
        <v/>
      </c>
      <c r="R3329" s="208">
        <f>MIN(1,MAX(0,(nr_MEndP1-$G3329+0.5)/$C$3316))-MIN(1,MAX(0,(nr_MStartP1-1-$G3329+0.5)/$C$3316))</f>
        <v/>
      </c>
      <c r="S3329" s="208">
        <f>IF($L$3316,$N3329*IF($O$3316=1,$O3329/$F$3316,1),"")</f>
        <v/>
      </c>
      <c r="T3329" s="208">
        <f>IF(NOT($L$3316),"",IF($G3329&lt;nr_MStartP,$S3329,$T3317*(1+IF($G3329&lt;nr_MStartP1,$M$3316,$N$3316))))</f>
        <v/>
      </c>
      <c r="U3329" s="208">
        <f>IF($L$3316,$T3329,$N3329)</f>
        <v/>
      </c>
    </row>
    <row r="3330">
      <c r="A3330" s="145" t="n">
        <v>12</v>
      </c>
      <c r="B3330" s="204">
        <f>EDATE($B3329,1)</f>
        <v/>
      </c>
      <c r="C3330" s="205">
        <f>EOMONTH($B3330,0)</f>
        <v/>
      </c>
      <c r="D3330" s="201">
        <f>$C3330-$B3330+1</f>
        <v/>
      </c>
      <c r="E3330" s="201">
        <f>MONTH($B3330)</f>
        <v/>
      </c>
      <c r="F3330" s="235">
        <f>($B3330+$C3330+1)/2</f>
        <v/>
      </c>
      <c r="G3330" s="201">
        <f>YEAR($B3330)*12+MONTH($B3330)-1</f>
        <v/>
      </c>
      <c r="H3330" s="207">
        <f>IF(OR(nr_SeasonOn="OFF",$D$3316=0,$E$3316=0),1,12*INDEX(se_block,$D$3316,$E3330)/$E$3316)</f>
        <v/>
      </c>
      <c r="I3330" s="208">
        <f>EXP(SUMPRODUCT((rl_eff&lt;$B3330)*(rl_key=$A$3316)*rl_ln1p))</f>
        <v/>
      </c>
      <c r="J3330" s="208">
        <f>EXP(SUMPRODUCT((rl_eff&lt;=$C3330)*(rl_key=$A$3316)*rl_ln1p))</f>
        <v/>
      </c>
      <c r="K3330" s="201">
        <f>COUNTIFS(rl_key,$A$3316,rl_eff,"&gt;="&amp;$B3330,rl_eff,"&lt;="&amp;$C3330)</f>
        <v/>
      </c>
      <c r="L3330" s="201">
        <f>SUMIFS(rl_daysafter,rl_key,$A$3316,rl_effmonth,$B3330,rl_first,1)</f>
        <v/>
      </c>
      <c r="M3330" s="209">
        <f>IF($K3330=0,0,MIN(1,$L3330/$D3330))</f>
        <v/>
      </c>
      <c r="N3330" s="208">
        <f>IF($K3330=0,$J3330,(1-$M3330)*$I3330+$M3330*$J3330)</f>
        <v/>
      </c>
      <c r="O3330" s="209">
        <f>IF($F3330&lt;$B$3317,$E$3317+$I$3317*($F3330-$A$3317),IF($F3330&lt;$C$3317,$F$3317+$J$3317*($F3330-$B$3317),$G$3317+$K$3317*($F3330-$C$3317)))</f>
        <v/>
      </c>
      <c r="P3330" s="208">
        <f>MIN(1,MAX(0,(nr_MEndPm1-$G3330+0.5)/$C$3316))-MIN(1,MAX(0,(nr_MStartPm1-1-$G3330+0.5)/$C$3316))</f>
        <v/>
      </c>
      <c r="Q3330" s="208">
        <f>MIN(1,MAX(0,(nr_MEndP-$G3330+0.5)/$C$3316))-MIN(1,MAX(0,(nr_MStartP-1-$G3330+0.5)/$C$3316))</f>
        <v/>
      </c>
      <c r="R3330" s="208">
        <f>MIN(1,MAX(0,(nr_MEndP1-$G3330+0.5)/$C$3316))-MIN(1,MAX(0,(nr_MStartP1-1-$G3330+0.5)/$C$3316))</f>
        <v/>
      </c>
      <c r="S3330" s="208">
        <f>IF($L$3316,$N3330*IF($O$3316=1,$O3330/$F$3316,1),"")</f>
        <v/>
      </c>
      <c r="T3330" s="208">
        <f>IF(NOT($L$3316),"",IF($G3330&lt;nr_MStartP,$S3330,$T3318*(1+IF($G3330&lt;nr_MStartP1,$M$3316,$N$3316))))</f>
        <v/>
      </c>
      <c r="U3330" s="208">
        <f>IF($L$3316,$T3330,$N3330)</f>
        <v/>
      </c>
    </row>
    <row r="3331">
      <c r="A3331" s="145" t="n">
        <v>13</v>
      </c>
      <c r="B3331" s="204">
        <f>EDATE($B3330,1)</f>
        <v/>
      </c>
      <c r="C3331" s="205">
        <f>EOMONTH($B3331,0)</f>
        <v/>
      </c>
      <c r="D3331" s="201">
        <f>$C3331-$B3331+1</f>
        <v/>
      </c>
      <c r="E3331" s="201">
        <f>MONTH($B3331)</f>
        <v/>
      </c>
      <c r="F3331" s="235">
        <f>($B3331+$C3331+1)/2</f>
        <v/>
      </c>
      <c r="G3331" s="201">
        <f>YEAR($B3331)*12+MONTH($B3331)-1</f>
        <v/>
      </c>
      <c r="H3331" s="207">
        <f>IF(OR(nr_SeasonOn="OFF",$D$3316=0,$E$3316=0),1,12*INDEX(se_block,$D$3316,$E3331)/$E$3316)</f>
        <v/>
      </c>
      <c r="I3331" s="208">
        <f>EXP(SUMPRODUCT((rl_eff&lt;$B3331)*(rl_key=$A$3316)*rl_ln1p))</f>
        <v/>
      </c>
      <c r="J3331" s="208">
        <f>EXP(SUMPRODUCT((rl_eff&lt;=$C3331)*(rl_key=$A$3316)*rl_ln1p))</f>
        <v/>
      </c>
      <c r="K3331" s="201">
        <f>COUNTIFS(rl_key,$A$3316,rl_eff,"&gt;="&amp;$B3331,rl_eff,"&lt;="&amp;$C3331)</f>
        <v/>
      </c>
      <c r="L3331" s="201">
        <f>SUMIFS(rl_daysafter,rl_key,$A$3316,rl_effmonth,$B3331,rl_first,1)</f>
        <v/>
      </c>
      <c r="M3331" s="209">
        <f>IF($K3331=0,0,MIN(1,$L3331/$D3331))</f>
        <v/>
      </c>
      <c r="N3331" s="208">
        <f>IF($K3331=0,$J3331,(1-$M3331)*$I3331+$M3331*$J3331)</f>
        <v/>
      </c>
      <c r="O3331" s="209">
        <f>IF($F3331&lt;$B$3317,$E$3317+$I$3317*($F3331-$A$3317),IF($F3331&lt;$C$3317,$F$3317+$J$3317*($F3331-$B$3317),$G$3317+$K$3317*($F3331-$C$3317)))</f>
        <v/>
      </c>
      <c r="P3331" s="208">
        <f>MIN(1,MAX(0,(nr_MEndPm1-$G3331+0.5)/$C$3316))-MIN(1,MAX(0,(nr_MStartPm1-1-$G3331+0.5)/$C$3316))</f>
        <v/>
      </c>
      <c r="Q3331" s="208">
        <f>MIN(1,MAX(0,(nr_MEndP-$G3331+0.5)/$C$3316))-MIN(1,MAX(0,(nr_MStartP-1-$G3331+0.5)/$C$3316))</f>
        <v/>
      </c>
      <c r="R3331" s="208">
        <f>MIN(1,MAX(0,(nr_MEndP1-$G3331+0.5)/$C$3316))-MIN(1,MAX(0,(nr_MStartP1-1-$G3331+0.5)/$C$3316))</f>
        <v/>
      </c>
      <c r="S3331" s="208">
        <f>IF($L$3316,$N3331*IF($O$3316=1,$O3331/$F$3316,1),"")</f>
        <v/>
      </c>
      <c r="T3331" s="208">
        <f>IF(NOT($L$3316),"",IF($G3331&lt;nr_MStartP,$S3331,$T3319*(1+IF($G3331&lt;nr_MStartP1,$M$3316,$N$3316))))</f>
        <v/>
      </c>
      <c r="U3331" s="208">
        <f>IF($L$3316,$T3331,$N3331)</f>
        <v/>
      </c>
    </row>
    <row r="3332">
      <c r="A3332" s="145" t="n">
        <v>14</v>
      </c>
      <c r="B3332" s="204">
        <f>EDATE($B3331,1)</f>
        <v/>
      </c>
      <c r="C3332" s="205">
        <f>EOMONTH($B3332,0)</f>
        <v/>
      </c>
      <c r="D3332" s="201">
        <f>$C3332-$B3332+1</f>
        <v/>
      </c>
      <c r="E3332" s="201">
        <f>MONTH($B3332)</f>
        <v/>
      </c>
      <c r="F3332" s="235">
        <f>($B3332+$C3332+1)/2</f>
        <v/>
      </c>
      <c r="G3332" s="201">
        <f>YEAR($B3332)*12+MONTH($B3332)-1</f>
        <v/>
      </c>
      <c r="H3332" s="207">
        <f>IF(OR(nr_SeasonOn="OFF",$D$3316=0,$E$3316=0),1,12*INDEX(se_block,$D$3316,$E3332)/$E$3316)</f>
        <v/>
      </c>
      <c r="I3332" s="208">
        <f>EXP(SUMPRODUCT((rl_eff&lt;$B3332)*(rl_key=$A$3316)*rl_ln1p))</f>
        <v/>
      </c>
      <c r="J3332" s="208">
        <f>EXP(SUMPRODUCT((rl_eff&lt;=$C3332)*(rl_key=$A$3316)*rl_ln1p))</f>
        <v/>
      </c>
      <c r="K3332" s="201">
        <f>COUNTIFS(rl_key,$A$3316,rl_eff,"&gt;="&amp;$B3332,rl_eff,"&lt;="&amp;$C3332)</f>
        <v/>
      </c>
      <c r="L3332" s="201">
        <f>SUMIFS(rl_daysafter,rl_key,$A$3316,rl_effmonth,$B3332,rl_first,1)</f>
        <v/>
      </c>
      <c r="M3332" s="209">
        <f>IF($K3332=0,0,MIN(1,$L3332/$D3332))</f>
        <v/>
      </c>
      <c r="N3332" s="208">
        <f>IF($K3332=0,$J3332,(1-$M3332)*$I3332+$M3332*$J3332)</f>
        <v/>
      </c>
      <c r="O3332" s="209">
        <f>IF($F3332&lt;$B$3317,$E$3317+$I$3317*($F3332-$A$3317),IF($F3332&lt;$C$3317,$F$3317+$J$3317*($F3332-$B$3317),$G$3317+$K$3317*($F3332-$C$3317)))</f>
        <v/>
      </c>
      <c r="P3332" s="208">
        <f>MIN(1,MAX(0,(nr_MEndPm1-$G3332+0.5)/$C$3316))-MIN(1,MAX(0,(nr_MStartPm1-1-$G3332+0.5)/$C$3316))</f>
        <v/>
      </c>
      <c r="Q3332" s="208">
        <f>MIN(1,MAX(0,(nr_MEndP-$G3332+0.5)/$C$3316))-MIN(1,MAX(0,(nr_MStartP-1-$G3332+0.5)/$C$3316))</f>
        <v/>
      </c>
      <c r="R3332" s="208">
        <f>MIN(1,MAX(0,(nr_MEndP1-$G3332+0.5)/$C$3316))-MIN(1,MAX(0,(nr_MStartP1-1-$G3332+0.5)/$C$3316))</f>
        <v/>
      </c>
      <c r="S3332" s="208">
        <f>IF($L$3316,$N3332*IF($O$3316=1,$O3332/$F$3316,1),"")</f>
        <v/>
      </c>
      <c r="T3332" s="208">
        <f>IF(NOT($L$3316),"",IF($G3332&lt;nr_MStartP,$S3332,$T3320*(1+IF($G3332&lt;nr_MStartP1,$M$3316,$N$3316))))</f>
        <v/>
      </c>
      <c r="U3332" s="208">
        <f>IF($L$3316,$T3332,$N3332)</f>
        <v/>
      </c>
    </row>
    <row r="3333">
      <c r="A3333" s="145" t="n">
        <v>15</v>
      </c>
      <c r="B3333" s="204">
        <f>EDATE($B3332,1)</f>
        <v/>
      </c>
      <c r="C3333" s="205">
        <f>EOMONTH($B3333,0)</f>
        <v/>
      </c>
      <c r="D3333" s="201">
        <f>$C3333-$B3333+1</f>
        <v/>
      </c>
      <c r="E3333" s="201">
        <f>MONTH($B3333)</f>
        <v/>
      </c>
      <c r="F3333" s="235">
        <f>($B3333+$C3333+1)/2</f>
        <v/>
      </c>
      <c r="G3333" s="201">
        <f>YEAR($B3333)*12+MONTH($B3333)-1</f>
        <v/>
      </c>
      <c r="H3333" s="207">
        <f>IF(OR(nr_SeasonOn="OFF",$D$3316=0,$E$3316=0),1,12*INDEX(se_block,$D$3316,$E3333)/$E$3316)</f>
        <v/>
      </c>
      <c r="I3333" s="208">
        <f>EXP(SUMPRODUCT((rl_eff&lt;$B3333)*(rl_key=$A$3316)*rl_ln1p))</f>
        <v/>
      </c>
      <c r="J3333" s="208">
        <f>EXP(SUMPRODUCT((rl_eff&lt;=$C3333)*(rl_key=$A$3316)*rl_ln1p))</f>
        <v/>
      </c>
      <c r="K3333" s="201">
        <f>COUNTIFS(rl_key,$A$3316,rl_eff,"&gt;="&amp;$B3333,rl_eff,"&lt;="&amp;$C3333)</f>
        <v/>
      </c>
      <c r="L3333" s="201">
        <f>SUMIFS(rl_daysafter,rl_key,$A$3316,rl_effmonth,$B3333,rl_first,1)</f>
        <v/>
      </c>
      <c r="M3333" s="209">
        <f>IF($K3333=0,0,MIN(1,$L3333/$D3333))</f>
        <v/>
      </c>
      <c r="N3333" s="208">
        <f>IF($K3333=0,$J3333,(1-$M3333)*$I3333+$M3333*$J3333)</f>
        <v/>
      </c>
      <c r="O3333" s="209">
        <f>IF($F3333&lt;$B$3317,$E$3317+$I$3317*($F3333-$A$3317),IF($F3333&lt;$C$3317,$F$3317+$J$3317*($F3333-$B$3317),$G$3317+$K$3317*($F3333-$C$3317)))</f>
        <v/>
      </c>
      <c r="P3333" s="208">
        <f>MIN(1,MAX(0,(nr_MEndPm1-$G3333+0.5)/$C$3316))-MIN(1,MAX(0,(nr_MStartPm1-1-$G3333+0.5)/$C$3316))</f>
        <v/>
      </c>
      <c r="Q3333" s="208">
        <f>MIN(1,MAX(0,(nr_MEndP-$G3333+0.5)/$C$3316))-MIN(1,MAX(0,(nr_MStartP-1-$G3333+0.5)/$C$3316))</f>
        <v/>
      </c>
      <c r="R3333" s="208">
        <f>MIN(1,MAX(0,(nr_MEndP1-$G3333+0.5)/$C$3316))-MIN(1,MAX(0,(nr_MStartP1-1-$G3333+0.5)/$C$3316))</f>
        <v/>
      </c>
      <c r="S3333" s="208">
        <f>IF($L$3316,$N3333*IF($O$3316=1,$O3333/$F$3316,1),"")</f>
        <v/>
      </c>
      <c r="T3333" s="208">
        <f>IF(NOT($L$3316),"",IF($G3333&lt;nr_MStartP,$S3333,$T3321*(1+IF($G3333&lt;nr_MStartP1,$M$3316,$N$3316))))</f>
        <v/>
      </c>
      <c r="U3333" s="208">
        <f>IF($L$3316,$T3333,$N3333)</f>
        <v/>
      </c>
    </row>
    <row r="3334">
      <c r="A3334" s="145" t="n">
        <v>16</v>
      </c>
      <c r="B3334" s="204">
        <f>EDATE($B3333,1)</f>
        <v/>
      </c>
      <c r="C3334" s="205">
        <f>EOMONTH($B3334,0)</f>
        <v/>
      </c>
      <c r="D3334" s="201">
        <f>$C3334-$B3334+1</f>
        <v/>
      </c>
      <c r="E3334" s="201">
        <f>MONTH($B3334)</f>
        <v/>
      </c>
      <c r="F3334" s="235">
        <f>($B3334+$C3334+1)/2</f>
        <v/>
      </c>
      <c r="G3334" s="201">
        <f>YEAR($B3334)*12+MONTH($B3334)-1</f>
        <v/>
      </c>
      <c r="H3334" s="207">
        <f>IF(OR(nr_SeasonOn="OFF",$D$3316=0,$E$3316=0),1,12*INDEX(se_block,$D$3316,$E3334)/$E$3316)</f>
        <v/>
      </c>
      <c r="I3334" s="208">
        <f>EXP(SUMPRODUCT((rl_eff&lt;$B3334)*(rl_key=$A$3316)*rl_ln1p))</f>
        <v/>
      </c>
      <c r="J3334" s="208">
        <f>EXP(SUMPRODUCT((rl_eff&lt;=$C3334)*(rl_key=$A$3316)*rl_ln1p))</f>
        <v/>
      </c>
      <c r="K3334" s="201">
        <f>COUNTIFS(rl_key,$A$3316,rl_eff,"&gt;="&amp;$B3334,rl_eff,"&lt;="&amp;$C3334)</f>
        <v/>
      </c>
      <c r="L3334" s="201">
        <f>SUMIFS(rl_daysafter,rl_key,$A$3316,rl_effmonth,$B3334,rl_first,1)</f>
        <v/>
      </c>
      <c r="M3334" s="209">
        <f>IF($K3334=0,0,MIN(1,$L3334/$D3334))</f>
        <v/>
      </c>
      <c r="N3334" s="208">
        <f>IF($K3334=0,$J3334,(1-$M3334)*$I3334+$M3334*$J3334)</f>
        <v/>
      </c>
      <c r="O3334" s="209">
        <f>IF($F3334&lt;$B$3317,$E$3317+$I$3317*($F3334-$A$3317),IF($F3334&lt;$C$3317,$F$3317+$J$3317*($F3334-$B$3317),$G$3317+$K$3317*($F3334-$C$3317)))</f>
        <v/>
      </c>
      <c r="P3334" s="208">
        <f>MIN(1,MAX(0,(nr_MEndPm1-$G3334+0.5)/$C$3316))-MIN(1,MAX(0,(nr_MStartPm1-1-$G3334+0.5)/$C$3316))</f>
        <v/>
      </c>
      <c r="Q3334" s="208">
        <f>MIN(1,MAX(0,(nr_MEndP-$G3334+0.5)/$C$3316))-MIN(1,MAX(0,(nr_MStartP-1-$G3334+0.5)/$C$3316))</f>
        <v/>
      </c>
      <c r="R3334" s="208">
        <f>MIN(1,MAX(0,(nr_MEndP1-$G3334+0.5)/$C$3316))-MIN(1,MAX(0,(nr_MStartP1-1-$G3334+0.5)/$C$3316))</f>
        <v/>
      </c>
      <c r="S3334" s="208">
        <f>IF($L$3316,$N3334*IF($O$3316=1,$O3334/$F$3316,1),"")</f>
        <v/>
      </c>
      <c r="T3334" s="208">
        <f>IF(NOT($L$3316),"",IF($G3334&lt;nr_MStartP,$S3334,$T3322*(1+IF($G3334&lt;nr_MStartP1,$M$3316,$N$3316))))</f>
        <v/>
      </c>
      <c r="U3334" s="208">
        <f>IF($L$3316,$T3334,$N3334)</f>
        <v/>
      </c>
    </row>
    <row r="3335">
      <c r="A3335" s="145" t="n">
        <v>17</v>
      </c>
      <c r="B3335" s="204">
        <f>EDATE($B3334,1)</f>
        <v/>
      </c>
      <c r="C3335" s="205">
        <f>EOMONTH($B3335,0)</f>
        <v/>
      </c>
      <c r="D3335" s="201">
        <f>$C3335-$B3335+1</f>
        <v/>
      </c>
      <c r="E3335" s="201">
        <f>MONTH($B3335)</f>
        <v/>
      </c>
      <c r="F3335" s="235">
        <f>($B3335+$C3335+1)/2</f>
        <v/>
      </c>
      <c r="G3335" s="201">
        <f>YEAR($B3335)*12+MONTH($B3335)-1</f>
        <v/>
      </c>
      <c r="H3335" s="207">
        <f>IF(OR(nr_SeasonOn="OFF",$D$3316=0,$E$3316=0),1,12*INDEX(se_block,$D$3316,$E3335)/$E$3316)</f>
        <v/>
      </c>
      <c r="I3335" s="208">
        <f>EXP(SUMPRODUCT((rl_eff&lt;$B3335)*(rl_key=$A$3316)*rl_ln1p))</f>
        <v/>
      </c>
      <c r="J3335" s="208">
        <f>EXP(SUMPRODUCT((rl_eff&lt;=$C3335)*(rl_key=$A$3316)*rl_ln1p))</f>
        <v/>
      </c>
      <c r="K3335" s="201">
        <f>COUNTIFS(rl_key,$A$3316,rl_eff,"&gt;="&amp;$B3335,rl_eff,"&lt;="&amp;$C3335)</f>
        <v/>
      </c>
      <c r="L3335" s="201">
        <f>SUMIFS(rl_daysafter,rl_key,$A$3316,rl_effmonth,$B3335,rl_first,1)</f>
        <v/>
      </c>
      <c r="M3335" s="209">
        <f>IF($K3335=0,0,MIN(1,$L3335/$D3335))</f>
        <v/>
      </c>
      <c r="N3335" s="208">
        <f>IF($K3335=0,$J3335,(1-$M3335)*$I3335+$M3335*$J3335)</f>
        <v/>
      </c>
      <c r="O3335" s="209">
        <f>IF($F3335&lt;$B$3317,$E$3317+$I$3317*($F3335-$A$3317),IF($F3335&lt;$C$3317,$F$3317+$J$3317*($F3335-$B$3317),$G$3317+$K$3317*($F3335-$C$3317)))</f>
        <v/>
      </c>
      <c r="P3335" s="208">
        <f>MIN(1,MAX(0,(nr_MEndPm1-$G3335+0.5)/$C$3316))-MIN(1,MAX(0,(nr_MStartPm1-1-$G3335+0.5)/$C$3316))</f>
        <v/>
      </c>
      <c r="Q3335" s="208">
        <f>MIN(1,MAX(0,(nr_MEndP-$G3335+0.5)/$C$3316))-MIN(1,MAX(0,(nr_MStartP-1-$G3335+0.5)/$C$3316))</f>
        <v/>
      </c>
      <c r="R3335" s="208">
        <f>MIN(1,MAX(0,(nr_MEndP1-$G3335+0.5)/$C$3316))-MIN(1,MAX(0,(nr_MStartP1-1-$G3335+0.5)/$C$3316))</f>
        <v/>
      </c>
      <c r="S3335" s="208">
        <f>IF($L$3316,$N3335*IF($O$3316=1,$O3335/$F$3316,1),"")</f>
        <v/>
      </c>
      <c r="T3335" s="208">
        <f>IF(NOT($L$3316),"",IF($G3335&lt;nr_MStartP,$S3335,$T3323*(1+IF($G3335&lt;nr_MStartP1,$M$3316,$N$3316))))</f>
        <v/>
      </c>
      <c r="U3335" s="208">
        <f>IF($L$3316,$T3335,$N3335)</f>
        <v/>
      </c>
    </row>
    <row r="3336">
      <c r="A3336" s="145" t="n">
        <v>18</v>
      </c>
      <c r="B3336" s="204">
        <f>EDATE($B3335,1)</f>
        <v/>
      </c>
      <c r="C3336" s="205">
        <f>EOMONTH($B3336,0)</f>
        <v/>
      </c>
      <c r="D3336" s="201">
        <f>$C3336-$B3336+1</f>
        <v/>
      </c>
      <c r="E3336" s="201">
        <f>MONTH($B3336)</f>
        <v/>
      </c>
      <c r="F3336" s="235">
        <f>($B3336+$C3336+1)/2</f>
        <v/>
      </c>
      <c r="G3336" s="201">
        <f>YEAR($B3336)*12+MONTH($B3336)-1</f>
        <v/>
      </c>
      <c r="H3336" s="207">
        <f>IF(OR(nr_SeasonOn="OFF",$D$3316=0,$E$3316=0),1,12*INDEX(se_block,$D$3316,$E3336)/$E$3316)</f>
        <v/>
      </c>
      <c r="I3336" s="208">
        <f>EXP(SUMPRODUCT((rl_eff&lt;$B3336)*(rl_key=$A$3316)*rl_ln1p))</f>
        <v/>
      </c>
      <c r="J3336" s="208">
        <f>EXP(SUMPRODUCT((rl_eff&lt;=$C3336)*(rl_key=$A$3316)*rl_ln1p))</f>
        <v/>
      </c>
      <c r="K3336" s="201">
        <f>COUNTIFS(rl_key,$A$3316,rl_eff,"&gt;="&amp;$B3336,rl_eff,"&lt;="&amp;$C3336)</f>
        <v/>
      </c>
      <c r="L3336" s="201">
        <f>SUMIFS(rl_daysafter,rl_key,$A$3316,rl_effmonth,$B3336,rl_first,1)</f>
        <v/>
      </c>
      <c r="M3336" s="209">
        <f>IF($K3336=0,0,MIN(1,$L3336/$D3336))</f>
        <v/>
      </c>
      <c r="N3336" s="208">
        <f>IF($K3336=0,$J3336,(1-$M3336)*$I3336+$M3336*$J3336)</f>
        <v/>
      </c>
      <c r="O3336" s="209">
        <f>IF($F3336&lt;$B$3317,$E$3317+$I$3317*($F3336-$A$3317),IF($F3336&lt;$C$3317,$F$3317+$J$3317*($F3336-$B$3317),$G$3317+$K$3317*($F3336-$C$3317)))</f>
        <v/>
      </c>
      <c r="P3336" s="208">
        <f>MIN(1,MAX(0,(nr_MEndPm1-$G3336+0.5)/$C$3316))-MIN(1,MAX(0,(nr_MStartPm1-1-$G3336+0.5)/$C$3316))</f>
        <v/>
      </c>
      <c r="Q3336" s="208">
        <f>MIN(1,MAX(0,(nr_MEndP-$G3336+0.5)/$C$3316))-MIN(1,MAX(0,(nr_MStartP-1-$G3336+0.5)/$C$3316))</f>
        <v/>
      </c>
      <c r="R3336" s="208">
        <f>MIN(1,MAX(0,(nr_MEndP1-$G3336+0.5)/$C$3316))-MIN(1,MAX(0,(nr_MStartP1-1-$G3336+0.5)/$C$3316))</f>
        <v/>
      </c>
      <c r="S3336" s="208">
        <f>IF($L$3316,$N3336*IF($O$3316=1,$O3336/$F$3316,1),"")</f>
        <v/>
      </c>
      <c r="T3336" s="208">
        <f>IF(NOT($L$3316),"",IF($G3336&lt;nr_MStartP,$S3336,$T3324*(1+IF($G3336&lt;nr_MStartP1,$M$3316,$N$3316))))</f>
        <v/>
      </c>
      <c r="U3336" s="208">
        <f>IF($L$3316,$T3336,$N3336)</f>
        <v/>
      </c>
    </row>
    <row r="3337">
      <c r="A3337" s="145" t="n">
        <v>19</v>
      </c>
      <c r="B3337" s="204">
        <f>EDATE($B3336,1)</f>
        <v/>
      </c>
      <c r="C3337" s="205">
        <f>EOMONTH($B3337,0)</f>
        <v/>
      </c>
      <c r="D3337" s="201">
        <f>$C3337-$B3337+1</f>
        <v/>
      </c>
      <c r="E3337" s="201">
        <f>MONTH($B3337)</f>
        <v/>
      </c>
      <c r="F3337" s="235">
        <f>($B3337+$C3337+1)/2</f>
        <v/>
      </c>
      <c r="G3337" s="201">
        <f>YEAR($B3337)*12+MONTH($B3337)-1</f>
        <v/>
      </c>
      <c r="H3337" s="207">
        <f>IF(OR(nr_SeasonOn="OFF",$D$3316=0,$E$3316=0),1,12*INDEX(se_block,$D$3316,$E3337)/$E$3316)</f>
        <v/>
      </c>
      <c r="I3337" s="208">
        <f>EXP(SUMPRODUCT((rl_eff&lt;$B3337)*(rl_key=$A$3316)*rl_ln1p))</f>
        <v/>
      </c>
      <c r="J3337" s="208">
        <f>EXP(SUMPRODUCT((rl_eff&lt;=$C3337)*(rl_key=$A$3316)*rl_ln1p))</f>
        <v/>
      </c>
      <c r="K3337" s="201">
        <f>COUNTIFS(rl_key,$A$3316,rl_eff,"&gt;="&amp;$B3337,rl_eff,"&lt;="&amp;$C3337)</f>
        <v/>
      </c>
      <c r="L3337" s="201">
        <f>SUMIFS(rl_daysafter,rl_key,$A$3316,rl_effmonth,$B3337,rl_first,1)</f>
        <v/>
      </c>
      <c r="M3337" s="209">
        <f>IF($K3337=0,0,MIN(1,$L3337/$D3337))</f>
        <v/>
      </c>
      <c r="N3337" s="208">
        <f>IF($K3337=0,$J3337,(1-$M3337)*$I3337+$M3337*$J3337)</f>
        <v/>
      </c>
      <c r="O3337" s="209">
        <f>IF($F3337&lt;$B$3317,$E$3317+$I$3317*($F3337-$A$3317),IF($F3337&lt;$C$3317,$F$3317+$J$3317*($F3337-$B$3317),$G$3317+$K$3317*($F3337-$C$3317)))</f>
        <v/>
      </c>
      <c r="P3337" s="208">
        <f>MIN(1,MAX(0,(nr_MEndPm1-$G3337+0.5)/$C$3316))-MIN(1,MAX(0,(nr_MStartPm1-1-$G3337+0.5)/$C$3316))</f>
        <v/>
      </c>
      <c r="Q3337" s="208">
        <f>MIN(1,MAX(0,(nr_MEndP-$G3337+0.5)/$C$3316))-MIN(1,MAX(0,(nr_MStartP-1-$G3337+0.5)/$C$3316))</f>
        <v/>
      </c>
      <c r="R3337" s="208">
        <f>MIN(1,MAX(0,(nr_MEndP1-$G3337+0.5)/$C$3316))-MIN(1,MAX(0,(nr_MStartP1-1-$G3337+0.5)/$C$3316))</f>
        <v/>
      </c>
      <c r="S3337" s="208">
        <f>IF($L$3316,$N3337*IF($O$3316=1,$O3337/$F$3316,1),"")</f>
        <v/>
      </c>
      <c r="T3337" s="208">
        <f>IF(NOT($L$3316),"",IF($G3337&lt;nr_MStartP,$S3337,$T3325*(1+IF($G3337&lt;nr_MStartP1,$M$3316,$N$3316))))</f>
        <v/>
      </c>
      <c r="U3337" s="208">
        <f>IF($L$3316,$T3337,$N3337)</f>
        <v/>
      </c>
    </row>
    <row r="3338">
      <c r="A3338" s="145" t="n">
        <v>20</v>
      </c>
      <c r="B3338" s="204">
        <f>EDATE($B3337,1)</f>
        <v/>
      </c>
      <c r="C3338" s="205">
        <f>EOMONTH($B3338,0)</f>
        <v/>
      </c>
      <c r="D3338" s="201">
        <f>$C3338-$B3338+1</f>
        <v/>
      </c>
      <c r="E3338" s="201">
        <f>MONTH($B3338)</f>
        <v/>
      </c>
      <c r="F3338" s="235">
        <f>($B3338+$C3338+1)/2</f>
        <v/>
      </c>
      <c r="G3338" s="201">
        <f>YEAR($B3338)*12+MONTH($B3338)-1</f>
        <v/>
      </c>
      <c r="H3338" s="207">
        <f>IF(OR(nr_SeasonOn="OFF",$D$3316=0,$E$3316=0),1,12*INDEX(se_block,$D$3316,$E3338)/$E$3316)</f>
        <v/>
      </c>
      <c r="I3338" s="208">
        <f>EXP(SUMPRODUCT((rl_eff&lt;$B3338)*(rl_key=$A$3316)*rl_ln1p))</f>
        <v/>
      </c>
      <c r="J3338" s="208">
        <f>EXP(SUMPRODUCT((rl_eff&lt;=$C3338)*(rl_key=$A$3316)*rl_ln1p))</f>
        <v/>
      </c>
      <c r="K3338" s="201">
        <f>COUNTIFS(rl_key,$A$3316,rl_eff,"&gt;="&amp;$B3338,rl_eff,"&lt;="&amp;$C3338)</f>
        <v/>
      </c>
      <c r="L3338" s="201">
        <f>SUMIFS(rl_daysafter,rl_key,$A$3316,rl_effmonth,$B3338,rl_first,1)</f>
        <v/>
      </c>
      <c r="M3338" s="209">
        <f>IF($K3338=0,0,MIN(1,$L3338/$D3338))</f>
        <v/>
      </c>
      <c r="N3338" s="208">
        <f>IF($K3338=0,$J3338,(1-$M3338)*$I3338+$M3338*$J3338)</f>
        <v/>
      </c>
      <c r="O3338" s="209">
        <f>IF($F3338&lt;$B$3317,$E$3317+$I$3317*($F3338-$A$3317),IF($F3338&lt;$C$3317,$F$3317+$J$3317*($F3338-$B$3317),$G$3317+$K$3317*($F3338-$C$3317)))</f>
        <v/>
      </c>
      <c r="P3338" s="208">
        <f>MIN(1,MAX(0,(nr_MEndPm1-$G3338+0.5)/$C$3316))-MIN(1,MAX(0,(nr_MStartPm1-1-$G3338+0.5)/$C$3316))</f>
        <v/>
      </c>
      <c r="Q3338" s="208">
        <f>MIN(1,MAX(0,(nr_MEndP-$G3338+0.5)/$C$3316))-MIN(1,MAX(0,(nr_MStartP-1-$G3338+0.5)/$C$3316))</f>
        <v/>
      </c>
      <c r="R3338" s="208">
        <f>MIN(1,MAX(0,(nr_MEndP1-$G3338+0.5)/$C$3316))-MIN(1,MAX(0,(nr_MStartP1-1-$G3338+0.5)/$C$3316))</f>
        <v/>
      </c>
      <c r="S3338" s="208">
        <f>IF($L$3316,$N3338*IF($O$3316=1,$O3338/$F$3316,1),"")</f>
        <v/>
      </c>
      <c r="T3338" s="208">
        <f>IF(NOT($L$3316),"",IF($G3338&lt;nr_MStartP,$S3338,$T3326*(1+IF($G3338&lt;nr_MStartP1,$M$3316,$N$3316))))</f>
        <v/>
      </c>
      <c r="U3338" s="208">
        <f>IF($L$3316,$T3338,$N3338)</f>
        <v/>
      </c>
    </row>
    <row r="3339">
      <c r="A3339" s="145" t="n">
        <v>21</v>
      </c>
      <c r="B3339" s="204">
        <f>EDATE($B3338,1)</f>
        <v/>
      </c>
      <c r="C3339" s="205">
        <f>EOMONTH($B3339,0)</f>
        <v/>
      </c>
      <c r="D3339" s="201">
        <f>$C3339-$B3339+1</f>
        <v/>
      </c>
      <c r="E3339" s="201">
        <f>MONTH($B3339)</f>
        <v/>
      </c>
      <c r="F3339" s="235">
        <f>($B3339+$C3339+1)/2</f>
        <v/>
      </c>
      <c r="G3339" s="201">
        <f>YEAR($B3339)*12+MONTH($B3339)-1</f>
        <v/>
      </c>
      <c r="H3339" s="207">
        <f>IF(OR(nr_SeasonOn="OFF",$D$3316=0,$E$3316=0),1,12*INDEX(se_block,$D$3316,$E3339)/$E$3316)</f>
        <v/>
      </c>
      <c r="I3339" s="208">
        <f>EXP(SUMPRODUCT((rl_eff&lt;$B3339)*(rl_key=$A$3316)*rl_ln1p))</f>
        <v/>
      </c>
      <c r="J3339" s="208">
        <f>EXP(SUMPRODUCT((rl_eff&lt;=$C3339)*(rl_key=$A$3316)*rl_ln1p))</f>
        <v/>
      </c>
      <c r="K3339" s="201">
        <f>COUNTIFS(rl_key,$A$3316,rl_eff,"&gt;="&amp;$B3339,rl_eff,"&lt;="&amp;$C3339)</f>
        <v/>
      </c>
      <c r="L3339" s="201">
        <f>SUMIFS(rl_daysafter,rl_key,$A$3316,rl_effmonth,$B3339,rl_first,1)</f>
        <v/>
      </c>
      <c r="M3339" s="209">
        <f>IF($K3339=0,0,MIN(1,$L3339/$D3339))</f>
        <v/>
      </c>
      <c r="N3339" s="208">
        <f>IF($K3339=0,$J3339,(1-$M3339)*$I3339+$M3339*$J3339)</f>
        <v/>
      </c>
      <c r="O3339" s="209">
        <f>IF($F3339&lt;$B$3317,$E$3317+$I$3317*($F3339-$A$3317),IF($F3339&lt;$C$3317,$F$3317+$J$3317*($F3339-$B$3317),$G$3317+$K$3317*($F3339-$C$3317)))</f>
        <v/>
      </c>
      <c r="P3339" s="208">
        <f>MIN(1,MAX(0,(nr_MEndPm1-$G3339+0.5)/$C$3316))-MIN(1,MAX(0,(nr_MStartPm1-1-$G3339+0.5)/$C$3316))</f>
        <v/>
      </c>
      <c r="Q3339" s="208">
        <f>MIN(1,MAX(0,(nr_MEndP-$G3339+0.5)/$C$3316))-MIN(1,MAX(0,(nr_MStartP-1-$G3339+0.5)/$C$3316))</f>
        <v/>
      </c>
      <c r="R3339" s="208">
        <f>MIN(1,MAX(0,(nr_MEndP1-$G3339+0.5)/$C$3316))-MIN(1,MAX(0,(nr_MStartP1-1-$G3339+0.5)/$C$3316))</f>
        <v/>
      </c>
      <c r="S3339" s="208">
        <f>IF($L$3316,$N3339*IF($O$3316=1,$O3339/$F$3316,1),"")</f>
        <v/>
      </c>
      <c r="T3339" s="208">
        <f>IF(NOT($L$3316),"",IF($G3339&lt;nr_MStartP,$S3339,$T3327*(1+IF($G3339&lt;nr_MStartP1,$M$3316,$N$3316))))</f>
        <v/>
      </c>
      <c r="U3339" s="208">
        <f>IF($L$3316,$T3339,$N3339)</f>
        <v/>
      </c>
    </row>
    <row r="3340">
      <c r="A3340" s="145" t="n">
        <v>22</v>
      </c>
      <c r="B3340" s="204">
        <f>EDATE($B3339,1)</f>
        <v/>
      </c>
      <c r="C3340" s="205">
        <f>EOMONTH($B3340,0)</f>
        <v/>
      </c>
      <c r="D3340" s="201">
        <f>$C3340-$B3340+1</f>
        <v/>
      </c>
      <c r="E3340" s="201">
        <f>MONTH($B3340)</f>
        <v/>
      </c>
      <c r="F3340" s="235">
        <f>($B3340+$C3340+1)/2</f>
        <v/>
      </c>
      <c r="G3340" s="201">
        <f>YEAR($B3340)*12+MONTH($B3340)-1</f>
        <v/>
      </c>
      <c r="H3340" s="207">
        <f>IF(OR(nr_SeasonOn="OFF",$D$3316=0,$E$3316=0),1,12*INDEX(se_block,$D$3316,$E3340)/$E$3316)</f>
        <v/>
      </c>
      <c r="I3340" s="208">
        <f>EXP(SUMPRODUCT((rl_eff&lt;$B3340)*(rl_key=$A$3316)*rl_ln1p))</f>
        <v/>
      </c>
      <c r="J3340" s="208">
        <f>EXP(SUMPRODUCT((rl_eff&lt;=$C3340)*(rl_key=$A$3316)*rl_ln1p))</f>
        <v/>
      </c>
      <c r="K3340" s="201">
        <f>COUNTIFS(rl_key,$A$3316,rl_eff,"&gt;="&amp;$B3340,rl_eff,"&lt;="&amp;$C3340)</f>
        <v/>
      </c>
      <c r="L3340" s="201">
        <f>SUMIFS(rl_daysafter,rl_key,$A$3316,rl_effmonth,$B3340,rl_first,1)</f>
        <v/>
      </c>
      <c r="M3340" s="209">
        <f>IF($K3340=0,0,MIN(1,$L3340/$D3340))</f>
        <v/>
      </c>
      <c r="N3340" s="208">
        <f>IF($K3340=0,$J3340,(1-$M3340)*$I3340+$M3340*$J3340)</f>
        <v/>
      </c>
      <c r="O3340" s="209">
        <f>IF($F3340&lt;$B$3317,$E$3317+$I$3317*($F3340-$A$3317),IF($F3340&lt;$C$3317,$F$3317+$J$3317*($F3340-$B$3317),$G$3317+$K$3317*($F3340-$C$3317)))</f>
        <v/>
      </c>
      <c r="P3340" s="208">
        <f>MIN(1,MAX(0,(nr_MEndPm1-$G3340+0.5)/$C$3316))-MIN(1,MAX(0,(nr_MStartPm1-1-$G3340+0.5)/$C$3316))</f>
        <v/>
      </c>
      <c r="Q3340" s="208">
        <f>MIN(1,MAX(0,(nr_MEndP-$G3340+0.5)/$C$3316))-MIN(1,MAX(0,(nr_MStartP-1-$G3340+0.5)/$C$3316))</f>
        <v/>
      </c>
      <c r="R3340" s="208">
        <f>MIN(1,MAX(0,(nr_MEndP1-$G3340+0.5)/$C$3316))-MIN(1,MAX(0,(nr_MStartP1-1-$G3340+0.5)/$C$3316))</f>
        <v/>
      </c>
      <c r="S3340" s="208">
        <f>IF($L$3316,$N3340*IF($O$3316=1,$O3340/$F$3316,1),"")</f>
        <v/>
      </c>
      <c r="T3340" s="208">
        <f>IF(NOT($L$3316),"",IF($G3340&lt;nr_MStartP,$S3340,$T3328*(1+IF($G3340&lt;nr_MStartP1,$M$3316,$N$3316))))</f>
        <v/>
      </c>
      <c r="U3340" s="208">
        <f>IF($L$3316,$T3340,$N3340)</f>
        <v/>
      </c>
    </row>
    <row r="3341">
      <c r="A3341" s="145" t="n">
        <v>23</v>
      </c>
      <c r="B3341" s="204">
        <f>EDATE($B3340,1)</f>
        <v/>
      </c>
      <c r="C3341" s="205">
        <f>EOMONTH($B3341,0)</f>
        <v/>
      </c>
      <c r="D3341" s="201">
        <f>$C3341-$B3341+1</f>
        <v/>
      </c>
      <c r="E3341" s="201">
        <f>MONTH($B3341)</f>
        <v/>
      </c>
      <c r="F3341" s="235">
        <f>($B3341+$C3341+1)/2</f>
        <v/>
      </c>
      <c r="G3341" s="201">
        <f>YEAR($B3341)*12+MONTH($B3341)-1</f>
        <v/>
      </c>
      <c r="H3341" s="207">
        <f>IF(OR(nr_SeasonOn="OFF",$D$3316=0,$E$3316=0),1,12*INDEX(se_block,$D$3316,$E3341)/$E$3316)</f>
        <v/>
      </c>
      <c r="I3341" s="208">
        <f>EXP(SUMPRODUCT((rl_eff&lt;$B3341)*(rl_key=$A$3316)*rl_ln1p))</f>
        <v/>
      </c>
      <c r="J3341" s="208">
        <f>EXP(SUMPRODUCT((rl_eff&lt;=$C3341)*(rl_key=$A$3316)*rl_ln1p))</f>
        <v/>
      </c>
      <c r="K3341" s="201">
        <f>COUNTIFS(rl_key,$A$3316,rl_eff,"&gt;="&amp;$B3341,rl_eff,"&lt;="&amp;$C3341)</f>
        <v/>
      </c>
      <c r="L3341" s="201">
        <f>SUMIFS(rl_daysafter,rl_key,$A$3316,rl_effmonth,$B3341,rl_first,1)</f>
        <v/>
      </c>
      <c r="M3341" s="209">
        <f>IF($K3341=0,0,MIN(1,$L3341/$D3341))</f>
        <v/>
      </c>
      <c r="N3341" s="208">
        <f>IF($K3341=0,$J3341,(1-$M3341)*$I3341+$M3341*$J3341)</f>
        <v/>
      </c>
      <c r="O3341" s="209">
        <f>IF($F3341&lt;$B$3317,$E$3317+$I$3317*($F3341-$A$3317),IF($F3341&lt;$C$3317,$F$3317+$J$3317*($F3341-$B$3317),$G$3317+$K$3317*($F3341-$C$3317)))</f>
        <v/>
      </c>
      <c r="P3341" s="208">
        <f>MIN(1,MAX(0,(nr_MEndPm1-$G3341+0.5)/$C$3316))-MIN(1,MAX(0,(nr_MStartPm1-1-$G3341+0.5)/$C$3316))</f>
        <v/>
      </c>
      <c r="Q3341" s="208">
        <f>MIN(1,MAX(0,(nr_MEndP-$G3341+0.5)/$C$3316))-MIN(1,MAX(0,(nr_MStartP-1-$G3341+0.5)/$C$3316))</f>
        <v/>
      </c>
      <c r="R3341" s="208">
        <f>MIN(1,MAX(0,(nr_MEndP1-$G3341+0.5)/$C$3316))-MIN(1,MAX(0,(nr_MStartP1-1-$G3341+0.5)/$C$3316))</f>
        <v/>
      </c>
      <c r="S3341" s="208">
        <f>IF($L$3316,$N3341*IF($O$3316=1,$O3341/$F$3316,1),"")</f>
        <v/>
      </c>
      <c r="T3341" s="208">
        <f>IF(NOT($L$3316),"",IF($G3341&lt;nr_MStartP,$S3341,$T3329*(1+IF($G3341&lt;nr_MStartP1,$M$3316,$N$3316))))</f>
        <v/>
      </c>
      <c r="U3341" s="208">
        <f>IF($L$3316,$T3341,$N3341)</f>
        <v/>
      </c>
    </row>
    <row r="3342">
      <c r="A3342" s="145" t="n">
        <v>24</v>
      </c>
      <c r="B3342" s="204">
        <f>EDATE($B3341,1)</f>
        <v/>
      </c>
      <c r="C3342" s="205">
        <f>EOMONTH($B3342,0)</f>
        <v/>
      </c>
      <c r="D3342" s="201">
        <f>$C3342-$B3342+1</f>
        <v/>
      </c>
      <c r="E3342" s="201">
        <f>MONTH($B3342)</f>
        <v/>
      </c>
      <c r="F3342" s="235">
        <f>($B3342+$C3342+1)/2</f>
        <v/>
      </c>
      <c r="G3342" s="201">
        <f>YEAR($B3342)*12+MONTH($B3342)-1</f>
        <v/>
      </c>
      <c r="H3342" s="207">
        <f>IF(OR(nr_SeasonOn="OFF",$D$3316=0,$E$3316=0),1,12*INDEX(se_block,$D$3316,$E3342)/$E$3316)</f>
        <v/>
      </c>
      <c r="I3342" s="208">
        <f>EXP(SUMPRODUCT((rl_eff&lt;$B3342)*(rl_key=$A$3316)*rl_ln1p))</f>
        <v/>
      </c>
      <c r="J3342" s="208">
        <f>EXP(SUMPRODUCT((rl_eff&lt;=$C3342)*(rl_key=$A$3316)*rl_ln1p))</f>
        <v/>
      </c>
      <c r="K3342" s="201">
        <f>COUNTIFS(rl_key,$A$3316,rl_eff,"&gt;="&amp;$B3342,rl_eff,"&lt;="&amp;$C3342)</f>
        <v/>
      </c>
      <c r="L3342" s="201">
        <f>SUMIFS(rl_daysafter,rl_key,$A$3316,rl_effmonth,$B3342,rl_first,1)</f>
        <v/>
      </c>
      <c r="M3342" s="209">
        <f>IF($K3342=0,0,MIN(1,$L3342/$D3342))</f>
        <v/>
      </c>
      <c r="N3342" s="208">
        <f>IF($K3342=0,$J3342,(1-$M3342)*$I3342+$M3342*$J3342)</f>
        <v/>
      </c>
      <c r="O3342" s="209">
        <f>IF($F3342&lt;$B$3317,$E$3317+$I$3317*($F3342-$A$3317),IF($F3342&lt;$C$3317,$F$3317+$J$3317*($F3342-$B$3317),$G$3317+$K$3317*($F3342-$C$3317)))</f>
        <v/>
      </c>
      <c r="P3342" s="208">
        <f>MIN(1,MAX(0,(nr_MEndPm1-$G3342+0.5)/$C$3316))-MIN(1,MAX(0,(nr_MStartPm1-1-$G3342+0.5)/$C$3316))</f>
        <v/>
      </c>
      <c r="Q3342" s="208">
        <f>MIN(1,MAX(0,(nr_MEndP-$G3342+0.5)/$C$3316))-MIN(1,MAX(0,(nr_MStartP-1-$G3342+0.5)/$C$3316))</f>
        <v/>
      </c>
      <c r="R3342" s="208">
        <f>MIN(1,MAX(0,(nr_MEndP1-$G3342+0.5)/$C$3316))-MIN(1,MAX(0,(nr_MStartP1-1-$G3342+0.5)/$C$3316))</f>
        <v/>
      </c>
      <c r="S3342" s="208">
        <f>IF($L$3316,$N3342*IF($O$3316=1,$O3342/$F$3316,1),"")</f>
        <v/>
      </c>
      <c r="T3342" s="208">
        <f>IF(NOT($L$3316),"",IF($G3342&lt;nr_MStartP,$S3342,$T3330*(1+IF($G3342&lt;nr_MStartP1,$M$3316,$N$3316))))</f>
        <v/>
      </c>
      <c r="U3342" s="208">
        <f>IF($L$3316,$T3342,$N3342)</f>
        <v/>
      </c>
    </row>
    <row r="3343">
      <c r="A3343" s="145" t="n">
        <v>25</v>
      </c>
      <c r="B3343" s="204">
        <f>EDATE($B3342,1)</f>
        <v/>
      </c>
      <c r="C3343" s="205">
        <f>EOMONTH($B3343,0)</f>
        <v/>
      </c>
      <c r="D3343" s="201">
        <f>$C3343-$B3343+1</f>
        <v/>
      </c>
      <c r="E3343" s="201">
        <f>MONTH($B3343)</f>
        <v/>
      </c>
      <c r="F3343" s="235">
        <f>($B3343+$C3343+1)/2</f>
        <v/>
      </c>
      <c r="G3343" s="201">
        <f>YEAR($B3343)*12+MONTH($B3343)-1</f>
        <v/>
      </c>
      <c r="H3343" s="207">
        <f>IF(OR(nr_SeasonOn="OFF",$D$3316=0,$E$3316=0),1,12*INDEX(se_block,$D$3316,$E3343)/$E$3316)</f>
        <v/>
      </c>
      <c r="I3343" s="208">
        <f>EXP(SUMPRODUCT((rl_eff&lt;$B3343)*(rl_key=$A$3316)*rl_ln1p))</f>
        <v/>
      </c>
      <c r="J3343" s="208">
        <f>EXP(SUMPRODUCT((rl_eff&lt;=$C3343)*(rl_key=$A$3316)*rl_ln1p))</f>
        <v/>
      </c>
      <c r="K3343" s="201">
        <f>COUNTIFS(rl_key,$A$3316,rl_eff,"&gt;="&amp;$B3343,rl_eff,"&lt;="&amp;$C3343)</f>
        <v/>
      </c>
      <c r="L3343" s="201">
        <f>SUMIFS(rl_daysafter,rl_key,$A$3316,rl_effmonth,$B3343,rl_first,1)</f>
        <v/>
      </c>
      <c r="M3343" s="209">
        <f>IF($K3343=0,0,MIN(1,$L3343/$D3343))</f>
        <v/>
      </c>
      <c r="N3343" s="208">
        <f>IF($K3343=0,$J3343,(1-$M3343)*$I3343+$M3343*$J3343)</f>
        <v/>
      </c>
      <c r="O3343" s="209">
        <f>IF($F3343&lt;$B$3317,$E$3317+$I$3317*($F3343-$A$3317),IF($F3343&lt;$C$3317,$F$3317+$J$3317*($F3343-$B$3317),$G$3317+$K$3317*($F3343-$C$3317)))</f>
        <v/>
      </c>
      <c r="P3343" s="208">
        <f>MIN(1,MAX(0,(nr_MEndPm1-$G3343+0.5)/$C$3316))-MIN(1,MAX(0,(nr_MStartPm1-1-$G3343+0.5)/$C$3316))</f>
        <v/>
      </c>
      <c r="Q3343" s="208">
        <f>MIN(1,MAX(0,(nr_MEndP-$G3343+0.5)/$C$3316))-MIN(1,MAX(0,(nr_MStartP-1-$G3343+0.5)/$C$3316))</f>
        <v/>
      </c>
      <c r="R3343" s="208">
        <f>MIN(1,MAX(0,(nr_MEndP1-$G3343+0.5)/$C$3316))-MIN(1,MAX(0,(nr_MStartP1-1-$G3343+0.5)/$C$3316))</f>
        <v/>
      </c>
      <c r="S3343" s="208">
        <f>IF($L$3316,$N3343*IF($O$3316=1,$O3343/$F$3316,1),"")</f>
        <v/>
      </c>
      <c r="T3343" s="208">
        <f>IF(NOT($L$3316),"",IF($G3343&lt;nr_MStartP,$S3343,$T3331*(1+IF($G3343&lt;nr_MStartP1,$M$3316,$N$3316))))</f>
        <v/>
      </c>
      <c r="U3343" s="208">
        <f>IF($L$3316,$T3343,$N3343)</f>
        <v/>
      </c>
    </row>
    <row r="3344">
      <c r="A3344" s="145" t="n">
        <v>26</v>
      </c>
      <c r="B3344" s="204">
        <f>EDATE($B3343,1)</f>
        <v/>
      </c>
      <c r="C3344" s="205">
        <f>EOMONTH($B3344,0)</f>
        <v/>
      </c>
      <c r="D3344" s="201">
        <f>$C3344-$B3344+1</f>
        <v/>
      </c>
      <c r="E3344" s="201">
        <f>MONTH($B3344)</f>
        <v/>
      </c>
      <c r="F3344" s="235">
        <f>($B3344+$C3344+1)/2</f>
        <v/>
      </c>
      <c r="G3344" s="201">
        <f>YEAR($B3344)*12+MONTH($B3344)-1</f>
        <v/>
      </c>
      <c r="H3344" s="207">
        <f>IF(OR(nr_SeasonOn="OFF",$D$3316=0,$E$3316=0),1,12*INDEX(se_block,$D$3316,$E3344)/$E$3316)</f>
        <v/>
      </c>
      <c r="I3344" s="208">
        <f>EXP(SUMPRODUCT((rl_eff&lt;$B3344)*(rl_key=$A$3316)*rl_ln1p))</f>
        <v/>
      </c>
      <c r="J3344" s="208">
        <f>EXP(SUMPRODUCT((rl_eff&lt;=$C3344)*(rl_key=$A$3316)*rl_ln1p))</f>
        <v/>
      </c>
      <c r="K3344" s="201">
        <f>COUNTIFS(rl_key,$A$3316,rl_eff,"&gt;="&amp;$B3344,rl_eff,"&lt;="&amp;$C3344)</f>
        <v/>
      </c>
      <c r="L3344" s="201">
        <f>SUMIFS(rl_daysafter,rl_key,$A$3316,rl_effmonth,$B3344,rl_first,1)</f>
        <v/>
      </c>
      <c r="M3344" s="209">
        <f>IF($K3344=0,0,MIN(1,$L3344/$D3344))</f>
        <v/>
      </c>
      <c r="N3344" s="208">
        <f>IF($K3344=0,$J3344,(1-$M3344)*$I3344+$M3344*$J3344)</f>
        <v/>
      </c>
      <c r="O3344" s="209">
        <f>IF($F3344&lt;$B$3317,$E$3317+$I$3317*($F3344-$A$3317),IF($F3344&lt;$C$3317,$F$3317+$J$3317*($F3344-$B$3317),$G$3317+$K$3317*($F3344-$C$3317)))</f>
        <v/>
      </c>
      <c r="P3344" s="208">
        <f>MIN(1,MAX(0,(nr_MEndPm1-$G3344+0.5)/$C$3316))-MIN(1,MAX(0,(nr_MStartPm1-1-$G3344+0.5)/$C$3316))</f>
        <v/>
      </c>
      <c r="Q3344" s="208">
        <f>MIN(1,MAX(0,(nr_MEndP-$G3344+0.5)/$C$3316))-MIN(1,MAX(0,(nr_MStartP-1-$G3344+0.5)/$C$3316))</f>
        <v/>
      </c>
      <c r="R3344" s="208">
        <f>MIN(1,MAX(0,(nr_MEndP1-$G3344+0.5)/$C$3316))-MIN(1,MAX(0,(nr_MStartP1-1-$G3344+0.5)/$C$3316))</f>
        <v/>
      </c>
      <c r="S3344" s="208">
        <f>IF($L$3316,$N3344*IF($O$3316=1,$O3344/$F$3316,1),"")</f>
        <v/>
      </c>
      <c r="T3344" s="208">
        <f>IF(NOT($L$3316),"",IF($G3344&lt;nr_MStartP,$S3344,$T3332*(1+IF($G3344&lt;nr_MStartP1,$M$3316,$N$3316))))</f>
        <v/>
      </c>
      <c r="U3344" s="208">
        <f>IF($L$3316,$T3344,$N3344)</f>
        <v/>
      </c>
    </row>
    <row r="3345">
      <c r="A3345" s="145" t="n">
        <v>27</v>
      </c>
      <c r="B3345" s="204">
        <f>EDATE($B3344,1)</f>
        <v/>
      </c>
      <c r="C3345" s="205">
        <f>EOMONTH($B3345,0)</f>
        <v/>
      </c>
      <c r="D3345" s="201">
        <f>$C3345-$B3345+1</f>
        <v/>
      </c>
      <c r="E3345" s="201">
        <f>MONTH($B3345)</f>
        <v/>
      </c>
      <c r="F3345" s="235">
        <f>($B3345+$C3345+1)/2</f>
        <v/>
      </c>
      <c r="G3345" s="201">
        <f>YEAR($B3345)*12+MONTH($B3345)-1</f>
        <v/>
      </c>
      <c r="H3345" s="207">
        <f>IF(OR(nr_SeasonOn="OFF",$D$3316=0,$E$3316=0),1,12*INDEX(se_block,$D$3316,$E3345)/$E$3316)</f>
        <v/>
      </c>
      <c r="I3345" s="208">
        <f>EXP(SUMPRODUCT((rl_eff&lt;$B3345)*(rl_key=$A$3316)*rl_ln1p))</f>
        <v/>
      </c>
      <c r="J3345" s="208">
        <f>EXP(SUMPRODUCT((rl_eff&lt;=$C3345)*(rl_key=$A$3316)*rl_ln1p))</f>
        <v/>
      </c>
      <c r="K3345" s="201">
        <f>COUNTIFS(rl_key,$A$3316,rl_eff,"&gt;="&amp;$B3345,rl_eff,"&lt;="&amp;$C3345)</f>
        <v/>
      </c>
      <c r="L3345" s="201">
        <f>SUMIFS(rl_daysafter,rl_key,$A$3316,rl_effmonth,$B3345,rl_first,1)</f>
        <v/>
      </c>
      <c r="M3345" s="209">
        <f>IF($K3345=0,0,MIN(1,$L3345/$D3345))</f>
        <v/>
      </c>
      <c r="N3345" s="208">
        <f>IF($K3345=0,$J3345,(1-$M3345)*$I3345+$M3345*$J3345)</f>
        <v/>
      </c>
      <c r="O3345" s="209">
        <f>IF($F3345&lt;$B$3317,$E$3317+$I$3317*($F3345-$A$3317),IF($F3345&lt;$C$3317,$F$3317+$J$3317*($F3345-$B$3317),$G$3317+$K$3317*($F3345-$C$3317)))</f>
        <v/>
      </c>
      <c r="P3345" s="208">
        <f>MIN(1,MAX(0,(nr_MEndPm1-$G3345+0.5)/$C$3316))-MIN(1,MAX(0,(nr_MStartPm1-1-$G3345+0.5)/$C$3316))</f>
        <v/>
      </c>
      <c r="Q3345" s="208">
        <f>MIN(1,MAX(0,(nr_MEndP-$G3345+0.5)/$C$3316))-MIN(1,MAX(0,(nr_MStartP-1-$G3345+0.5)/$C$3316))</f>
        <v/>
      </c>
      <c r="R3345" s="208">
        <f>MIN(1,MAX(0,(nr_MEndP1-$G3345+0.5)/$C$3316))-MIN(1,MAX(0,(nr_MStartP1-1-$G3345+0.5)/$C$3316))</f>
        <v/>
      </c>
      <c r="S3345" s="208">
        <f>IF($L$3316,$N3345*IF($O$3316=1,$O3345/$F$3316,1),"")</f>
        <v/>
      </c>
      <c r="T3345" s="208">
        <f>IF(NOT($L$3316),"",IF($G3345&lt;nr_MStartP,$S3345,$T3333*(1+IF($G3345&lt;nr_MStartP1,$M$3316,$N$3316))))</f>
        <v/>
      </c>
      <c r="U3345" s="208">
        <f>IF($L$3316,$T3345,$N3345)</f>
        <v/>
      </c>
    </row>
    <row r="3346">
      <c r="A3346" s="145" t="n">
        <v>28</v>
      </c>
      <c r="B3346" s="204">
        <f>EDATE($B3345,1)</f>
        <v/>
      </c>
      <c r="C3346" s="205">
        <f>EOMONTH($B3346,0)</f>
        <v/>
      </c>
      <c r="D3346" s="201">
        <f>$C3346-$B3346+1</f>
        <v/>
      </c>
      <c r="E3346" s="201">
        <f>MONTH($B3346)</f>
        <v/>
      </c>
      <c r="F3346" s="235">
        <f>($B3346+$C3346+1)/2</f>
        <v/>
      </c>
      <c r="G3346" s="201">
        <f>YEAR($B3346)*12+MONTH($B3346)-1</f>
        <v/>
      </c>
      <c r="H3346" s="207">
        <f>IF(OR(nr_SeasonOn="OFF",$D$3316=0,$E$3316=0),1,12*INDEX(se_block,$D$3316,$E3346)/$E$3316)</f>
        <v/>
      </c>
      <c r="I3346" s="208">
        <f>EXP(SUMPRODUCT((rl_eff&lt;$B3346)*(rl_key=$A$3316)*rl_ln1p))</f>
        <v/>
      </c>
      <c r="J3346" s="208">
        <f>EXP(SUMPRODUCT((rl_eff&lt;=$C3346)*(rl_key=$A$3316)*rl_ln1p))</f>
        <v/>
      </c>
      <c r="K3346" s="201">
        <f>COUNTIFS(rl_key,$A$3316,rl_eff,"&gt;="&amp;$B3346,rl_eff,"&lt;="&amp;$C3346)</f>
        <v/>
      </c>
      <c r="L3346" s="201">
        <f>SUMIFS(rl_daysafter,rl_key,$A$3316,rl_effmonth,$B3346,rl_first,1)</f>
        <v/>
      </c>
      <c r="M3346" s="209">
        <f>IF($K3346=0,0,MIN(1,$L3346/$D3346))</f>
        <v/>
      </c>
      <c r="N3346" s="208">
        <f>IF($K3346=0,$J3346,(1-$M3346)*$I3346+$M3346*$J3346)</f>
        <v/>
      </c>
      <c r="O3346" s="209">
        <f>IF($F3346&lt;$B$3317,$E$3317+$I$3317*($F3346-$A$3317),IF($F3346&lt;$C$3317,$F$3317+$J$3317*($F3346-$B$3317),$G$3317+$K$3317*($F3346-$C$3317)))</f>
        <v/>
      </c>
      <c r="P3346" s="208">
        <f>MIN(1,MAX(0,(nr_MEndPm1-$G3346+0.5)/$C$3316))-MIN(1,MAX(0,(nr_MStartPm1-1-$G3346+0.5)/$C$3316))</f>
        <v/>
      </c>
      <c r="Q3346" s="208">
        <f>MIN(1,MAX(0,(nr_MEndP-$G3346+0.5)/$C$3316))-MIN(1,MAX(0,(nr_MStartP-1-$G3346+0.5)/$C$3316))</f>
        <v/>
      </c>
      <c r="R3346" s="208">
        <f>MIN(1,MAX(0,(nr_MEndP1-$G3346+0.5)/$C$3316))-MIN(1,MAX(0,(nr_MStartP1-1-$G3346+0.5)/$C$3316))</f>
        <v/>
      </c>
      <c r="S3346" s="208">
        <f>IF($L$3316,$N3346*IF($O$3316=1,$O3346/$F$3316,1),"")</f>
        <v/>
      </c>
      <c r="T3346" s="208">
        <f>IF(NOT($L$3316),"",IF($G3346&lt;nr_MStartP,$S3346,$T3334*(1+IF($G3346&lt;nr_MStartP1,$M$3316,$N$3316))))</f>
        <v/>
      </c>
      <c r="U3346" s="208">
        <f>IF($L$3316,$T3346,$N3346)</f>
        <v/>
      </c>
    </row>
    <row r="3347">
      <c r="A3347" s="145" t="n">
        <v>29</v>
      </c>
      <c r="B3347" s="204">
        <f>EDATE($B3346,1)</f>
        <v/>
      </c>
      <c r="C3347" s="205">
        <f>EOMONTH($B3347,0)</f>
        <v/>
      </c>
      <c r="D3347" s="201">
        <f>$C3347-$B3347+1</f>
        <v/>
      </c>
      <c r="E3347" s="201">
        <f>MONTH($B3347)</f>
        <v/>
      </c>
      <c r="F3347" s="235">
        <f>($B3347+$C3347+1)/2</f>
        <v/>
      </c>
      <c r="G3347" s="201">
        <f>YEAR($B3347)*12+MONTH($B3347)-1</f>
        <v/>
      </c>
      <c r="H3347" s="207">
        <f>IF(OR(nr_SeasonOn="OFF",$D$3316=0,$E$3316=0),1,12*INDEX(se_block,$D$3316,$E3347)/$E$3316)</f>
        <v/>
      </c>
      <c r="I3347" s="208">
        <f>EXP(SUMPRODUCT((rl_eff&lt;$B3347)*(rl_key=$A$3316)*rl_ln1p))</f>
        <v/>
      </c>
      <c r="J3347" s="208">
        <f>EXP(SUMPRODUCT((rl_eff&lt;=$C3347)*(rl_key=$A$3316)*rl_ln1p))</f>
        <v/>
      </c>
      <c r="K3347" s="201">
        <f>COUNTIFS(rl_key,$A$3316,rl_eff,"&gt;="&amp;$B3347,rl_eff,"&lt;="&amp;$C3347)</f>
        <v/>
      </c>
      <c r="L3347" s="201">
        <f>SUMIFS(rl_daysafter,rl_key,$A$3316,rl_effmonth,$B3347,rl_first,1)</f>
        <v/>
      </c>
      <c r="M3347" s="209">
        <f>IF($K3347=0,0,MIN(1,$L3347/$D3347))</f>
        <v/>
      </c>
      <c r="N3347" s="208">
        <f>IF($K3347=0,$J3347,(1-$M3347)*$I3347+$M3347*$J3347)</f>
        <v/>
      </c>
      <c r="O3347" s="209">
        <f>IF($F3347&lt;$B$3317,$E$3317+$I$3317*($F3347-$A$3317),IF($F3347&lt;$C$3317,$F$3317+$J$3317*($F3347-$B$3317),$G$3317+$K$3317*($F3347-$C$3317)))</f>
        <v/>
      </c>
      <c r="P3347" s="208">
        <f>MIN(1,MAX(0,(nr_MEndPm1-$G3347+0.5)/$C$3316))-MIN(1,MAX(0,(nr_MStartPm1-1-$G3347+0.5)/$C$3316))</f>
        <v/>
      </c>
      <c r="Q3347" s="208">
        <f>MIN(1,MAX(0,(nr_MEndP-$G3347+0.5)/$C$3316))-MIN(1,MAX(0,(nr_MStartP-1-$G3347+0.5)/$C$3316))</f>
        <v/>
      </c>
      <c r="R3347" s="208">
        <f>MIN(1,MAX(0,(nr_MEndP1-$G3347+0.5)/$C$3316))-MIN(1,MAX(0,(nr_MStartP1-1-$G3347+0.5)/$C$3316))</f>
        <v/>
      </c>
      <c r="S3347" s="208">
        <f>IF($L$3316,$N3347*IF($O$3316=1,$O3347/$F$3316,1),"")</f>
        <v/>
      </c>
      <c r="T3347" s="208">
        <f>IF(NOT($L$3316),"",IF($G3347&lt;nr_MStartP,$S3347,$T3335*(1+IF($G3347&lt;nr_MStartP1,$M$3316,$N$3316))))</f>
        <v/>
      </c>
      <c r="U3347" s="208">
        <f>IF($L$3316,$T3347,$N3347)</f>
        <v/>
      </c>
    </row>
    <row r="3348">
      <c r="A3348" s="145" t="n">
        <v>30</v>
      </c>
      <c r="B3348" s="204">
        <f>EDATE($B3347,1)</f>
        <v/>
      </c>
      <c r="C3348" s="205">
        <f>EOMONTH($B3348,0)</f>
        <v/>
      </c>
      <c r="D3348" s="201">
        <f>$C3348-$B3348+1</f>
        <v/>
      </c>
      <c r="E3348" s="201">
        <f>MONTH($B3348)</f>
        <v/>
      </c>
      <c r="F3348" s="235">
        <f>($B3348+$C3348+1)/2</f>
        <v/>
      </c>
      <c r="G3348" s="201">
        <f>YEAR($B3348)*12+MONTH($B3348)-1</f>
        <v/>
      </c>
      <c r="H3348" s="207">
        <f>IF(OR(nr_SeasonOn="OFF",$D$3316=0,$E$3316=0),1,12*INDEX(se_block,$D$3316,$E3348)/$E$3316)</f>
        <v/>
      </c>
      <c r="I3348" s="208">
        <f>EXP(SUMPRODUCT((rl_eff&lt;$B3348)*(rl_key=$A$3316)*rl_ln1p))</f>
        <v/>
      </c>
      <c r="J3348" s="208">
        <f>EXP(SUMPRODUCT((rl_eff&lt;=$C3348)*(rl_key=$A$3316)*rl_ln1p))</f>
        <v/>
      </c>
      <c r="K3348" s="201">
        <f>COUNTIFS(rl_key,$A$3316,rl_eff,"&gt;="&amp;$B3348,rl_eff,"&lt;="&amp;$C3348)</f>
        <v/>
      </c>
      <c r="L3348" s="201">
        <f>SUMIFS(rl_daysafter,rl_key,$A$3316,rl_effmonth,$B3348,rl_first,1)</f>
        <v/>
      </c>
      <c r="M3348" s="209">
        <f>IF($K3348=0,0,MIN(1,$L3348/$D3348))</f>
        <v/>
      </c>
      <c r="N3348" s="208">
        <f>IF($K3348=0,$J3348,(1-$M3348)*$I3348+$M3348*$J3348)</f>
        <v/>
      </c>
      <c r="O3348" s="209">
        <f>IF($F3348&lt;$B$3317,$E$3317+$I$3317*($F3348-$A$3317),IF($F3348&lt;$C$3317,$F$3317+$J$3317*($F3348-$B$3317),$G$3317+$K$3317*($F3348-$C$3317)))</f>
        <v/>
      </c>
      <c r="P3348" s="208">
        <f>MIN(1,MAX(0,(nr_MEndPm1-$G3348+0.5)/$C$3316))-MIN(1,MAX(0,(nr_MStartPm1-1-$G3348+0.5)/$C$3316))</f>
        <v/>
      </c>
      <c r="Q3348" s="208">
        <f>MIN(1,MAX(0,(nr_MEndP-$G3348+0.5)/$C$3316))-MIN(1,MAX(0,(nr_MStartP-1-$G3348+0.5)/$C$3316))</f>
        <v/>
      </c>
      <c r="R3348" s="208">
        <f>MIN(1,MAX(0,(nr_MEndP1-$G3348+0.5)/$C$3316))-MIN(1,MAX(0,(nr_MStartP1-1-$G3348+0.5)/$C$3316))</f>
        <v/>
      </c>
      <c r="S3348" s="208">
        <f>IF($L$3316,$N3348*IF($O$3316=1,$O3348/$F$3316,1),"")</f>
        <v/>
      </c>
      <c r="T3348" s="208">
        <f>IF(NOT($L$3316),"",IF($G3348&lt;nr_MStartP,$S3348,$T3336*(1+IF($G3348&lt;nr_MStartP1,$M$3316,$N$3316))))</f>
        <v/>
      </c>
      <c r="U3348" s="208">
        <f>IF($L$3316,$T3348,$N3348)</f>
        <v/>
      </c>
    </row>
    <row r="3349">
      <c r="A3349" s="145" t="n">
        <v>31</v>
      </c>
      <c r="B3349" s="204">
        <f>EDATE($B3348,1)</f>
        <v/>
      </c>
      <c r="C3349" s="205">
        <f>EOMONTH($B3349,0)</f>
        <v/>
      </c>
      <c r="D3349" s="201">
        <f>$C3349-$B3349+1</f>
        <v/>
      </c>
      <c r="E3349" s="201">
        <f>MONTH($B3349)</f>
        <v/>
      </c>
      <c r="F3349" s="235">
        <f>($B3349+$C3349+1)/2</f>
        <v/>
      </c>
      <c r="G3349" s="201">
        <f>YEAR($B3349)*12+MONTH($B3349)-1</f>
        <v/>
      </c>
      <c r="H3349" s="207">
        <f>IF(OR(nr_SeasonOn="OFF",$D$3316=0,$E$3316=0),1,12*INDEX(se_block,$D$3316,$E3349)/$E$3316)</f>
        <v/>
      </c>
      <c r="I3349" s="208">
        <f>EXP(SUMPRODUCT((rl_eff&lt;$B3349)*(rl_key=$A$3316)*rl_ln1p))</f>
        <v/>
      </c>
      <c r="J3349" s="208">
        <f>EXP(SUMPRODUCT((rl_eff&lt;=$C3349)*(rl_key=$A$3316)*rl_ln1p))</f>
        <v/>
      </c>
      <c r="K3349" s="201">
        <f>COUNTIFS(rl_key,$A$3316,rl_eff,"&gt;="&amp;$B3349,rl_eff,"&lt;="&amp;$C3349)</f>
        <v/>
      </c>
      <c r="L3349" s="201">
        <f>SUMIFS(rl_daysafter,rl_key,$A$3316,rl_effmonth,$B3349,rl_first,1)</f>
        <v/>
      </c>
      <c r="M3349" s="209">
        <f>IF($K3349=0,0,MIN(1,$L3349/$D3349))</f>
        <v/>
      </c>
      <c r="N3349" s="208">
        <f>IF($K3349=0,$J3349,(1-$M3349)*$I3349+$M3349*$J3349)</f>
        <v/>
      </c>
      <c r="O3349" s="209">
        <f>IF($F3349&lt;$B$3317,$E$3317+$I$3317*($F3349-$A$3317),IF($F3349&lt;$C$3317,$F$3317+$J$3317*($F3349-$B$3317),$G$3317+$K$3317*($F3349-$C$3317)))</f>
        <v/>
      </c>
      <c r="P3349" s="208">
        <f>MIN(1,MAX(0,(nr_MEndPm1-$G3349+0.5)/$C$3316))-MIN(1,MAX(0,(nr_MStartPm1-1-$G3349+0.5)/$C$3316))</f>
        <v/>
      </c>
      <c r="Q3349" s="208">
        <f>MIN(1,MAX(0,(nr_MEndP-$G3349+0.5)/$C$3316))-MIN(1,MAX(0,(nr_MStartP-1-$G3349+0.5)/$C$3316))</f>
        <v/>
      </c>
      <c r="R3349" s="208">
        <f>MIN(1,MAX(0,(nr_MEndP1-$G3349+0.5)/$C$3316))-MIN(1,MAX(0,(nr_MStartP1-1-$G3349+0.5)/$C$3316))</f>
        <v/>
      </c>
      <c r="S3349" s="208">
        <f>IF($L$3316,$N3349*IF($O$3316=1,$O3349/$F$3316,1),"")</f>
        <v/>
      </c>
      <c r="T3349" s="208">
        <f>IF(NOT($L$3316),"",IF($G3349&lt;nr_MStartP,$S3349,$T3337*(1+IF($G3349&lt;nr_MStartP1,$M$3316,$N$3316))))</f>
        <v/>
      </c>
      <c r="U3349" s="208">
        <f>IF($L$3316,$T3349,$N3349)</f>
        <v/>
      </c>
    </row>
    <row r="3350">
      <c r="A3350" s="145" t="n">
        <v>32</v>
      </c>
      <c r="B3350" s="204">
        <f>EDATE($B3349,1)</f>
        <v/>
      </c>
      <c r="C3350" s="205">
        <f>EOMONTH($B3350,0)</f>
        <v/>
      </c>
      <c r="D3350" s="201">
        <f>$C3350-$B3350+1</f>
        <v/>
      </c>
      <c r="E3350" s="201">
        <f>MONTH($B3350)</f>
        <v/>
      </c>
      <c r="F3350" s="235">
        <f>($B3350+$C3350+1)/2</f>
        <v/>
      </c>
      <c r="G3350" s="201">
        <f>YEAR($B3350)*12+MONTH($B3350)-1</f>
        <v/>
      </c>
      <c r="H3350" s="207">
        <f>IF(OR(nr_SeasonOn="OFF",$D$3316=0,$E$3316=0),1,12*INDEX(se_block,$D$3316,$E3350)/$E$3316)</f>
        <v/>
      </c>
      <c r="I3350" s="208">
        <f>EXP(SUMPRODUCT((rl_eff&lt;$B3350)*(rl_key=$A$3316)*rl_ln1p))</f>
        <v/>
      </c>
      <c r="J3350" s="208">
        <f>EXP(SUMPRODUCT((rl_eff&lt;=$C3350)*(rl_key=$A$3316)*rl_ln1p))</f>
        <v/>
      </c>
      <c r="K3350" s="201">
        <f>COUNTIFS(rl_key,$A$3316,rl_eff,"&gt;="&amp;$B3350,rl_eff,"&lt;="&amp;$C3350)</f>
        <v/>
      </c>
      <c r="L3350" s="201">
        <f>SUMIFS(rl_daysafter,rl_key,$A$3316,rl_effmonth,$B3350,rl_first,1)</f>
        <v/>
      </c>
      <c r="M3350" s="209">
        <f>IF($K3350=0,0,MIN(1,$L3350/$D3350))</f>
        <v/>
      </c>
      <c r="N3350" s="208">
        <f>IF($K3350=0,$J3350,(1-$M3350)*$I3350+$M3350*$J3350)</f>
        <v/>
      </c>
      <c r="O3350" s="209">
        <f>IF($F3350&lt;$B$3317,$E$3317+$I$3317*($F3350-$A$3317),IF($F3350&lt;$C$3317,$F$3317+$J$3317*($F3350-$B$3317),$G$3317+$K$3317*($F3350-$C$3317)))</f>
        <v/>
      </c>
      <c r="P3350" s="208">
        <f>MIN(1,MAX(0,(nr_MEndPm1-$G3350+0.5)/$C$3316))-MIN(1,MAX(0,(nr_MStartPm1-1-$G3350+0.5)/$C$3316))</f>
        <v/>
      </c>
      <c r="Q3350" s="208">
        <f>MIN(1,MAX(0,(nr_MEndP-$G3350+0.5)/$C$3316))-MIN(1,MAX(0,(nr_MStartP-1-$G3350+0.5)/$C$3316))</f>
        <v/>
      </c>
      <c r="R3350" s="208">
        <f>MIN(1,MAX(0,(nr_MEndP1-$G3350+0.5)/$C$3316))-MIN(1,MAX(0,(nr_MStartP1-1-$G3350+0.5)/$C$3316))</f>
        <v/>
      </c>
      <c r="S3350" s="208">
        <f>IF($L$3316,$N3350*IF($O$3316=1,$O3350/$F$3316,1),"")</f>
        <v/>
      </c>
      <c r="T3350" s="208">
        <f>IF(NOT($L$3316),"",IF($G3350&lt;nr_MStartP,$S3350,$T3338*(1+IF($G3350&lt;nr_MStartP1,$M$3316,$N$3316))))</f>
        <v/>
      </c>
      <c r="U3350" s="208">
        <f>IF($L$3316,$T3350,$N3350)</f>
        <v/>
      </c>
    </row>
    <row r="3351">
      <c r="A3351" s="145" t="n">
        <v>33</v>
      </c>
      <c r="B3351" s="204">
        <f>EDATE($B3350,1)</f>
        <v/>
      </c>
      <c r="C3351" s="205">
        <f>EOMONTH($B3351,0)</f>
        <v/>
      </c>
      <c r="D3351" s="201">
        <f>$C3351-$B3351+1</f>
        <v/>
      </c>
      <c r="E3351" s="201">
        <f>MONTH($B3351)</f>
        <v/>
      </c>
      <c r="F3351" s="235">
        <f>($B3351+$C3351+1)/2</f>
        <v/>
      </c>
      <c r="G3351" s="201">
        <f>YEAR($B3351)*12+MONTH($B3351)-1</f>
        <v/>
      </c>
      <c r="H3351" s="207">
        <f>IF(OR(nr_SeasonOn="OFF",$D$3316=0,$E$3316=0),1,12*INDEX(se_block,$D$3316,$E3351)/$E$3316)</f>
        <v/>
      </c>
      <c r="I3351" s="208">
        <f>EXP(SUMPRODUCT((rl_eff&lt;$B3351)*(rl_key=$A$3316)*rl_ln1p))</f>
        <v/>
      </c>
      <c r="J3351" s="208">
        <f>EXP(SUMPRODUCT((rl_eff&lt;=$C3351)*(rl_key=$A$3316)*rl_ln1p))</f>
        <v/>
      </c>
      <c r="K3351" s="201">
        <f>COUNTIFS(rl_key,$A$3316,rl_eff,"&gt;="&amp;$B3351,rl_eff,"&lt;="&amp;$C3351)</f>
        <v/>
      </c>
      <c r="L3351" s="201">
        <f>SUMIFS(rl_daysafter,rl_key,$A$3316,rl_effmonth,$B3351,rl_first,1)</f>
        <v/>
      </c>
      <c r="M3351" s="209">
        <f>IF($K3351=0,0,MIN(1,$L3351/$D3351))</f>
        <v/>
      </c>
      <c r="N3351" s="208">
        <f>IF($K3351=0,$J3351,(1-$M3351)*$I3351+$M3351*$J3351)</f>
        <v/>
      </c>
      <c r="O3351" s="209">
        <f>IF($F3351&lt;$B$3317,$E$3317+$I$3317*($F3351-$A$3317),IF($F3351&lt;$C$3317,$F$3317+$J$3317*($F3351-$B$3317),$G$3317+$K$3317*($F3351-$C$3317)))</f>
        <v/>
      </c>
      <c r="P3351" s="208">
        <f>MIN(1,MAX(0,(nr_MEndPm1-$G3351+0.5)/$C$3316))-MIN(1,MAX(0,(nr_MStartPm1-1-$G3351+0.5)/$C$3316))</f>
        <v/>
      </c>
      <c r="Q3351" s="208">
        <f>MIN(1,MAX(0,(nr_MEndP-$G3351+0.5)/$C$3316))-MIN(1,MAX(0,(nr_MStartP-1-$G3351+0.5)/$C$3316))</f>
        <v/>
      </c>
      <c r="R3351" s="208">
        <f>MIN(1,MAX(0,(nr_MEndP1-$G3351+0.5)/$C$3316))-MIN(1,MAX(0,(nr_MStartP1-1-$G3351+0.5)/$C$3316))</f>
        <v/>
      </c>
      <c r="S3351" s="208">
        <f>IF($L$3316,$N3351*IF($O$3316=1,$O3351/$F$3316,1),"")</f>
        <v/>
      </c>
      <c r="T3351" s="208">
        <f>IF(NOT($L$3316),"",IF($G3351&lt;nr_MStartP,$S3351,$T3339*(1+IF($G3351&lt;nr_MStartP1,$M$3316,$N$3316))))</f>
        <v/>
      </c>
      <c r="U3351" s="208">
        <f>IF($L$3316,$T3351,$N3351)</f>
        <v/>
      </c>
    </row>
    <row r="3352">
      <c r="A3352" s="145" t="n">
        <v>34</v>
      </c>
      <c r="B3352" s="204">
        <f>EDATE($B3351,1)</f>
        <v/>
      </c>
      <c r="C3352" s="205">
        <f>EOMONTH($B3352,0)</f>
        <v/>
      </c>
      <c r="D3352" s="201">
        <f>$C3352-$B3352+1</f>
        <v/>
      </c>
      <c r="E3352" s="201">
        <f>MONTH($B3352)</f>
        <v/>
      </c>
      <c r="F3352" s="235">
        <f>($B3352+$C3352+1)/2</f>
        <v/>
      </c>
      <c r="G3352" s="201">
        <f>YEAR($B3352)*12+MONTH($B3352)-1</f>
        <v/>
      </c>
      <c r="H3352" s="207">
        <f>IF(OR(nr_SeasonOn="OFF",$D$3316=0,$E$3316=0),1,12*INDEX(se_block,$D$3316,$E3352)/$E$3316)</f>
        <v/>
      </c>
      <c r="I3352" s="208">
        <f>EXP(SUMPRODUCT((rl_eff&lt;$B3352)*(rl_key=$A$3316)*rl_ln1p))</f>
        <v/>
      </c>
      <c r="J3352" s="208">
        <f>EXP(SUMPRODUCT((rl_eff&lt;=$C3352)*(rl_key=$A$3316)*rl_ln1p))</f>
        <v/>
      </c>
      <c r="K3352" s="201">
        <f>COUNTIFS(rl_key,$A$3316,rl_eff,"&gt;="&amp;$B3352,rl_eff,"&lt;="&amp;$C3352)</f>
        <v/>
      </c>
      <c r="L3352" s="201">
        <f>SUMIFS(rl_daysafter,rl_key,$A$3316,rl_effmonth,$B3352,rl_first,1)</f>
        <v/>
      </c>
      <c r="M3352" s="209">
        <f>IF($K3352=0,0,MIN(1,$L3352/$D3352))</f>
        <v/>
      </c>
      <c r="N3352" s="208">
        <f>IF($K3352=0,$J3352,(1-$M3352)*$I3352+$M3352*$J3352)</f>
        <v/>
      </c>
      <c r="O3352" s="209">
        <f>IF($F3352&lt;$B$3317,$E$3317+$I$3317*($F3352-$A$3317),IF($F3352&lt;$C$3317,$F$3317+$J$3317*($F3352-$B$3317),$G$3317+$K$3317*($F3352-$C$3317)))</f>
        <v/>
      </c>
      <c r="P3352" s="208">
        <f>MIN(1,MAX(0,(nr_MEndPm1-$G3352+0.5)/$C$3316))-MIN(1,MAX(0,(nr_MStartPm1-1-$G3352+0.5)/$C$3316))</f>
        <v/>
      </c>
      <c r="Q3352" s="208">
        <f>MIN(1,MAX(0,(nr_MEndP-$G3352+0.5)/$C$3316))-MIN(1,MAX(0,(nr_MStartP-1-$G3352+0.5)/$C$3316))</f>
        <v/>
      </c>
      <c r="R3352" s="208">
        <f>MIN(1,MAX(0,(nr_MEndP1-$G3352+0.5)/$C$3316))-MIN(1,MAX(0,(nr_MStartP1-1-$G3352+0.5)/$C$3316))</f>
        <v/>
      </c>
      <c r="S3352" s="208">
        <f>IF($L$3316,$N3352*IF($O$3316=1,$O3352/$F$3316,1),"")</f>
        <v/>
      </c>
      <c r="T3352" s="208">
        <f>IF(NOT($L$3316),"",IF($G3352&lt;nr_MStartP,$S3352,$T3340*(1+IF($G3352&lt;nr_MStartP1,$M$3316,$N$3316))))</f>
        <v/>
      </c>
      <c r="U3352" s="208">
        <f>IF($L$3316,$T3352,$N3352)</f>
        <v/>
      </c>
    </row>
    <row r="3353">
      <c r="A3353" s="145" t="n">
        <v>35</v>
      </c>
      <c r="B3353" s="204">
        <f>EDATE($B3352,1)</f>
        <v/>
      </c>
      <c r="C3353" s="205">
        <f>EOMONTH($B3353,0)</f>
        <v/>
      </c>
      <c r="D3353" s="201">
        <f>$C3353-$B3353+1</f>
        <v/>
      </c>
      <c r="E3353" s="201">
        <f>MONTH($B3353)</f>
        <v/>
      </c>
      <c r="F3353" s="235">
        <f>($B3353+$C3353+1)/2</f>
        <v/>
      </c>
      <c r="G3353" s="201">
        <f>YEAR($B3353)*12+MONTH($B3353)-1</f>
        <v/>
      </c>
      <c r="H3353" s="207">
        <f>IF(OR(nr_SeasonOn="OFF",$D$3316=0,$E$3316=0),1,12*INDEX(se_block,$D$3316,$E3353)/$E$3316)</f>
        <v/>
      </c>
      <c r="I3353" s="208">
        <f>EXP(SUMPRODUCT((rl_eff&lt;$B3353)*(rl_key=$A$3316)*rl_ln1p))</f>
        <v/>
      </c>
      <c r="J3353" s="208">
        <f>EXP(SUMPRODUCT((rl_eff&lt;=$C3353)*(rl_key=$A$3316)*rl_ln1p))</f>
        <v/>
      </c>
      <c r="K3353" s="201">
        <f>COUNTIFS(rl_key,$A$3316,rl_eff,"&gt;="&amp;$B3353,rl_eff,"&lt;="&amp;$C3353)</f>
        <v/>
      </c>
      <c r="L3353" s="201">
        <f>SUMIFS(rl_daysafter,rl_key,$A$3316,rl_effmonth,$B3353,rl_first,1)</f>
        <v/>
      </c>
      <c r="M3353" s="209">
        <f>IF($K3353=0,0,MIN(1,$L3353/$D3353))</f>
        <v/>
      </c>
      <c r="N3353" s="208">
        <f>IF($K3353=0,$J3353,(1-$M3353)*$I3353+$M3353*$J3353)</f>
        <v/>
      </c>
      <c r="O3353" s="209">
        <f>IF($F3353&lt;$B$3317,$E$3317+$I$3317*($F3353-$A$3317),IF($F3353&lt;$C$3317,$F$3317+$J$3317*($F3353-$B$3317),$G$3317+$K$3317*($F3353-$C$3317)))</f>
        <v/>
      </c>
      <c r="P3353" s="208">
        <f>MIN(1,MAX(0,(nr_MEndPm1-$G3353+0.5)/$C$3316))-MIN(1,MAX(0,(nr_MStartPm1-1-$G3353+0.5)/$C$3316))</f>
        <v/>
      </c>
      <c r="Q3353" s="208">
        <f>MIN(1,MAX(0,(nr_MEndP-$G3353+0.5)/$C$3316))-MIN(1,MAX(0,(nr_MStartP-1-$G3353+0.5)/$C$3316))</f>
        <v/>
      </c>
      <c r="R3353" s="208">
        <f>MIN(1,MAX(0,(nr_MEndP1-$G3353+0.5)/$C$3316))-MIN(1,MAX(0,(nr_MStartP1-1-$G3353+0.5)/$C$3316))</f>
        <v/>
      </c>
      <c r="S3353" s="208">
        <f>IF($L$3316,$N3353*IF($O$3316=1,$O3353/$F$3316,1),"")</f>
        <v/>
      </c>
      <c r="T3353" s="208">
        <f>IF(NOT($L$3316),"",IF($G3353&lt;nr_MStartP,$S3353,$T3341*(1+IF($G3353&lt;nr_MStartP1,$M$3316,$N$3316))))</f>
        <v/>
      </c>
      <c r="U3353" s="208">
        <f>IF($L$3316,$T3353,$N3353)</f>
        <v/>
      </c>
    </row>
    <row r="3354">
      <c r="A3354" s="145" t="n">
        <v>36</v>
      </c>
      <c r="B3354" s="204">
        <f>EDATE($B3353,1)</f>
        <v/>
      </c>
      <c r="C3354" s="205">
        <f>EOMONTH($B3354,0)</f>
        <v/>
      </c>
      <c r="D3354" s="201">
        <f>$C3354-$B3354+1</f>
        <v/>
      </c>
      <c r="E3354" s="201">
        <f>MONTH($B3354)</f>
        <v/>
      </c>
      <c r="F3354" s="235">
        <f>($B3354+$C3354+1)/2</f>
        <v/>
      </c>
      <c r="G3354" s="201">
        <f>YEAR($B3354)*12+MONTH($B3354)-1</f>
        <v/>
      </c>
      <c r="H3354" s="207">
        <f>IF(OR(nr_SeasonOn="OFF",$D$3316=0,$E$3316=0),1,12*INDEX(se_block,$D$3316,$E3354)/$E$3316)</f>
        <v/>
      </c>
      <c r="I3354" s="208">
        <f>EXP(SUMPRODUCT((rl_eff&lt;$B3354)*(rl_key=$A$3316)*rl_ln1p))</f>
        <v/>
      </c>
      <c r="J3354" s="208">
        <f>EXP(SUMPRODUCT((rl_eff&lt;=$C3354)*(rl_key=$A$3316)*rl_ln1p))</f>
        <v/>
      </c>
      <c r="K3354" s="201">
        <f>COUNTIFS(rl_key,$A$3316,rl_eff,"&gt;="&amp;$B3354,rl_eff,"&lt;="&amp;$C3354)</f>
        <v/>
      </c>
      <c r="L3354" s="201">
        <f>SUMIFS(rl_daysafter,rl_key,$A$3316,rl_effmonth,$B3354,rl_first,1)</f>
        <v/>
      </c>
      <c r="M3354" s="209">
        <f>IF($K3354=0,0,MIN(1,$L3354/$D3354))</f>
        <v/>
      </c>
      <c r="N3354" s="208">
        <f>IF($K3354=0,$J3354,(1-$M3354)*$I3354+$M3354*$J3354)</f>
        <v/>
      </c>
      <c r="O3354" s="209">
        <f>IF($F3354&lt;$B$3317,$E$3317+$I$3317*($F3354-$A$3317),IF($F3354&lt;$C$3317,$F$3317+$J$3317*($F3354-$B$3317),$G$3317+$K$3317*($F3354-$C$3317)))</f>
        <v/>
      </c>
      <c r="P3354" s="208">
        <f>MIN(1,MAX(0,(nr_MEndPm1-$G3354+0.5)/$C$3316))-MIN(1,MAX(0,(nr_MStartPm1-1-$G3354+0.5)/$C$3316))</f>
        <v/>
      </c>
      <c r="Q3354" s="208">
        <f>MIN(1,MAX(0,(nr_MEndP-$G3354+0.5)/$C$3316))-MIN(1,MAX(0,(nr_MStartP-1-$G3354+0.5)/$C$3316))</f>
        <v/>
      </c>
      <c r="R3354" s="208">
        <f>MIN(1,MAX(0,(nr_MEndP1-$G3354+0.5)/$C$3316))-MIN(1,MAX(0,(nr_MStartP1-1-$G3354+0.5)/$C$3316))</f>
        <v/>
      </c>
      <c r="S3354" s="208">
        <f>IF($L$3316,$N3354*IF($O$3316=1,$O3354/$F$3316,1),"")</f>
        <v/>
      </c>
      <c r="T3354" s="208">
        <f>IF(NOT($L$3316),"",IF($G3354&lt;nr_MStartP,$S3354,$T3342*(1+IF($G3354&lt;nr_MStartP1,$M$3316,$N$3316))))</f>
        <v/>
      </c>
      <c r="U3354" s="208">
        <f>IF($L$3316,$T3354,$N3354)</f>
        <v/>
      </c>
    </row>
    <row r="3355">
      <c r="A3355" s="145" t="n">
        <v>37</v>
      </c>
      <c r="B3355" s="204">
        <f>EDATE($B3354,1)</f>
        <v/>
      </c>
      <c r="C3355" s="205">
        <f>EOMONTH($B3355,0)</f>
        <v/>
      </c>
      <c r="D3355" s="201">
        <f>$C3355-$B3355+1</f>
        <v/>
      </c>
      <c r="E3355" s="201">
        <f>MONTH($B3355)</f>
        <v/>
      </c>
      <c r="F3355" s="235">
        <f>($B3355+$C3355+1)/2</f>
        <v/>
      </c>
      <c r="G3355" s="201">
        <f>YEAR($B3355)*12+MONTH($B3355)-1</f>
        <v/>
      </c>
      <c r="H3355" s="207">
        <f>IF(OR(nr_SeasonOn="OFF",$D$3316=0,$E$3316=0),1,12*INDEX(se_block,$D$3316,$E3355)/$E$3316)</f>
        <v/>
      </c>
      <c r="I3355" s="208">
        <f>EXP(SUMPRODUCT((rl_eff&lt;$B3355)*(rl_key=$A$3316)*rl_ln1p))</f>
        <v/>
      </c>
      <c r="J3355" s="208">
        <f>EXP(SUMPRODUCT((rl_eff&lt;=$C3355)*(rl_key=$A$3316)*rl_ln1p))</f>
        <v/>
      </c>
      <c r="K3355" s="201">
        <f>COUNTIFS(rl_key,$A$3316,rl_eff,"&gt;="&amp;$B3355,rl_eff,"&lt;="&amp;$C3355)</f>
        <v/>
      </c>
      <c r="L3355" s="201">
        <f>SUMIFS(rl_daysafter,rl_key,$A$3316,rl_effmonth,$B3355,rl_first,1)</f>
        <v/>
      </c>
      <c r="M3355" s="209">
        <f>IF($K3355=0,0,MIN(1,$L3355/$D3355))</f>
        <v/>
      </c>
      <c r="N3355" s="208">
        <f>IF($K3355=0,$J3355,(1-$M3355)*$I3355+$M3355*$J3355)</f>
        <v/>
      </c>
      <c r="O3355" s="209">
        <f>IF($F3355&lt;$B$3317,$E$3317+$I$3317*($F3355-$A$3317),IF($F3355&lt;$C$3317,$F$3317+$J$3317*($F3355-$B$3317),$G$3317+$K$3317*($F3355-$C$3317)))</f>
        <v/>
      </c>
      <c r="P3355" s="208">
        <f>MIN(1,MAX(0,(nr_MEndPm1-$G3355+0.5)/$C$3316))-MIN(1,MAX(0,(nr_MStartPm1-1-$G3355+0.5)/$C$3316))</f>
        <v/>
      </c>
      <c r="Q3355" s="208">
        <f>MIN(1,MAX(0,(nr_MEndP-$G3355+0.5)/$C$3316))-MIN(1,MAX(0,(nr_MStartP-1-$G3355+0.5)/$C$3316))</f>
        <v/>
      </c>
      <c r="R3355" s="208">
        <f>MIN(1,MAX(0,(nr_MEndP1-$G3355+0.5)/$C$3316))-MIN(1,MAX(0,(nr_MStartP1-1-$G3355+0.5)/$C$3316))</f>
        <v/>
      </c>
      <c r="S3355" s="208">
        <f>IF($L$3316,$N3355*IF($O$3316=1,$O3355/$F$3316,1),"")</f>
        <v/>
      </c>
      <c r="T3355" s="208">
        <f>IF(NOT($L$3316),"",IF($G3355&lt;nr_MStartP,$S3355,$T3343*(1+IF($G3355&lt;nr_MStartP1,$M$3316,$N$3316))))</f>
        <v/>
      </c>
      <c r="U3355" s="208">
        <f>IF($L$3316,$T3355,$N3355)</f>
        <v/>
      </c>
    </row>
    <row r="3356">
      <c r="A3356" s="145" t="n">
        <v>38</v>
      </c>
      <c r="B3356" s="204">
        <f>EDATE($B3355,1)</f>
        <v/>
      </c>
      <c r="C3356" s="205">
        <f>EOMONTH($B3356,0)</f>
        <v/>
      </c>
      <c r="D3356" s="201">
        <f>$C3356-$B3356+1</f>
        <v/>
      </c>
      <c r="E3356" s="201">
        <f>MONTH($B3356)</f>
        <v/>
      </c>
      <c r="F3356" s="235">
        <f>($B3356+$C3356+1)/2</f>
        <v/>
      </c>
      <c r="G3356" s="201">
        <f>YEAR($B3356)*12+MONTH($B3356)-1</f>
        <v/>
      </c>
      <c r="H3356" s="207">
        <f>IF(OR(nr_SeasonOn="OFF",$D$3316=0,$E$3316=0),1,12*INDEX(se_block,$D$3316,$E3356)/$E$3316)</f>
        <v/>
      </c>
      <c r="I3356" s="208">
        <f>EXP(SUMPRODUCT((rl_eff&lt;$B3356)*(rl_key=$A$3316)*rl_ln1p))</f>
        <v/>
      </c>
      <c r="J3356" s="208">
        <f>EXP(SUMPRODUCT((rl_eff&lt;=$C3356)*(rl_key=$A$3316)*rl_ln1p))</f>
        <v/>
      </c>
      <c r="K3356" s="201">
        <f>COUNTIFS(rl_key,$A$3316,rl_eff,"&gt;="&amp;$B3356,rl_eff,"&lt;="&amp;$C3356)</f>
        <v/>
      </c>
      <c r="L3356" s="201">
        <f>SUMIFS(rl_daysafter,rl_key,$A$3316,rl_effmonth,$B3356,rl_first,1)</f>
        <v/>
      </c>
      <c r="M3356" s="209">
        <f>IF($K3356=0,0,MIN(1,$L3356/$D3356))</f>
        <v/>
      </c>
      <c r="N3356" s="208">
        <f>IF($K3356=0,$J3356,(1-$M3356)*$I3356+$M3356*$J3356)</f>
        <v/>
      </c>
      <c r="O3356" s="209">
        <f>IF($F3356&lt;$B$3317,$E$3317+$I$3317*($F3356-$A$3317),IF($F3356&lt;$C$3317,$F$3317+$J$3317*($F3356-$B$3317),$G$3317+$K$3317*($F3356-$C$3317)))</f>
        <v/>
      </c>
      <c r="P3356" s="208">
        <f>MIN(1,MAX(0,(nr_MEndPm1-$G3356+0.5)/$C$3316))-MIN(1,MAX(0,(nr_MStartPm1-1-$G3356+0.5)/$C$3316))</f>
        <v/>
      </c>
      <c r="Q3356" s="208">
        <f>MIN(1,MAX(0,(nr_MEndP-$G3356+0.5)/$C$3316))-MIN(1,MAX(0,(nr_MStartP-1-$G3356+0.5)/$C$3316))</f>
        <v/>
      </c>
      <c r="R3356" s="208">
        <f>MIN(1,MAX(0,(nr_MEndP1-$G3356+0.5)/$C$3316))-MIN(1,MAX(0,(nr_MStartP1-1-$G3356+0.5)/$C$3316))</f>
        <v/>
      </c>
      <c r="S3356" s="208">
        <f>IF($L$3316,$N3356*IF($O$3316=1,$O3356/$F$3316,1),"")</f>
        <v/>
      </c>
      <c r="T3356" s="208">
        <f>IF(NOT($L$3316),"",IF($G3356&lt;nr_MStartP,$S3356,$T3344*(1+IF($G3356&lt;nr_MStartP1,$M$3316,$N$3316))))</f>
        <v/>
      </c>
      <c r="U3356" s="208">
        <f>IF($L$3316,$T3356,$N3356)</f>
        <v/>
      </c>
    </row>
    <row r="3357">
      <c r="A3357" s="145" t="n">
        <v>39</v>
      </c>
      <c r="B3357" s="204">
        <f>EDATE($B3356,1)</f>
        <v/>
      </c>
      <c r="C3357" s="205">
        <f>EOMONTH($B3357,0)</f>
        <v/>
      </c>
      <c r="D3357" s="201">
        <f>$C3357-$B3357+1</f>
        <v/>
      </c>
      <c r="E3357" s="201">
        <f>MONTH($B3357)</f>
        <v/>
      </c>
      <c r="F3357" s="235">
        <f>($B3357+$C3357+1)/2</f>
        <v/>
      </c>
      <c r="G3357" s="201">
        <f>YEAR($B3357)*12+MONTH($B3357)-1</f>
        <v/>
      </c>
      <c r="H3357" s="207">
        <f>IF(OR(nr_SeasonOn="OFF",$D$3316=0,$E$3316=0),1,12*INDEX(se_block,$D$3316,$E3357)/$E$3316)</f>
        <v/>
      </c>
      <c r="I3357" s="208">
        <f>EXP(SUMPRODUCT((rl_eff&lt;$B3357)*(rl_key=$A$3316)*rl_ln1p))</f>
        <v/>
      </c>
      <c r="J3357" s="208">
        <f>EXP(SUMPRODUCT((rl_eff&lt;=$C3357)*(rl_key=$A$3316)*rl_ln1p))</f>
        <v/>
      </c>
      <c r="K3357" s="201">
        <f>COUNTIFS(rl_key,$A$3316,rl_eff,"&gt;="&amp;$B3357,rl_eff,"&lt;="&amp;$C3357)</f>
        <v/>
      </c>
      <c r="L3357" s="201">
        <f>SUMIFS(rl_daysafter,rl_key,$A$3316,rl_effmonth,$B3357,rl_first,1)</f>
        <v/>
      </c>
      <c r="M3357" s="209">
        <f>IF($K3357=0,0,MIN(1,$L3357/$D3357))</f>
        <v/>
      </c>
      <c r="N3357" s="208">
        <f>IF($K3357=0,$J3357,(1-$M3357)*$I3357+$M3357*$J3357)</f>
        <v/>
      </c>
      <c r="O3357" s="209">
        <f>IF($F3357&lt;$B$3317,$E$3317+$I$3317*($F3357-$A$3317),IF($F3357&lt;$C$3317,$F$3317+$J$3317*($F3357-$B$3317),$G$3317+$K$3317*($F3357-$C$3317)))</f>
        <v/>
      </c>
      <c r="P3357" s="208">
        <f>MIN(1,MAX(0,(nr_MEndPm1-$G3357+0.5)/$C$3316))-MIN(1,MAX(0,(nr_MStartPm1-1-$G3357+0.5)/$C$3316))</f>
        <v/>
      </c>
      <c r="Q3357" s="208">
        <f>MIN(1,MAX(0,(nr_MEndP-$G3357+0.5)/$C$3316))-MIN(1,MAX(0,(nr_MStartP-1-$G3357+0.5)/$C$3316))</f>
        <v/>
      </c>
      <c r="R3357" s="208">
        <f>MIN(1,MAX(0,(nr_MEndP1-$G3357+0.5)/$C$3316))-MIN(1,MAX(0,(nr_MStartP1-1-$G3357+0.5)/$C$3316))</f>
        <v/>
      </c>
      <c r="S3357" s="208">
        <f>IF($L$3316,$N3357*IF($O$3316=1,$O3357/$F$3316,1),"")</f>
        <v/>
      </c>
      <c r="T3357" s="208">
        <f>IF(NOT($L$3316),"",IF($G3357&lt;nr_MStartP,$S3357,$T3345*(1+IF($G3357&lt;nr_MStartP1,$M$3316,$N$3316))))</f>
        <v/>
      </c>
      <c r="U3357" s="208">
        <f>IF($L$3316,$T3357,$N3357)</f>
        <v/>
      </c>
    </row>
    <row r="3358">
      <c r="A3358" s="145" t="n">
        <v>40</v>
      </c>
      <c r="B3358" s="204">
        <f>EDATE($B3357,1)</f>
        <v/>
      </c>
      <c r="C3358" s="205">
        <f>EOMONTH($B3358,0)</f>
        <v/>
      </c>
      <c r="D3358" s="201">
        <f>$C3358-$B3358+1</f>
        <v/>
      </c>
      <c r="E3358" s="201">
        <f>MONTH($B3358)</f>
        <v/>
      </c>
      <c r="F3358" s="235">
        <f>($B3358+$C3358+1)/2</f>
        <v/>
      </c>
      <c r="G3358" s="201">
        <f>YEAR($B3358)*12+MONTH($B3358)-1</f>
        <v/>
      </c>
      <c r="H3358" s="207">
        <f>IF(OR(nr_SeasonOn="OFF",$D$3316=0,$E$3316=0),1,12*INDEX(se_block,$D$3316,$E3358)/$E$3316)</f>
        <v/>
      </c>
      <c r="I3358" s="208">
        <f>EXP(SUMPRODUCT((rl_eff&lt;$B3358)*(rl_key=$A$3316)*rl_ln1p))</f>
        <v/>
      </c>
      <c r="J3358" s="208">
        <f>EXP(SUMPRODUCT((rl_eff&lt;=$C3358)*(rl_key=$A$3316)*rl_ln1p))</f>
        <v/>
      </c>
      <c r="K3358" s="201">
        <f>COUNTIFS(rl_key,$A$3316,rl_eff,"&gt;="&amp;$B3358,rl_eff,"&lt;="&amp;$C3358)</f>
        <v/>
      </c>
      <c r="L3358" s="201">
        <f>SUMIFS(rl_daysafter,rl_key,$A$3316,rl_effmonth,$B3358,rl_first,1)</f>
        <v/>
      </c>
      <c r="M3358" s="209">
        <f>IF($K3358=0,0,MIN(1,$L3358/$D3358))</f>
        <v/>
      </c>
      <c r="N3358" s="208">
        <f>IF($K3358=0,$J3358,(1-$M3358)*$I3358+$M3358*$J3358)</f>
        <v/>
      </c>
      <c r="O3358" s="209">
        <f>IF($F3358&lt;$B$3317,$E$3317+$I$3317*($F3358-$A$3317),IF($F3358&lt;$C$3317,$F$3317+$J$3317*($F3358-$B$3317),$G$3317+$K$3317*($F3358-$C$3317)))</f>
        <v/>
      </c>
      <c r="P3358" s="208">
        <f>MIN(1,MAX(0,(nr_MEndPm1-$G3358+0.5)/$C$3316))-MIN(1,MAX(0,(nr_MStartPm1-1-$G3358+0.5)/$C$3316))</f>
        <v/>
      </c>
      <c r="Q3358" s="208">
        <f>MIN(1,MAX(0,(nr_MEndP-$G3358+0.5)/$C$3316))-MIN(1,MAX(0,(nr_MStartP-1-$G3358+0.5)/$C$3316))</f>
        <v/>
      </c>
      <c r="R3358" s="208">
        <f>MIN(1,MAX(0,(nr_MEndP1-$G3358+0.5)/$C$3316))-MIN(1,MAX(0,(nr_MStartP1-1-$G3358+0.5)/$C$3316))</f>
        <v/>
      </c>
      <c r="S3358" s="208">
        <f>IF($L$3316,$N3358*IF($O$3316=1,$O3358/$F$3316,1),"")</f>
        <v/>
      </c>
      <c r="T3358" s="208">
        <f>IF(NOT($L$3316),"",IF($G3358&lt;nr_MStartP,$S3358,$T3346*(1+IF($G3358&lt;nr_MStartP1,$M$3316,$N$3316))))</f>
        <v/>
      </c>
      <c r="U3358" s="208">
        <f>IF($L$3316,$T3358,$N3358)</f>
        <v/>
      </c>
    </row>
    <row r="3359">
      <c r="A3359" s="145" t="n">
        <v>41</v>
      </c>
      <c r="B3359" s="204">
        <f>EDATE($B3358,1)</f>
        <v/>
      </c>
      <c r="C3359" s="205">
        <f>EOMONTH($B3359,0)</f>
        <v/>
      </c>
      <c r="D3359" s="201">
        <f>$C3359-$B3359+1</f>
        <v/>
      </c>
      <c r="E3359" s="201">
        <f>MONTH($B3359)</f>
        <v/>
      </c>
      <c r="F3359" s="235">
        <f>($B3359+$C3359+1)/2</f>
        <v/>
      </c>
      <c r="G3359" s="201">
        <f>YEAR($B3359)*12+MONTH($B3359)-1</f>
        <v/>
      </c>
      <c r="H3359" s="207">
        <f>IF(OR(nr_SeasonOn="OFF",$D$3316=0,$E$3316=0),1,12*INDEX(se_block,$D$3316,$E3359)/$E$3316)</f>
        <v/>
      </c>
      <c r="I3359" s="208">
        <f>EXP(SUMPRODUCT((rl_eff&lt;$B3359)*(rl_key=$A$3316)*rl_ln1p))</f>
        <v/>
      </c>
      <c r="J3359" s="208">
        <f>EXP(SUMPRODUCT((rl_eff&lt;=$C3359)*(rl_key=$A$3316)*rl_ln1p))</f>
        <v/>
      </c>
      <c r="K3359" s="201">
        <f>COUNTIFS(rl_key,$A$3316,rl_eff,"&gt;="&amp;$B3359,rl_eff,"&lt;="&amp;$C3359)</f>
        <v/>
      </c>
      <c r="L3359" s="201">
        <f>SUMIFS(rl_daysafter,rl_key,$A$3316,rl_effmonth,$B3359,rl_first,1)</f>
        <v/>
      </c>
      <c r="M3359" s="209">
        <f>IF($K3359=0,0,MIN(1,$L3359/$D3359))</f>
        <v/>
      </c>
      <c r="N3359" s="208">
        <f>IF($K3359=0,$J3359,(1-$M3359)*$I3359+$M3359*$J3359)</f>
        <v/>
      </c>
      <c r="O3359" s="209">
        <f>IF($F3359&lt;$B$3317,$E$3317+$I$3317*($F3359-$A$3317),IF($F3359&lt;$C$3317,$F$3317+$J$3317*($F3359-$B$3317),$G$3317+$K$3317*($F3359-$C$3317)))</f>
        <v/>
      </c>
      <c r="P3359" s="208">
        <f>MIN(1,MAX(0,(nr_MEndPm1-$G3359+0.5)/$C$3316))-MIN(1,MAX(0,(nr_MStartPm1-1-$G3359+0.5)/$C$3316))</f>
        <v/>
      </c>
      <c r="Q3359" s="208">
        <f>MIN(1,MAX(0,(nr_MEndP-$G3359+0.5)/$C$3316))-MIN(1,MAX(0,(nr_MStartP-1-$G3359+0.5)/$C$3316))</f>
        <v/>
      </c>
      <c r="R3359" s="208">
        <f>MIN(1,MAX(0,(nr_MEndP1-$G3359+0.5)/$C$3316))-MIN(1,MAX(0,(nr_MStartP1-1-$G3359+0.5)/$C$3316))</f>
        <v/>
      </c>
      <c r="S3359" s="208">
        <f>IF($L$3316,$N3359*IF($O$3316=1,$O3359/$F$3316,1),"")</f>
        <v/>
      </c>
      <c r="T3359" s="208">
        <f>IF(NOT($L$3316),"",IF($G3359&lt;nr_MStartP,$S3359,$T3347*(1+IF($G3359&lt;nr_MStartP1,$M$3316,$N$3316))))</f>
        <v/>
      </c>
      <c r="U3359" s="208">
        <f>IF($L$3316,$T3359,$N3359)</f>
        <v/>
      </c>
    </row>
    <row r="3360">
      <c r="A3360" s="145" t="n">
        <v>42</v>
      </c>
      <c r="B3360" s="204">
        <f>EDATE($B3359,1)</f>
        <v/>
      </c>
      <c r="C3360" s="205">
        <f>EOMONTH($B3360,0)</f>
        <v/>
      </c>
      <c r="D3360" s="201">
        <f>$C3360-$B3360+1</f>
        <v/>
      </c>
      <c r="E3360" s="201">
        <f>MONTH($B3360)</f>
        <v/>
      </c>
      <c r="F3360" s="235">
        <f>($B3360+$C3360+1)/2</f>
        <v/>
      </c>
      <c r="G3360" s="201">
        <f>YEAR($B3360)*12+MONTH($B3360)-1</f>
        <v/>
      </c>
      <c r="H3360" s="207">
        <f>IF(OR(nr_SeasonOn="OFF",$D$3316=0,$E$3316=0),1,12*INDEX(se_block,$D$3316,$E3360)/$E$3316)</f>
        <v/>
      </c>
      <c r="I3360" s="208">
        <f>EXP(SUMPRODUCT((rl_eff&lt;$B3360)*(rl_key=$A$3316)*rl_ln1p))</f>
        <v/>
      </c>
      <c r="J3360" s="208">
        <f>EXP(SUMPRODUCT((rl_eff&lt;=$C3360)*(rl_key=$A$3316)*rl_ln1p))</f>
        <v/>
      </c>
      <c r="K3360" s="201">
        <f>COUNTIFS(rl_key,$A$3316,rl_eff,"&gt;="&amp;$B3360,rl_eff,"&lt;="&amp;$C3360)</f>
        <v/>
      </c>
      <c r="L3360" s="201">
        <f>SUMIFS(rl_daysafter,rl_key,$A$3316,rl_effmonth,$B3360,rl_first,1)</f>
        <v/>
      </c>
      <c r="M3360" s="209">
        <f>IF($K3360=0,0,MIN(1,$L3360/$D3360))</f>
        <v/>
      </c>
      <c r="N3360" s="208">
        <f>IF($K3360=0,$J3360,(1-$M3360)*$I3360+$M3360*$J3360)</f>
        <v/>
      </c>
      <c r="O3360" s="209">
        <f>IF($F3360&lt;$B$3317,$E$3317+$I$3317*($F3360-$A$3317),IF($F3360&lt;$C$3317,$F$3317+$J$3317*($F3360-$B$3317),$G$3317+$K$3317*($F3360-$C$3317)))</f>
        <v/>
      </c>
      <c r="P3360" s="208">
        <f>MIN(1,MAX(0,(nr_MEndPm1-$G3360+0.5)/$C$3316))-MIN(1,MAX(0,(nr_MStartPm1-1-$G3360+0.5)/$C$3316))</f>
        <v/>
      </c>
      <c r="Q3360" s="208">
        <f>MIN(1,MAX(0,(nr_MEndP-$G3360+0.5)/$C$3316))-MIN(1,MAX(0,(nr_MStartP-1-$G3360+0.5)/$C$3316))</f>
        <v/>
      </c>
      <c r="R3360" s="208">
        <f>MIN(1,MAX(0,(nr_MEndP1-$G3360+0.5)/$C$3316))-MIN(1,MAX(0,(nr_MStartP1-1-$G3360+0.5)/$C$3316))</f>
        <v/>
      </c>
      <c r="S3360" s="208">
        <f>IF($L$3316,$N3360*IF($O$3316=1,$O3360/$F$3316,1),"")</f>
        <v/>
      </c>
      <c r="T3360" s="208">
        <f>IF(NOT($L$3316),"",IF($G3360&lt;nr_MStartP,$S3360,$T3348*(1+IF($G3360&lt;nr_MStartP1,$M$3316,$N$3316))))</f>
        <v/>
      </c>
      <c r="U3360" s="208">
        <f>IF($L$3316,$T3360,$N3360)</f>
        <v/>
      </c>
    </row>
    <row r="3361">
      <c r="A3361" s="145" t="n">
        <v>43</v>
      </c>
      <c r="B3361" s="204">
        <f>EDATE($B3360,1)</f>
        <v/>
      </c>
      <c r="C3361" s="205">
        <f>EOMONTH($B3361,0)</f>
        <v/>
      </c>
      <c r="D3361" s="201">
        <f>$C3361-$B3361+1</f>
        <v/>
      </c>
      <c r="E3361" s="201">
        <f>MONTH($B3361)</f>
        <v/>
      </c>
      <c r="F3361" s="235">
        <f>($B3361+$C3361+1)/2</f>
        <v/>
      </c>
      <c r="G3361" s="201">
        <f>YEAR($B3361)*12+MONTH($B3361)-1</f>
        <v/>
      </c>
      <c r="H3361" s="207">
        <f>IF(OR(nr_SeasonOn="OFF",$D$3316=0,$E$3316=0),1,12*INDEX(se_block,$D$3316,$E3361)/$E$3316)</f>
        <v/>
      </c>
      <c r="I3361" s="208">
        <f>EXP(SUMPRODUCT((rl_eff&lt;$B3361)*(rl_key=$A$3316)*rl_ln1p))</f>
        <v/>
      </c>
      <c r="J3361" s="208">
        <f>EXP(SUMPRODUCT((rl_eff&lt;=$C3361)*(rl_key=$A$3316)*rl_ln1p))</f>
        <v/>
      </c>
      <c r="K3361" s="201">
        <f>COUNTIFS(rl_key,$A$3316,rl_eff,"&gt;="&amp;$B3361,rl_eff,"&lt;="&amp;$C3361)</f>
        <v/>
      </c>
      <c r="L3361" s="201">
        <f>SUMIFS(rl_daysafter,rl_key,$A$3316,rl_effmonth,$B3361,rl_first,1)</f>
        <v/>
      </c>
      <c r="M3361" s="209">
        <f>IF($K3361=0,0,MIN(1,$L3361/$D3361))</f>
        <v/>
      </c>
      <c r="N3361" s="208">
        <f>IF($K3361=0,$J3361,(1-$M3361)*$I3361+$M3361*$J3361)</f>
        <v/>
      </c>
      <c r="O3361" s="209">
        <f>IF($F3361&lt;$B$3317,$E$3317+$I$3317*($F3361-$A$3317),IF($F3361&lt;$C$3317,$F$3317+$J$3317*($F3361-$B$3317),$G$3317+$K$3317*($F3361-$C$3317)))</f>
        <v/>
      </c>
      <c r="P3361" s="208">
        <f>MIN(1,MAX(0,(nr_MEndPm1-$G3361+0.5)/$C$3316))-MIN(1,MAX(0,(nr_MStartPm1-1-$G3361+0.5)/$C$3316))</f>
        <v/>
      </c>
      <c r="Q3361" s="208">
        <f>MIN(1,MAX(0,(nr_MEndP-$G3361+0.5)/$C$3316))-MIN(1,MAX(0,(nr_MStartP-1-$G3361+0.5)/$C$3316))</f>
        <v/>
      </c>
      <c r="R3361" s="208">
        <f>MIN(1,MAX(0,(nr_MEndP1-$G3361+0.5)/$C$3316))-MIN(1,MAX(0,(nr_MStartP1-1-$G3361+0.5)/$C$3316))</f>
        <v/>
      </c>
      <c r="S3361" s="208">
        <f>IF($L$3316,$N3361*IF($O$3316=1,$O3361/$F$3316,1),"")</f>
        <v/>
      </c>
      <c r="T3361" s="208">
        <f>IF(NOT($L$3316),"",IF($G3361&lt;nr_MStartP,$S3361,$T3349*(1+IF($G3361&lt;nr_MStartP1,$M$3316,$N$3316))))</f>
        <v/>
      </c>
      <c r="U3361" s="208">
        <f>IF($L$3316,$T3361,$N3361)</f>
        <v/>
      </c>
    </row>
    <row r="3362">
      <c r="A3362" s="145" t="n">
        <v>44</v>
      </c>
      <c r="B3362" s="204">
        <f>EDATE($B3361,1)</f>
        <v/>
      </c>
      <c r="C3362" s="205">
        <f>EOMONTH($B3362,0)</f>
        <v/>
      </c>
      <c r="D3362" s="201">
        <f>$C3362-$B3362+1</f>
        <v/>
      </c>
      <c r="E3362" s="201">
        <f>MONTH($B3362)</f>
        <v/>
      </c>
      <c r="F3362" s="235">
        <f>($B3362+$C3362+1)/2</f>
        <v/>
      </c>
      <c r="G3362" s="201">
        <f>YEAR($B3362)*12+MONTH($B3362)-1</f>
        <v/>
      </c>
      <c r="H3362" s="207">
        <f>IF(OR(nr_SeasonOn="OFF",$D$3316=0,$E$3316=0),1,12*INDEX(se_block,$D$3316,$E3362)/$E$3316)</f>
        <v/>
      </c>
      <c r="I3362" s="208">
        <f>EXP(SUMPRODUCT((rl_eff&lt;$B3362)*(rl_key=$A$3316)*rl_ln1p))</f>
        <v/>
      </c>
      <c r="J3362" s="208">
        <f>EXP(SUMPRODUCT((rl_eff&lt;=$C3362)*(rl_key=$A$3316)*rl_ln1p))</f>
        <v/>
      </c>
      <c r="K3362" s="201">
        <f>COUNTIFS(rl_key,$A$3316,rl_eff,"&gt;="&amp;$B3362,rl_eff,"&lt;="&amp;$C3362)</f>
        <v/>
      </c>
      <c r="L3362" s="201">
        <f>SUMIFS(rl_daysafter,rl_key,$A$3316,rl_effmonth,$B3362,rl_first,1)</f>
        <v/>
      </c>
      <c r="M3362" s="209">
        <f>IF($K3362=0,0,MIN(1,$L3362/$D3362))</f>
        <v/>
      </c>
      <c r="N3362" s="208">
        <f>IF($K3362=0,$J3362,(1-$M3362)*$I3362+$M3362*$J3362)</f>
        <v/>
      </c>
      <c r="O3362" s="209">
        <f>IF($F3362&lt;$B$3317,$E$3317+$I$3317*($F3362-$A$3317),IF($F3362&lt;$C$3317,$F$3317+$J$3317*($F3362-$B$3317),$G$3317+$K$3317*($F3362-$C$3317)))</f>
        <v/>
      </c>
      <c r="P3362" s="208">
        <f>MIN(1,MAX(0,(nr_MEndPm1-$G3362+0.5)/$C$3316))-MIN(1,MAX(0,(nr_MStartPm1-1-$G3362+0.5)/$C$3316))</f>
        <v/>
      </c>
      <c r="Q3362" s="208">
        <f>MIN(1,MAX(0,(nr_MEndP-$G3362+0.5)/$C$3316))-MIN(1,MAX(0,(nr_MStartP-1-$G3362+0.5)/$C$3316))</f>
        <v/>
      </c>
      <c r="R3362" s="208">
        <f>MIN(1,MAX(0,(nr_MEndP1-$G3362+0.5)/$C$3316))-MIN(1,MAX(0,(nr_MStartP1-1-$G3362+0.5)/$C$3316))</f>
        <v/>
      </c>
      <c r="S3362" s="208">
        <f>IF($L$3316,$N3362*IF($O$3316=1,$O3362/$F$3316,1),"")</f>
        <v/>
      </c>
      <c r="T3362" s="208">
        <f>IF(NOT($L$3316),"",IF($G3362&lt;nr_MStartP,$S3362,$T3350*(1+IF($G3362&lt;nr_MStartP1,$M$3316,$N$3316))))</f>
        <v/>
      </c>
      <c r="U3362" s="208">
        <f>IF($L$3316,$T3362,$N3362)</f>
        <v/>
      </c>
    </row>
    <row r="3363">
      <c r="A3363" s="145" t="n">
        <v>45</v>
      </c>
      <c r="B3363" s="204">
        <f>EDATE($B3362,1)</f>
        <v/>
      </c>
      <c r="C3363" s="205">
        <f>EOMONTH($B3363,0)</f>
        <v/>
      </c>
      <c r="D3363" s="201">
        <f>$C3363-$B3363+1</f>
        <v/>
      </c>
      <c r="E3363" s="201">
        <f>MONTH($B3363)</f>
        <v/>
      </c>
      <c r="F3363" s="235">
        <f>($B3363+$C3363+1)/2</f>
        <v/>
      </c>
      <c r="G3363" s="201">
        <f>YEAR($B3363)*12+MONTH($B3363)-1</f>
        <v/>
      </c>
      <c r="H3363" s="207">
        <f>IF(OR(nr_SeasonOn="OFF",$D$3316=0,$E$3316=0),1,12*INDEX(se_block,$D$3316,$E3363)/$E$3316)</f>
        <v/>
      </c>
      <c r="I3363" s="208">
        <f>EXP(SUMPRODUCT((rl_eff&lt;$B3363)*(rl_key=$A$3316)*rl_ln1p))</f>
        <v/>
      </c>
      <c r="J3363" s="208">
        <f>EXP(SUMPRODUCT((rl_eff&lt;=$C3363)*(rl_key=$A$3316)*rl_ln1p))</f>
        <v/>
      </c>
      <c r="K3363" s="201">
        <f>COUNTIFS(rl_key,$A$3316,rl_eff,"&gt;="&amp;$B3363,rl_eff,"&lt;="&amp;$C3363)</f>
        <v/>
      </c>
      <c r="L3363" s="201">
        <f>SUMIFS(rl_daysafter,rl_key,$A$3316,rl_effmonth,$B3363,rl_first,1)</f>
        <v/>
      </c>
      <c r="M3363" s="209">
        <f>IF($K3363=0,0,MIN(1,$L3363/$D3363))</f>
        <v/>
      </c>
      <c r="N3363" s="208">
        <f>IF($K3363=0,$J3363,(1-$M3363)*$I3363+$M3363*$J3363)</f>
        <v/>
      </c>
      <c r="O3363" s="209">
        <f>IF($F3363&lt;$B$3317,$E$3317+$I$3317*($F3363-$A$3317),IF($F3363&lt;$C$3317,$F$3317+$J$3317*($F3363-$B$3317),$G$3317+$K$3317*($F3363-$C$3317)))</f>
        <v/>
      </c>
      <c r="P3363" s="208">
        <f>MIN(1,MAX(0,(nr_MEndPm1-$G3363+0.5)/$C$3316))-MIN(1,MAX(0,(nr_MStartPm1-1-$G3363+0.5)/$C$3316))</f>
        <v/>
      </c>
      <c r="Q3363" s="208">
        <f>MIN(1,MAX(0,(nr_MEndP-$G3363+0.5)/$C$3316))-MIN(1,MAX(0,(nr_MStartP-1-$G3363+0.5)/$C$3316))</f>
        <v/>
      </c>
      <c r="R3363" s="208">
        <f>MIN(1,MAX(0,(nr_MEndP1-$G3363+0.5)/$C$3316))-MIN(1,MAX(0,(nr_MStartP1-1-$G3363+0.5)/$C$3316))</f>
        <v/>
      </c>
      <c r="S3363" s="208">
        <f>IF($L$3316,$N3363*IF($O$3316=1,$O3363/$F$3316,1),"")</f>
        <v/>
      </c>
      <c r="T3363" s="208">
        <f>IF(NOT($L$3316),"",IF($G3363&lt;nr_MStartP,$S3363,$T3351*(1+IF($G3363&lt;nr_MStartP1,$M$3316,$N$3316))))</f>
        <v/>
      </c>
      <c r="U3363" s="208">
        <f>IF($L$3316,$T3363,$N3363)</f>
        <v/>
      </c>
    </row>
    <row r="3364">
      <c r="A3364" s="145" t="n">
        <v>46</v>
      </c>
      <c r="B3364" s="204">
        <f>EDATE($B3363,1)</f>
        <v/>
      </c>
      <c r="C3364" s="205">
        <f>EOMONTH($B3364,0)</f>
        <v/>
      </c>
      <c r="D3364" s="201">
        <f>$C3364-$B3364+1</f>
        <v/>
      </c>
      <c r="E3364" s="201">
        <f>MONTH($B3364)</f>
        <v/>
      </c>
      <c r="F3364" s="235">
        <f>($B3364+$C3364+1)/2</f>
        <v/>
      </c>
      <c r="G3364" s="201">
        <f>YEAR($B3364)*12+MONTH($B3364)-1</f>
        <v/>
      </c>
      <c r="H3364" s="207">
        <f>IF(OR(nr_SeasonOn="OFF",$D$3316=0,$E$3316=0),1,12*INDEX(se_block,$D$3316,$E3364)/$E$3316)</f>
        <v/>
      </c>
      <c r="I3364" s="208">
        <f>EXP(SUMPRODUCT((rl_eff&lt;$B3364)*(rl_key=$A$3316)*rl_ln1p))</f>
        <v/>
      </c>
      <c r="J3364" s="208">
        <f>EXP(SUMPRODUCT((rl_eff&lt;=$C3364)*(rl_key=$A$3316)*rl_ln1p))</f>
        <v/>
      </c>
      <c r="K3364" s="201">
        <f>COUNTIFS(rl_key,$A$3316,rl_eff,"&gt;="&amp;$B3364,rl_eff,"&lt;="&amp;$C3364)</f>
        <v/>
      </c>
      <c r="L3364" s="201">
        <f>SUMIFS(rl_daysafter,rl_key,$A$3316,rl_effmonth,$B3364,rl_first,1)</f>
        <v/>
      </c>
      <c r="M3364" s="209">
        <f>IF($K3364=0,0,MIN(1,$L3364/$D3364))</f>
        <v/>
      </c>
      <c r="N3364" s="208">
        <f>IF($K3364=0,$J3364,(1-$M3364)*$I3364+$M3364*$J3364)</f>
        <v/>
      </c>
      <c r="O3364" s="209">
        <f>IF($F3364&lt;$B$3317,$E$3317+$I$3317*($F3364-$A$3317),IF($F3364&lt;$C$3317,$F$3317+$J$3317*($F3364-$B$3317),$G$3317+$K$3317*($F3364-$C$3317)))</f>
        <v/>
      </c>
      <c r="P3364" s="208">
        <f>MIN(1,MAX(0,(nr_MEndPm1-$G3364+0.5)/$C$3316))-MIN(1,MAX(0,(nr_MStartPm1-1-$G3364+0.5)/$C$3316))</f>
        <v/>
      </c>
      <c r="Q3364" s="208">
        <f>MIN(1,MAX(0,(nr_MEndP-$G3364+0.5)/$C$3316))-MIN(1,MAX(0,(nr_MStartP-1-$G3364+0.5)/$C$3316))</f>
        <v/>
      </c>
      <c r="R3364" s="208">
        <f>MIN(1,MAX(0,(nr_MEndP1-$G3364+0.5)/$C$3316))-MIN(1,MAX(0,(nr_MStartP1-1-$G3364+0.5)/$C$3316))</f>
        <v/>
      </c>
      <c r="S3364" s="208">
        <f>IF($L$3316,$N3364*IF($O$3316=1,$O3364/$F$3316,1),"")</f>
        <v/>
      </c>
      <c r="T3364" s="208">
        <f>IF(NOT($L$3316),"",IF($G3364&lt;nr_MStartP,$S3364,$T3352*(1+IF($G3364&lt;nr_MStartP1,$M$3316,$N$3316))))</f>
        <v/>
      </c>
      <c r="U3364" s="208">
        <f>IF($L$3316,$T3364,$N3364)</f>
        <v/>
      </c>
    </row>
    <row r="3365">
      <c r="A3365" s="145" t="n">
        <v>47</v>
      </c>
      <c r="B3365" s="204">
        <f>EDATE($B3364,1)</f>
        <v/>
      </c>
      <c r="C3365" s="205">
        <f>EOMONTH($B3365,0)</f>
        <v/>
      </c>
      <c r="D3365" s="201">
        <f>$C3365-$B3365+1</f>
        <v/>
      </c>
      <c r="E3365" s="201">
        <f>MONTH($B3365)</f>
        <v/>
      </c>
      <c r="F3365" s="235">
        <f>($B3365+$C3365+1)/2</f>
        <v/>
      </c>
      <c r="G3365" s="201">
        <f>YEAR($B3365)*12+MONTH($B3365)-1</f>
        <v/>
      </c>
      <c r="H3365" s="207">
        <f>IF(OR(nr_SeasonOn="OFF",$D$3316=0,$E$3316=0),1,12*INDEX(se_block,$D$3316,$E3365)/$E$3316)</f>
        <v/>
      </c>
      <c r="I3365" s="208">
        <f>EXP(SUMPRODUCT((rl_eff&lt;$B3365)*(rl_key=$A$3316)*rl_ln1p))</f>
        <v/>
      </c>
      <c r="J3365" s="208">
        <f>EXP(SUMPRODUCT((rl_eff&lt;=$C3365)*(rl_key=$A$3316)*rl_ln1p))</f>
        <v/>
      </c>
      <c r="K3365" s="201">
        <f>COUNTIFS(rl_key,$A$3316,rl_eff,"&gt;="&amp;$B3365,rl_eff,"&lt;="&amp;$C3365)</f>
        <v/>
      </c>
      <c r="L3365" s="201">
        <f>SUMIFS(rl_daysafter,rl_key,$A$3316,rl_effmonth,$B3365,rl_first,1)</f>
        <v/>
      </c>
      <c r="M3365" s="209">
        <f>IF($K3365=0,0,MIN(1,$L3365/$D3365))</f>
        <v/>
      </c>
      <c r="N3365" s="208">
        <f>IF($K3365=0,$J3365,(1-$M3365)*$I3365+$M3365*$J3365)</f>
        <v/>
      </c>
      <c r="O3365" s="209">
        <f>IF($F3365&lt;$B$3317,$E$3317+$I$3317*($F3365-$A$3317),IF($F3365&lt;$C$3317,$F$3317+$J$3317*($F3365-$B$3317),$G$3317+$K$3317*($F3365-$C$3317)))</f>
        <v/>
      </c>
      <c r="P3365" s="208">
        <f>MIN(1,MAX(0,(nr_MEndPm1-$G3365+0.5)/$C$3316))-MIN(1,MAX(0,(nr_MStartPm1-1-$G3365+0.5)/$C$3316))</f>
        <v/>
      </c>
      <c r="Q3365" s="208">
        <f>MIN(1,MAX(0,(nr_MEndP-$G3365+0.5)/$C$3316))-MIN(1,MAX(0,(nr_MStartP-1-$G3365+0.5)/$C$3316))</f>
        <v/>
      </c>
      <c r="R3365" s="208">
        <f>MIN(1,MAX(0,(nr_MEndP1-$G3365+0.5)/$C$3316))-MIN(1,MAX(0,(nr_MStartP1-1-$G3365+0.5)/$C$3316))</f>
        <v/>
      </c>
      <c r="S3365" s="208">
        <f>IF($L$3316,$N3365*IF($O$3316=1,$O3365/$F$3316,1),"")</f>
        <v/>
      </c>
      <c r="T3365" s="208">
        <f>IF(NOT($L$3316),"",IF($G3365&lt;nr_MStartP,$S3365,$T3353*(1+IF($G3365&lt;nr_MStartP1,$M$3316,$N$3316))))</f>
        <v/>
      </c>
      <c r="U3365" s="208">
        <f>IF($L$3316,$T3365,$N3365)</f>
        <v/>
      </c>
    </row>
    <row r="3366">
      <c r="A3366" s="145" t="n">
        <v>48</v>
      </c>
      <c r="B3366" s="204">
        <f>EDATE($B3365,1)</f>
        <v/>
      </c>
      <c r="C3366" s="205">
        <f>EOMONTH($B3366,0)</f>
        <v/>
      </c>
      <c r="D3366" s="201">
        <f>$C3366-$B3366+1</f>
        <v/>
      </c>
      <c r="E3366" s="201">
        <f>MONTH($B3366)</f>
        <v/>
      </c>
      <c r="F3366" s="235">
        <f>($B3366+$C3366+1)/2</f>
        <v/>
      </c>
      <c r="G3366" s="201">
        <f>YEAR($B3366)*12+MONTH($B3366)-1</f>
        <v/>
      </c>
      <c r="H3366" s="207">
        <f>IF(OR(nr_SeasonOn="OFF",$D$3316=0,$E$3316=0),1,12*INDEX(se_block,$D$3316,$E3366)/$E$3316)</f>
        <v/>
      </c>
      <c r="I3366" s="208">
        <f>EXP(SUMPRODUCT((rl_eff&lt;$B3366)*(rl_key=$A$3316)*rl_ln1p))</f>
        <v/>
      </c>
      <c r="J3366" s="208">
        <f>EXP(SUMPRODUCT((rl_eff&lt;=$C3366)*(rl_key=$A$3316)*rl_ln1p))</f>
        <v/>
      </c>
      <c r="K3366" s="201">
        <f>COUNTIFS(rl_key,$A$3316,rl_eff,"&gt;="&amp;$B3366,rl_eff,"&lt;="&amp;$C3366)</f>
        <v/>
      </c>
      <c r="L3366" s="201">
        <f>SUMIFS(rl_daysafter,rl_key,$A$3316,rl_effmonth,$B3366,rl_first,1)</f>
        <v/>
      </c>
      <c r="M3366" s="209">
        <f>IF($K3366=0,0,MIN(1,$L3366/$D3366))</f>
        <v/>
      </c>
      <c r="N3366" s="208">
        <f>IF($K3366=0,$J3366,(1-$M3366)*$I3366+$M3366*$J3366)</f>
        <v/>
      </c>
      <c r="O3366" s="209">
        <f>IF($F3366&lt;$B$3317,$E$3317+$I$3317*($F3366-$A$3317),IF($F3366&lt;$C$3317,$F$3317+$J$3317*($F3366-$B$3317),$G$3317+$K$3317*($F3366-$C$3317)))</f>
        <v/>
      </c>
      <c r="P3366" s="208">
        <f>MIN(1,MAX(0,(nr_MEndPm1-$G3366+0.5)/$C$3316))-MIN(1,MAX(0,(nr_MStartPm1-1-$G3366+0.5)/$C$3316))</f>
        <v/>
      </c>
      <c r="Q3366" s="208">
        <f>MIN(1,MAX(0,(nr_MEndP-$G3366+0.5)/$C$3316))-MIN(1,MAX(0,(nr_MStartP-1-$G3366+0.5)/$C$3316))</f>
        <v/>
      </c>
      <c r="R3366" s="208">
        <f>MIN(1,MAX(0,(nr_MEndP1-$G3366+0.5)/$C$3316))-MIN(1,MAX(0,(nr_MStartP1-1-$G3366+0.5)/$C$3316))</f>
        <v/>
      </c>
      <c r="S3366" s="208">
        <f>IF($L$3316,$N3366*IF($O$3316=1,$O3366/$F$3316,1),"")</f>
        <v/>
      </c>
      <c r="T3366" s="208">
        <f>IF(NOT($L$3316),"",IF($G3366&lt;nr_MStartP,$S3366,$T3354*(1+IF($G3366&lt;nr_MStartP1,$M$3316,$N$3316))))</f>
        <v/>
      </c>
      <c r="U3366" s="208">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184">
        <f>SUMPRODUCT($H$3319:$H$3366,$Q$3319:$Q$3366,$O$3319:$O$3366)/SUMPRODUCT($H$3319:$H$3366,$Q$3319:$Q$3366)</f>
        <v/>
      </c>
      <c r="G3367" s="184">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184">
        <f>IF(N(INDEX(lr_mind,62))=0,1,INDEX(lr_mind,62))</f>
        <v/>
      </c>
      <c r="G3370" s="184">
        <f>IF(N(INDEX(lr_m0,62))=0,1,INDEX(lr_m0,62))</f>
        <v/>
      </c>
      <c r="H3370" s="73">
        <f>IF(N(INDEX(lr_m0asof,62))=0,DATE(nr_PlanYear-1,10,1),INDEX(lr_m0asof,62))</f>
        <v/>
      </c>
      <c r="I3370" s="184">
        <f>IF(N(INDEX(lr_m1,62))=0,1,INDEX(lr_m1,62))</f>
        <v/>
      </c>
      <c r="J3370" s="184">
        <f>INDEX(lr_mprior,62)</f>
        <v/>
      </c>
      <c r="K3370" s="184">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145" t="n">
        <v>1</v>
      </c>
      <c r="B3373" s="204">
        <f>DATE(nr_PlanYear-2,1,1)</f>
        <v/>
      </c>
      <c r="C3373" s="205">
        <f>EOMONTH($B3373,0)</f>
        <v/>
      </c>
      <c r="D3373" s="201">
        <f>$C3373-$B3373+1</f>
        <v/>
      </c>
      <c r="E3373" s="201">
        <f>MONTH($B3373)</f>
        <v/>
      </c>
      <c r="F3373" s="235">
        <f>($B3373+$C3373+1)/2</f>
        <v/>
      </c>
      <c r="G3373" s="201">
        <f>YEAR($B3373)*12+MONTH($B3373)-1</f>
        <v/>
      </c>
      <c r="H3373" s="207">
        <f>IF(OR(nr_SeasonOn="OFF",$D$3370=0,$E$3370=0),1,12*INDEX(se_block,$D$3370,$E3373)/$E$3370)</f>
        <v/>
      </c>
      <c r="I3373" s="208">
        <f>EXP(SUMPRODUCT((rl_eff&lt;$B3373)*(rl_key=$A$3370)*rl_ln1p))</f>
        <v/>
      </c>
      <c r="J3373" s="208">
        <f>EXP(SUMPRODUCT((rl_eff&lt;=$C3373)*(rl_key=$A$3370)*rl_ln1p))</f>
        <v/>
      </c>
      <c r="K3373" s="201">
        <f>COUNTIFS(rl_key,$A$3370,rl_eff,"&gt;="&amp;$B3373,rl_eff,"&lt;="&amp;$C3373)</f>
        <v/>
      </c>
      <c r="L3373" s="201">
        <f>SUMIFS(rl_daysafter,rl_key,$A$3370,rl_effmonth,$B3373,rl_first,1)</f>
        <v/>
      </c>
      <c r="M3373" s="209">
        <f>IF($K3373=0,0,MIN(1,$L3373/$D3373))</f>
        <v/>
      </c>
      <c r="N3373" s="208">
        <f>IF($K3373=0,$J3373,(1-$M3373)*$I3373+$M3373*$J3373)</f>
        <v/>
      </c>
      <c r="O3373" s="209">
        <f>IF($F3373&lt;$B$3371,$E$3371+$I$3371*($F3373-$A$3371),IF($F3373&lt;$C$3371,$F$3371+$J$3371*($F3373-$B$3371),$G$3371+$K$3371*($F3373-$C$3371)))</f>
        <v/>
      </c>
      <c r="P3373" s="208">
        <f>MIN(1,MAX(0,(nr_MEndPm1-$G3373+0.5)/$C$3370))-MIN(1,MAX(0,(nr_MStartPm1-1-$G3373+0.5)/$C$3370))</f>
        <v/>
      </c>
      <c r="Q3373" s="208">
        <f>MIN(1,MAX(0,(nr_MEndP-$G3373+0.5)/$C$3370))-MIN(1,MAX(0,(nr_MStartP-1-$G3373+0.5)/$C$3370))</f>
        <v/>
      </c>
      <c r="R3373" s="208">
        <f>MIN(1,MAX(0,(nr_MEndP1-$G3373+0.5)/$C$3370))-MIN(1,MAX(0,(nr_MStartP1-1-$G3373+0.5)/$C$3370))</f>
        <v/>
      </c>
      <c r="S3373" s="208">
        <f>IF($L$3370,$N3373*IF($O$3370=1,$O3373/$F$3370,1),"")</f>
        <v/>
      </c>
      <c r="T3373" s="208">
        <f>IF(NOT($L$3370),"",IF($G3373&lt;nr_MStartP,$S3373,$T3361*(1+IF($G3373&lt;nr_MStartP1,$M$3370,$N$3370))))</f>
        <v/>
      </c>
      <c r="U3373" s="208">
        <f>IF($L$3370,$T3373,$N3373)</f>
        <v/>
      </c>
    </row>
    <row r="3374">
      <c r="A3374" s="145" t="n">
        <v>2</v>
      </c>
      <c r="B3374" s="204">
        <f>EDATE($B3373,1)</f>
        <v/>
      </c>
      <c r="C3374" s="205">
        <f>EOMONTH($B3374,0)</f>
        <v/>
      </c>
      <c r="D3374" s="201">
        <f>$C3374-$B3374+1</f>
        <v/>
      </c>
      <c r="E3374" s="201">
        <f>MONTH($B3374)</f>
        <v/>
      </c>
      <c r="F3374" s="235">
        <f>($B3374+$C3374+1)/2</f>
        <v/>
      </c>
      <c r="G3374" s="201">
        <f>YEAR($B3374)*12+MONTH($B3374)-1</f>
        <v/>
      </c>
      <c r="H3374" s="207">
        <f>IF(OR(nr_SeasonOn="OFF",$D$3370=0,$E$3370=0),1,12*INDEX(se_block,$D$3370,$E3374)/$E$3370)</f>
        <v/>
      </c>
      <c r="I3374" s="208">
        <f>EXP(SUMPRODUCT((rl_eff&lt;$B3374)*(rl_key=$A$3370)*rl_ln1p))</f>
        <v/>
      </c>
      <c r="J3374" s="208">
        <f>EXP(SUMPRODUCT((rl_eff&lt;=$C3374)*(rl_key=$A$3370)*rl_ln1p))</f>
        <v/>
      </c>
      <c r="K3374" s="201">
        <f>COUNTIFS(rl_key,$A$3370,rl_eff,"&gt;="&amp;$B3374,rl_eff,"&lt;="&amp;$C3374)</f>
        <v/>
      </c>
      <c r="L3374" s="201">
        <f>SUMIFS(rl_daysafter,rl_key,$A$3370,rl_effmonth,$B3374,rl_first,1)</f>
        <v/>
      </c>
      <c r="M3374" s="209">
        <f>IF($K3374=0,0,MIN(1,$L3374/$D3374))</f>
        <v/>
      </c>
      <c r="N3374" s="208">
        <f>IF($K3374=0,$J3374,(1-$M3374)*$I3374+$M3374*$J3374)</f>
        <v/>
      </c>
      <c r="O3374" s="209">
        <f>IF($F3374&lt;$B$3371,$E$3371+$I$3371*($F3374-$A$3371),IF($F3374&lt;$C$3371,$F$3371+$J$3371*($F3374-$B$3371),$G$3371+$K$3371*($F3374-$C$3371)))</f>
        <v/>
      </c>
      <c r="P3374" s="208">
        <f>MIN(1,MAX(0,(nr_MEndPm1-$G3374+0.5)/$C$3370))-MIN(1,MAX(0,(nr_MStartPm1-1-$G3374+0.5)/$C$3370))</f>
        <v/>
      </c>
      <c r="Q3374" s="208">
        <f>MIN(1,MAX(0,(nr_MEndP-$G3374+0.5)/$C$3370))-MIN(1,MAX(0,(nr_MStartP-1-$G3374+0.5)/$C$3370))</f>
        <v/>
      </c>
      <c r="R3374" s="208">
        <f>MIN(1,MAX(0,(nr_MEndP1-$G3374+0.5)/$C$3370))-MIN(1,MAX(0,(nr_MStartP1-1-$G3374+0.5)/$C$3370))</f>
        <v/>
      </c>
      <c r="S3374" s="208">
        <f>IF($L$3370,$N3374*IF($O$3370=1,$O3374/$F$3370,1),"")</f>
        <v/>
      </c>
      <c r="T3374" s="208">
        <f>IF(NOT($L$3370),"",IF($G3374&lt;nr_MStartP,$S3374,$T3362*(1+IF($G3374&lt;nr_MStartP1,$M$3370,$N$3370))))</f>
        <v/>
      </c>
      <c r="U3374" s="208">
        <f>IF($L$3370,$T3374,$N3374)</f>
        <v/>
      </c>
    </row>
    <row r="3375">
      <c r="A3375" s="145" t="n">
        <v>3</v>
      </c>
      <c r="B3375" s="204">
        <f>EDATE($B3374,1)</f>
        <v/>
      </c>
      <c r="C3375" s="205">
        <f>EOMONTH($B3375,0)</f>
        <v/>
      </c>
      <c r="D3375" s="201">
        <f>$C3375-$B3375+1</f>
        <v/>
      </c>
      <c r="E3375" s="201">
        <f>MONTH($B3375)</f>
        <v/>
      </c>
      <c r="F3375" s="235">
        <f>($B3375+$C3375+1)/2</f>
        <v/>
      </c>
      <c r="G3375" s="201">
        <f>YEAR($B3375)*12+MONTH($B3375)-1</f>
        <v/>
      </c>
      <c r="H3375" s="207">
        <f>IF(OR(nr_SeasonOn="OFF",$D$3370=0,$E$3370=0),1,12*INDEX(se_block,$D$3370,$E3375)/$E$3370)</f>
        <v/>
      </c>
      <c r="I3375" s="208">
        <f>EXP(SUMPRODUCT((rl_eff&lt;$B3375)*(rl_key=$A$3370)*rl_ln1p))</f>
        <v/>
      </c>
      <c r="J3375" s="208">
        <f>EXP(SUMPRODUCT((rl_eff&lt;=$C3375)*(rl_key=$A$3370)*rl_ln1p))</f>
        <v/>
      </c>
      <c r="K3375" s="201">
        <f>COUNTIFS(rl_key,$A$3370,rl_eff,"&gt;="&amp;$B3375,rl_eff,"&lt;="&amp;$C3375)</f>
        <v/>
      </c>
      <c r="L3375" s="201">
        <f>SUMIFS(rl_daysafter,rl_key,$A$3370,rl_effmonth,$B3375,rl_first,1)</f>
        <v/>
      </c>
      <c r="M3375" s="209">
        <f>IF($K3375=0,0,MIN(1,$L3375/$D3375))</f>
        <v/>
      </c>
      <c r="N3375" s="208">
        <f>IF($K3375=0,$J3375,(1-$M3375)*$I3375+$M3375*$J3375)</f>
        <v/>
      </c>
      <c r="O3375" s="209">
        <f>IF($F3375&lt;$B$3371,$E$3371+$I$3371*($F3375-$A$3371),IF($F3375&lt;$C$3371,$F$3371+$J$3371*($F3375-$B$3371),$G$3371+$K$3371*($F3375-$C$3371)))</f>
        <v/>
      </c>
      <c r="P3375" s="208">
        <f>MIN(1,MAX(0,(nr_MEndPm1-$G3375+0.5)/$C$3370))-MIN(1,MAX(0,(nr_MStartPm1-1-$G3375+0.5)/$C$3370))</f>
        <v/>
      </c>
      <c r="Q3375" s="208">
        <f>MIN(1,MAX(0,(nr_MEndP-$G3375+0.5)/$C$3370))-MIN(1,MAX(0,(nr_MStartP-1-$G3375+0.5)/$C$3370))</f>
        <v/>
      </c>
      <c r="R3375" s="208">
        <f>MIN(1,MAX(0,(nr_MEndP1-$G3375+0.5)/$C$3370))-MIN(1,MAX(0,(nr_MStartP1-1-$G3375+0.5)/$C$3370))</f>
        <v/>
      </c>
      <c r="S3375" s="208">
        <f>IF($L$3370,$N3375*IF($O$3370=1,$O3375/$F$3370,1),"")</f>
        <v/>
      </c>
      <c r="T3375" s="208">
        <f>IF(NOT($L$3370),"",IF($G3375&lt;nr_MStartP,$S3375,$T3363*(1+IF($G3375&lt;nr_MStartP1,$M$3370,$N$3370))))</f>
        <v/>
      </c>
      <c r="U3375" s="208">
        <f>IF($L$3370,$T3375,$N3375)</f>
        <v/>
      </c>
    </row>
    <row r="3376">
      <c r="A3376" s="145" t="n">
        <v>4</v>
      </c>
      <c r="B3376" s="204">
        <f>EDATE($B3375,1)</f>
        <v/>
      </c>
      <c r="C3376" s="205">
        <f>EOMONTH($B3376,0)</f>
        <v/>
      </c>
      <c r="D3376" s="201">
        <f>$C3376-$B3376+1</f>
        <v/>
      </c>
      <c r="E3376" s="201">
        <f>MONTH($B3376)</f>
        <v/>
      </c>
      <c r="F3376" s="235">
        <f>($B3376+$C3376+1)/2</f>
        <v/>
      </c>
      <c r="G3376" s="201">
        <f>YEAR($B3376)*12+MONTH($B3376)-1</f>
        <v/>
      </c>
      <c r="H3376" s="207">
        <f>IF(OR(nr_SeasonOn="OFF",$D$3370=0,$E$3370=0),1,12*INDEX(se_block,$D$3370,$E3376)/$E$3370)</f>
        <v/>
      </c>
      <c r="I3376" s="208">
        <f>EXP(SUMPRODUCT((rl_eff&lt;$B3376)*(rl_key=$A$3370)*rl_ln1p))</f>
        <v/>
      </c>
      <c r="J3376" s="208">
        <f>EXP(SUMPRODUCT((rl_eff&lt;=$C3376)*(rl_key=$A$3370)*rl_ln1p))</f>
        <v/>
      </c>
      <c r="K3376" s="201">
        <f>COUNTIFS(rl_key,$A$3370,rl_eff,"&gt;="&amp;$B3376,rl_eff,"&lt;="&amp;$C3376)</f>
        <v/>
      </c>
      <c r="L3376" s="201">
        <f>SUMIFS(rl_daysafter,rl_key,$A$3370,rl_effmonth,$B3376,rl_first,1)</f>
        <v/>
      </c>
      <c r="M3376" s="209">
        <f>IF($K3376=0,0,MIN(1,$L3376/$D3376))</f>
        <v/>
      </c>
      <c r="N3376" s="208">
        <f>IF($K3376=0,$J3376,(1-$M3376)*$I3376+$M3376*$J3376)</f>
        <v/>
      </c>
      <c r="O3376" s="209">
        <f>IF($F3376&lt;$B$3371,$E$3371+$I$3371*($F3376-$A$3371),IF($F3376&lt;$C$3371,$F$3371+$J$3371*($F3376-$B$3371),$G$3371+$K$3371*($F3376-$C$3371)))</f>
        <v/>
      </c>
      <c r="P3376" s="208">
        <f>MIN(1,MAX(0,(nr_MEndPm1-$G3376+0.5)/$C$3370))-MIN(1,MAX(0,(nr_MStartPm1-1-$G3376+0.5)/$C$3370))</f>
        <v/>
      </c>
      <c r="Q3376" s="208">
        <f>MIN(1,MAX(0,(nr_MEndP-$G3376+0.5)/$C$3370))-MIN(1,MAX(0,(nr_MStartP-1-$G3376+0.5)/$C$3370))</f>
        <v/>
      </c>
      <c r="R3376" s="208">
        <f>MIN(1,MAX(0,(nr_MEndP1-$G3376+0.5)/$C$3370))-MIN(1,MAX(0,(nr_MStartP1-1-$G3376+0.5)/$C$3370))</f>
        <v/>
      </c>
      <c r="S3376" s="208">
        <f>IF($L$3370,$N3376*IF($O$3370=1,$O3376/$F$3370,1),"")</f>
        <v/>
      </c>
      <c r="T3376" s="208">
        <f>IF(NOT($L$3370),"",IF($G3376&lt;nr_MStartP,$S3376,$T3364*(1+IF($G3376&lt;nr_MStartP1,$M$3370,$N$3370))))</f>
        <v/>
      </c>
      <c r="U3376" s="208">
        <f>IF($L$3370,$T3376,$N3376)</f>
        <v/>
      </c>
    </row>
    <row r="3377">
      <c r="A3377" s="145" t="n">
        <v>5</v>
      </c>
      <c r="B3377" s="204">
        <f>EDATE($B3376,1)</f>
        <v/>
      </c>
      <c r="C3377" s="205">
        <f>EOMONTH($B3377,0)</f>
        <v/>
      </c>
      <c r="D3377" s="201">
        <f>$C3377-$B3377+1</f>
        <v/>
      </c>
      <c r="E3377" s="201">
        <f>MONTH($B3377)</f>
        <v/>
      </c>
      <c r="F3377" s="235">
        <f>($B3377+$C3377+1)/2</f>
        <v/>
      </c>
      <c r="G3377" s="201">
        <f>YEAR($B3377)*12+MONTH($B3377)-1</f>
        <v/>
      </c>
      <c r="H3377" s="207">
        <f>IF(OR(nr_SeasonOn="OFF",$D$3370=0,$E$3370=0),1,12*INDEX(se_block,$D$3370,$E3377)/$E$3370)</f>
        <v/>
      </c>
      <c r="I3377" s="208">
        <f>EXP(SUMPRODUCT((rl_eff&lt;$B3377)*(rl_key=$A$3370)*rl_ln1p))</f>
        <v/>
      </c>
      <c r="J3377" s="208">
        <f>EXP(SUMPRODUCT((rl_eff&lt;=$C3377)*(rl_key=$A$3370)*rl_ln1p))</f>
        <v/>
      </c>
      <c r="K3377" s="201">
        <f>COUNTIFS(rl_key,$A$3370,rl_eff,"&gt;="&amp;$B3377,rl_eff,"&lt;="&amp;$C3377)</f>
        <v/>
      </c>
      <c r="L3377" s="201">
        <f>SUMIFS(rl_daysafter,rl_key,$A$3370,rl_effmonth,$B3377,rl_first,1)</f>
        <v/>
      </c>
      <c r="M3377" s="209">
        <f>IF($K3377=0,0,MIN(1,$L3377/$D3377))</f>
        <v/>
      </c>
      <c r="N3377" s="208">
        <f>IF($K3377=0,$J3377,(1-$M3377)*$I3377+$M3377*$J3377)</f>
        <v/>
      </c>
      <c r="O3377" s="209">
        <f>IF($F3377&lt;$B$3371,$E$3371+$I$3371*($F3377-$A$3371),IF($F3377&lt;$C$3371,$F$3371+$J$3371*($F3377-$B$3371),$G$3371+$K$3371*($F3377-$C$3371)))</f>
        <v/>
      </c>
      <c r="P3377" s="208">
        <f>MIN(1,MAX(0,(nr_MEndPm1-$G3377+0.5)/$C$3370))-MIN(1,MAX(0,(nr_MStartPm1-1-$G3377+0.5)/$C$3370))</f>
        <v/>
      </c>
      <c r="Q3377" s="208">
        <f>MIN(1,MAX(0,(nr_MEndP-$G3377+0.5)/$C$3370))-MIN(1,MAX(0,(nr_MStartP-1-$G3377+0.5)/$C$3370))</f>
        <v/>
      </c>
      <c r="R3377" s="208">
        <f>MIN(1,MAX(0,(nr_MEndP1-$G3377+0.5)/$C$3370))-MIN(1,MAX(0,(nr_MStartP1-1-$G3377+0.5)/$C$3370))</f>
        <v/>
      </c>
      <c r="S3377" s="208">
        <f>IF($L$3370,$N3377*IF($O$3370=1,$O3377/$F$3370,1),"")</f>
        <v/>
      </c>
      <c r="T3377" s="208">
        <f>IF(NOT($L$3370),"",IF($G3377&lt;nr_MStartP,$S3377,$T3365*(1+IF($G3377&lt;nr_MStartP1,$M$3370,$N$3370))))</f>
        <v/>
      </c>
      <c r="U3377" s="208">
        <f>IF($L$3370,$T3377,$N3377)</f>
        <v/>
      </c>
    </row>
    <row r="3378">
      <c r="A3378" s="145" t="n">
        <v>6</v>
      </c>
      <c r="B3378" s="204">
        <f>EDATE($B3377,1)</f>
        <v/>
      </c>
      <c r="C3378" s="205">
        <f>EOMONTH($B3378,0)</f>
        <v/>
      </c>
      <c r="D3378" s="201">
        <f>$C3378-$B3378+1</f>
        <v/>
      </c>
      <c r="E3378" s="201">
        <f>MONTH($B3378)</f>
        <v/>
      </c>
      <c r="F3378" s="235">
        <f>($B3378+$C3378+1)/2</f>
        <v/>
      </c>
      <c r="G3378" s="201">
        <f>YEAR($B3378)*12+MONTH($B3378)-1</f>
        <v/>
      </c>
      <c r="H3378" s="207">
        <f>IF(OR(nr_SeasonOn="OFF",$D$3370=0,$E$3370=0),1,12*INDEX(se_block,$D$3370,$E3378)/$E$3370)</f>
        <v/>
      </c>
      <c r="I3378" s="208">
        <f>EXP(SUMPRODUCT((rl_eff&lt;$B3378)*(rl_key=$A$3370)*rl_ln1p))</f>
        <v/>
      </c>
      <c r="J3378" s="208">
        <f>EXP(SUMPRODUCT((rl_eff&lt;=$C3378)*(rl_key=$A$3370)*rl_ln1p))</f>
        <v/>
      </c>
      <c r="K3378" s="201">
        <f>COUNTIFS(rl_key,$A$3370,rl_eff,"&gt;="&amp;$B3378,rl_eff,"&lt;="&amp;$C3378)</f>
        <v/>
      </c>
      <c r="L3378" s="201">
        <f>SUMIFS(rl_daysafter,rl_key,$A$3370,rl_effmonth,$B3378,rl_first,1)</f>
        <v/>
      </c>
      <c r="M3378" s="209">
        <f>IF($K3378=0,0,MIN(1,$L3378/$D3378))</f>
        <v/>
      </c>
      <c r="N3378" s="208">
        <f>IF($K3378=0,$J3378,(1-$M3378)*$I3378+$M3378*$J3378)</f>
        <v/>
      </c>
      <c r="O3378" s="209">
        <f>IF($F3378&lt;$B$3371,$E$3371+$I$3371*($F3378-$A$3371),IF($F3378&lt;$C$3371,$F$3371+$J$3371*($F3378-$B$3371),$G$3371+$K$3371*($F3378-$C$3371)))</f>
        <v/>
      </c>
      <c r="P3378" s="208">
        <f>MIN(1,MAX(0,(nr_MEndPm1-$G3378+0.5)/$C$3370))-MIN(1,MAX(0,(nr_MStartPm1-1-$G3378+0.5)/$C$3370))</f>
        <v/>
      </c>
      <c r="Q3378" s="208">
        <f>MIN(1,MAX(0,(nr_MEndP-$G3378+0.5)/$C$3370))-MIN(1,MAX(0,(nr_MStartP-1-$G3378+0.5)/$C$3370))</f>
        <v/>
      </c>
      <c r="R3378" s="208">
        <f>MIN(1,MAX(0,(nr_MEndP1-$G3378+0.5)/$C$3370))-MIN(1,MAX(0,(nr_MStartP1-1-$G3378+0.5)/$C$3370))</f>
        <v/>
      </c>
      <c r="S3378" s="208">
        <f>IF($L$3370,$N3378*IF($O$3370=1,$O3378/$F$3370,1),"")</f>
        <v/>
      </c>
      <c r="T3378" s="208">
        <f>IF(NOT($L$3370),"",IF($G3378&lt;nr_MStartP,$S3378,$T3366*(1+IF($G3378&lt;nr_MStartP1,$M$3370,$N$3370))))</f>
        <v/>
      </c>
      <c r="U3378" s="208">
        <f>IF($L$3370,$T3378,$N3378)</f>
        <v/>
      </c>
    </row>
    <row r="3379">
      <c r="A3379" s="145" t="n">
        <v>7</v>
      </c>
      <c r="B3379" s="204">
        <f>EDATE($B3378,1)</f>
        <v/>
      </c>
      <c r="C3379" s="205">
        <f>EOMONTH($B3379,0)</f>
        <v/>
      </c>
      <c r="D3379" s="201">
        <f>$C3379-$B3379+1</f>
        <v/>
      </c>
      <c r="E3379" s="201">
        <f>MONTH($B3379)</f>
        <v/>
      </c>
      <c r="F3379" s="235">
        <f>($B3379+$C3379+1)/2</f>
        <v/>
      </c>
      <c r="G3379" s="201">
        <f>YEAR($B3379)*12+MONTH($B3379)-1</f>
        <v/>
      </c>
      <c r="H3379" s="207">
        <f>IF(OR(nr_SeasonOn="OFF",$D$3370=0,$E$3370=0),1,12*INDEX(se_block,$D$3370,$E3379)/$E$3370)</f>
        <v/>
      </c>
      <c r="I3379" s="208">
        <f>EXP(SUMPRODUCT((rl_eff&lt;$B3379)*(rl_key=$A$3370)*rl_ln1p))</f>
        <v/>
      </c>
      <c r="J3379" s="208">
        <f>EXP(SUMPRODUCT((rl_eff&lt;=$C3379)*(rl_key=$A$3370)*rl_ln1p))</f>
        <v/>
      </c>
      <c r="K3379" s="201">
        <f>COUNTIFS(rl_key,$A$3370,rl_eff,"&gt;="&amp;$B3379,rl_eff,"&lt;="&amp;$C3379)</f>
        <v/>
      </c>
      <c r="L3379" s="201">
        <f>SUMIFS(rl_daysafter,rl_key,$A$3370,rl_effmonth,$B3379,rl_first,1)</f>
        <v/>
      </c>
      <c r="M3379" s="209">
        <f>IF($K3379=0,0,MIN(1,$L3379/$D3379))</f>
        <v/>
      </c>
      <c r="N3379" s="208">
        <f>IF($K3379=0,$J3379,(1-$M3379)*$I3379+$M3379*$J3379)</f>
        <v/>
      </c>
      <c r="O3379" s="209">
        <f>IF($F3379&lt;$B$3371,$E$3371+$I$3371*($F3379-$A$3371),IF($F3379&lt;$C$3371,$F$3371+$J$3371*($F3379-$B$3371),$G$3371+$K$3371*($F3379-$C$3371)))</f>
        <v/>
      </c>
      <c r="P3379" s="208">
        <f>MIN(1,MAX(0,(nr_MEndPm1-$G3379+0.5)/$C$3370))-MIN(1,MAX(0,(nr_MStartPm1-1-$G3379+0.5)/$C$3370))</f>
        <v/>
      </c>
      <c r="Q3379" s="208">
        <f>MIN(1,MAX(0,(nr_MEndP-$G3379+0.5)/$C$3370))-MIN(1,MAX(0,(nr_MStartP-1-$G3379+0.5)/$C$3370))</f>
        <v/>
      </c>
      <c r="R3379" s="208">
        <f>MIN(1,MAX(0,(nr_MEndP1-$G3379+0.5)/$C$3370))-MIN(1,MAX(0,(nr_MStartP1-1-$G3379+0.5)/$C$3370))</f>
        <v/>
      </c>
      <c r="S3379" s="208">
        <f>IF($L$3370,$N3379*IF($O$3370=1,$O3379/$F$3370,1),"")</f>
        <v/>
      </c>
      <c r="T3379" s="208">
        <f>IF(NOT($L$3370),"",IF($G3379&lt;nr_MStartP,$S3379,$T3367*(1+IF($G3379&lt;nr_MStartP1,$M$3370,$N$3370))))</f>
        <v/>
      </c>
      <c r="U3379" s="208">
        <f>IF($L$3370,$T3379,$N3379)</f>
        <v/>
      </c>
    </row>
    <row r="3380">
      <c r="A3380" s="145" t="n">
        <v>8</v>
      </c>
      <c r="B3380" s="204">
        <f>EDATE($B3379,1)</f>
        <v/>
      </c>
      <c r="C3380" s="205">
        <f>EOMONTH($B3380,0)</f>
        <v/>
      </c>
      <c r="D3380" s="201">
        <f>$C3380-$B3380+1</f>
        <v/>
      </c>
      <c r="E3380" s="201">
        <f>MONTH($B3380)</f>
        <v/>
      </c>
      <c r="F3380" s="235">
        <f>($B3380+$C3380+1)/2</f>
        <v/>
      </c>
      <c r="G3380" s="201">
        <f>YEAR($B3380)*12+MONTH($B3380)-1</f>
        <v/>
      </c>
      <c r="H3380" s="207">
        <f>IF(OR(nr_SeasonOn="OFF",$D$3370=0,$E$3370=0),1,12*INDEX(se_block,$D$3370,$E3380)/$E$3370)</f>
        <v/>
      </c>
      <c r="I3380" s="208">
        <f>EXP(SUMPRODUCT((rl_eff&lt;$B3380)*(rl_key=$A$3370)*rl_ln1p))</f>
        <v/>
      </c>
      <c r="J3380" s="208">
        <f>EXP(SUMPRODUCT((rl_eff&lt;=$C3380)*(rl_key=$A$3370)*rl_ln1p))</f>
        <v/>
      </c>
      <c r="K3380" s="201">
        <f>COUNTIFS(rl_key,$A$3370,rl_eff,"&gt;="&amp;$B3380,rl_eff,"&lt;="&amp;$C3380)</f>
        <v/>
      </c>
      <c r="L3380" s="201">
        <f>SUMIFS(rl_daysafter,rl_key,$A$3370,rl_effmonth,$B3380,rl_first,1)</f>
        <v/>
      </c>
      <c r="M3380" s="209">
        <f>IF($K3380=0,0,MIN(1,$L3380/$D3380))</f>
        <v/>
      </c>
      <c r="N3380" s="208">
        <f>IF($K3380=0,$J3380,(1-$M3380)*$I3380+$M3380*$J3380)</f>
        <v/>
      </c>
      <c r="O3380" s="209">
        <f>IF($F3380&lt;$B$3371,$E$3371+$I$3371*($F3380-$A$3371),IF($F3380&lt;$C$3371,$F$3371+$J$3371*($F3380-$B$3371),$G$3371+$K$3371*($F3380-$C$3371)))</f>
        <v/>
      </c>
      <c r="P3380" s="208">
        <f>MIN(1,MAX(0,(nr_MEndPm1-$G3380+0.5)/$C$3370))-MIN(1,MAX(0,(nr_MStartPm1-1-$G3380+0.5)/$C$3370))</f>
        <v/>
      </c>
      <c r="Q3380" s="208">
        <f>MIN(1,MAX(0,(nr_MEndP-$G3380+0.5)/$C$3370))-MIN(1,MAX(0,(nr_MStartP-1-$G3380+0.5)/$C$3370))</f>
        <v/>
      </c>
      <c r="R3380" s="208">
        <f>MIN(1,MAX(0,(nr_MEndP1-$G3380+0.5)/$C$3370))-MIN(1,MAX(0,(nr_MStartP1-1-$G3380+0.5)/$C$3370))</f>
        <v/>
      </c>
      <c r="S3380" s="208">
        <f>IF($L$3370,$N3380*IF($O$3370=1,$O3380/$F$3370,1),"")</f>
        <v/>
      </c>
      <c r="T3380" s="208">
        <f>IF(NOT($L$3370),"",IF($G3380&lt;nr_MStartP,$S3380,$T3368*(1+IF($G3380&lt;nr_MStartP1,$M$3370,$N$3370))))</f>
        <v/>
      </c>
      <c r="U3380" s="208">
        <f>IF($L$3370,$T3380,$N3380)</f>
        <v/>
      </c>
    </row>
    <row r="3381">
      <c r="A3381" s="145" t="n">
        <v>9</v>
      </c>
      <c r="B3381" s="204">
        <f>EDATE($B3380,1)</f>
        <v/>
      </c>
      <c r="C3381" s="205">
        <f>EOMONTH($B3381,0)</f>
        <v/>
      </c>
      <c r="D3381" s="201">
        <f>$C3381-$B3381+1</f>
        <v/>
      </c>
      <c r="E3381" s="201">
        <f>MONTH($B3381)</f>
        <v/>
      </c>
      <c r="F3381" s="235">
        <f>($B3381+$C3381+1)/2</f>
        <v/>
      </c>
      <c r="G3381" s="201">
        <f>YEAR($B3381)*12+MONTH($B3381)-1</f>
        <v/>
      </c>
      <c r="H3381" s="207">
        <f>IF(OR(nr_SeasonOn="OFF",$D$3370=0,$E$3370=0),1,12*INDEX(se_block,$D$3370,$E3381)/$E$3370)</f>
        <v/>
      </c>
      <c r="I3381" s="208">
        <f>EXP(SUMPRODUCT((rl_eff&lt;$B3381)*(rl_key=$A$3370)*rl_ln1p))</f>
        <v/>
      </c>
      <c r="J3381" s="208">
        <f>EXP(SUMPRODUCT((rl_eff&lt;=$C3381)*(rl_key=$A$3370)*rl_ln1p))</f>
        <v/>
      </c>
      <c r="K3381" s="201">
        <f>COUNTIFS(rl_key,$A$3370,rl_eff,"&gt;="&amp;$B3381,rl_eff,"&lt;="&amp;$C3381)</f>
        <v/>
      </c>
      <c r="L3381" s="201">
        <f>SUMIFS(rl_daysafter,rl_key,$A$3370,rl_effmonth,$B3381,rl_first,1)</f>
        <v/>
      </c>
      <c r="M3381" s="209">
        <f>IF($K3381=0,0,MIN(1,$L3381/$D3381))</f>
        <v/>
      </c>
      <c r="N3381" s="208">
        <f>IF($K3381=0,$J3381,(1-$M3381)*$I3381+$M3381*$J3381)</f>
        <v/>
      </c>
      <c r="O3381" s="209">
        <f>IF($F3381&lt;$B$3371,$E$3371+$I$3371*($F3381-$A$3371),IF($F3381&lt;$C$3371,$F$3371+$J$3371*($F3381-$B$3371),$G$3371+$K$3371*($F3381-$C$3371)))</f>
        <v/>
      </c>
      <c r="P3381" s="208">
        <f>MIN(1,MAX(0,(nr_MEndPm1-$G3381+0.5)/$C$3370))-MIN(1,MAX(0,(nr_MStartPm1-1-$G3381+0.5)/$C$3370))</f>
        <v/>
      </c>
      <c r="Q3381" s="208">
        <f>MIN(1,MAX(0,(nr_MEndP-$G3381+0.5)/$C$3370))-MIN(1,MAX(0,(nr_MStartP-1-$G3381+0.5)/$C$3370))</f>
        <v/>
      </c>
      <c r="R3381" s="208">
        <f>MIN(1,MAX(0,(nr_MEndP1-$G3381+0.5)/$C$3370))-MIN(1,MAX(0,(nr_MStartP1-1-$G3381+0.5)/$C$3370))</f>
        <v/>
      </c>
      <c r="S3381" s="208">
        <f>IF($L$3370,$N3381*IF($O$3370=1,$O3381/$F$3370,1),"")</f>
        <v/>
      </c>
      <c r="T3381" s="208">
        <f>IF(NOT($L$3370),"",IF($G3381&lt;nr_MStartP,$S3381,$T3369*(1+IF($G3381&lt;nr_MStartP1,$M$3370,$N$3370))))</f>
        <v/>
      </c>
      <c r="U3381" s="208">
        <f>IF($L$3370,$T3381,$N3381)</f>
        <v/>
      </c>
    </row>
    <row r="3382">
      <c r="A3382" s="145" t="n">
        <v>10</v>
      </c>
      <c r="B3382" s="204">
        <f>EDATE($B3381,1)</f>
        <v/>
      </c>
      <c r="C3382" s="205">
        <f>EOMONTH($B3382,0)</f>
        <v/>
      </c>
      <c r="D3382" s="201">
        <f>$C3382-$B3382+1</f>
        <v/>
      </c>
      <c r="E3382" s="201">
        <f>MONTH($B3382)</f>
        <v/>
      </c>
      <c r="F3382" s="235">
        <f>($B3382+$C3382+1)/2</f>
        <v/>
      </c>
      <c r="G3382" s="201">
        <f>YEAR($B3382)*12+MONTH($B3382)-1</f>
        <v/>
      </c>
      <c r="H3382" s="207">
        <f>IF(OR(nr_SeasonOn="OFF",$D$3370=0,$E$3370=0),1,12*INDEX(se_block,$D$3370,$E3382)/$E$3370)</f>
        <v/>
      </c>
      <c r="I3382" s="208">
        <f>EXP(SUMPRODUCT((rl_eff&lt;$B3382)*(rl_key=$A$3370)*rl_ln1p))</f>
        <v/>
      </c>
      <c r="J3382" s="208">
        <f>EXP(SUMPRODUCT((rl_eff&lt;=$C3382)*(rl_key=$A$3370)*rl_ln1p))</f>
        <v/>
      </c>
      <c r="K3382" s="201">
        <f>COUNTIFS(rl_key,$A$3370,rl_eff,"&gt;="&amp;$B3382,rl_eff,"&lt;="&amp;$C3382)</f>
        <v/>
      </c>
      <c r="L3382" s="201">
        <f>SUMIFS(rl_daysafter,rl_key,$A$3370,rl_effmonth,$B3382,rl_first,1)</f>
        <v/>
      </c>
      <c r="M3382" s="209">
        <f>IF($K3382=0,0,MIN(1,$L3382/$D3382))</f>
        <v/>
      </c>
      <c r="N3382" s="208">
        <f>IF($K3382=0,$J3382,(1-$M3382)*$I3382+$M3382*$J3382)</f>
        <v/>
      </c>
      <c r="O3382" s="209">
        <f>IF($F3382&lt;$B$3371,$E$3371+$I$3371*($F3382-$A$3371),IF($F3382&lt;$C$3371,$F$3371+$J$3371*($F3382-$B$3371),$G$3371+$K$3371*($F3382-$C$3371)))</f>
        <v/>
      </c>
      <c r="P3382" s="208">
        <f>MIN(1,MAX(0,(nr_MEndPm1-$G3382+0.5)/$C$3370))-MIN(1,MAX(0,(nr_MStartPm1-1-$G3382+0.5)/$C$3370))</f>
        <v/>
      </c>
      <c r="Q3382" s="208">
        <f>MIN(1,MAX(0,(nr_MEndP-$G3382+0.5)/$C$3370))-MIN(1,MAX(0,(nr_MStartP-1-$G3382+0.5)/$C$3370))</f>
        <v/>
      </c>
      <c r="R3382" s="208">
        <f>MIN(1,MAX(0,(nr_MEndP1-$G3382+0.5)/$C$3370))-MIN(1,MAX(0,(nr_MStartP1-1-$G3382+0.5)/$C$3370))</f>
        <v/>
      </c>
      <c r="S3382" s="208">
        <f>IF($L$3370,$N3382*IF($O$3370=1,$O3382/$F$3370,1),"")</f>
        <v/>
      </c>
      <c r="T3382" s="208">
        <f>IF(NOT($L$3370),"",IF($G3382&lt;nr_MStartP,$S3382,$T3370*(1+IF($G3382&lt;nr_MStartP1,$M$3370,$N$3370))))</f>
        <v/>
      </c>
      <c r="U3382" s="208">
        <f>IF($L$3370,$T3382,$N3382)</f>
        <v/>
      </c>
    </row>
    <row r="3383">
      <c r="A3383" s="145" t="n">
        <v>11</v>
      </c>
      <c r="B3383" s="204">
        <f>EDATE($B3382,1)</f>
        <v/>
      </c>
      <c r="C3383" s="205">
        <f>EOMONTH($B3383,0)</f>
        <v/>
      </c>
      <c r="D3383" s="201">
        <f>$C3383-$B3383+1</f>
        <v/>
      </c>
      <c r="E3383" s="201">
        <f>MONTH($B3383)</f>
        <v/>
      </c>
      <c r="F3383" s="235">
        <f>($B3383+$C3383+1)/2</f>
        <v/>
      </c>
      <c r="G3383" s="201">
        <f>YEAR($B3383)*12+MONTH($B3383)-1</f>
        <v/>
      </c>
      <c r="H3383" s="207">
        <f>IF(OR(nr_SeasonOn="OFF",$D$3370=0,$E$3370=0),1,12*INDEX(se_block,$D$3370,$E3383)/$E$3370)</f>
        <v/>
      </c>
      <c r="I3383" s="208">
        <f>EXP(SUMPRODUCT((rl_eff&lt;$B3383)*(rl_key=$A$3370)*rl_ln1p))</f>
        <v/>
      </c>
      <c r="J3383" s="208">
        <f>EXP(SUMPRODUCT((rl_eff&lt;=$C3383)*(rl_key=$A$3370)*rl_ln1p))</f>
        <v/>
      </c>
      <c r="K3383" s="201">
        <f>COUNTIFS(rl_key,$A$3370,rl_eff,"&gt;="&amp;$B3383,rl_eff,"&lt;="&amp;$C3383)</f>
        <v/>
      </c>
      <c r="L3383" s="201">
        <f>SUMIFS(rl_daysafter,rl_key,$A$3370,rl_effmonth,$B3383,rl_first,1)</f>
        <v/>
      </c>
      <c r="M3383" s="209">
        <f>IF($K3383=0,0,MIN(1,$L3383/$D3383))</f>
        <v/>
      </c>
      <c r="N3383" s="208">
        <f>IF($K3383=0,$J3383,(1-$M3383)*$I3383+$M3383*$J3383)</f>
        <v/>
      </c>
      <c r="O3383" s="209">
        <f>IF($F3383&lt;$B$3371,$E$3371+$I$3371*($F3383-$A$3371),IF($F3383&lt;$C$3371,$F$3371+$J$3371*($F3383-$B$3371),$G$3371+$K$3371*($F3383-$C$3371)))</f>
        <v/>
      </c>
      <c r="P3383" s="208">
        <f>MIN(1,MAX(0,(nr_MEndPm1-$G3383+0.5)/$C$3370))-MIN(1,MAX(0,(nr_MStartPm1-1-$G3383+0.5)/$C$3370))</f>
        <v/>
      </c>
      <c r="Q3383" s="208">
        <f>MIN(1,MAX(0,(nr_MEndP-$G3383+0.5)/$C$3370))-MIN(1,MAX(0,(nr_MStartP-1-$G3383+0.5)/$C$3370))</f>
        <v/>
      </c>
      <c r="R3383" s="208">
        <f>MIN(1,MAX(0,(nr_MEndP1-$G3383+0.5)/$C$3370))-MIN(1,MAX(0,(nr_MStartP1-1-$G3383+0.5)/$C$3370))</f>
        <v/>
      </c>
      <c r="S3383" s="208">
        <f>IF($L$3370,$N3383*IF($O$3370=1,$O3383/$F$3370,1),"")</f>
        <v/>
      </c>
      <c r="T3383" s="208">
        <f>IF(NOT($L$3370),"",IF($G3383&lt;nr_MStartP,$S3383,$T3371*(1+IF($G3383&lt;nr_MStartP1,$M$3370,$N$3370))))</f>
        <v/>
      </c>
      <c r="U3383" s="208">
        <f>IF($L$3370,$T3383,$N3383)</f>
        <v/>
      </c>
    </row>
    <row r="3384">
      <c r="A3384" s="145" t="n">
        <v>12</v>
      </c>
      <c r="B3384" s="204">
        <f>EDATE($B3383,1)</f>
        <v/>
      </c>
      <c r="C3384" s="205">
        <f>EOMONTH($B3384,0)</f>
        <v/>
      </c>
      <c r="D3384" s="201">
        <f>$C3384-$B3384+1</f>
        <v/>
      </c>
      <c r="E3384" s="201">
        <f>MONTH($B3384)</f>
        <v/>
      </c>
      <c r="F3384" s="235">
        <f>($B3384+$C3384+1)/2</f>
        <v/>
      </c>
      <c r="G3384" s="201">
        <f>YEAR($B3384)*12+MONTH($B3384)-1</f>
        <v/>
      </c>
      <c r="H3384" s="207">
        <f>IF(OR(nr_SeasonOn="OFF",$D$3370=0,$E$3370=0),1,12*INDEX(se_block,$D$3370,$E3384)/$E$3370)</f>
        <v/>
      </c>
      <c r="I3384" s="208">
        <f>EXP(SUMPRODUCT((rl_eff&lt;$B3384)*(rl_key=$A$3370)*rl_ln1p))</f>
        <v/>
      </c>
      <c r="J3384" s="208">
        <f>EXP(SUMPRODUCT((rl_eff&lt;=$C3384)*(rl_key=$A$3370)*rl_ln1p))</f>
        <v/>
      </c>
      <c r="K3384" s="201">
        <f>COUNTIFS(rl_key,$A$3370,rl_eff,"&gt;="&amp;$B3384,rl_eff,"&lt;="&amp;$C3384)</f>
        <v/>
      </c>
      <c r="L3384" s="201">
        <f>SUMIFS(rl_daysafter,rl_key,$A$3370,rl_effmonth,$B3384,rl_first,1)</f>
        <v/>
      </c>
      <c r="M3384" s="209">
        <f>IF($K3384=0,0,MIN(1,$L3384/$D3384))</f>
        <v/>
      </c>
      <c r="N3384" s="208">
        <f>IF($K3384=0,$J3384,(1-$M3384)*$I3384+$M3384*$J3384)</f>
        <v/>
      </c>
      <c r="O3384" s="209">
        <f>IF($F3384&lt;$B$3371,$E$3371+$I$3371*($F3384-$A$3371),IF($F3384&lt;$C$3371,$F$3371+$J$3371*($F3384-$B$3371),$G$3371+$K$3371*($F3384-$C$3371)))</f>
        <v/>
      </c>
      <c r="P3384" s="208">
        <f>MIN(1,MAX(0,(nr_MEndPm1-$G3384+0.5)/$C$3370))-MIN(1,MAX(0,(nr_MStartPm1-1-$G3384+0.5)/$C$3370))</f>
        <v/>
      </c>
      <c r="Q3384" s="208">
        <f>MIN(1,MAX(0,(nr_MEndP-$G3384+0.5)/$C$3370))-MIN(1,MAX(0,(nr_MStartP-1-$G3384+0.5)/$C$3370))</f>
        <v/>
      </c>
      <c r="R3384" s="208">
        <f>MIN(1,MAX(0,(nr_MEndP1-$G3384+0.5)/$C$3370))-MIN(1,MAX(0,(nr_MStartP1-1-$G3384+0.5)/$C$3370))</f>
        <v/>
      </c>
      <c r="S3384" s="208">
        <f>IF($L$3370,$N3384*IF($O$3370=1,$O3384/$F$3370,1),"")</f>
        <v/>
      </c>
      <c r="T3384" s="208">
        <f>IF(NOT($L$3370),"",IF($G3384&lt;nr_MStartP,$S3384,$T3372*(1+IF($G3384&lt;nr_MStartP1,$M$3370,$N$3370))))</f>
        <v/>
      </c>
      <c r="U3384" s="208">
        <f>IF($L$3370,$T3384,$N3384)</f>
        <v/>
      </c>
    </row>
    <row r="3385">
      <c r="A3385" s="145" t="n">
        <v>13</v>
      </c>
      <c r="B3385" s="204">
        <f>EDATE($B3384,1)</f>
        <v/>
      </c>
      <c r="C3385" s="205">
        <f>EOMONTH($B3385,0)</f>
        <v/>
      </c>
      <c r="D3385" s="201">
        <f>$C3385-$B3385+1</f>
        <v/>
      </c>
      <c r="E3385" s="201">
        <f>MONTH($B3385)</f>
        <v/>
      </c>
      <c r="F3385" s="235">
        <f>($B3385+$C3385+1)/2</f>
        <v/>
      </c>
      <c r="G3385" s="201">
        <f>YEAR($B3385)*12+MONTH($B3385)-1</f>
        <v/>
      </c>
      <c r="H3385" s="207">
        <f>IF(OR(nr_SeasonOn="OFF",$D$3370=0,$E$3370=0),1,12*INDEX(se_block,$D$3370,$E3385)/$E$3370)</f>
        <v/>
      </c>
      <c r="I3385" s="208">
        <f>EXP(SUMPRODUCT((rl_eff&lt;$B3385)*(rl_key=$A$3370)*rl_ln1p))</f>
        <v/>
      </c>
      <c r="J3385" s="208">
        <f>EXP(SUMPRODUCT((rl_eff&lt;=$C3385)*(rl_key=$A$3370)*rl_ln1p))</f>
        <v/>
      </c>
      <c r="K3385" s="201">
        <f>COUNTIFS(rl_key,$A$3370,rl_eff,"&gt;="&amp;$B3385,rl_eff,"&lt;="&amp;$C3385)</f>
        <v/>
      </c>
      <c r="L3385" s="201">
        <f>SUMIFS(rl_daysafter,rl_key,$A$3370,rl_effmonth,$B3385,rl_first,1)</f>
        <v/>
      </c>
      <c r="M3385" s="209">
        <f>IF($K3385=0,0,MIN(1,$L3385/$D3385))</f>
        <v/>
      </c>
      <c r="N3385" s="208">
        <f>IF($K3385=0,$J3385,(1-$M3385)*$I3385+$M3385*$J3385)</f>
        <v/>
      </c>
      <c r="O3385" s="209">
        <f>IF($F3385&lt;$B$3371,$E$3371+$I$3371*($F3385-$A$3371),IF($F3385&lt;$C$3371,$F$3371+$J$3371*($F3385-$B$3371),$G$3371+$K$3371*($F3385-$C$3371)))</f>
        <v/>
      </c>
      <c r="P3385" s="208">
        <f>MIN(1,MAX(0,(nr_MEndPm1-$G3385+0.5)/$C$3370))-MIN(1,MAX(0,(nr_MStartPm1-1-$G3385+0.5)/$C$3370))</f>
        <v/>
      </c>
      <c r="Q3385" s="208">
        <f>MIN(1,MAX(0,(nr_MEndP-$G3385+0.5)/$C$3370))-MIN(1,MAX(0,(nr_MStartP-1-$G3385+0.5)/$C$3370))</f>
        <v/>
      </c>
      <c r="R3385" s="208">
        <f>MIN(1,MAX(0,(nr_MEndP1-$G3385+0.5)/$C$3370))-MIN(1,MAX(0,(nr_MStartP1-1-$G3385+0.5)/$C$3370))</f>
        <v/>
      </c>
      <c r="S3385" s="208">
        <f>IF($L$3370,$N3385*IF($O$3370=1,$O3385/$F$3370,1),"")</f>
        <v/>
      </c>
      <c r="T3385" s="208">
        <f>IF(NOT($L$3370),"",IF($G3385&lt;nr_MStartP,$S3385,$T3373*(1+IF($G3385&lt;nr_MStartP1,$M$3370,$N$3370))))</f>
        <v/>
      </c>
      <c r="U3385" s="208">
        <f>IF($L$3370,$T3385,$N3385)</f>
        <v/>
      </c>
    </row>
    <row r="3386">
      <c r="A3386" s="145" t="n">
        <v>14</v>
      </c>
      <c r="B3386" s="204">
        <f>EDATE($B3385,1)</f>
        <v/>
      </c>
      <c r="C3386" s="205">
        <f>EOMONTH($B3386,0)</f>
        <v/>
      </c>
      <c r="D3386" s="201">
        <f>$C3386-$B3386+1</f>
        <v/>
      </c>
      <c r="E3386" s="201">
        <f>MONTH($B3386)</f>
        <v/>
      </c>
      <c r="F3386" s="235">
        <f>($B3386+$C3386+1)/2</f>
        <v/>
      </c>
      <c r="G3386" s="201">
        <f>YEAR($B3386)*12+MONTH($B3386)-1</f>
        <v/>
      </c>
      <c r="H3386" s="207">
        <f>IF(OR(nr_SeasonOn="OFF",$D$3370=0,$E$3370=0),1,12*INDEX(se_block,$D$3370,$E3386)/$E$3370)</f>
        <v/>
      </c>
      <c r="I3386" s="208">
        <f>EXP(SUMPRODUCT((rl_eff&lt;$B3386)*(rl_key=$A$3370)*rl_ln1p))</f>
        <v/>
      </c>
      <c r="J3386" s="208">
        <f>EXP(SUMPRODUCT((rl_eff&lt;=$C3386)*(rl_key=$A$3370)*rl_ln1p))</f>
        <v/>
      </c>
      <c r="K3386" s="201">
        <f>COUNTIFS(rl_key,$A$3370,rl_eff,"&gt;="&amp;$B3386,rl_eff,"&lt;="&amp;$C3386)</f>
        <v/>
      </c>
      <c r="L3386" s="201">
        <f>SUMIFS(rl_daysafter,rl_key,$A$3370,rl_effmonth,$B3386,rl_first,1)</f>
        <v/>
      </c>
      <c r="M3386" s="209">
        <f>IF($K3386=0,0,MIN(1,$L3386/$D3386))</f>
        <v/>
      </c>
      <c r="N3386" s="208">
        <f>IF($K3386=0,$J3386,(1-$M3386)*$I3386+$M3386*$J3386)</f>
        <v/>
      </c>
      <c r="O3386" s="209">
        <f>IF($F3386&lt;$B$3371,$E$3371+$I$3371*($F3386-$A$3371),IF($F3386&lt;$C$3371,$F$3371+$J$3371*($F3386-$B$3371),$G$3371+$K$3371*($F3386-$C$3371)))</f>
        <v/>
      </c>
      <c r="P3386" s="208">
        <f>MIN(1,MAX(0,(nr_MEndPm1-$G3386+0.5)/$C$3370))-MIN(1,MAX(0,(nr_MStartPm1-1-$G3386+0.5)/$C$3370))</f>
        <v/>
      </c>
      <c r="Q3386" s="208">
        <f>MIN(1,MAX(0,(nr_MEndP-$G3386+0.5)/$C$3370))-MIN(1,MAX(0,(nr_MStartP-1-$G3386+0.5)/$C$3370))</f>
        <v/>
      </c>
      <c r="R3386" s="208">
        <f>MIN(1,MAX(0,(nr_MEndP1-$G3386+0.5)/$C$3370))-MIN(1,MAX(0,(nr_MStartP1-1-$G3386+0.5)/$C$3370))</f>
        <v/>
      </c>
      <c r="S3386" s="208">
        <f>IF($L$3370,$N3386*IF($O$3370=1,$O3386/$F$3370,1),"")</f>
        <v/>
      </c>
      <c r="T3386" s="208">
        <f>IF(NOT($L$3370),"",IF($G3386&lt;nr_MStartP,$S3386,$T3374*(1+IF($G3386&lt;nr_MStartP1,$M$3370,$N$3370))))</f>
        <v/>
      </c>
      <c r="U3386" s="208">
        <f>IF($L$3370,$T3386,$N3386)</f>
        <v/>
      </c>
    </row>
    <row r="3387">
      <c r="A3387" s="145" t="n">
        <v>15</v>
      </c>
      <c r="B3387" s="204">
        <f>EDATE($B3386,1)</f>
        <v/>
      </c>
      <c r="C3387" s="205">
        <f>EOMONTH($B3387,0)</f>
        <v/>
      </c>
      <c r="D3387" s="201">
        <f>$C3387-$B3387+1</f>
        <v/>
      </c>
      <c r="E3387" s="201">
        <f>MONTH($B3387)</f>
        <v/>
      </c>
      <c r="F3387" s="235">
        <f>($B3387+$C3387+1)/2</f>
        <v/>
      </c>
      <c r="G3387" s="201">
        <f>YEAR($B3387)*12+MONTH($B3387)-1</f>
        <v/>
      </c>
      <c r="H3387" s="207">
        <f>IF(OR(nr_SeasonOn="OFF",$D$3370=0,$E$3370=0),1,12*INDEX(se_block,$D$3370,$E3387)/$E$3370)</f>
        <v/>
      </c>
      <c r="I3387" s="208">
        <f>EXP(SUMPRODUCT((rl_eff&lt;$B3387)*(rl_key=$A$3370)*rl_ln1p))</f>
        <v/>
      </c>
      <c r="J3387" s="208">
        <f>EXP(SUMPRODUCT((rl_eff&lt;=$C3387)*(rl_key=$A$3370)*rl_ln1p))</f>
        <v/>
      </c>
      <c r="K3387" s="201">
        <f>COUNTIFS(rl_key,$A$3370,rl_eff,"&gt;="&amp;$B3387,rl_eff,"&lt;="&amp;$C3387)</f>
        <v/>
      </c>
      <c r="L3387" s="201">
        <f>SUMIFS(rl_daysafter,rl_key,$A$3370,rl_effmonth,$B3387,rl_first,1)</f>
        <v/>
      </c>
      <c r="M3387" s="209">
        <f>IF($K3387=0,0,MIN(1,$L3387/$D3387))</f>
        <v/>
      </c>
      <c r="N3387" s="208">
        <f>IF($K3387=0,$J3387,(1-$M3387)*$I3387+$M3387*$J3387)</f>
        <v/>
      </c>
      <c r="O3387" s="209">
        <f>IF($F3387&lt;$B$3371,$E$3371+$I$3371*($F3387-$A$3371),IF($F3387&lt;$C$3371,$F$3371+$J$3371*($F3387-$B$3371),$G$3371+$K$3371*($F3387-$C$3371)))</f>
        <v/>
      </c>
      <c r="P3387" s="208">
        <f>MIN(1,MAX(0,(nr_MEndPm1-$G3387+0.5)/$C$3370))-MIN(1,MAX(0,(nr_MStartPm1-1-$G3387+0.5)/$C$3370))</f>
        <v/>
      </c>
      <c r="Q3387" s="208">
        <f>MIN(1,MAX(0,(nr_MEndP-$G3387+0.5)/$C$3370))-MIN(1,MAX(0,(nr_MStartP-1-$G3387+0.5)/$C$3370))</f>
        <v/>
      </c>
      <c r="R3387" s="208">
        <f>MIN(1,MAX(0,(nr_MEndP1-$G3387+0.5)/$C$3370))-MIN(1,MAX(0,(nr_MStartP1-1-$G3387+0.5)/$C$3370))</f>
        <v/>
      </c>
      <c r="S3387" s="208">
        <f>IF($L$3370,$N3387*IF($O$3370=1,$O3387/$F$3370,1),"")</f>
        <v/>
      </c>
      <c r="T3387" s="208">
        <f>IF(NOT($L$3370),"",IF($G3387&lt;nr_MStartP,$S3387,$T3375*(1+IF($G3387&lt;nr_MStartP1,$M$3370,$N$3370))))</f>
        <v/>
      </c>
      <c r="U3387" s="208">
        <f>IF($L$3370,$T3387,$N3387)</f>
        <v/>
      </c>
    </row>
    <row r="3388">
      <c r="A3388" s="145" t="n">
        <v>16</v>
      </c>
      <c r="B3388" s="204">
        <f>EDATE($B3387,1)</f>
        <v/>
      </c>
      <c r="C3388" s="205">
        <f>EOMONTH($B3388,0)</f>
        <v/>
      </c>
      <c r="D3388" s="201">
        <f>$C3388-$B3388+1</f>
        <v/>
      </c>
      <c r="E3388" s="201">
        <f>MONTH($B3388)</f>
        <v/>
      </c>
      <c r="F3388" s="235">
        <f>($B3388+$C3388+1)/2</f>
        <v/>
      </c>
      <c r="G3388" s="201">
        <f>YEAR($B3388)*12+MONTH($B3388)-1</f>
        <v/>
      </c>
      <c r="H3388" s="207">
        <f>IF(OR(nr_SeasonOn="OFF",$D$3370=0,$E$3370=0),1,12*INDEX(se_block,$D$3370,$E3388)/$E$3370)</f>
        <v/>
      </c>
      <c r="I3388" s="208">
        <f>EXP(SUMPRODUCT((rl_eff&lt;$B3388)*(rl_key=$A$3370)*rl_ln1p))</f>
        <v/>
      </c>
      <c r="J3388" s="208">
        <f>EXP(SUMPRODUCT((rl_eff&lt;=$C3388)*(rl_key=$A$3370)*rl_ln1p))</f>
        <v/>
      </c>
      <c r="K3388" s="201">
        <f>COUNTIFS(rl_key,$A$3370,rl_eff,"&gt;="&amp;$B3388,rl_eff,"&lt;="&amp;$C3388)</f>
        <v/>
      </c>
      <c r="L3388" s="201">
        <f>SUMIFS(rl_daysafter,rl_key,$A$3370,rl_effmonth,$B3388,rl_first,1)</f>
        <v/>
      </c>
      <c r="M3388" s="209">
        <f>IF($K3388=0,0,MIN(1,$L3388/$D3388))</f>
        <v/>
      </c>
      <c r="N3388" s="208">
        <f>IF($K3388=0,$J3388,(1-$M3388)*$I3388+$M3388*$J3388)</f>
        <v/>
      </c>
      <c r="O3388" s="209">
        <f>IF($F3388&lt;$B$3371,$E$3371+$I$3371*($F3388-$A$3371),IF($F3388&lt;$C$3371,$F$3371+$J$3371*($F3388-$B$3371),$G$3371+$K$3371*($F3388-$C$3371)))</f>
        <v/>
      </c>
      <c r="P3388" s="208">
        <f>MIN(1,MAX(0,(nr_MEndPm1-$G3388+0.5)/$C$3370))-MIN(1,MAX(0,(nr_MStartPm1-1-$G3388+0.5)/$C$3370))</f>
        <v/>
      </c>
      <c r="Q3388" s="208">
        <f>MIN(1,MAX(0,(nr_MEndP-$G3388+0.5)/$C$3370))-MIN(1,MAX(0,(nr_MStartP-1-$G3388+0.5)/$C$3370))</f>
        <v/>
      </c>
      <c r="R3388" s="208">
        <f>MIN(1,MAX(0,(nr_MEndP1-$G3388+0.5)/$C$3370))-MIN(1,MAX(0,(nr_MStartP1-1-$G3388+0.5)/$C$3370))</f>
        <v/>
      </c>
      <c r="S3388" s="208">
        <f>IF($L$3370,$N3388*IF($O$3370=1,$O3388/$F$3370,1),"")</f>
        <v/>
      </c>
      <c r="T3388" s="208">
        <f>IF(NOT($L$3370),"",IF($G3388&lt;nr_MStartP,$S3388,$T3376*(1+IF($G3388&lt;nr_MStartP1,$M$3370,$N$3370))))</f>
        <v/>
      </c>
      <c r="U3388" s="208">
        <f>IF($L$3370,$T3388,$N3388)</f>
        <v/>
      </c>
    </row>
    <row r="3389">
      <c r="A3389" s="145" t="n">
        <v>17</v>
      </c>
      <c r="B3389" s="204">
        <f>EDATE($B3388,1)</f>
        <v/>
      </c>
      <c r="C3389" s="205">
        <f>EOMONTH($B3389,0)</f>
        <v/>
      </c>
      <c r="D3389" s="201">
        <f>$C3389-$B3389+1</f>
        <v/>
      </c>
      <c r="E3389" s="201">
        <f>MONTH($B3389)</f>
        <v/>
      </c>
      <c r="F3389" s="235">
        <f>($B3389+$C3389+1)/2</f>
        <v/>
      </c>
      <c r="G3389" s="201">
        <f>YEAR($B3389)*12+MONTH($B3389)-1</f>
        <v/>
      </c>
      <c r="H3389" s="207">
        <f>IF(OR(nr_SeasonOn="OFF",$D$3370=0,$E$3370=0),1,12*INDEX(se_block,$D$3370,$E3389)/$E$3370)</f>
        <v/>
      </c>
      <c r="I3389" s="208">
        <f>EXP(SUMPRODUCT((rl_eff&lt;$B3389)*(rl_key=$A$3370)*rl_ln1p))</f>
        <v/>
      </c>
      <c r="J3389" s="208">
        <f>EXP(SUMPRODUCT((rl_eff&lt;=$C3389)*(rl_key=$A$3370)*rl_ln1p))</f>
        <v/>
      </c>
      <c r="K3389" s="201">
        <f>COUNTIFS(rl_key,$A$3370,rl_eff,"&gt;="&amp;$B3389,rl_eff,"&lt;="&amp;$C3389)</f>
        <v/>
      </c>
      <c r="L3389" s="201">
        <f>SUMIFS(rl_daysafter,rl_key,$A$3370,rl_effmonth,$B3389,rl_first,1)</f>
        <v/>
      </c>
      <c r="M3389" s="209">
        <f>IF($K3389=0,0,MIN(1,$L3389/$D3389))</f>
        <v/>
      </c>
      <c r="N3389" s="208">
        <f>IF($K3389=0,$J3389,(1-$M3389)*$I3389+$M3389*$J3389)</f>
        <v/>
      </c>
      <c r="O3389" s="209">
        <f>IF($F3389&lt;$B$3371,$E$3371+$I$3371*($F3389-$A$3371),IF($F3389&lt;$C$3371,$F$3371+$J$3371*($F3389-$B$3371),$G$3371+$K$3371*($F3389-$C$3371)))</f>
        <v/>
      </c>
      <c r="P3389" s="208">
        <f>MIN(1,MAX(0,(nr_MEndPm1-$G3389+0.5)/$C$3370))-MIN(1,MAX(0,(nr_MStartPm1-1-$G3389+0.5)/$C$3370))</f>
        <v/>
      </c>
      <c r="Q3389" s="208">
        <f>MIN(1,MAX(0,(nr_MEndP-$G3389+0.5)/$C$3370))-MIN(1,MAX(0,(nr_MStartP-1-$G3389+0.5)/$C$3370))</f>
        <v/>
      </c>
      <c r="R3389" s="208">
        <f>MIN(1,MAX(0,(nr_MEndP1-$G3389+0.5)/$C$3370))-MIN(1,MAX(0,(nr_MStartP1-1-$G3389+0.5)/$C$3370))</f>
        <v/>
      </c>
      <c r="S3389" s="208">
        <f>IF($L$3370,$N3389*IF($O$3370=1,$O3389/$F$3370,1),"")</f>
        <v/>
      </c>
      <c r="T3389" s="208">
        <f>IF(NOT($L$3370),"",IF($G3389&lt;nr_MStartP,$S3389,$T3377*(1+IF($G3389&lt;nr_MStartP1,$M$3370,$N$3370))))</f>
        <v/>
      </c>
      <c r="U3389" s="208">
        <f>IF($L$3370,$T3389,$N3389)</f>
        <v/>
      </c>
    </row>
    <row r="3390">
      <c r="A3390" s="145" t="n">
        <v>18</v>
      </c>
      <c r="B3390" s="204">
        <f>EDATE($B3389,1)</f>
        <v/>
      </c>
      <c r="C3390" s="205">
        <f>EOMONTH($B3390,0)</f>
        <v/>
      </c>
      <c r="D3390" s="201">
        <f>$C3390-$B3390+1</f>
        <v/>
      </c>
      <c r="E3390" s="201">
        <f>MONTH($B3390)</f>
        <v/>
      </c>
      <c r="F3390" s="235">
        <f>($B3390+$C3390+1)/2</f>
        <v/>
      </c>
      <c r="G3390" s="201">
        <f>YEAR($B3390)*12+MONTH($B3390)-1</f>
        <v/>
      </c>
      <c r="H3390" s="207">
        <f>IF(OR(nr_SeasonOn="OFF",$D$3370=0,$E$3370=0),1,12*INDEX(se_block,$D$3370,$E3390)/$E$3370)</f>
        <v/>
      </c>
      <c r="I3390" s="208">
        <f>EXP(SUMPRODUCT((rl_eff&lt;$B3390)*(rl_key=$A$3370)*rl_ln1p))</f>
        <v/>
      </c>
      <c r="J3390" s="208">
        <f>EXP(SUMPRODUCT((rl_eff&lt;=$C3390)*(rl_key=$A$3370)*rl_ln1p))</f>
        <v/>
      </c>
      <c r="K3390" s="201">
        <f>COUNTIFS(rl_key,$A$3370,rl_eff,"&gt;="&amp;$B3390,rl_eff,"&lt;="&amp;$C3390)</f>
        <v/>
      </c>
      <c r="L3390" s="201">
        <f>SUMIFS(rl_daysafter,rl_key,$A$3370,rl_effmonth,$B3390,rl_first,1)</f>
        <v/>
      </c>
      <c r="M3390" s="209">
        <f>IF($K3390=0,0,MIN(1,$L3390/$D3390))</f>
        <v/>
      </c>
      <c r="N3390" s="208">
        <f>IF($K3390=0,$J3390,(1-$M3390)*$I3390+$M3390*$J3390)</f>
        <v/>
      </c>
      <c r="O3390" s="209">
        <f>IF($F3390&lt;$B$3371,$E$3371+$I$3371*($F3390-$A$3371),IF($F3390&lt;$C$3371,$F$3371+$J$3371*($F3390-$B$3371),$G$3371+$K$3371*($F3390-$C$3371)))</f>
        <v/>
      </c>
      <c r="P3390" s="208">
        <f>MIN(1,MAX(0,(nr_MEndPm1-$G3390+0.5)/$C$3370))-MIN(1,MAX(0,(nr_MStartPm1-1-$G3390+0.5)/$C$3370))</f>
        <v/>
      </c>
      <c r="Q3390" s="208">
        <f>MIN(1,MAX(0,(nr_MEndP-$G3390+0.5)/$C$3370))-MIN(1,MAX(0,(nr_MStartP-1-$G3390+0.5)/$C$3370))</f>
        <v/>
      </c>
      <c r="R3390" s="208">
        <f>MIN(1,MAX(0,(nr_MEndP1-$G3390+0.5)/$C$3370))-MIN(1,MAX(0,(nr_MStartP1-1-$G3390+0.5)/$C$3370))</f>
        <v/>
      </c>
      <c r="S3390" s="208">
        <f>IF($L$3370,$N3390*IF($O$3370=1,$O3390/$F$3370,1),"")</f>
        <v/>
      </c>
      <c r="T3390" s="208">
        <f>IF(NOT($L$3370),"",IF($G3390&lt;nr_MStartP,$S3390,$T3378*(1+IF($G3390&lt;nr_MStartP1,$M$3370,$N$3370))))</f>
        <v/>
      </c>
      <c r="U3390" s="208">
        <f>IF($L$3370,$T3390,$N3390)</f>
        <v/>
      </c>
    </row>
    <row r="3391">
      <c r="A3391" s="145" t="n">
        <v>19</v>
      </c>
      <c r="B3391" s="204">
        <f>EDATE($B3390,1)</f>
        <v/>
      </c>
      <c r="C3391" s="205">
        <f>EOMONTH($B3391,0)</f>
        <v/>
      </c>
      <c r="D3391" s="201">
        <f>$C3391-$B3391+1</f>
        <v/>
      </c>
      <c r="E3391" s="201">
        <f>MONTH($B3391)</f>
        <v/>
      </c>
      <c r="F3391" s="235">
        <f>($B3391+$C3391+1)/2</f>
        <v/>
      </c>
      <c r="G3391" s="201">
        <f>YEAR($B3391)*12+MONTH($B3391)-1</f>
        <v/>
      </c>
      <c r="H3391" s="207">
        <f>IF(OR(nr_SeasonOn="OFF",$D$3370=0,$E$3370=0),1,12*INDEX(se_block,$D$3370,$E3391)/$E$3370)</f>
        <v/>
      </c>
      <c r="I3391" s="208">
        <f>EXP(SUMPRODUCT((rl_eff&lt;$B3391)*(rl_key=$A$3370)*rl_ln1p))</f>
        <v/>
      </c>
      <c r="J3391" s="208">
        <f>EXP(SUMPRODUCT((rl_eff&lt;=$C3391)*(rl_key=$A$3370)*rl_ln1p))</f>
        <v/>
      </c>
      <c r="K3391" s="201">
        <f>COUNTIFS(rl_key,$A$3370,rl_eff,"&gt;="&amp;$B3391,rl_eff,"&lt;="&amp;$C3391)</f>
        <v/>
      </c>
      <c r="L3391" s="201">
        <f>SUMIFS(rl_daysafter,rl_key,$A$3370,rl_effmonth,$B3391,rl_first,1)</f>
        <v/>
      </c>
      <c r="M3391" s="209">
        <f>IF($K3391=0,0,MIN(1,$L3391/$D3391))</f>
        <v/>
      </c>
      <c r="N3391" s="208">
        <f>IF($K3391=0,$J3391,(1-$M3391)*$I3391+$M3391*$J3391)</f>
        <v/>
      </c>
      <c r="O3391" s="209">
        <f>IF($F3391&lt;$B$3371,$E$3371+$I$3371*($F3391-$A$3371),IF($F3391&lt;$C$3371,$F$3371+$J$3371*($F3391-$B$3371),$G$3371+$K$3371*($F3391-$C$3371)))</f>
        <v/>
      </c>
      <c r="P3391" s="208">
        <f>MIN(1,MAX(0,(nr_MEndPm1-$G3391+0.5)/$C$3370))-MIN(1,MAX(0,(nr_MStartPm1-1-$G3391+0.5)/$C$3370))</f>
        <v/>
      </c>
      <c r="Q3391" s="208">
        <f>MIN(1,MAX(0,(nr_MEndP-$G3391+0.5)/$C$3370))-MIN(1,MAX(0,(nr_MStartP-1-$G3391+0.5)/$C$3370))</f>
        <v/>
      </c>
      <c r="R3391" s="208">
        <f>MIN(1,MAX(0,(nr_MEndP1-$G3391+0.5)/$C$3370))-MIN(1,MAX(0,(nr_MStartP1-1-$G3391+0.5)/$C$3370))</f>
        <v/>
      </c>
      <c r="S3391" s="208">
        <f>IF($L$3370,$N3391*IF($O$3370=1,$O3391/$F$3370,1),"")</f>
        <v/>
      </c>
      <c r="T3391" s="208">
        <f>IF(NOT($L$3370),"",IF($G3391&lt;nr_MStartP,$S3391,$T3379*(1+IF($G3391&lt;nr_MStartP1,$M$3370,$N$3370))))</f>
        <v/>
      </c>
      <c r="U3391" s="208">
        <f>IF($L$3370,$T3391,$N3391)</f>
        <v/>
      </c>
    </row>
    <row r="3392">
      <c r="A3392" s="145" t="n">
        <v>20</v>
      </c>
      <c r="B3392" s="204">
        <f>EDATE($B3391,1)</f>
        <v/>
      </c>
      <c r="C3392" s="205">
        <f>EOMONTH($B3392,0)</f>
        <v/>
      </c>
      <c r="D3392" s="201">
        <f>$C3392-$B3392+1</f>
        <v/>
      </c>
      <c r="E3392" s="201">
        <f>MONTH($B3392)</f>
        <v/>
      </c>
      <c r="F3392" s="235">
        <f>($B3392+$C3392+1)/2</f>
        <v/>
      </c>
      <c r="G3392" s="201">
        <f>YEAR($B3392)*12+MONTH($B3392)-1</f>
        <v/>
      </c>
      <c r="H3392" s="207">
        <f>IF(OR(nr_SeasonOn="OFF",$D$3370=0,$E$3370=0),1,12*INDEX(se_block,$D$3370,$E3392)/$E$3370)</f>
        <v/>
      </c>
      <c r="I3392" s="208">
        <f>EXP(SUMPRODUCT((rl_eff&lt;$B3392)*(rl_key=$A$3370)*rl_ln1p))</f>
        <v/>
      </c>
      <c r="J3392" s="208">
        <f>EXP(SUMPRODUCT((rl_eff&lt;=$C3392)*(rl_key=$A$3370)*rl_ln1p))</f>
        <v/>
      </c>
      <c r="K3392" s="201">
        <f>COUNTIFS(rl_key,$A$3370,rl_eff,"&gt;="&amp;$B3392,rl_eff,"&lt;="&amp;$C3392)</f>
        <v/>
      </c>
      <c r="L3392" s="201">
        <f>SUMIFS(rl_daysafter,rl_key,$A$3370,rl_effmonth,$B3392,rl_first,1)</f>
        <v/>
      </c>
      <c r="M3392" s="209">
        <f>IF($K3392=0,0,MIN(1,$L3392/$D3392))</f>
        <v/>
      </c>
      <c r="N3392" s="208">
        <f>IF($K3392=0,$J3392,(1-$M3392)*$I3392+$M3392*$J3392)</f>
        <v/>
      </c>
      <c r="O3392" s="209">
        <f>IF($F3392&lt;$B$3371,$E$3371+$I$3371*($F3392-$A$3371),IF($F3392&lt;$C$3371,$F$3371+$J$3371*($F3392-$B$3371),$G$3371+$K$3371*($F3392-$C$3371)))</f>
        <v/>
      </c>
      <c r="P3392" s="208">
        <f>MIN(1,MAX(0,(nr_MEndPm1-$G3392+0.5)/$C$3370))-MIN(1,MAX(0,(nr_MStartPm1-1-$G3392+0.5)/$C$3370))</f>
        <v/>
      </c>
      <c r="Q3392" s="208">
        <f>MIN(1,MAX(0,(nr_MEndP-$G3392+0.5)/$C$3370))-MIN(1,MAX(0,(nr_MStartP-1-$G3392+0.5)/$C$3370))</f>
        <v/>
      </c>
      <c r="R3392" s="208">
        <f>MIN(1,MAX(0,(nr_MEndP1-$G3392+0.5)/$C$3370))-MIN(1,MAX(0,(nr_MStartP1-1-$G3392+0.5)/$C$3370))</f>
        <v/>
      </c>
      <c r="S3392" s="208">
        <f>IF($L$3370,$N3392*IF($O$3370=1,$O3392/$F$3370,1),"")</f>
        <v/>
      </c>
      <c r="T3392" s="208">
        <f>IF(NOT($L$3370),"",IF($G3392&lt;nr_MStartP,$S3392,$T3380*(1+IF($G3392&lt;nr_MStartP1,$M$3370,$N$3370))))</f>
        <v/>
      </c>
      <c r="U3392" s="208">
        <f>IF($L$3370,$T3392,$N3392)</f>
        <v/>
      </c>
    </row>
    <row r="3393">
      <c r="A3393" s="145" t="n">
        <v>21</v>
      </c>
      <c r="B3393" s="204">
        <f>EDATE($B3392,1)</f>
        <v/>
      </c>
      <c r="C3393" s="205">
        <f>EOMONTH($B3393,0)</f>
        <v/>
      </c>
      <c r="D3393" s="201">
        <f>$C3393-$B3393+1</f>
        <v/>
      </c>
      <c r="E3393" s="201">
        <f>MONTH($B3393)</f>
        <v/>
      </c>
      <c r="F3393" s="235">
        <f>($B3393+$C3393+1)/2</f>
        <v/>
      </c>
      <c r="G3393" s="201">
        <f>YEAR($B3393)*12+MONTH($B3393)-1</f>
        <v/>
      </c>
      <c r="H3393" s="207">
        <f>IF(OR(nr_SeasonOn="OFF",$D$3370=0,$E$3370=0),1,12*INDEX(se_block,$D$3370,$E3393)/$E$3370)</f>
        <v/>
      </c>
      <c r="I3393" s="208">
        <f>EXP(SUMPRODUCT((rl_eff&lt;$B3393)*(rl_key=$A$3370)*rl_ln1p))</f>
        <v/>
      </c>
      <c r="J3393" s="208">
        <f>EXP(SUMPRODUCT((rl_eff&lt;=$C3393)*(rl_key=$A$3370)*rl_ln1p))</f>
        <v/>
      </c>
      <c r="K3393" s="201">
        <f>COUNTIFS(rl_key,$A$3370,rl_eff,"&gt;="&amp;$B3393,rl_eff,"&lt;="&amp;$C3393)</f>
        <v/>
      </c>
      <c r="L3393" s="201">
        <f>SUMIFS(rl_daysafter,rl_key,$A$3370,rl_effmonth,$B3393,rl_first,1)</f>
        <v/>
      </c>
      <c r="M3393" s="209">
        <f>IF($K3393=0,0,MIN(1,$L3393/$D3393))</f>
        <v/>
      </c>
      <c r="N3393" s="208">
        <f>IF($K3393=0,$J3393,(1-$M3393)*$I3393+$M3393*$J3393)</f>
        <v/>
      </c>
      <c r="O3393" s="209">
        <f>IF($F3393&lt;$B$3371,$E$3371+$I$3371*($F3393-$A$3371),IF($F3393&lt;$C$3371,$F$3371+$J$3371*($F3393-$B$3371),$G$3371+$K$3371*($F3393-$C$3371)))</f>
        <v/>
      </c>
      <c r="P3393" s="208">
        <f>MIN(1,MAX(0,(nr_MEndPm1-$G3393+0.5)/$C$3370))-MIN(1,MAX(0,(nr_MStartPm1-1-$G3393+0.5)/$C$3370))</f>
        <v/>
      </c>
      <c r="Q3393" s="208">
        <f>MIN(1,MAX(0,(nr_MEndP-$G3393+0.5)/$C$3370))-MIN(1,MAX(0,(nr_MStartP-1-$G3393+0.5)/$C$3370))</f>
        <v/>
      </c>
      <c r="R3393" s="208">
        <f>MIN(1,MAX(0,(nr_MEndP1-$G3393+0.5)/$C$3370))-MIN(1,MAX(0,(nr_MStartP1-1-$G3393+0.5)/$C$3370))</f>
        <v/>
      </c>
      <c r="S3393" s="208">
        <f>IF($L$3370,$N3393*IF($O$3370=1,$O3393/$F$3370,1),"")</f>
        <v/>
      </c>
      <c r="T3393" s="208">
        <f>IF(NOT($L$3370),"",IF($G3393&lt;nr_MStartP,$S3393,$T3381*(1+IF($G3393&lt;nr_MStartP1,$M$3370,$N$3370))))</f>
        <v/>
      </c>
      <c r="U3393" s="208">
        <f>IF($L$3370,$T3393,$N3393)</f>
        <v/>
      </c>
    </row>
    <row r="3394">
      <c r="A3394" s="145" t="n">
        <v>22</v>
      </c>
      <c r="B3394" s="204">
        <f>EDATE($B3393,1)</f>
        <v/>
      </c>
      <c r="C3394" s="205">
        <f>EOMONTH($B3394,0)</f>
        <v/>
      </c>
      <c r="D3394" s="201">
        <f>$C3394-$B3394+1</f>
        <v/>
      </c>
      <c r="E3394" s="201">
        <f>MONTH($B3394)</f>
        <v/>
      </c>
      <c r="F3394" s="235">
        <f>($B3394+$C3394+1)/2</f>
        <v/>
      </c>
      <c r="G3394" s="201">
        <f>YEAR($B3394)*12+MONTH($B3394)-1</f>
        <v/>
      </c>
      <c r="H3394" s="207">
        <f>IF(OR(nr_SeasonOn="OFF",$D$3370=0,$E$3370=0),1,12*INDEX(se_block,$D$3370,$E3394)/$E$3370)</f>
        <v/>
      </c>
      <c r="I3394" s="208">
        <f>EXP(SUMPRODUCT((rl_eff&lt;$B3394)*(rl_key=$A$3370)*rl_ln1p))</f>
        <v/>
      </c>
      <c r="J3394" s="208">
        <f>EXP(SUMPRODUCT((rl_eff&lt;=$C3394)*(rl_key=$A$3370)*rl_ln1p))</f>
        <v/>
      </c>
      <c r="K3394" s="201">
        <f>COUNTIFS(rl_key,$A$3370,rl_eff,"&gt;="&amp;$B3394,rl_eff,"&lt;="&amp;$C3394)</f>
        <v/>
      </c>
      <c r="L3394" s="201">
        <f>SUMIFS(rl_daysafter,rl_key,$A$3370,rl_effmonth,$B3394,rl_first,1)</f>
        <v/>
      </c>
      <c r="M3394" s="209">
        <f>IF($K3394=0,0,MIN(1,$L3394/$D3394))</f>
        <v/>
      </c>
      <c r="N3394" s="208">
        <f>IF($K3394=0,$J3394,(1-$M3394)*$I3394+$M3394*$J3394)</f>
        <v/>
      </c>
      <c r="O3394" s="209">
        <f>IF($F3394&lt;$B$3371,$E$3371+$I$3371*($F3394-$A$3371),IF($F3394&lt;$C$3371,$F$3371+$J$3371*($F3394-$B$3371),$G$3371+$K$3371*($F3394-$C$3371)))</f>
        <v/>
      </c>
      <c r="P3394" s="208">
        <f>MIN(1,MAX(0,(nr_MEndPm1-$G3394+0.5)/$C$3370))-MIN(1,MAX(0,(nr_MStartPm1-1-$G3394+0.5)/$C$3370))</f>
        <v/>
      </c>
      <c r="Q3394" s="208">
        <f>MIN(1,MAX(0,(nr_MEndP-$G3394+0.5)/$C$3370))-MIN(1,MAX(0,(nr_MStartP-1-$G3394+0.5)/$C$3370))</f>
        <v/>
      </c>
      <c r="R3394" s="208">
        <f>MIN(1,MAX(0,(nr_MEndP1-$G3394+0.5)/$C$3370))-MIN(1,MAX(0,(nr_MStartP1-1-$G3394+0.5)/$C$3370))</f>
        <v/>
      </c>
      <c r="S3394" s="208">
        <f>IF($L$3370,$N3394*IF($O$3370=1,$O3394/$F$3370,1),"")</f>
        <v/>
      </c>
      <c r="T3394" s="208">
        <f>IF(NOT($L$3370),"",IF($G3394&lt;nr_MStartP,$S3394,$T3382*(1+IF($G3394&lt;nr_MStartP1,$M$3370,$N$3370))))</f>
        <v/>
      </c>
      <c r="U3394" s="208">
        <f>IF($L$3370,$T3394,$N3394)</f>
        <v/>
      </c>
    </row>
    <row r="3395">
      <c r="A3395" s="145" t="n">
        <v>23</v>
      </c>
      <c r="B3395" s="204">
        <f>EDATE($B3394,1)</f>
        <v/>
      </c>
      <c r="C3395" s="205">
        <f>EOMONTH($B3395,0)</f>
        <v/>
      </c>
      <c r="D3395" s="201">
        <f>$C3395-$B3395+1</f>
        <v/>
      </c>
      <c r="E3395" s="201">
        <f>MONTH($B3395)</f>
        <v/>
      </c>
      <c r="F3395" s="235">
        <f>($B3395+$C3395+1)/2</f>
        <v/>
      </c>
      <c r="G3395" s="201">
        <f>YEAR($B3395)*12+MONTH($B3395)-1</f>
        <v/>
      </c>
      <c r="H3395" s="207">
        <f>IF(OR(nr_SeasonOn="OFF",$D$3370=0,$E$3370=0),1,12*INDEX(se_block,$D$3370,$E3395)/$E$3370)</f>
        <v/>
      </c>
      <c r="I3395" s="208">
        <f>EXP(SUMPRODUCT((rl_eff&lt;$B3395)*(rl_key=$A$3370)*rl_ln1p))</f>
        <v/>
      </c>
      <c r="J3395" s="208">
        <f>EXP(SUMPRODUCT((rl_eff&lt;=$C3395)*(rl_key=$A$3370)*rl_ln1p))</f>
        <v/>
      </c>
      <c r="K3395" s="201">
        <f>COUNTIFS(rl_key,$A$3370,rl_eff,"&gt;="&amp;$B3395,rl_eff,"&lt;="&amp;$C3395)</f>
        <v/>
      </c>
      <c r="L3395" s="201">
        <f>SUMIFS(rl_daysafter,rl_key,$A$3370,rl_effmonth,$B3395,rl_first,1)</f>
        <v/>
      </c>
      <c r="M3395" s="209">
        <f>IF($K3395=0,0,MIN(1,$L3395/$D3395))</f>
        <v/>
      </c>
      <c r="N3395" s="208">
        <f>IF($K3395=0,$J3395,(1-$M3395)*$I3395+$M3395*$J3395)</f>
        <v/>
      </c>
      <c r="O3395" s="209">
        <f>IF($F3395&lt;$B$3371,$E$3371+$I$3371*($F3395-$A$3371),IF($F3395&lt;$C$3371,$F$3371+$J$3371*($F3395-$B$3371),$G$3371+$K$3371*($F3395-$C$3371)))</f>
        <v/>
      </c>
      <c r="P3395" s="208">
        <f>MIN(1,MAX(0,(nr_MEndPm1-$G3395+0.5)/$C$3370))-MIN(1,MAX(0,(nr_MStartPm1-1-$G3395+0.5)/$C$3370))</f>
        <v/>
      </c>
      <c r="Q3395" s="208">
        <f>MIN(1,MAX(0,(nr_MEndP-$G3395+0.5)/$C$3370))-MIN(1,MAX(0,(nr_MStartP-1-$G3395+0.5)/$C$3370))</f>
        <v/>
      </c>
      <c r="R3395" s="208">
        <f>MIN(1,MAX(0,(nr_MEndP1-$G3395+0.5)/$C$3370))-MIN(1,MAX(0,(nr_MStartP1-1-$G3395+0.5)/$C$3370))</f>
        <v/>
      </c>
      <c r="S3395" s="208">
        <f>IF($L$3370,$N3395*IF($O$3370=1,$O3395/$F$3370,1),"")</f>
        <v/>
      </c>
      <c r="T3395" s="208">
        <f>IF(NOT($L$3370),"",IF($G3395&lt;nr_MStartP,$S3395,$T3383*(1+IF($G3395&lt;nr_MStartP1,$M$3370,$N$3370))))</f>
        <v/>
      </c>
      <c r="U3395" s="208">
        <f>IF($L$3370,$T3395,$N3395)</f>
        <v/>
      </c>
    </row>
    <row r="3396">
      <c r="A3396" s="145" t="n">
        <v>24</v>
      </c>
      <c r="B3396" s="204">
        <f>EDATE($B3395,1)</f>
        <v/>
      </c>
      <c r="C3396" s="205">
        <f>EOMONTH($B3396,0)</f>
        <v/>
      </c>
      <c r="D3396" s="201">
        <f>$C3396-$B3396+1</f>
        <v/>
      </c>
      <c r="E3396" s="201">
        <f>MONTH($B3396)</f>
        <v/>
      </c>
      <c r="F3396" s="235">
        <f>($B3396+$C3396+1)/2</f>
        <v/>
      </c>
      <c r="G3396" s="201">
        <f>YEAR($B3396)*12+MONTH($B3396)-1</f>
        <v/>
      </c>
      <c r="H3396" s="207">
        <f>IF(OR(nr_SeasonOn="OFF",$D$3370=0,$E$3370=0),1,12*INDEX(se_block,$D$3370,$E3396)/$E$3370)</f>
        <v/>
      </c>
      <c r="I3396" s="208">
        <f>EXP(SUMPRODUCT((rl_eff&lt;$B3396)*(rl_key=$A$3370)*rl_ln1p))</f>
        <v/>
      </c>
      <c r="J3396" s="208">
        <f>EXP(SUMPRODUCT((rl_eff&lt;=$C3396)*(rl_key=$A$3370)*rl_ln1p))</f>
        <v/>
      </c>
      <c r="K3396" s="201">
        <f>COUNTIFS(rl_key,$A$3370,rl_eff,"&gt;="&amp;$B3396,rl_eff,"&lt;="&amp;$C3396)</f>
        <v/>
      </c>
      <c r="L3396" s="201">
        <f>SUMIFS(rl_daysafter,rl_key,$A$3370,rl_effmonth,$B3396,rl_first,1)</f>
        <v/>
      </c>
      <c r="M3396" s="209">
        <f>IF($K3396=0,0,MIN(1,$L3396/$D3396))</f>
        <v/>
      </c>
      <c r="N3396" s="208">
        <f>IF($K3396=0,$J3396,(1-$M3396)*$I3396+$M3396*$J3396)</f>
        <v/>
      </c>
      <c r="O3396" s="209">
        <f>IF($F3396&lt;$B$3371,$E$3371+$I$3371*($F3396-$A$3371),IF($F3396&lt;$C$3371,$F$3371+$J$3371*($F3396-$B$3371),$G$3371+$K$3371*($F3396-$C$3371)))</f>
        <v/>
      </c>
      <c r="P3396" s="208">
        <f>MIN(1,MAX(0,(nr_MEndPm1-$G3396+0.5)/$C$3370))-MIN(1,MAX(0,(nr_MStartPm1-1-$G3396+0.5)/$C$3370))</f>
        <v/>
      </c>
      <c r="Q3396" s="208">
        <f>MIN(1,MAX(0,(nr_MEndP-$G3396+0.5)/$C$3370))-MIN(1,MAX(0,(nr_MStartP-1-$G3396+0.5)/$C$3370))</f>
        <v/>
      </c>
      <c r="R3396" s="208">
        <f>MIN(1,MAX(0,(nr_MEndP1-$G3396+0.5)/$C$3370))-MIN(1,MAX(0,(nr_MStartP1-1-$G3396+0.5)/$C$3370))</f>
        <v/>
      </c>
      <c r="S3396" s="208">
        <f>IF($L$3370,$N3396*IF($O$3370=1,$O3396/$F$3370,1),"")</f>
        <v/>
      </c>
      <c r="T3396" s="208">
        <f>IF(NOT($L$3370),"",IF($G3396&lt;nr_MStartP,$S3396,$T3384*(1+IF($G3396&lt;nr_MStartP1,$M$3370,$N$3370))))</f>
        <v/>
      </c>
      <c r="U3396" s="208">
        <f>IF($L$3370,$T3396,$N3396)</f>
        <v/>
      </c>
    </row>
    <row r="3397">
      <c r="A3397" s="145" t="n">
        <v>25</v>
      </c>
      <c r="B3397" s="204">
        <f>EDATE($B3396,1)</f>
        <v/>
      </c>
      <c r="C3397" s="205">
        <f>EOMONTH($B3397,0)</f>
        <v/>
      </c>
      <c r="D3397" s="201">
        <f>$C3397-$B3397+1</f>
        <v/>
      </c>
      <c r="E3397" s="201">
        <f>MONTH($B3397)</f>
        <v/>
      </c>
      <c r="F3397" s="235">
        <f>($B3397+$C3397+1)/2</f>
        <v/>
      </c>
      <c r="G3397" s="201">
        <f>YEAR($B3397)*12+MONTH($B3397)-1</f>
        <v/>
      </c>
      <c r="H3397" s="207">
        <f>IF(OR(nr_SeasonOn="OFF",$D$3370=0,$E$3370=0),1,12*INDEX(se_block,$D$3370,$E3397)/$E$3370)</f>
        <v/>
      </c>
      <c r="I3397" s="208">
        <f>EXP(SUMPRODUCT((rl_eff&lt;$B3397)*(rl_key=$A$3370)*rl_ln1p))</f>
        <v/>
      </c>
      <c r="J3397" s="208">
        <f>EXP(SUMPRODUCT((rl_eff&lt;=$C3397)*(rl_key=$A$3370)*rl_ln1p))</f>
        <v/>
      </c>
      <c r="K3397" s="201">
        <f>COUNTIFS(rl_key,$A$3370,rl_eff,"&gt;="&amp;$B3397,rl_eff,"&lt;="&amp;$C3397)</f>
        <v/>
      </c>
      <c r="L3397" s="201">
        <f>SUMIFS(rl_daysafter,rl_key,$A$3370,rl_effmonth,$B3397,rl_first,1)</f>
        <v/>
      </c>
      <c r="M3397" s="209">
        <f>IF($K3397=0,0,MIN(1,$L3397/$D3397))</f>
        <v/>
      </c>
      <c r="N3397" s="208">
        <f>IF($K3397=0,$J3397,(1-$M3397)*$I3397+$M3397*$J3397)</f>
        <v/>
      </c>
      <c r="O3397" s="209">
        <f>IF($F3397&lt;$B$3371,$E$3371+$I$3371*($F3397-$A$3371),IF($F3397&lt;$C$3371,$F$3371+$J$3371*($F3397-$B$3371),$G$3371+$K$3371*($F3397-$C$3371)))</f>
        <v/>
      </c>
      <c r="P3397" s="208">
        <f>MIN(1,MAX(0,(nr_MEndPm1-$G3397+0.5)/$C$3370))-MIN(1,MAX(0,(nr_MStartPm1-1-$G3397+0.5)/$C$3370))</f>
        <v/>
      </c>
      <c r="Q3397" s="208">
        <f>MIN(1,MAX(0,(nr_MEndP-$G3397+0.5)/$C$3370))-MIN(1,MAX(0,(nr_MStartP-1-$G3397+0.5)/$C$3370))</f>
        <v/>
      </c>
      <c r="R3397" s="208">
        <f>MIN(1,MAX(0,(nr_MEndP1-$G3397+0.5)/$C$3370))-MIN(1,MAX(0,(nr_MStartP1-1-$G3397+0.5)/$C$3370))</f>
        <v/>
      </c>
      <c r="S3397" s="208">
        <f>IF($L$3370,$N3397*IF($O$3370=1,$O3397/$F$3370,1),"")</f>
        <v/>
      </c>
      <c r="T3397" s="208">
        <f>IF(NOT($L$3370),"",IF($G3397&lt;nr_MStartP,$S3397,$T3385*(1+IF($G3397&lt;nr_MStartP1,$M$3370,$N$3370))))</f>
        <v/>
      </c>
      <c r="U3397" s="208">
        <f>IF($L$3370,$T3397,$N3397)</f>
        <v/>
      </c>
    </row>
    <row r="3398">
      <c r="A3398" s="145" t="n">
        <v>26</v>
      </c>
      <c r="B3398" s="204">
        <f>EDATE($B3397,1)</f>
        <v/>
      </c>
      <c r="C3398" s="205">
        <f>EOMONTH($B3398,0)</f>
        <v/>
      </c>
      <c r="D3398" s="201">
        <f>$C3398-$B3398+1</f>
        <v/>
      </c>
      <c r="E3398" s="201">
        <f>MONTH($B3398)</f>
        <v/>
      </c>
      <c r="F3398" s="235">
        <f>($B3398+$C3398+1)/2</f>
        <v/>
      </c>
      <c r="G3398" s="201">
        <f>YEAR($B3398)*12+MONTH($B3398)-1</f>
        <v/>
      </c>
      <c r="H3398" s="207">
        <f>IF(OR(nr_SeasonOn="OFF",$D$3370=0,$E$3370=0),1,12*INDEX(se_block,$D$3370,$E3398)/$E$3370)</f>
        <v/>
      </c>
      <c r="I3398" s="208">
        <f>EXP(SUMPRODUCT((rl_eff&lt;$B3398)*(rl_key=$A$3370)*rl_ln1p))</f>
        <v/>
      </c>
      <c r="J3398" s="208">
        <f>EXP(SUMPRODUCT((rl_eff&lt;=$C3398)*(rl_key=$A$3370)*rl_ln1p))</f>
        <v/>
      </c>
      <c r="K3398" s="201">
        <f>COUNTIFS(rl_key,$A$3370,rl_eff,"&gt;="&amp;$B3398,rl_eff,"&lt;="&amp;$C3398)</f>
        <v/>
      </c>
      <c r="L3398" s="201">
        <f>SUMIFS(rl_daysafter,rl_key,$A$3370,rl_effmonth,$B3398,rl_first,1)</f>
        <v/>
      </c>
      <c r="M3398" s="209">
        <f>IF($K3398=0,0,MIN(1,$L3398/$D3398))</f>
        <v/>
      </c>
      <c r="N3398" s="208">
        <f>IF($K3398=0,$J3398,(1-$M3398)*$I3398+$M3398*$J3398)</f>
        <v/>
      </c>
      <c r="O3398" s="209">
        <f>IF($F3398&lt;$B$3371,$E$3371+$I$3371*($F3398-$A$3371),IF($F3398&lt;$C$3371,$F$3371+$J$3371*($F3398-$B$3371),$G$3371+$K$3371*($F3398-$C$3371)))</f>
        <v/>
      </c>
      <c r="P3398" s="208">
        <f>MIN(1,MAX(0,(nr_MEndPm1-$G3398+0.5)/$C$3370))-MIN(1,MAX(0,(nr_MStartPm1-1-$G3398+0.5)/$C$3370))</f>
        <v/>
      </c>
      <c r="Q3398" s="208">
        <f>MIN(1,MAX(0,(nr_MEndP-$G3398+0.5)/$C$3370))-MIN(1,MAX(0,(nr_MStartP-1-$G3398+0.5)/$C$3370))</f>
        <v/>
      </c>
      <c r="R3398" s="208">
        <f>MIN(1,MAX(0,(nr_MEndP1-$G3398+0.5)/$C$3370))-MIN(1,MAX(0,(nr_MStartP1-1-$G3398+0.5)/$C$3370))</f>
        <v/>
      </c>
      <c r="S3398" s="208">
        <f>IF($L$3370,$N3398*IF($O$3370=1,$O3398/$F$3370,1),"")</f>
        <v/>
      </c>
      <c r="T3398" s="208">
        <f>IF(NOT($L$3370),"",IF($G3398&lt;nr_MStartP,$S3398,$T3386*(1+IF($G3398&lt;nr_MStartP1,$M$3370,$N$3370))))</f>
        <v/>
      </c>
      <c r="U3398" s="208">
        <f>IF($L$3370,$T3398,$N3398)</f>
        <v/>
      </c>
    </row>
    <row r="3399">
      <c r="A3399" s="145" t="n">
        <v>27</v>
      </c>
      <c r="B3399" s="204">
        <f>EDATE($B3398,1)</f>
        <v/>
      </c>
      <c r="C3399" s="205">
        <f>EOMONTH($B3399,0)</f>
        <v/>
      </c>
      <c r="D3399" s="201">
        <f>$C3399-$B3399+1</f>
        <v/>
      </c>
      <c r="E3399" s="201">
        <f>MONTH($B3399)</f>
        <v/>
      </c>
      <c r="F3399" s="235">
        <f>($B3399+$C3399+1)/2</f>
        <v/>
      </c>
      <c r="G3399" s="201">
        <f>YEAR($B3399)*12+MONTH($B3399)-1</f>
        <v/>
      </c>
      <c r="H3399" s="207">
        <f>IF(OR(nr_SeasonOn="OFF",$D$3370=0,$E$3370=0),1,12*INDEX(se_block,$D$3370,$E3399)/$E$3370)</f>
        <v/>
      </c>
      <c r="I3399" s="208">
        <f>EXP(SUMPRODUCT((rl_eff&lt;$B3399)*(rl_key=$A$3370)*rl_ln1p))</f>
        <v/>
      </c>
      <c r="J3399" s="208">
        <f>EXP(SUMPRODUCT((rl_eff&lt;=$C3399)*(rl_key=$A$3370)*rl_ln1p))</f>
        <v/>
      </c>
      <c r="K3399" s="201">
        <f>COUNTIFS(rl_key,$A$3370,rl_eff,"&gt;="&amp;$B3399,rl_eff,"&lt;="&amp;$C3399)</f>
        <v/>
      </c>
      <c r="L3399" s="201">
        <f>SUMIFS(rl_daysafter,rl_key,$A$3370,rl_effmonth,$B3399,rl_first,1)</f>
        <v/>
      </c>
      <c r="M3399" s="209">
        <f>IF($K3399=0,0,MIN(1,$L3399/$D3399))</f>
        <v/>
      </c>
      <c r="N3399" s="208">
        <f>IF($K3399=0,$J3399,(1-$M3399)*$I3399+$M3399*$J3399)</f>
        <v/>
      </c>
      <c r="O3399" s="209">
        <f>IF($F3399&lt;$B$3371,$E$3371+$I$3371*($F3399-$A$3371),IF($F3399&lt;$C$3371,$F$3371+$J$3371*($F3399-$B$3371),$G$3371+$K$3371*($F3399-$C$3371)))</f>
        <v/>
      </c>
      <c r="P3399" s="208">
        <f>MIN(1,MAX(0,(nr_MEndPm1-$G3399+0.5)/$C$3370))-MIN(1,MAX(0,(nr_MStartPm1-1-$G3399+0.5)/$C$3370))</f>
        <v/>
      </c>
      <c r="Q3399" s="208">
        <f>MIN(1,MAX(0,(nr_MEndP-$G3399+0.5)/$C$3370))-MIN(1,MAX(0,(nr_MStartP-1-$G3399+0.5)/$C$3370))</f>
        <v/>
      </c>
      <c r="R3399" s="208">
        <f>MIN(1,MAX(0,(nr_MEndP1-$G3399+0.5)/$C$3370))-MIN(1,MAX(0,(nr_MStartP1-1-$G3399+0.5)/$C$3370))</f>
        <v/>
      </c>
      <c r="S3399" s="208">
        <f>IF($L$3370,$N3399*IF($O$3370=1,$O3399/$F$3370,1),"")</f>
        <v/>
      </c>
      <c r="T3399" s="208">
        <f>IF(NOT($L$3370),"",IF($G3399&lt;nr_MStartP,$S3399,$T3387*(1+IF($G3399&lt;nr_MStartP1,$M$3370,$N$3370))))</f>
        <v/>
      </c>
      <c r="U3399" s="208">
        <f>IF($L$3370,$T3399,$N3399)</f>
        <v/>
      </c>
    </row>
    <row r="3400">
      <c r="A3400" s="145" t="n">
        <v>28</v>
      </c>
      <c r="B3400" s="204">
        <f>EDATE($B3399,1)</f>
        <v/>
      </c>
      <c r="C3400" s="205">
        <f>EOMONTH($B3400,0)</f>
        <v/>
      </c>
      <c r="D3400" s="201">
        <f>$C3400-$B3400+1</f>
        <v/>
      </c>
      <c r="E3400" s="201">
        <f>MONTH($B3400)</f>
        <v/>
      </c>
      <c r="F3400" s="235">
        <f>($B3400+$C3400+1)/2</f>
        <v/>
      </c>
      <c r="G3400" s="201">
        <f>YEAR($B3400)*12+MONTH($B3400)-1</f>
        <v/>
      </c>
      <c r="H3400" s="207">
        <f>IF(OR(nr_SeasonOn="OFF",$D$3370=0,$E$3370=0),1,12*INDEX(se_block,$D$3370,$E3400)/$E$3370)</f>
        <v/>
      </c>
      <c r="I3400" s="208">
        <f>EXP(SUMPRODUCT((rl_eff&lt;$B3400)*(rl_key=$A$3370)*rl_ln1p))</f>
        <v/>
      </c>
      <c r="J3400" s="208">
        <f>EXP(SUMPRODUCT((rl_eff&lt;=$C3400)*(rl_key=$A$3370)*rl_ln1p))</f>
        <v/>
      </c>
      <c r="K3400" s="201">
        <f>COUNTIFS(rl_key,$A$3370,rl_eff,"&gt;="&amp;$B3400,rl_eff,"&lt;="&amp;$C3400)</f>
        <v/>
      </c>
      <c r="L3400" s="201">
        <f>SUMIFS(rl_daysafter,rl_key,$A$3370,rl_effmonth,$B3400,rl_first,1)</f>
        <v/>
      </c>
      <c r="M3400" s="209">
        <f>IF($K3400=0,0,MIN(1,$L3400/$D3400))</f>
        <v/>
      </c>
      <c r="N3400" s="208">
        <f>IF($K3400=0,$J3400,(1-$M3400)*$I3400+$M3400*$J3400)</f>
        <v/>
      </c>
      <c r="O3400" s="209">
        <f>IF($F3400&lt;$B$3371,$E$3371+$I$3371*($F3400-$A$3371),IF($F3400&lt;$C$3371,$F$3371+$J$3371*($F3400-$B$3371),$G$3371+$K$3371*($F3400-$C$3371)))</f>
        <v/>
      </c>
      <c r="P3400" s="208">
        <f>MIN(1,MAX(0,(nr_MEndPm1-$G3400+0.5)/$C$3370))-MIN(1,MAX(0,(nr_MStartPm1-1-$G3400+0.5)/$C$3370))</f>
        <v/>
      </c>
      <c r="Q3400" s="208">
        <f>MIN(1,MAX(0,(nr_MEndP-$G3400+0.5)/$C$3370))-MIN(1,MAX(0,(nr_MStartP-1-$G3400+0.5)/$C$3370))</f>
        <v/>
      </c>
      <c r="R3400" s="208">
        <f>MIN(1,MAX(0,(nr_MEndP1-$G3400+0.5)/$C$3370))-MIN(1,MAX(0,(nr_MStartP1-1-$G3400+0.5)/$C$3370))</f>
        <v/>
      </c>
      <c r="S3400" s="208">
        <f>IF($L$3370,$N3400*IF($O$3370=1,$O3400/$F$3370,1),"")</f>
        <v/>
      </c>
      <c r="T3400" s="208">
        <f>IF(NOT($L$3370),"",IF($G3400&lt;nr_MStartP,$S3400,$T3388*(1+IF($G3400&lt;nr_MStartP1,$M$3370,$N$3370))))</f>
        <v/>
      </c>
      <c r="U3400" s="208">
        <f>IF($L$3370,$T3400,$N3400)</f>
        <v/>
      </c>
    </row>
    <row r="3401">
      <c r="A3401" s="145" t="n">
        <v>29</v>
      </c>
      <c r="B3401" s="204">
        <f>EDATE($B3400,1)</f>
        <v/>
      </c>
      <c r="C3401" s="205">
        <f>EOMONTH($B3401,0)</f>
        <v/>
      </c>
      <c r="D3401" s="201">
        <f>$C3401-$B3401+1</f>
        <v/>
      </c>
      <c r="E3401" s="201">
        <f>MONTH($B3401)</f>
        <v/>
      </c>
      <c r="F3401" s="235">
        <f>($B3401+$C3401+1)/2</f>
        <v/>
      </c>
      <c r="G3401" s="201">
        <f>YEAR($B3401)*12+MONTH($B3401)-1</f>
        <v/>
      </c>
      <c r="H3401" s="207">
        <f>IF(OR(nr_SeasonOn="OFF",$D$3370=0,$E$3370=0),1,12*INDEX(se_block,$D$3370,$E3401)/$E$3370)</f>
        <v/>
      </c>
      <c r="I3401" s="208">
        <f>EXP(SUMPRODUCT((rl_eff&lt;$B3401)*(rl_key=$A$3370)*rl_ln1p))</f>
        <v/>
      </c>
      <c r="J3401" s="208">
        <f>EXP(SUMPRODUCT((rl_eff&lt;=$C3401)*(rl_key=$A$3370)*rl_ln1p))</f>
        <v/>
      </c>
      <c r="K3401" s="201">
        <f>COUNTIFS(rl_key,$A$3370,rl_eff,"&gt;="&amp;$B3401,rl_eff,"&lt;="&amp;$C3401)</f>
        <v/>
      </c>
      <c r="L3401" s="201">
        <f>SUMIFS(rl_daysafter,rl_key,$A$3370,rl_effmonth,$B3401,rl_first,1)</f>
        <v/>
      </c>
      <c r="M3401" s="209">
        <f>IF($K3401=0,0,MIN(1,$L3401/$D3401))</f>
        <v/>
      </c>
      <c r="N3401" s="208">
        <f>IF($K3401=0,$J3401,(1-$M3401)*$I3401+$M3401*$J3401)</f>
        <v/>
      </c>
      <c r="O3401" s="209">
        <f>IF($F3401&lt;$B$3371,$E$3371+$I$3371*($F3401-$A$3371),IF($F3401&lt;$C$3371,$F$3371+$J$3371*($F3401-$B$3371),$G$3371+$K$3371*($F3401-$C$3371)))</f>
        <v/>
      </c>
      <c r="P3401" s="208">
        <f>MIN(1,MAX(0,(nr_MEndPm1-$G3401+0.5)/$C$3370))-MIN(1,MAX(0,(nr_MStartPm1-1-$G3401+0.5)/$C$3370))</f>
        <v/>
      </c>
      <c r="Q3401" s="208">
        <f>MIN(1,MAX(0,(nr_MEndP-$G3401+0.5)/$C$3370))-MIN(1,MAX(0,(nr_MStartP-1-$G3401+0.5)/$C$3370))</f>
        <v/>
      </c>
      <c r="R3401" s="208">
        <f>MIN(1,MAX(0,(nr_MEndP1-$G3401+0.5)/$C$3370))-MIN(1,MAX(0,(nr_MStartP1-1-$G3401+0.5)/$C$3370))</f>
        <v/>
      </c>
      <c r="S3401" s="208">
        <f>IF($L$3370,$N3401*IF($O$3370=1,$O3401/$F$3370,1),"")</f>
        <v/>
      </c>
      <c r="T3401" s="208">
        <f>IF(NOT($L$3370),"",IF($G3401&lt;nr_MStartP,$S3401,$T3389*(1+IF($G3401&lt;nr_MStartP1,$M$3370,$N$3370))))</f>
        <v/>
      </c>
      <c r="U3401" s="208">
        <f>IF($L$3370,$T3401,$N3401)</f>
        <v/>
      </c>
    </row>
    <row r="3402">
      <c r="A3402" s="145" t="n">
        <v>30</v>
      </c>
      <c r="B3402" s="204">
        <f>EDATE($B3401,1)</f>
        <v/>
      </c>
      <c r="C3402" s="205">
        <f>EOMONTH($B3402,0)</f>
        <v/>
      </c>
      <c r="D3402" s="201">
        <f>$C3402-$B3402+1</f>
        <v/>
      </c>
      <c r="E3402" s="201">
        <f>MONTH($B3402)</f>
        <v/>
      </c>
      <c r="F3402" s="235">
        <f>($B3402+$C3402+1)/2</f>
        <v/>
      </c>
      <c r="G3402" s="201">
        <f>YEAR($B3402)*12+MONTH($B3402)-1</f>
        <v/>
      </c>
      <c r="H3402" s="207">
        <f>IF(OR(nr_SeasonOn="OFF",$D$3370=0,$E$3370=0),1,12*INDEX(se_block,$D$3370,$E3402)/$E$3370)</f>
        <v/>
      </c>
      <c r="I3402" s="208">
        <f>EXP(SUMPRODUCT((rl_eff&lt;$B3402)*(rl_key=$A$3370)*rl_ln1p))</f>
        <v/>
      </c>
      <c r="J3402" s="208">
        <f>EXP(SUMPRODUCT((rl_eff&lt;=$C3402)*(rl_key=$A$3370)*rl_ln1p))</f>
        <v/>
      </c>
      <c r="K3402" s="201">
        <f>COUNTIFS(rl_key,$A$3370,rl_eff,"&gt;="&amp;$B3402,rl_eff,"&lt;="&amp;$C3402)</f>
        <v/>
      </c>
      <c r="L3402" s="201">
        <f>SUMIFS(rl_daysafter,rl_key,$A$3370,rl_effmonth,$B3402,rl_first,1)</f>
        <v/>
      </c>
      <c r="M3402" s="209">
        <f>IF($K3402=0,0,MIN(1,$L3402/$D3402))</f>
        <v/>
      </c>
      <c r="N3402" s="208">
        <f>IF($K3402=0,$J3402,(1-$M3402)*$I3402+$M3402*$J3402)</f>
        <v/>
      </c>
      <c r="O3402" s="209">
        <f>IF($F3402&lt;$B$3371,$E$3371+$I$3371*($F3402-$A$3371),IF($F3402&lt;$C$3371,$F$3371+$J$3371*($F3402-$B$3371),$G$3371+$K$3371*($F3402-$C$3371)))</f>
        <v/>
      </c>
      <c r="P3402" s="208">
        <f>MIN(1,MAX(0,(nr_MEndPm1-$G3402+0.5)/$C$3370))-MIN(1,MAX(0,(nr_MStartPm1-1-$G3402+0.5)/$C$3370))</f>
        <v/>
      </c>
      <c r="Q3402" s="208">
        <f>MIN(1,MAX(0,(nr_MEndP-$G3402+0.5)/$C$3370))-MIN(1,MAX(0,(nr_MStartP-1-$G3402+0.5)/$C$3370))</f>
        <v/>
      </c>
      <c r="R3402" s="208">
        <f>MIN(1,MAX(0,(nr_MEndP1-$G3402+0.5)/$C$3370))-MIN(1,MAX(0,(nr_MStartP1-1-$G3402+0.5)/$C$3370))</f>
        <v/>
      </c>
      <c r="S3402" s="208">
        <f>IF($L$3370,$N3402*IF($O$3370=1,$O3402/$F$3370,1),"")</f>
        <v/>
      </c>
      <c r="T3402" s="208">
        <f>IF(NOT($L$3370),"",IF($G3402&lt;nr_MStartP,$S3402,$T3390*(1+IF($G3402&lt;nr_MStartP1,$M$3370,$N$3370))))</f>
        <v/>
      </c>
      <c r="U3402" s="208">
        <f>IF($L$3370,$T3402,$N3402)</f>
        <v/>
      </c>
    </row>
    <row r="3403">
      <c r="A3403" s="145" t="n">
        <v>31</v>
      </c>
      <c r="B3403" s="204">
        <f>EDATE($B3402,1)</f>
        <v/>
      </c>
      <c r="C3403" s="205">
        <f>EOMONTH($B3403,0)</f>
        <v/>
      </c>
      <c r="D3403" s="201">
        <f>$C3403-$B3403+1</f>
        <v/>
      </c>
      <c r="E3403" s="201">
        <f>MONTH($B3403)</f>
        <v/>
      </c>
      <c r="F3403" s="235">
        <f>($B3403+$C3403+1)/2</f>
        <v/>
      </c>
      <c r="G3403" s="201">
        <f>YEAR($B3403)*12+MONTH($B3403)-1</f>
        <v/>
      </c>
      <c r="H3403" s="207">
        <f>IF(OR(nr_SeasonOn="OFF",$D$3370=0,$E$3370=0),1,12*INDEX(se_block,$D$3370,$E3403)/$E$3370)</f>
        <v/>
      </c>
      <c r="I3403" s="208">
        <f>EXP(SUMPRODUCT((rl_eff&lt;$B3403)*(rl_key=$A$3370)*rl_ln1p))</f>
        <v/>
      </c>
      <c r="J3403" s="208">
        <f>EXP(SUMPRODUCT((rl_eff&lt;=$C3403)*(rl_key=$A$3370)*rl_ln1p))</f>
        <v/>
      </c>
      <c r="K3403" s="201">
        <f>COUNTIFS(rl_key,$A$3370,rl_eff,"&gt;="&amp;$B3403,rl_eff,"&lt;="&amp;$C3403)</f>
        <v/>
      </c>
      <c r="L3403" s="201">
        <f>SUMIFS(rl_daysafter,rl_key,$A$3370,rl_effmonth,$B3403,rl_first,1)</f>
        <v/>
      </c>
      <c r="M3403" s="209">
        <f>IF($K3403=0,0,MIN(1,$L3403/$D3403))</f>
        <v/>
      </c>
      <c r="N3403" s="208">
        <f>IF($K3403=0,$J3403,(1-$M3403)*$I3403+$M3403*$J3403)</f>
        <v/>
      </c>
      <c r="O3403" s="209">
        <f>IF($F3403&lt;$B$3371,$E$3371+$I$3371*($F3403-$A$3371),IF($F3403&lt;$C$3371,$F$3371+$J$3371*($F3403-$B$3371),$G$3371+$K$3371*($F3403-$C$3371)))</f>
        <v/>
      </c>
      <c r="P3403" s="208">
        <f>MIN(1,MAX(0,(nr_MEndPm1-$G3403+0.5)/$C$3370))-MIN(1,MAX(0,(nr_MStartPm1-1-$G3403+0.5)/$C$3370))</f>
        <v/>
      </c>
      <c r="Q3403" s="208">
        <f>MIN(1,MAX(0,(nr_MEndP-$G3403+0.5)/$C$3370))-MIN(1,MAX(0,(nr_MStartP-1-$G3403+0.5)/$C$3370))</f>
        <v/>
      </c>
      <c r="R3403" s="208">
        <f>MIN(1,MAX(0,(nr_MEndP1-$G3403+0.5)/$C$3370))-MIN(1,MAX(0,(nr_MStartP1-1-$G3403+0.5)/$C$3370))</f>
        <v/>
      </c>
      <c r="S3403" s="208">
        <f>IF($L$3370,$N3403*IF($O$3370=1,$O3403/$F$3370,1),"")</f>
        <v/>
      </c>
      <c r="T3403" s="208">
        <f>IF(NOT($L$3370),"",IF($G3403&lt;nr_MStartP,$S3403,$T3391*(1+IF($G3403&lt;nr_MStartP1,$M$3370,$N$3370))))</f>
        <v/>
      </c>
      <c r="U3403" s="208">
        <f>IF($L$3370,$T3403,$N3403)</f>
        <v/>
      </c>
    </row>
    <row r="3404">
      <c r="A3404" s="145" t="n">
        <v>32</v>
      </c>
      <c r="B3404" s="204">
        <f>EDATE($B3403,1)</f>
        <v/>
      </c>
      <c r="C3404" s="205">
        <f>EOMONTH($B3404,0)</f>
        <v/>
      </c>
      <c r="D3404" s="201">
        <f>$C3404-$B3404+1</f>
        <v/>
      </c>
      <c r="E3404" s="201">
        <f>MONTH($B3404)</f>
        <v/>
      </c>
      <c r="F3404" s="235">
        <f>($B3404+$C3404+1)/2</f>
        <v/>
      </c>
      <c r="G3404" s="201">
        <f>YEAR($B3404)*12+MONTH($B3404)-1</f>
        <v/>
      </c>
      <c r="H3404" s="207">
        <f>IF(OR(nr_SeasonOn="OFF",$D$3370=0,$E$3370=0),1,12*INDEX(se_block,$D$3370,$E3404)/$E$3370)</f>
        <v/>
      </c>
      <c r="I3404" s="208">
        <f>EXP(SUMPRODUCT((rl_eff&lt;$B3404)*(rl_key=$A$3370)*rl_ln1p))</f>
        <v/>
      </c>
      <c r="J3404" s="208">
        <f>EXP(SUMPRODUCT((rl_eff&lt;=$C3404)*(rl_key=$A$3370)*rl_ln1p))</f>
        <v/>
      </c>
      <c r="K3404" s="201">
        <f>COUNTIFS(rl_key,$A$3370,rl_eff,"&gt;="&amp;$B3404,rl_eff,"&lt;="&amp;$C3404)</f>
        <v/>
      </c>
      <c r="L3404" s="201">
        <f>SUMIFS(rl_daysafter,rl_key,$A$3370,rl_effmonth,$B3404,rl_first,1)</f>
        <v/>
      </c>
      <c r="M3404" s="209">
        <f>IF($K3404=0,0,MIN(1,$L3404/$D3404))</f>
        <v/>
      </c>
      <c r="N3404" s="208">
        <f>IF($K3404=0,$J3404,(1-$M3404)*$I3404+$M3404*$J3404)</f>
        <v/>
      </c>
      <c r="O3404" s="209">
        <f>IF($F3404&lt;$B$3371,$E$3371+$I$3371*($F3404-$A$3371),IF($F3404&lt;$C$3371,$F$3371+$J$3371*($F3404-$B$3371),$G$3371+$K$3371*($F3404-$C$3371)))</f>
        <v/>
      </c>
      <c r="P3404" s="208">
        <f>MIN(1,MAX(0,(nr_MEndPm1-$G3404+0.5)/$C$3370))-MIN(1,MAX(0,(nr_MStartPm1-1-$G3404+0.5)/$C$3370))</f>
        <v/>
      </c>
      <c r="Q3404" s="208">
        <f>MIN(1,MAX(0,(nr_MEndP-$G3404+0.5)/$C$3370))-MIN(1,MAX(0,(nr_MStartP-1-$G3404+0.5)/$C$3370))</f>
        <v/>
      </c>
      <c r="R3404" s="208">
        <f>MIN(1,MAX(0,(nr_MEndP1-$G3404+0.5)/$C$3370))-MIN(1,MAX(0,(nr_MStartP1-1-$G3404+0.5)/$C$3370))</f>
        <v/>
      </c>
      <c r="S3404" s="208">
        <f>IF($L$3370,$N3404*IF($O$3370=1,$O3404/$F$3370,1),"")</f>
        <v/>
      </c>
      <c r="T3404" s="208">
        <f>IF(NOT($L$3370),"",IF($G3404&lt;nr_MStartP,$S3404,$T3392*(1+IF($G3404&lt;nr_MStartP1,$M$3370,$N$3370))))</f>
        <v/>
      </c>
      <c r="U3404" s="208">
        <f>IF($L$3370,$T3404,$N3404)</f>
        <v/>
      </c>
    </row>
    <row r="3405">
      <c r="A3405" s="145" t="n">
        <v>33</v>
      </c>
      <c r="B3405" s="204">
        <f>EDATE($B3404,1)</f>
        <v/>
      </c>
      <c r="C3405" s="205">
        <f>EOMONTH($B3405,0)</f>
        <v/>
      </c>
      <c r="D3405" s="201">
        <f>$C3405-$B3405+1</f>
        <v/>
      </c>
      <c r="E3405" s="201">
        <f>MONTH($B3405)</f>
        <v/>
      </c>
      <c r="F3405" s="235">
        <f>($B3405+$C3405+1)/2</f>
        <v/>
      </c>
      <c r="G3405" s="201">
        <f>YEAR($B3405)*12+MONTH($B3405)-1</f>
        <v/>
      </c>
      <c r="H3405" s="207">
        <f>IF(OR(nr_SeasonOn="OFF",$D$3370=0,$E$3370=0),1,12*INDEX(se_block,$D$3370,$E3405)/$E$3370)</f>
        <v/>
      </c>
      <c r="I3405" s="208">
        <f>EXP(SUMPRODUCT((rl_eff&lt;$B3405)*(rl_key=$A$3370)*rl_ln1p))</f>
        <v/>
      </c>
      <c r="J3405" s="208">
        <f>EXP(SUMPRODUCT((rl_eff&lt;=$C3405)*(rl_key=$A$3370)*rl_ln1p))</f>
        <v/>
      </c>
      <c r="K3405" s="201">
        <f>COUNTIFS(rl_key,$A$3370,rl_eff,"&gt;="&amp;$B3405,rl_eff,"&lt;="&amp;$C3405)</f>
        <v/>
      </c>
      <c r="L3405" s="201">
        <f>SUMIFS(rl_daysafter,rl_key,$A$3370,rl_effmonth,$B3405,rl_first,1)</f>
        <v/>
      </c>
      <c r="M3405" s="209">
        <f>IF($K3405=0,0,MIN(1,$L3405/$D3405))</f>
        <v/>
      </c>
      <c r="N3405" s="208">
        <f>IF($K3405=0,$J3405,(1-$M3405)*$I3405+$M3405*$J3405)</f>
        <v/>
      </c>
      <c r="O3405" s="209">
        <f>IF($F3405&lt;$B$3371,$E$3371+$I$3371*($F3405-$A$3371),IF($F3405&lt;$C$3371,$F$3371+$J$3371*($F3405-$B$3371),$G$3371+$K$3371*($F3405-$C$3371)))</f>
        <v/>
      </c>
      <c r="P3405" s="208">
        <f>MIN(1,MAX(0,(nr_MEndPm1-$G3405+0.5)/$C$3370))-MIN(1,MAX(0,(nr_MStartPm1-1-$G3405+0.5)/$C$3370))</f>
        <v/>
      </c>
      <c r="Q3405" s="208">
        <f>MIN(1,MAX(0,(nr_MEndP-$G3405+0.5)/$C$3370))-MIN(1,MAX(0,(nr_MStartP-1-$G3405+0.5)/$C$3370))</f>
        <v/>
      </c>
      <c r="R3405" s="208">
        <f>MIN(1,MAX(0,(nr_MEndP1-$G3405+0.5)/$C$3370))-MIN(1,MAX(0,(nr_MStartP1-1-$G3405+0.5)/$C$3370))</f>
        <v/>
      </c>
      <c r="S3405" s="208">
        <f>IF($L$3370,$N3405*IF($O$3370=1,$O3405/$F$3370,1),"")</f>
        <v/>
      </c>
      <c r="T3405" s="208">
        <f>IF(NOT($L$3370),"",IF($G3405&lt;nr_MStartP,$S3405,$T3393*(1+IF($G3405&lt;nr_MStartP1,$M$3370,$N$3370))))</f>
        <v/>
      </c>
      <c r="U3405" s="208">
        <f>IF($L$3370,$T3405,$N3405)</f>
        <v/>
      </c>
    </row>
    <row r="3406">
      <c r="A3406" s="145" t="n">
        <v>34</v>
      </c>
      <c r="B3406" s="204">
        <f>EDATE($B3405,1)</f>
        <v/>
      </c>
      <c r="C3406" s="205">
        <f>EOMONTH($B3406,0)</f>
        <v/>
      </c>
      <c r="D3406" s="201">
        <f>$C3406-$B3406+1</f>
        <v/>
      </c>
      <c r="E3406" s="201">
        <f>MONTH($B3406)</f>
        <v/>
      </c>
      <c r="F3406" s="235">
        <f>($B3406+$C3406+1)/2</f>
        <v/>
      </c>
      <c r="G3406" s="201">
        <f>YEAR($B3406)*12+MONTH($B3406)-1</f>
        <v/>
      </c>
      <c r="H3406" s="207">
        <f>IF(OR(nr_SeasonOn="OFF",$D$3370=0,$E$3370=0),1,12*INDEX(se_block,$D$3370,$E3406)/$E$3370)</f>
        <v/>
      </c>
      <c r="I3406" s="208">
        <f>EXP(SUMPRODUCT((rl_eff&lt;$B3406)*(rl_key=$A$3370)*rl_ln1p))</f>
        <v/>
      </c>
      <c r="J3406" s="208">
        <f>EXP(SUMPRODUCT((rl_eff&lt;=$C3406)*(rl_key=$A$3370)*rl_ln1p))</f>
        <v/>
      </c>
      <c r="K3406" s="201">
        <f>COUNTIFS(rl_key,$A$3370,rl_eff,"&gt;="&amp;$B3406,rl_eff,"&lt;="&amp;$C3406)</f>
        <v/>
      </c>
      <c r="L3406" s="201">
        <f>SUMIFS(rl_daysafter,rl_key,$A$3370,rl_effmonth,$B3406,rl_first,1)</f>
        <v/>
      </c>
      <c r="M3406" s="209">
        <f>IF($K3406=0,0,MIN(1,$L3406/$D3406))</f>
        <v/>
      </c>
      <c r="N3406" s="208">
        <f>IF($K3406=0,$J3406,(1-$M3406)*$I3406+$M3406*$J3406)</f>
        <v/>
      </c>
      <c r="O3406" s="209">
        <f>IF($F3406&lt;$B$3371,$E$3371+$I$3371*($F3406-$A$3371),IF($F3406&lt;$C$3371,$F$3371+$J$3371*($F3406-$B$3371),$G$3371+$K$3371*($F3406-$C$3371)))</f>
        <v/>
      </c>
      <c r="P3406" s="208">
        <f>MIN(1,MAX(0,(nr_MEndPm1-$G3406+0.5)/$C$3370))-MIN(1,MAX(0,(nr_MStartPm1-1-$G3406+0.5)/$C$3370))</f>
        <v/>
      </c>
      <c r="Q3406" s="208">
        <f>MIN(1,MAX(0,(nr_MEndP-$G3406+0.5)/$C$3370))-MIN(1,MAX(0,(nr_MStartP-1-$G3406+0.5)/$C$3370))</f>
        <v/>
      </c>
      <c r="R3406" s="208">
        <f>MIN(1,MAX(0,(nr_MEndP1-$G3406+0.5)/$C$3370))-MIN(1,MAX(0,(nr_MStartP1-1-$G3406+0.5)/$C$3370))</f>
        <v/>
      </c>
      <c r="S3406" s="208">
        <f>IF($L$3370,$N3406*IF($O$3370=1,$O3406/$F$3370,1),"")</f>
        <v/>
      </c>
      <c r="T3406" s="208">
        <f>IF(NOT($L$3370),"",IF($G3406&lt;nr_MStartP,$S3406,$T3394*(1+IF($G3406&lt;nr_MStartP1,$M$3370,$N$3370))))</f>
        <v/>
      </c>
      <c r="U3406" s="208">
        <f>IF($L$3370,$T3406,$N3406)</f>
        <v/>
      </c>
    </row>
    <row r="3407">
      <c r="A3407" s="145" t="n">
        <v>35</v>
      </c>
      <c r="B3407" s="204">
        <f>EDATE($B3406,1)</f>
        <v/>
      </c>
      <c r="C3407" s="205">
        <f>EOMONTH($B3407,0)</f>
        <v/>
      </c>
      <c r="D3407" s="201">
        <f>$C3407-$B3407+1</f>
        <v/>
      </c>
      <c r="E3407" s="201">
        <f>MONTH($B3407)</f>
        <v/>
      </c>
      <c r="F3407" s="235">
        <f>($B3407+$C3407+1)/2</f>
        <v/>
      </c>
      <c r="G3407" s="201">
        <f>YEAR($B3407)*12+MONTH($B3407)-1</f>
        <v/>
      </c>
      <c r="H3407" s="207">
        <f>IF(OR(nr_SeasonOn="OFF",$D$3370=0,$E$3370=0),1,12*INDEX(se_block,$D$3370,$E3407)/$E$3370)</f>
        <v/>
      </c>
      <c r="I3407" s="208">
        <f>EXP(SUMPRODUCT((rl_eff&lt;$B3407)*(rl_key=$A$3370)*rl_ln1p))</f>
        <v/>
      </c>
      <c r="J3407" s="208">
        <f>EXP(SUMPRODUCT((rl_eff&lt;=$C3407)*(rl_key=$A$3370)*rl_ln1p))</f>
        <v/>
      </c>
      <c r="K3407" s="201">
        <f>COUNTIFS(rl_key,$A$3370,rl_eff,"&gt;="&amp;$B3407,rl_eff,"&lt;="&amp;$C3407)</f>
        <v/>
      </c>
      <c r="L3407" s="201">
        <f>SUMIFS(rl_daysafter,rl_key,$A$3370,rl_effmonth,$B3407,rl_first,1)</f>
        <v/>
      </c>
      <c r="M3407" s="209">
        <f>IF($K3407=0,0,MIN(1,$L3407/$D3407))</f>
        <v/>
      </c>
      <c r="N3407" s="208">
        <f>IF($K3407=0,$J3407,(1-$M3407)*$I3407+$M3407*$J3407)</f>
        <v/>
      </c>
      <c r="O3407" s="209">
        <f>IF($F3407&lt;$B$3371,$E$3371+$I$3371*($F3407-$A$3371),IF($F3407&lt;$C$3371,$F$3371+$J$3371*($F3407-$B$3371),$G$3371+$K$3371*($F3407-$C$3371)))</f>
        <v/>
      </c>
      <c r="P3407" s="208">
        <f>MIN(1,MAX(0,(nr_MEndPm1-$G3407+0.5)/$C$3370))-MIN(1,MAX(0,(nr_MStartPm1-1-$G3407+0.5)/$C$3370))</f>
        <v/>
      </c>
      <c r="Q3407" s="208">
        <f>MIN(1,MAX(0,(nr_MEndP-$G3407+0.5)/$C$3370))-MIN(1,MAX(0,(nr_MStartP-1-$G3407+0.5)/$C$3370))</f>
        <v/>
      </c>
      <c r="R3407" s="208">
        <f>MIN(1,MAX(0,(nr_MEndP1-$G3407+0.5)/$C$3370))-MIN(1,MAX(0,(nr_MStartP1-1-$G3407+0.5)/$C$3370))</f>
        <v/>
      </c>
      <c r="S3407" s="208">
        <f>IF($L$3370,$N3407*IF($O$3370=1,$O3407/$F$3370,1),"")</f>
        <v/>
      </c>
      <c r="T3407" s="208">
        <f>IF(NOT($L$3370),"",IF($G3407&lt;nr_MStartP,$S3407,$T3395*(1+IF($G3407&lt;nr_MStartP1,$M$3370,$N$3370))))</f>
        <v/>
      </c>
      <c r="U3407" s="208">
        <f>IF($L$3370,$T3407,$N3407)</f>
        <v/>
      </c>
    </row>
    <row r="3408">
      <c r="A3408" s="145" t="n">
        <v>36</v>
      </c>
      <c r="B3408" s="204">
        <f>EDATE($B3407,1)</f>
        <v/>
      </c>
      <c r="C3408" s="205">
        <f>EOMONTH($B3408,0)</f>
        <v/>
      </c>
      <c r="D3408" s="201">
        <f>$C3408-$B3408+1</f>
        <v/>
      </c>
      <c r="E3408" s="201">
        <f>MONTH($B3408)</f>
        <v/>
      </c>
      <c r="F3408" s="235">
        <f>($B3408+$C3408+1)/2</f>
        <v/>
      </c>
      <c r="G3408" s="201">
        <f>YEAR($B3408)*12+MONTH($B3408)-1</f>
        <v/>
      </c>
      <c r="H3408" s="207">
        <f>IF(OR(nr_SeasonOn="OFF",$D$3370=0,$E$3370=0),1,12*INDEX(se_block,$D$3370,$E3408)/$E$3370)</f>
        <v/>
      </c>
      <c r="I3408" s="208">
        <f>EXP(SUMPRODUCT((rl_eff&lt;$B3408)*(rl_key=$A$3370)*rl_ln1p))</f>
        <v/>
      </c>
      <c r="J3408" s="208">
        <f>EXP(SUMPRODUCT((rl_eff&lt;=$C3408)*(rl_key=$A$3370)*rl_ln1p))</f>
        <v/>
      </c>
      <c r="K3408" s="201">
        <f>COUNTIFS(rl_key,$A$3370,rl_eff,"&gt;="&amp;$B3408,rl_eff,"&lt;="&amp;$C3408)</f>
        <v/>
      </c>
      <c r="L3408" s="201">
        <f>SUMIFS(rl_daysafter,rl_key,$A$3370,rl_effmonth,$B3408,rl_first,1)</f>
        <v/>
      </c>
      <c r="M3408" s="209">
        <f>IF($K3408=0,0,MIN(1,$L3408/$D3408))</f>
        <v/>
      </c>
      <c r="N3408" s="208">
        <f>IF($K3408=0,$J3408,(1-$M3408)*$I3408+$M3408*$J3408)</f>
        <v/>
      </c>
      <c r="O3408" s="209">
        <f>IF($F3408&lt;$B$3371,$E$3371+$I$3371*($F3408-$A$3371),IF($F3408&lt;$C$3371,$F$3371+$J$3371*($F3408-$B$3371),$G$3371+$K$3371*($F3408-$C$3371)))</f>
        <v/>
      </c>
      <c r="P3408" s="208">
        <f>MIN(1,MAX(0,(nr_MEndPm1-$G3408+0.5)/$C$3370))-MIN(1,MAX(0,(nr_MStartPm1-1-$G3408+0.5)/$C$3370))</f>
        <v/>
      </c>
      <c r="Q3408" s="208">
        <f>MIN(1,MAX(0,(nr_MEndP-$G3408+0.5)/$C$3370))-MIN(1,MAX(0,(nr_MStartP-1-$G3408+0.5)/$C$3370))</f>
        <v/>
      </c>
      <c r="R3408" s="208">
        <f>MIN(1,MAX(0,(nr_MEndP1-$G3408+0.5)/$C$3370))-MIN(1,MAX(0,(nr_MStartP1-1-$G3408+0.5)/$C$3370))</f>
        <v/>
      </c>
      <c r="S3408" s="208">
        <f>IF($L$3370,$N3408*IF($O$3370=1,$O3408/$F$3370,1),"")</f>
        <v/>
      </c>
      <c r="T3408" s="208">
        <f>IF(NOT($L$3370),"",IF($G3408&lt;nr_MStartP,$S3408,$T3396*(1+IF($G3408&lt;nr_MStartP1,$M$3370,$N$3370))))</f>
        <v/>
      </c>
      <c r="U3408" s="208">
        <f>IF($L$3370,$T3408,$N3408)</f>
        <v/>
      </c>
    </row>
    <row r="3409">
      <c r="A3409" s="145" t="n">
        <v>37</v>
      </c>
      <c r="B3409" s="204">
        <f>EDATE($B3408,1)</f>
        <v/>
      </c>
      <c r="C3409" s="205">
        <f>EOMONTH($B3409,0)</f>
        <v/>
      </c>
      <c r="D3409" s="201">
        <f>$C3409-$B3409+1</f>
        <v/>
      </c>
      <c r="E3409" s="201">
        <f>MONTH($B3409)</f>
        <v/>
      </c>
      <c r="F3409" s="235">
        <f>($B3409+$C3409+1)/2</f>
        <v/>
      </c>
      <c r="G3409" s="201">
        <f>YEAR($B3409)*12+MONTH($B3409)-1</f>
        <v/>
      </c>
      <c r="H3409" s="207">
        <f>IF(OR(nr_SeasonOn="OFF",$D$3370=0,$E$3370=0),1,12*INDEX(se_block,$D$3370,$E3409)/$E$3370)</f>
        <v/>
      </c>
      <c r="I3409" s="208">
        <f>EXP(SUMPRODUCT((rl_eff&lt;$B3409)*(rl_key=$A$3370)*rl_ln1p))</f>
        <v/>
      </c>
      <c r="J3409" s="208">
        <f>EXP(SUMPRODUCT((rl_eff&lt;=$C3409)*(rl_key=$A$3370)*rl_ln1p))</f>
        <v/>
      </c>
      <c r="K3409" s="201">
        <f>COUNTIFS(rl_key,$A$3370,rl_eff,"&gt;="&amp;$B3409,rl_eff,"&lt;="&amp;$C3409)</f>
        <v/>
      </c>
      <c r="L3409" s="201">
        <f>SUMIFS(rl_daysafter,rl_key,$A$3370,rl_effmonth,$B3409,rl_first,1)</f>
        <v/>
      </c>
      <c r="M3409" s="209">
        <f>IF($K3409=0,0,MIN(1,$L3409/$D3409))</f>
        <v/>
      </c>
      <c r="N3409" s="208">
        <f>IF($K3409=0,$J3409,(1-$M3409)*$I3409+$M3409*$J3409)</f>
        <v/>
      </c>
      <c r="O3409" s="209">
        <f>IF($F3409&lt;$B$3371,$E$3371+$I$3371*($F3409-$A$3371),IF($F3409&lt;$C$3371,$F$3371+$J$3371*($F3409-$B$3371),$G$3371+$K$3371*($F3409-$C$3371)))</f>
        <v/>
      </c>
      <c r="P3409" s="208">
        <f>MIN(1,MAX(0,(nr_MEndPm1-$G3409+0.5)/$C$3370))-MIN(1,MAX(0,(nr_MStartPm1-1-$G3409+0.5)/$C$3370))</f>
        <v/>
      </c>
      <c r="Q3409" s="208">
        <f>MIN(1,MAX(0,(nr_MEndP-$G3409+0.5)/$C$3370))-MIN(1,MAX(0,(nr_MStartP-1-$G3409+0.5)/$C$3370))</f>
        <v/>
      </c>
      <c r="R3409" s="208">
        <f>MIN(1,MAX(0,(nr_MEndP1-$G3409+0.5)/$C$3370))-MIN(1,MAX(0,(nr_MStartP1-1-$G3409+0.5)/$C$3370))</f>
        <v/>
      </c>
      <c r="S3409" s="208">
        <f>IF($L$3370,$N3409*IF($O$3370=1,$O3409/$F$3370,1),"")</f>
        <v/>
      </c>
      <c r="T3409" s="208">
        <f>IF(NOT($L$3370),"",IF($G3409&lt;nr_MStartP,$S3409,$T3397*(1+IF($G3409&lt;nr_MStartP1,$M$3370,$N$3370))))</f>
        <v/>
      </c>
      <c r="U3409" s="208">
        <f>IF($L$3370,$T3409,$N3409)</f>
        <v/>
      </c>
    </row>
    <row r="3410">
      <c r="A3410" s="145" t="n">
        <v>38</v>
      </c>
      <c r="B3410" s="204">
        <f>EDATE($B3409,1)</f>
        <v/>
      </c>
      <c r="C3410" s="205">
        <f>EOMONTH($B3410,0)</f>
        <v/>
      </c>
      <c r="D3410" s="201">
        <f>$C3410-$B3410+1</f>
        <v/>
      </c>
      <c r="E3410" s="201">
        <f>MONTH($B3410)</f>
        <v/>
      </c>
      <c r="F3410" s="235">
        <f>($B3410+$C3410+1)/2</f>
        <v/>
      </c>
      <c r="G3410" s="201">
        <f>YEAR($B3410)*12+MONTH($B3410)-1</f>
        <v/>
      </c>
      <c r="H3410" s="207">
        <f>IF(OR(nr_SeasonOn="OFF",$D$3370=0,$E$3370=0),1,12*INDEX(se_block,$D$3370,$E3410)/$E$3370)</f>
        <v/>
      </c>
      <c r="I3410" s="208">
        <f>EXP(SUMPRODUCT((rl_eff&lt;$B3410)*(rl_key=$A$3370)*rl_ln1p))</f>
        <v/>
      </c>
      <c r="J3410" s="208">
        <f>EXP(SUMPRODUCT((rl_eff&lt;=$C3410)*(rl_key=$A$3370)*rl_ln1p))</f>
        <v/>
      </c>
      <c r="K3410" s="201">
        <f>COUNTIFS(rl_key,$A$3370,rl_eff,"&gt;="&amp;$B3410,rl_eff,"&lt;="&amp;$C3410)</f>
        <v/>
      </c>
      <c r="L3410" s="201">
        <f>SUMIFS(rl_daysafter,rl_key,$A$3370,rl_effmonth,$B3410,rl_first,1)</f>
        <v/>
      </c>
      <c r="M3410" s="209">
        <f>IF($K3410=0,0,MIN(1,$L3410/$D3410))</f>
        <v/>
      </c>
      <c r="N3410" s="208">
        <f>IF($K3410=0,$J3410,(1-$M3410)*$I3410+$M3410*$J3410)</f>
        <v/>
      </c>
      <c r="O3410" s="209">
        <f>IF($F3410&lt;$B$3371,$E$3371+$I$3371*($F3410-$A$3371),IF($F3410&lt;$C$3371,$F$3371+$J$3371*($F3410-$B$3371),$G$3371+$K$3371*($F3410-$C$3371)))</f>
        <v/>
      </c>
      <c r="P3410" s="208">
        <f>MIN(1,MAX(0,(nr_MEndPm1-$G3410+0.5)/$C$3370))-MIN(1,MAX(0,(nr_MStartPm1-1-$G3410+0.5)/$C$3370))</f>
        <v/>
      </c>
      <c r="Q3410" s="208">
        <f>MIN(1,MAX(0,(nr_MEndP-$G3410+0.5)/$C$3370))-MIN(1,MAX(0,(nr_MStartP-1-$G3410+0.5)/$C$3370))</f>
        <v/>
      </c>
      <c r="R3410" s="208">
        <f>MIN(1,MAX(0,(nr_MEndP1-$G3410+0.5)/$C$3370))-MIN(1,MAX(0,(nr_MStartP1-1-$G3410+0.5)/$C$3370))</f>
        <v/>
      </c>
      <c r="S3410" s="208">
        <f>IF($L$3370,$N3410*IF($O$3370=1,$O3410/$F$3370,1),"")</f>
        <v/>
      </c>
      <c r="T3410" s="208">
        <f>IF(NOT($L$3370),"",IF($G3410&lt;nr_MStartP,$S3410,$T3398*(1+IF($G3410&lt;nr_MStartP1,$M$3370,$N$3370))))</f>
        <v/>
      </c>
      <c r="U3410" s="208">
        <f>IF($L$3370,$T3410,$N3410)</f>
        <v/>
      </c>
    </row>
    <row r="3411">
      <c r="A3411" s="145" t="n">
        <v>39</v>
      </c>
      <c r="B3411" s="204">
        <f>EDATE($B3410,1)</f>
        <v/>
      </c>
      <c r="C3411" s="205">
        <f>EOMONTH($B3411,0)</f>
        <v/>
      </c>
      <c r="D3411" s="201">
        <f>$C3411-$B3411+1</f>
        <v/>
      </c>
      <c r="E3411" s="201">
        <f>MONTH($B3411)</f>
        <v/>
      </c>
      <c r="F3411" s="235">
        <f>($B3411+$C3411+1)/2</f>
        <v/>
      </c>
      <c r="G3411" s="201">
        <f>YEAR($B3411)*12+MONTH($B3411)-1</f>
        <v/>
      </c>
      <c r="H3411" s="207">
        <f>IF(OR(nr_SeasonOn="OFF",$D$3370=0,$E$3370=0),1,12*INDEX(se_block,$D$3370,$E3411)/$E$3370)</f>
        <v/>
      </c>
      <c r="I3411" s="208">
        <f>EXP(SUMPRODUCT((rl_eff&lt;$B3411)*(rl_key=$A$3370)*rl_ln1p))</f>
        <v/>
      </c>
      <c r="J3411" s="208">
        <f>EXP(SUMPRODUCT((rl_eff&lt;=$C3411)*(rl_key=$A$3370)*rl_ln1p))</f>
        <v/>
      </c>
      <c r="K3411" s="201">
        <f>COUNTIFS(rl_key,$A$3370,rl_eff,"&gt;="&amp;$B3411,rl_eff,"&lt;="&amp;$C3411)</f>
        <v/>
      </c>
      <c r="L3411" s="201">
        <f>SUMIFS(rl_daysafter,rl_key,$A$3370,rl_effmonth,$B3411,rl_first,1)</f>
        <v/>
      </c>
      <c r="M3411" s="209">
        <f>IF($K3411=0,0,MIN(1,$L3411/$D3411))</f>
        <v/>
      </c>
      <c r="N3411" s="208">
        <f>IF($K3411=0,$J3411,(1-$M3411)*$I3411+$M3411*$J3411)</f>
        <v/>
      </c>
      <c r="O3411" s="209">
        <f>IF($F3411&lt;$B$3371,$E$3371+$I$3371*($F3411-$A$3371),IF($F3411&lt;$C$3371,$F$3371+$J$3371*($F3411-$B$3371),$G$3371+$K$3371*($F3411-$C$3371)))</f>
        <v/>
      </c>
      <c r="P3411" s="208">
        <f>MIN(1,MAX(0,(nr_MEndPm1-$G3411+0.5)/$C$3370))-MIN(1,MAX(0,(nr_MStartPm1-1-$G3411+0.5)/$C$3370))</f>
        <v/>
      </c>
      <c r="Q3411" s="208">
        <f>MIN(1,MAX(0,(nr_MEndP-$G3411+0.5)/$C$3370))-MIN(1,MAX(0,(nr_MStartP-1-$G3411+0.5)/$C$3370))</f>
        <v/>
      </c>
      <c r="R3411" s="208">
        <f>MIN(1,MAX(0,(nr_MEndP1-$G3411+0.5)/$C$3370))-MIN(1,MAX(0,(nr_MStartP1-1-$G3411+0.5)/$C$3370))</f>
        <v/>
      </c>
      <c r="S3411" s="208">
        <f>IF($L$3370,$N3411*IF($O$3370=1,$O3411/$F$3370,1),"")</f>
        <v/>
      </c>
      <c r="T3411" s="208">
        <f>IF(NOT($L$3370),"",IF($G3411&lt;nr_MStartP,$S3411,$T3399*(1+IF($G3411&lt;nr_MStartP1,$M$3370,$N$3370))))</f>
        <v/>
      </c>
      <c r="U3411" s="208">
        <f>IF($L$3370,$T3411,$N3411)</f>
        <v/>
      </c>
    </row>
    <row r="3412">
      <c r="A3412" s="145" t="n">
        <v>40</v>
      </c>
      <c r="B3412" s="204">
        <f>EDATE($B3411,1)</f>
        <v/>
      </c>
      <c r="C3412" s="205">
        <f>EOMONTH($B3412,0)</f>
        <v/>
      </c>
      <c r="D3412" s="201">
        <f>$C3412-$B3412+1</f>
        <v/>
      </c>
      <c r="E3412" s="201">
        <f>MONTH($B3412)</f>
        <v/>
      </c>
      <c r="F3412" s="235">
        <f>($B3412+$C3412+1)/2</f>
        <v/>
      </c>
      <c r="G3412" s="201">
        <f>YEAR($B3412)*12+MONTH($B3412)-1</f>
        <v/>
      </c>
      <c r="H3412" s="207">
        <f>IF(OR(nr_SeasonOn="OFF",$D$3370=0,$E$3370=0),1,12*INDEX(se_block,$D$3370,$E3412)/$E$3370)</f>
        <v/>
      </c>
      <c r="I3412" s="208">
        <f>EXP(SUMPRODUCT((rl_eff&lt;$B3412)*(rl_key=$A$3370)*rl_ln1p))</f>
        <v/>
      </c>
      <c r="J3412" s="208">
        <f>EXP(SUMPRODUCT((rl_eff&lt;=$C3412)*(rl_key=$A$3370)*rl_ln1p))</f>
        <v/>
      </c>
      <c r="K3412" s="201">
        <f>COUNTIFS(rl_key,$A$3370,rl_eff,"&gt;="&amp;$B3412,rl_eff,"&lt;="&amp;$C3412)</f>
        <v/>
      </c>
      <c r="L3412" s="201">
        <f>SUMIFS(rl_daysafter,rl_key,$A$3370,rl_effmonth,$B3412,rl_first,1)</f>
        <v/>
      </c>
      <c r="M3412" s="209">
        <f>IF($K3412=0,0,MIN(1,$L3412/$D3412))</f>
        <v/>
      </c>
      <c r="N3412" s="208">
        <f>IF($K3412=0,$J3412,(1-$M3412)*$I3412+$M3412*$J3412)</f>
        <v/>
      </c>
      <c r="O3412" s="209">
        <f>IF($F3412&lt;$B$3371,$E$3371+$I$3371*($F3412-$A$3371),IF($F3412&lt;$C$3371,$F$3371+$J$3371*($F3412-$B$3371),$G$3371+$K$3371*($F3412-$C$3371)))</f>
        <v/>
      </c>
      <c r="P3412" s="208">
        <f>MIN(1,MAX(0,(nr_MEndPm1-$G3412+0.5)/$C$3370))-MIN(1,MAX(0,(nr_MStartPm1-1-$G3412+0.5)/$C$3370))</f>
        <v/>
      </c>
      <c r="Q3412" s="208">
        <f>MIN(1,MAX(0,(nr_MEndP-$G3412+0.5)/$C$3370))-MIN(1,MAX(0,(nr_MStartP-1-$G3412+0.5)/$C$3370))</f>
        <v/>
      </c>
      <c r="R3412" s="208">
        <f>MIN(1,MAX(0,(nr_MEndP1-$G3412+0.5)/$C$3370))-MIN(1,MAX(0,(nr_MStartP1-1-$G3412+0.5)/$C$3370))</f>
        <v/>
      </c>
      <c r="S3412" s="208">
        <f>IF($L$3370,$N3412*IF($O$3370=1,$O3412/$F$3370,1),"")</f>
        <v/>
      </c>
      <c r="T3412" s="208">
        <f>IF(NOT($L$3370),"",IF($G3412&lt;nr_MStartP,$S3412,$T3400*(1+IF($G3412&lt;nr_MStartP1,$M$3370,$N$3370))))</f>
        <v/>
      </c>
      <c r="U3412" s="208">
        <f>IF($L$3370,$T3412,$N3412)</f>
        <v/>
      </c>
    </row>
    <row r="3413">
      <c r="A3413" s="145" t="n">
        <v>41</v>
      </c>
      <c r="B3413" s="204">
        <f>EDATE($B3412,1)</f>
        <v/>
      </c>
      <c r="C3413" s="205">
        <f>EOMONTH($B3413,0)</f>
        <v/>
      </c>
      <c r="D3413" s="201">
        <f>$C3413-$B3413+1</f>
        <v/>
      </c>
      <c r="E3413" s="201">
        <f>MONTH($B3413)</f>
        <v/>
      </c>
      <c r="F3413" s="235">
        <f>($B3413+$C3413+1)/2</f>
        <v/>
      </c>
      <c r="G3413" s="201">
        <f>YEAR($B3413)*12+MONTH($B3413)-1</f>
        <v/>
      </c>
      <c r="H3413" s="207">
        <f>IF(OR(nr_SeasonOn="OFF",$D$3370=0,$E$3370=0),1,12*INDEX(se_block,$D$3370,$E3413)/$E$3370)</f>
        <v/>
      </c>
      <c r="I3413" s="208">
        <f>EXP(SUMPRODUCT((rl_eff&lt;$B3413)*(rl_key=$A$3370)*rl_ln1p))</f>
        <v/>
      </c>
      <c r="J3413" s="208">
        <f>EXP(SUMPRODUCT((rl_eff&lt;=$C3413)*(rl_key=$A$3370)*rl_ln1p))</f>
        <v/>
      </c>
      <c r="K3413" s="201">
        <f>COUNTIFS(rl_key,$A$3370,rl_eff,"&gt;="&amp;$B3413,rl_eff,"&lt;="&amp;$C3413)</f>
        <v/>
      </c>
      <c r="L3413" s="201">
        <f>SUMIFS(rl_daysafter,rl_key,$A$3370,rl_effmonth,$B3413,rl_first,1)</f>
        <v/>
      </c>
      <c r="M3413" s="209">
        <f>IF($K3413=0,0,MIN(1,$L3413/$D3413))</f>
        <v/>
      </c>
      <c r="N3413" s="208">
        <f>IF($K3413=0,$J3413,(1-$M3413)*$I3413+$M3413*$J3413)</f>
        <v/>
      </c>
      <c r="O3413" s="209">
        <f>IF($F3413&lt;$B$3371,$E$3371+$I$3371*($F3413-$A$3371),IF($F3413&lt;$C$3371,$F$3371+$J$3371*($F3413-$B$3371),$G$3371+$K$3371*($F3413-$C$3371)))</f>
        <v/>
      </c>
      <c r="P3413" s="208">
        <f>MIN(1,MAX(0,(nr_MEndPm1-$G3413+0.5)/$C$3370))-MIN(1,MAX(0,(nr_MStartPm1-1-$G3413+0.5)/$C$3370))</f>
        <v/>
      </c>
      <c r="Q3413" s="208">
        <f>MIN(1,MAX(0,(nr_MEndP-$G3413+0.5)/$C$3370))-MIN(1,MAX(0,(nr_MStartP-1-$G3413+0.5)/$C$3370))</f>
        <v/>
      </c>
      <c r="R3413" s="208">
        <f>MIN(1,MAX(0,(nr_MEndP1-$G3413+0.5)/$C$3370))-MIN(1,MAX(0,(nr_MStartP1-1-$G3413+0.5)/$C$3370))</f>
        <v/>
      </c>
      <c r="S3413" s="208">
        <f>IF($L$3370,$N3413*IF($O$3370=1,$O3413/$F$3370,1),"")</f>
        <v/>
      </c>
      <c r="T3413" s="208">
        <f>IF(NOT($L$3370),"",IF($G3413&lt;nr_MStartP,$S3413,$T3401*(1+IF($G3413&lt;nr_MStartP1,$M$3370,$N$3370))))</f>
        <v/>
      </c>
      <c r="U3413" s="208">
        <f>IF($L$3370,$T3413,$N3413)</f>
        <v/>
      </c>
    </row>
    <row r="3414">
      <c r="A3414" s="145" t="n">
        <v>42</v>
      </c>
      <c r="B3414" s="204">
        <f>EDATE($B3413,1)</f>
        <v/>
      </c>
      <c r="C3414" s="205">
        <f>EOMONTH($B3414,0)</f>
        <v/>
      </c>
      <c r="D3414" s="201">
        <f>$C3414-$B3414+1</f>
        <v/>
      </c>
      <c r="E3414" s="201">
        <f>MONTH($B3414)</f>
        <v/>
      </c>
      <c r="F3414" s="235">
        <f>($B3414+$C3414+1)/2</f>
        <v/>
      </c>
      <c r="G3414" s="201">
        <f>YEAR($B3414)*12+MONTH($B3414)-1</f>
        <v/>
      </c>
      <c r="H3414" s="207">
        <f>IF(OR(nr_SeasonOn="OFF",$D$3370=0,$E$3370=0),1,12*INDEX(se_block,$D$3370,$E3414)/$E$3370)</f>
        <v/>
      </c>
      <c r="I3414" s="208">
        <f>EXP(SUMPRODUCT((rl_eff&lt;$B3414)*(rl_key=$A$3370)*rl_ln1p))</f>
        <v/>
      </c>
      <c r="J3414" s="208">
        <f>EXP(SUMPRODUCT((rl_eff&lt;=$C3414)*(rl_key=$A$3370)*rl_ln1p))</f>
        <v/>
      </c>
      <c r="K3414" s="201">
        <f>COUNTIFS(rl_key,$A$3370,rl_eff,"&gt;="&amp;$B3414,rl_eff,"&lt;="&amp;$C3414)</f>
        <v/>
      </c>
      <c r="L3414" s="201">
        <f>SUMIFS(rl_daysafter,rl_key,$A$3370,rl_effmonth,$B3414,rl_first,1)</f>
        <v/>
      </c>
      <c r="M3414" s="209">
        <f>IF($K3414=0,0,MIN(1,$L3414/$D3414))</f>
        <v/>
      </c>
      <c r="N3414" s="208">
        <f>IF($K3414=0,$J3414,(1-$M3414)*$I3414+$M3414*$J3414)</f>
        <v/>
      </c>
      <c r="O3414" s="209">
        <f>IF($F3414&lt;$B$3371,$E$3371+$I$3371*($F3414-$A$3371),IF($F3414&lt;$C$3371,$F$3371+$J$3371*($F3414-$B$3371),$G$3371+$K$3371*($F3414-$C$3371)))</f>
        <v/>
      </c>
      <c r="P3414" s="208">
        <f>MIN(1,MAX(0,(nr_MEndPm1-$G3414+0.5)/$C$3370))-MIN(1,MAX(0,(nr_MStartPm1-1-$G3414+0.5)/$C$3370))</f>
        <v/>
      </c>
      <c r="Q3414" s="208">
        <f>MIN(1,MAX(0,(nr_MEndP-$G3414+0.5)/$C$3370))-MIN(1,MAX(0,(nr_MStartP-1-$G3414+0.5)/$C$3370))</f>
        <v/>
      </c>
      <c r="R3414" s="208">
        <f>MIN(1,MAX(0,(nr_MEndP1-$G3414+0.5)/$C$3370))-MIN(1,MAX(0,(nr_MStartP1-1-$G3414+0.5)/$C$3370))</f>
        <v/>
      </c>
      <c r="S3414" s="208">
        <f>IF($L$3370,$N3414*IF($O$3370=1,$O3414/$F$3370,1),"")</f>
        <v/>
      </c>
      <c r="T3414" s="208">
        <f>IF(NOT($L$3370),"",IF($G3414&lt;nr_MStartP,$S3414,$T3402*(1+IF($G3414&lt;nr_MStartP1,$M$3370,$N$3370))))</f>
        <v/>
      </c>
      <c r="U3414" s="208">
        <f>IF($L$3370,$T3414,$N3414)</f>
        <v/>
      </c>
    </row>
    <row r="3415">
      <c r="A3415" s="145" t="n">
        <v>43</v>
      </c>
      <c r="B3415" s="204">
        <f>EDATE($B3414,1)</f>
        <v/>
      </c>
      <c r="C3415" s="205">
        <f>EOMONTH($B3415,0)</f>
        <v/>
      </c>
      <c r="D3415" s="201">
        <f>$C3415-$B3415+1</f>
        <v/>
      </c>
      <c r="E3415" s="201">
        <f>MONTH($B3415)</f>
        <v/>
      </c>
      <c r="F3415" s="235">
        <f>($B3415+$C3415+1)/2</f>
        <v/>
      </c>
      <c r="G3415" s="201">
        <f>YEAR($B3415)*12+MONTH($B3415)-1</f>
        <v/>
      </c>
      <c r="H3415" s="207">
        <f>IF(OR(nr_SeasonOn="OFF",$D$3370=0,$E$3370=0),1,12*INDEX(se_block,$D$3370,$E3415)/$E$3370)</f>
        <v/>
      </c>
      <c r="I3415" s="208">
        <f>EXP(SUMPRODUCT((rl_eff&lt;$B3415)*(rl_key=$A$3370)*rl_ln1p))</f>
        <v/>
      </c>
      <c r="J3415" s="208">
        <f>EXP(SUMPRODUCT((rl_eff&lt;=$C3415)*(rl_key=$A$3370)*rl_ln1p))</f>
        <v/>
      </c>
      <c r="K3415" s="201">
        <f>COUNTIFS(rl_key,$A$3370,rl_eff,"&gt;="&amp;$B3415,rl_eff,"&lt;="&amp;$C3415)</f>
        <v/>
      </c>
      <c r="L3415" s="201">
        <f>SUMIFS(rl_daysafter,rl_key,$A$3370,rl_effmonth,$B3415,rl_first,1)</f>
        <v/>
      </c>
      <c r="M3415" s="209">
        <f>IF($K3415=0,0,MIN(1,$L3415/$D3415))</f>
        <v/>
      </c>
      <c r="N3415" s="208">
        <f>IF($K3415=0,$J3415,(1-$M3415)*$I3415+$M3415*$J3415)</f>
        <v/>
      </c>
      <c r="O3415" s="209">
        <f>IF($F3415&lt;$B$3371,$E$3371+$I$3371*($F3415-$A$3371),IF($F3415&lt;$C$3371,$F$3371+$J$3371*($F3415-$B$3371),$G$3371+$K$3371*($F3415-$C$3371)))</f>
        <v/>
      </c>
      <c r="P3415" s="208">
        <f>MIN(1,MAX(0,(nr_MEndPm1-$G3415+0.5)/$C$3370))-MIN(1,MAX(0,(nr_MStartPm1-1-$G3415+0.5)/$C$3370))</f>
        <v/>
      </c>
      <c r="Q3415" s="208">
        <f>MIN(1,MAX(0,(nr_MEndP-$G3415+0.5)/$C$3370))-MIN(1,MAX(0,(nr_MStartP-1-$G3415+0.5)/$C$3370))</f>
        <v/>
      </c>
      <c r="R3415" s="208">
        <f>MIN(1,MAX(0,(nr_MEndP1-$G3415+0.5)/$C$3370))-MIN(1,MAX(0,(nr_MStartP1-1-$G3415+0.5)/$C$3370))</f>
        <v/>
      </c>
      <c r="S3415" s="208">
        <f>IF($L$3370,$N3415*IF($O$3370=1,$O3415/$F$3370,1),"")</f>
        <v/>
      </c>
      <c r="T3415" s="208">
        <f>IF(NOT($L$3370),"",IF($G3415&lt;nr_MStartP,$S3415,$T3403*(1+IF($G3415&lt;nr_MStartP1,$M$3370,$N$3370))))</f>
        <v/>
      </c>
      <c r="U3415" s="208">
        <f>IF($L$3370,$T3415,$N3415)</f>
        <v/>
      </c>
    </row>
    <row r="3416">
      <c r="A3416" s="145" t="n">
        <v>44</v>
      </c>
      <c r="B3416" s="204">
        <f>EDATE($B3415,1)</f>
        <v/>
      </c>
      <c r="C3416" s="205">
        <f>EOMONTH($B3416,0)</f>
        <v/>
      </c>
      <c r="D3416" s="201">
        <f>$C3416-$B3416+1</f>
        <v/>
      </c>
      <c r="E3416" s="201">
        <f>MONTH($B3416)</f>
        <v/>
      </c>
      <c r="F3416" s="235">
        <f>($B3416+$C3416+1)/2</f>
        <v/>
      </c>
      <c r="G3416" s="201">
        <f>YEAR($B3416)*12+MONTH($B3416)-1</f>
        <v/>
      </c>
      <c r="H3416" s="207">
        <f>IF(OR(nr_SeasonOn="OFF",$D$3370=0,$E$3370=0),1,12*INDEX(se_block,$D$3370,$E3416)/$E$3370)</f>
        <v/>
      </c>
      <c r="I3416" s="208">
        <f>EXP(SUMPRODUCT((rl_eff&lt;$B3416)*(rl_key=$A$3370)*rl_ln1p))</f>
        <v/>
      </c>
      <c r="J3416" s="208">
        <f>EXP(SUMPRODUCT((rl_eff&lt;=$C3416)*(rl_key=$A$3370)*rl_ln1p))</f>
        <v/>
      </c>
      <c r="K3416" s="201">
        <f>COUNTIFS(rl_key,$A$3370,rl_eff,"&gt;="&amp;$B3416,rl_eff,"&lt;="&amp;$C3416)</f>
        <v/>
      </c>
      <c r="L3416" s="201">
        <f>SUMIFS(rl_daysafter,rl_key,$A$3370,rl_effmonth,$B3416,rl_first,1)</f>
        <v/>
      </c>
      <c r="M3416" s="209">
        <f>IF($K3416=0,0,MIN(1,$L3416/$D3416))</f>
        <v/>
      </c>
      <c r="N3416" s="208">
        <f>IF($K3416=0,$J3416,(1-$M3416)*$I3416+$M3416*$J3416)</f>
        <v/>
      </c>
      <c r="O3416" s="209">
        <f>IF($F3416&lt;$B$3371,$E$3371+$I$3371*($F3416-$A$3371),IF($F3416&lt;$C$3371,$F$3371+$J$3371*($F3416-$B$3371),$G$3371+$K$3371*($F3416-$C$3371)))</f>
        <v/>
      </c>
      <c r="P3416" s="208">
        <f>MIN(1,MAX(0,(nr_MEndPm1-$G3416+0.5)/$C$3370))-MIN(1,MAX(0,(nr_MStartPm1-1-$G3416+0.5)/$C$3370))</f>
        <v/>
      </c>
      <c r="Q3416" s="208">
        <f>MIN(1,MAX(0,(nr_MEndP-$G3416+0.5)/$C$3370))-MIN(1,MAX(0,(nr_MStartP-1-$G3416+0.5)/$C$3370))</f>
        <v/>
      </c>
      <c r="R3416" s="208">
        <f>MIN(1,MAX(0,(nr_MEndP1-$G3416+0.5)/$C$3370))-MIN(1,MAX(0,(nr_MStartP1-1-$G3416+0.5)/$C$3370))</f>
        <v/>
      </c>
      <c r="S3416" s="208">
        <f>IF($L$3370,$N3416*IF($O$3370=1,$O3416/$F$3370,1),"")</f>
        <v/>
      </c>
      <c r="T3416" s="208">
        <f>IF(NOT($L$3370),"",IF($G3416&lt;nr_MStartP,$S3416,$T3404*(1+IF($G3416&lt;nr_MStartP1,$M$3370,$N$3370))))</f>
        <v/>
      </c>
      <c r="U3416" s="208">
        <f>IF($L$3370,$T3416,$N3416)</f>
        <v/>
      </c>
    </row>
    <row r="3417">
      <c r="A3417" s="145" t="n">
        <v>45</v>
      </c>
      <c r="B3417" s="204">
        <f>EDATE($B3416,1)</f>
        <v/>
      </c>
      <c r="C3417" s="205">
        <f>EOMONTH($B3417,0)</f>
        <v/>
      </c>
      <c r="D3417" s="201">
        <f>$C3417-$B3417+1</f>
        <v/>
      </c>
      <c r="E3417" s="201">
        <f>MONTH($B3417)</f>
        <v/>
      </c>
      <c r="F3417" s="235">
        <f>($B3417+$C3417+1)/2</f>
        <v/>
      </c>
      <c r="G3417" s="201">
        <f>YEAR($B3417)*12+MONTH($B3417)-1</f>
        <v/>
      </c>
      <c r="H3417" s="207">
        <f>IF(OR(nr_SeasonOn="OFF",$D$3370=0,$E$3370=0),1,12*INDEX(se_block,$D$3370,$E3417)/$E$3370)</f>
        <v/>
      </c>
      <c r="I3417" s="208">
        <f>EXP(SUMPRODUCT((rl_eff&lt;$B3417)*(rl_key=$A$3370)*rl_ln1p))</f>
        <v/>
      </c>
      <c r="J3417" s="208">
        <f>EXP(SUMPRODUCT((rl_eff&lt;=$C3417)*(rl_key=$A$3370)*rl_ln1p))</f>
        <v/>
      </c>
      <c r="K3417" s="201">
        <f>COUNTIFS(rl_key,$A$3370,rl_eff,"&gt;="&amp;$B3417,rl_eff,"&lt;="&amp;$C3417)</f>
        <v/>
      </c>
      <c r="L3417" s="201">
        <f>SUMIFS(rl_daysafter,rl_key,$A$3370,rl_effmonth,$B3417,rl_first,1)</f>
        <v/>
      </c>
      <c r="M3417" s="209">
        <f>IF($K3417=0,0,MIN(1,$L3417/$D3417))</f>
        <v/>
      </c>
      <c r="N3417" s="208">
        <f>IF($K3417=0,$J3417,(1-$M3417)*$I3417+$M3417*$J3417)</f>
        <v/>
      </c>
      <c r="O3417" s="209">
        <f>IF($F3417&lt;$B$3371,$E$3371+$I$3371*($F3417-$A$3371),IF($F3417&lt;$C$3371,$F$3371+$J$3371*($F3417-$B$3371),$G$3371+$K$3371*($F3417-$C$3371)))</f>
        <v/>
      </c>
      <c r="P3417" s="208">
        <f>MIN(1,MAX(0,(nr_MEndPm1-$G3417+0.5)/$C$3370))-MIN(1,MAX(0,(nr_MStartPm1-1-$G3417+0.5)/$C$3370))</f>
        <v/>
      </c>
      <c r="Q3417" s="208">
        <f>MIN(1,MAX(0,(nr_MEndP-$G3417+0.5)/$C$3370))-MIN(1,MAX(0,(nr_MStartP-1-$G3417+0.5)/$C$3370))</f>
        <v/>
      </c>
      <c r="R3417" s="208">
        <f>MIN(1,MAX(0,(nr_MEndP1-$G3417+0.5)/$C$3370))-MIN(1,MAX(0,(nr_MStartP1-1-$G3417+0.5)/$C$3370))</f>
        <v/>
      </c>
      <c r="S3417" s="208">
        <f>IF($L$3370,$N3417*IF($O$3370=1,$O3417/$F$3370,1),"")</f>
        <v/>
      </c>
      <c r="T3417" s="208">
        <f>IF(NOT($L$3370),"",IF($G3417&lt;nr_MStartP,$S3417,$T3405*(1+IF($G3417&lt;nr_MStartP1,$M$3370,$N$3370))))</f>
        <v/>
      </c>
      <c r="U3417" s="208">
        <f>IF($L$3370,$T3417,$N3417)</f>
        <v/>
      </c>
    </row>
    <row r="3418">
      <c r="A3418" s="145" t="n">
        <v>46</v>
      </c>
      <c r="B3418" s="204">
        <f>EDATE($B3417,1)</f>
        <v/>
      </c>
      <c r="C3418" s="205">
        <f>EOMONTH($B3418,0)</f>
        <v/>
      </c>
      <c r="D3418" s="201">
        <f>$C3418-$B3418+1</f>
        <v/>
      </c>
      <c r="E3418" s="201">
        <f>MONTH($B3418)</f>
        <v/>
      </c>
      <c r="F3418" s="235">
        <f>($B3418+$C3418+1)/2</f>
        <v/>
      </c>
      <c r="G3418" s="201">
        <f>YEAR($B3418)*12+MONTH($B3418)-1</f>
        <v/>
      </c>
      <c r="H3418" s="207">
        <f>IF(OR(nr_SeasonOn="OFF",$D$3370=0,$E$3370=0),1,12*INDEX(se_block,$D$3370,$E3418)/$E$3370)</f>
        <v/>
      </c>
      <c r="I3418" s="208">
        <f>EXP(SUMPRODUCT((rl_eff&lt;$B3418)*(rl_key=$A$3370)*rl_ln1p))</f>
        <v/>
      </c>
      <c r="J3418" s="208">
        <f>EXP(SUMPRODUCT((rl_eff&lt;=$C3418)*(rl_key=$A$3370)*rl_ln1p))</f>
        <v/>
      </c>
      <c r="K3418" s="201">
        <f>COUNTIFS(rl_key,$A$3370,rl_eff,"&gt;="&amp;$B3418,rl_eff,"&lt;="&amp;$C3418)</f>
        <v/>
      </c>
      <c r="L3418" s="201">
        <f>SUMIFS(rl_daysafter,rl_key,$A$3370,rl_effmonth,$B3418,rl_first,1)</f>
        <v/>
      </c>
      <c r="M3418" s="209">
        <f>IF($K3418=0,0,MIN(1,$L3418/$D3418))</f>
        <v/>
      </c>
      <c r="N3418" s="208">
        <f>IF($K3418=0,$J3418,(1-$M3418)*$I3418+$M3418*$J3418)</f>
        <v/>
      </c>
      <c r="O3418" s="209">
        <f>IF($F3418&lt;$B$3371,$E$3371+$I$3371*($F3418-$A$3371),IF($F3418&lt;$C$3371,$F$3371+$J$3371*($F3418-$B$3371),$G$3371+$K$3371*($F3418-$C$3371)))</f>
        <v/>
      </c>
      <c r="P3418" s="208">
        <f>MIN(1,MAX(0,(nr_MEndPm1-$G3418+0.5)/$C$3370))-MIN(1,MAX(0,(nr_MStartPm1-1-$G3418+0.5)/$C$3370))</f>
        <v/>
      </c>
      <c r="Q3418" s="208">
        <f>MIN(1,MAX(0,(nr_MEndP-$G3418+0.5)/$C$3370))-MIN(1,MAX(0,(nr_MStartP-1-$G3418+0.5)/$C$3370))</f>
        <v/>
      </c>
      <c r="R3418" s="208">
        <f>MIN(1,MAX(0,(nr_MEndP1-$G3418+0.5)/$C$3370))-MIN(1,MAX(0,(nr_MStartP1-1-$G3418+0.5)/$C$3370))</f>
        <v/>
      </c>
      <c r="S3418" s="208">
        <f>IF($L$3370,$N3418*IF($O$3370=1,$O3418/$F$3370,1),"")</f>
        <v/>
      </c>
      <c r="T3418" s="208">
        <f>IF(NOT($L$3370),"",IF($G3418&lt;nr_MStartP,$S3418,$T3406*(1+IF($G3418&lt;nr_MStartP1,$M$3370,$N$3370))))</f>
        <v/>
      </c>
      <c r="U3418" s="208">
        <f>IF($L$3370,$T3418,$N3418)</f>
        <v/>
      </c>
    </row>
    <row r="3419">
      <c r="A3419" s="145" t="n">
        <v>47</v>
      </c>
      <c r="B3419" s="204">
        <f>EDATE($B3418,1)</f>
        <v/>
      </c>
      <c r="C3419" s="205">
        <f>EOMONTH($B3419,0)</f>
        <v/>
      </c>
      <c r="D3419" s="201">
        <f>$C3419-$B3419+1</f>
        <v/>
      </c>
      <c r="E3419" s="201">
        <f>MONTH($B3419)</f>
        <v/>
      </c>
      <c r="F3419" s="235">
        <f>($B3419+$C3419+1)/2</f>
        <v/>
      </c>
      <c r="G3419" s="201">
        <f>YEAR($B3419)*12+MONTH($B3419)-1</f>
        <v/>
      </c>
      <c r="H3419" s="207">
        <f>IF(OR(nr_SeasonOn="OFF",$D$3370=0,$E$3370=0),1,12*INDEX(se_block,$D$3370,$E3419)/$E$3370)</f>
        <v/>
      </c>
      <c r="I3419" s="208">
        <f>EXP(SUMPRODUCT((rl_eff&lt;$B3419)*(rl_key=$A$3370)*rl_ln1p))</f>
        <v/>
      </c>
      <c r="J3419" s="208">
        <f>EXP(SUMPRODUCT((rl_eff&lt;=$C3419)*(rl_key=$A$3370)*rl_ln1p))</f>
        <v/>
      </c>
      <c r="K3419" s="201">
        <f>COUNTIFS(rl_key,$A$3370,rl_eff,"&gt;="&amp;$B3419,rl_eff,"&lt;="&amp;$C3419)</f>
        <v/>
      </c>
      <c r="L3419" s="201">
        <f>SUMIFS(rl_daysafter,rl_key,$A$3370,rl_effmonth,$B3419,rl_first,1)</f>
        <v/>
      </c>
      <c r="M3419" s="209">
        <f>IF($K3419=0,0,MIN(1,$L3419/$D3419))</f>
        <v/>
      </c>
      <c r="N3419" s="208">
        <f>IF($K3419=0,$J3419,(1-$M3419)*$I3419+$M3419*$J3419)</f>
        <v/>
      </c>
      <c r="O3419" s="209">
        <f>IF($F3419&lt;$B$3371,$E$3371+$I$3371*($F3419-$A$3371),IF($F3419&lt;$C$3371,$F$3371+$J$3371*($F3419-$B$3371),$G$3371+$K$3371*($F3419-$C$3371)))</f>
        <v/>
      </c>
      <c r="P3419" s="208">
        <f>MIN(1,MAX(0,(nr_MEndPm1-$G3419+0.5)/$C$3370))-MIN(1,MAX(0,(nr_MStartPm1-1-$G3419+0.5)/$C$3370))</f>
        <v/>
      </c>
      <c r="Q3419" s="208">
        <f>MIN(1,MAX(0,(nr_MEndP-$G3419+0.5)/$C$3370))-MIN(1,MAX(0,(nr_MStartP-1-$G3419+0.5)/$C$3370))</f>
        <v/>
      </c>
      <c r="R3419" s="208">
        <f>MIN(1,MAX(0,(nr_MEndP1-$G3419+0.5)/$C$3370))-MIN(1,MAX(0,(nr_MStartP1-1-$G3419+0.5)/$C$3370))</f>
        <v/>
      </c>
      <c r="S3419" s="208">
        <f>IF($L$3370,$N3419*IF($O$3370=1,$O3419/$F$3370,1),"")</f>
        <v/>
      </c>
      <c r="T3419" s="208">
        <f>IF(NOT($L$3370),"",IF($G3419&lt;nr_MStartP,$S3419,$T3407*(1+IF($G3419&lt;nr_MStartP1,$M$3370,$N$3370))))</f>
        <v/>
      </c>
      <c r="U3419" s="208">
        <f>IF($L$3370,$T3419,$N3419)</f>
        <v/>
      </c>
    </row>
    <row r="3420">
      <c r="A3420" s="145" t="n">
        <v>48</v>
      </c>
      <c r="B3420" s="204">
        <f>EDATE($B3419,1)</f>
        <v/>
      </c>
      <c r="C3420" s="205">
        <f>EOMONTH($B3420,0)</f>
        <v/>
      </c>
      <c r="D3420" s="201">
        <f>$C3420-$B3420+1</f>
        <v/>
      </c>
      <c r="E3420" s="201">
        <f>MONTH($B3420)</f>
        <v/>
      </c>
      <c r="F3420" s="235">
        <f>($B3420+$C3420+1)/2</f>
        <v/>
      </c>
      <c r="G3420" s="201">
        <f>YEAR($B3420)*12+MONTH($B3420)-1</f>
        <v/>
      </c>
      <c r="H3420" s="207">
        <f>IF(OR(nr_SeasonOn="OFF",$D$3370=0,$E$3370=0),1,12*INDEX(se_block,$D$3370,$E3420)/$E$3370)</f>
        <v/>
      </c>
      <c r="I3420" s="208">
        <f>EXP(SUMPRODUCT((rl_eff&lt;$B3420)*(rl_key=$A$3370)*rl_ln1p))</f>
        <v/>
      </c>
      <c r="J3420" s="208">
        <f>EXP(SUMPRODUCT((rl_eff&lt;=$C3420)*(rl_key=$A$3370)*rl_ln1p))</f>
        <v/>
      </c>
      <c r="K3420" s="201">
        <f>COUNTIFS(rl_key,$A$3370,rl_eff,"&gt;="&amp;$B3420,rl_eff,"&lt;="&amp;$C3420)</f>
        <v/>
      </c>
      <c r="L3420" s="201">
        <f>SUMIFS(rl_daysafter,rl_key,$A$3370,rl_effmonth,$B3420,rl_first,1)</f>
        <v/>
      </c>
      <c r="M3420" s="209">
        <f>IF($K3420=0,0,MIN(1,$L3420/$D3420))</f>
        <v/>
      </c>
      <c r="N3420" s="208">
        <f>IF($K3420=0,$J3420,(1-$M3420)*$I3420+$M3420*$J3420)</f>
        <v/>
      </c>
      <c r="O3420" s="209">
        <f>IF($F3420&lt;$B$3371,$E$3371+$I$3371*($F3420-$A$3371),IF($F3420&lt;$C$3371,$F$3371+$J$3371*($F3420-$B$3371),$G$3371+$K$3371*($F3420-$C$3371)))</f>
        <v/>
      </c>
      <c r="P3420" s="208">
        <f>MIN(1,MAX(0,(nr_MEndPm1-$G3420+0.5)/$C$3370))-MIN(1,MAX(0,(nr_MStartPm1-1-$G3420+0.5)/$C$3370))</f>
        <v/>
      </c>
      <c r="Q3420" s="208">
        <f>MIN(1,MAX(0,(nr_MEndP-$G3420+0.5)/$C$3370))-MIN(1,MAX(0,(nr_MStartP-1-$G3420+0.5)/$C$3370))</f>
        <v/>
      </c>
      <c r="R3420" s="208">
        <f>MIN(1,MAX(0,(nr_MEndP1-$G3420+0.5)/$C$3370))-MIN(1,MAX(0,(nr_MStartP1-1-$G3420+0.5)/$C$3370))</f>
        <v/>
      </c>
      <c r="S3420" s="208">
        <f>IF($L$3370,$N3420*IF($O$3370=1,$O3420/$F$3370,1),"")</f>
        <v/>
      </c>
      <c r="T3420" s="208">
        <f>IF(NOT($L$3370),"",IF($G3420&lt;nr_MStartP,$S3420,$T3408*(1+IF($G3420&lt;nr_MStartP1,$M$3370,$N$3370))))</f>
        <v/>
      </c>
      <c r="U3420" s="208">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184">
        <f>SUMPRODUCT($H$3373:$H$3420,$Q$3373:$Q$3420,$O$3373:$O$3420)/SUMPRODUCT($H$3373:$H$3420,$Q$3373:$Q$3420)</f>
        <v/>
      </c>
      <c r="G3421" s="184">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184">
        <f>IF(N(INDEX(lr_mind,63))=0,1,INDEX(lr_mind,63))</f>
        <v/>
      </c>
      <c r="G3424" s="184">
        <f>IF(N(INDEX(lr_m0,63))=0,1,INDEX(lr_m0,63))</f>
        <v/>
      </c>
      <c r="H3424" s="73">
        <f>IF(N(INDEX(lr_m0asof,63))=0,DATE(nr_PlanYear-1,10,1),INDEX(lr_m0asof,63))</f>
        <v/>
      </c>
      <c r="I3424" s="184">
        <f>IF(N(INDEX(lr_m1,63))=0,1,INDEX(lr_m1,63))</f>
        <v/>
      </c>
      <c r="J3424" s="184">
        <f>INDEX(lr_mprior,63)</f>
        <v/>
      </c>
      <c r="K3424" s="184">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145" t="n">
        <v>1</v>
      </c>
      <c r="B3427" s="204">
        <f>DATE(nr_PlanYear-2,1,1)</f>
        <v/>
      </c>
      <c r="C3427" s="205">
        <f>EOMONTH($B3427,0)</f>
        <v/>
      </c>
      <c r="D3427" s="201">
        <f>$C3427-$B3427+1</f>
        <v/>
      </c>
      <c r="E3427" s="201">
        <f>MONTH($B3427)</f>
        <v/>
      </c>
      <c r="F3427" s="235">
        <f>($B3427+$C3427+1)/2</f>
        <v/>
      </c>
      <c r="G3427" s="201">
        <f>YEAR($B3427)*12+MONTH($B3427)-1</f>
        <v/>
      </c>
      <c r="H3427" s="207">
        <f>IF(OR(nr_SeasonOn="OFF",$D$3424=0,$E$3424=0),1,12*INDEX(se_block,$D$3424,$E3427)/$E$3424)</f>
        <v/>
      </c>
      <c r="I3427" s="208">
        <f>EXP(SUMPRODUCT((rl_eff&lt;$B3427)*(rl_key=$A$3424)*rl_ln1p))</f>
        <v/>
      </c>
      <c r="J3427" s="208">
        <f>EXP(SUMPRODUCT((rl_eff&lt;=$C3427)*(rl_key=$A$3424)*rl_ln1p))</f>
        <v/>
      </c>
      <c r="K3427" s="201">
        <f>COUNTIFS(rl_key,$A$3424,rl_eff,"&gt;="&amp;$B3427,rl_eff,"&lt;="&amp;$C3427)</f>
        <v/>
      </c>
      <c r="L3427" s="201">
        <f>SUMIFS(rl_daysafter,rl_key,$A$3424,rl_effmonth,$B3427,rl_first,1)</f>
        <v/>
      </c>
      <c r="M3427" s="209">
        <f>IF($K3427=0,0,MIN(1,$L3427/$D3427))</f>
        <v/>
      </c>
      <c r="N3427" s="208">
        <f>IF($K3427=0,$J3427,(1-$M3427)*$I3427+$M3427*$J3427)</f>
        <v/>
      </c>
      <c r="O3427" s="209">
        <f>IF($F3427&lt;$B$3425,$E$3425+$I$3425*($F3427-$A$3425),IF($F3427&lt;$C$3425,$F$3425+$J$3425*($F3427-$B$3425),$G$3425+$K$3425*($F3427-$C$3425)))</f>
        <v/>
      </c>
      <c r="P3427" s="208">
        <f>MIN(1,MAX(0,(nr_MEndPm1-$G3427+0.5)/$C$3424))-MIN(1,MAX(0,(nr_MStartPm1-1-$G3427+0.5)/$C$3424))</f>
        <v/>
      </c>
      <c r="Q3427" s="208">
        <f>MIN(1,MAX(0,(nr_MEndP-$G3427+0.5)/$C$3424))-MIN(1,MAX(0,(nr_MStartP-1-$G3427+0.5)/$C$3424))</f>
        <v/>
      </c>
      <c r="R3427" s="208">
        <f>MIN(1,MAX(0,(nr_MEndP1-$G3427+0.5)/$C$3424))-MIN(1,MAX(0,(nr_MStartP1-1-$G3427+0.5)/$C$3424))</f>
        <v/>
      </c>
      <c r="S3427" s="208">
        <f>IF($L$3424,$N3427*IF($O$3424=1,$O3427/$F$3424,1),"")</f>
        <v/>
      </c>
      <c r="T3427" s="208">
        <f>IF(NOT($L$3424),"",IF($G3427&lt;nr_MStartP,$S3427,$T3415*(1+IF($G3427&lt;nr_MStartP1,$M$3424,$N$3424))))</f>
        <v/>
      </c>
      <c r="U3427" s="208">
        <f>IF($L$3424,$T3427,$N3427)</f>
        <v/>
      </c>
    </row>
    <row r="3428">
      <c r="A3428" s="145" t="n">
        <v>2</v>
      </c>
      <c r="B3428" s="204">
        <f>EDATE($B3427,1)</f>
        <v/>
      </c>
      <c r="C3428" s="205">
        <f>EOMONTH($B3428,0)</f>
        <v/>
      </c>
      <c r="D3428" s="201">
        <f>$C3428-$B3428+1</f>
        <v/>
      </c>
      <c r="E3428" s="201">
        <f>MONTH($B3428)</f>
        <v/>
      </c>
      <c r="F3428" s="235">
        <f>($B3428+$C3428+1)/2</f>
        <v/>
      </c>
      <c r="G3428" s="201">
        <f>YEAR($B3428)*12+MONTH($B3428)-1</f>
        <v/>
      </c>
      <c r="H3428" s="207">
        <f>IF(OR(nr_SeasonOn="OFF",$D$3424=0,$E$3424=0),1,12*INDEX(se_block,$D$3424,$E3428)/$E$3424)</f>
        <v/>
      </c>
      <c r="I3428" s="208">
        <f>EXP(SUMPRODUCT((rl_eff&lt;$B3428)*(rl_key=$A$3424)*rl_ln1p))</f>
        <v/>
      </c>
      <c r="J3428" s="208">
        <f>EXP(SUMPRODUCT((rl_eff&lt;=$C3428)*(rl_key=$A$3424)*rl_ln1p))</f>
        <v/>
      </c>
      <c r="K3428" s="201">
        <f>COUNTIFS(rl_key,$A$3424,rl_eff,"&gt;="&amp;$B3428,rl_eff,"&lt;="&amp;$C3428)</f>
        <v/>
      </c>
      <c r="L3428" s="201">
        <f>SUMIFS(rl_daysafter,rl_key,$A$3424,rl_effmonth,$B3428,rl_first,1)</f>
        <v/>
      </c>
      <c r="M3428" s="209">
        <f>IF($K3428=0,0,MIN(1,$L3428/$D3428))</f>
        <v/>
      </c>
      <c r="N3428" s="208">
        <f>IF($K3428=0,$J3428,(1-$M3428)*$I3428+$M3428*$J3428)</f>
        <v/>
      </c>
      <c r="O3428" s="209">
        <f>IF($F3428&lt;$B$3425,$E$3425+$I$3425*($F3428-$A$3425),IF($F3428&lt;$C$3425,$F$3425+$J$3425*($F3428-$B$3425),$G$3425+$K$3425*($F3428-$C$3425)))</f>
        <v/>
      </c>
      <c r="P3428" s="208">
        <f>MIN(1,MAX(0,(nr_MEndPm1-$G3428+0.5)/$C$3424))-MIN(1,MAX(0,(nr_MStartPm1-1-$G3428+0.5)/$C$3424))</f>
        <v/>
      </c>
      <c r="Q3428" s="208">
        <f>MIN(1,MAX(0,(nr_MEndP-$G3428+0.5)/$C$3424))-MIN(1,MAX(0,(nr_MStartP-1-$G3428+0.5)/$C$3424))</f>
        <v/>
      </c>
      <c r="R3428" s="208">
        <f>MIN(1,MAX(0,(nr_MEndP1-$G3428+0.5)/$C$3424))-MIN(1,MAX(0,(nr_MStartP1-1-$G3428+0.5)/$C$3424))</f>
        <v/>
      </c>
      <c r="S3428" s="208">
        <f>IF($L$3424,$N3428*IF($O$3424=1,$O3428/$F$3424,1),"")</f>
        <v/>
      </c>
      <c r="T3428" s="208">
        <f>IF(NOT($L$3424),"",IF($G3428&lt;nr_MStartP,$S3428,$T3416*(1+IF($G3428&lt;nr_MStartP1,$M$3424,$N$3424))))</f>
        <v/>
      </c>
      <c r="U3428" s="208">
        <f>IF($L$3424,$T3428,$N3428)</f>
        <v/>
      </c>
    </row>
    <row r="3429">
      <c r="A3429" s="145" t="n">
        <v>3</v>
      </c>
      <c r="B3429" s="204">
        <f>EDATE($B3428,1)</f>
        <v/>
      </c>
      <c r="C3429" s="205">
        <f>EOMONTH($B3429,0)</f>
        <v/>
      </c>
      <c r="D3429" s="201">
        <f>$C3429-$B3429+1</f>
        <v/>
      </c>
      <c r="E3429" s="201">
        <f>MONTH($B3429)</f>
        <v/>
      </c>
      <c r="F3429" s="235">
        <f>($B3429+$C3429+1)/2</f>
        <v/>
      </c>
      <c r="G3429" s="201">
        <f>YEAR($B3429)*12+MONTH($B3429)-1</f>
        <v/>
      </c>
      <c r="H3429" s="207">
        <f>IF(OR(nr_SeasonOn="OFF",$D$3424=0,$E$3424=0),1,12*INDEX(se_block,$D$3424,$E3429)/$E$3424)</f>
        <v/>
      </c>
      <c r="I3429" s="208">
        <f>EXP(SUMPRODUCT((rl_eff&lt;$B3429)*(rl_key=$A$3424)*rl_ln1p))</f>
        <v/>
      </c>
      <c r="J3429" s="208">
        <f>EXP(SUMPRODUCT((rl_eff&lt;=$C3429)*(rl_key=$A$3424)*rl_ln1p))</f>
        <v/>
      </c>
      <c r="K3429" s="201">
        <f>COUNTIFS(rl_key,$A$3424,rl_eff,"&gt;="&amp;$B3429,rl_eff,"&lt;="&amp;$C3429)</f>
        <v/>
      </c>
      <c r="L3429" s="201">
        <f>SUMIFS(rl_daysafter,rl_key,$A$3424,rl_effmonth,$B3429,rl_first,1)</f>
        <v/>
      </c>
      <c r="M3429" s="209">
        <f>IF($K3429=0,0,MIN(1,$L3429/$D3429))</f>
        <v/>
      </c>
      <c r="N3429" s="208">
        <f>IF($K3429=0,$J3429,(1-$M3429)*$I3429+$M3429*$J3429)</f>
        <v/>
      </c>
      <c r="O3429" s="209">
        <f>IF($F3429&lt;$B$3425,$E$3425+$I$3425*($F3429-$A$3425),IF($F3429&lt;$C$3425,$F$3425+$J$3425*($F3429-$B$3425),$G$3425+$K$3425*($F3429-$C$3425)))</f>
        <v/>
      </c>
      <c r="P3429" s="208">
        <f>MIN(1,MAX(0,(nr_MEndPm1-$G3429+0.5)/$C$3424))-MIN(1,MAX(0,(nr_MStartPm1-1-$G3429+0.5)/$C$3424))</f>
        <v/>
      </c>
      <c r="Q3429" s="208">
        <f>MIN(1,MAX(0,(nr_MEndP-$G3429+0.5)/$C$3424))-MIN(1,MAX(0,(nr_MStartP-1-$G3429+0.5)/$C$3424))</f>
        <v/>
      </c>
      <c r="R3429" s="208">
        <f>MIN(1,MAX(0,(nr_MEndP1-$G3429+0.5)/$C$3424))-MIN(1,MAX(0,(nr_MStartP1-1-$G3429+0.5)/$C$3424))</f>
        <v/>
      </c>
      <c r="S3429" s="208">
        <f>IF($L$3424,$N3429*IF($O$3424=1,$O3429/$F$3424,1),"")</f>
        <v/>
      </c>
      <c r="T3429" s="208">
        <f>IF(NOT($L$3424),"",IF($G3429&lt;nr_MStartP,$S3429,$T3417*(1+IF($G3429&lt;nr_MStartP1,$M$3424,$N$3424))))</f>
        <v/>
      </c>
      <c r="U3429" s="208">
        <f>IF($L$3424,$T3429,$N3429)</f>
        <v/>
      </c>
    </row>
    <row r="3430">
      <c r="A3430" s="145" t="n">
        <v>4</v>
      </c>
      <c r="B3430" s="204">
        <f>EDATE($B3429,1)</f>
        <v/>
      </c>
      <c r="C3430" s="205">
        <f>EOMONTH($B3430,0)</f>
        <v/>
      </c>
      <c r="D3430" s="201">
        <f>$C3430-$B3430+1</f>
        <v/>
      </c>
      <c r="E3430" s="201">
        <f>MONTH($B3430)</f>
        <v/>
      </c>
      <c r="F3430" s="235">
        <f>($B3430+$C3430+1)/2</f>
        <v/>
      </c>
      <c r="G3430" s="201">
        <f>YEAR($B3430)*12+MONTH($B3430)-1</f>
        <v/>
      </c>
      <c r="H3430" s="207">
        <f>IF(OR(nr_SeasonOn="OFF",$D$3424=0,$E$3424=0),1,12*INDEX(se_block,$D$3424,$E3430)/$E$3424)</f>
        <v/>
      </c>
      <c r="I3430" s="208">
        <f>EXP(SUMPRODUCT((rl_eff&lt;$B3430)*(rl_key=$A$3424)*rl_ln1p))</f>
        <v/>
      </c>
      <c r="J3430" s="208">
        <f>EXP(SUMPRODUCT((rl_eff&lt;=$C3430)*(rl_key=$A$3424)*rl_ln1p))</f>
        <v/>
      </c>
      <c r="K3430" s="201">
        <f>COUNTIFS(rl_key,$A$3424,rl_eff,"&gt;="&amp;$B3430,rl_eff,"&lt;="&amp;$C3430)</f>
        <v/>
      </c>
      <c r="L3430" s="201">
        <f>SUMIFS(rl_daysafter,rl_key,$A$3424,rl_effmonth,$B3430,rl_first,1)</f>
        <v/>
      </c>
      <c r="M3430" s="209">
        <f>IF($K3430=0,0,MIN(1,$L3430/$D3430))</f>
        <v/>
      </c>
      <c r="N3430" s="208">
        <f>IF($K3430=0,$J3430,(1-$M3430)*$I3430+$M3430*$J3430)</f>
        <v/>
      </c>
      <c r="O3430" s="209">
        <f>IF($F3430&lt;$B$3425,$E$3425+$I$3425*($F3430-$A$3425),IF($F3430&lt;$C$3425,$F$3425+$J$3425*($F3430-$B$3425),$G$3425+$K$3425*($F3430-$C$3425)))</f>
        <v/>
      </c>
      <c r="P3430" s="208">
        <f>MIN(1,MAX(0,(nr_MEndPm1-$G3430+0.5)/$C$3424))-MIN(1,MAX(0,(nr_MStartPm1-1-$G3430+0.5)/$C$3424))</f>
        <v/>
      </c>
      <c r="Q3430" s="208">
        <f>MIN(1,MAX(0,(nr_MEndP-$G3430+0.5)/$C$3424))-MIN(1,MAX(0,(nr_MStartP-1-$G3430+0.5)/$C$3424))</f>
        <v/>
      </c>
      <c r="R3430" s="208">
        <f>MIN(1,MAX(0,(nr_MEndP1-$G3430+0.5)/$C$3424))-MIN(1,MAX(0,(nr_MStartP1-1-$G3430+0.5)/$C$3424))</f>
        <v/>
      </c>
      <c r="S3430" s="208">
        <f>IF($L$3424,$N3430*IF($O$3424=1,$O3430/$F$3424,1),"")</f>
        <v/>
      </c>
      <c r="T3430" s="208">
        <f>IF(NOT($L$3424),"",IF($G3430&lt;nr_MStartP,$S3430,$T3418*(1+IF($G3430&lt;nr_MStartP1,$M$3424,$N$3424))))</f>
        <v/>
      </c>
      <c r="U3430" s="208">
        <f>IF($L$3424,$T3430,$N3430)</f>
        <v/>
      </c>
    </row>
    <row r="3431">
      <c r="A3431" s="145" t="n">
        <v>5</v>
      </c>
      <c r="B3431" s="204">
        <f>EDATE($B3430,1)</f>
        <v/>
      </c>
      <c r="C3431" s="205">
        <f>EOMONTH($B3431,0)</f>
        <v/>
      </c>
      <c r="D3431" s="201">
        <f>$C3431-$B3431+1</f>
        <v/>
      </c>
      <c r="E3431" s="201">
        <f>MONTH($B3431)</f>
        <v/>
      </c>
      <c r="F3431" s="235">
        <f>($B3431+$C3431+1)/2</f>
        <v/>
      </c>
      <c r="G3431" s="201">
        <f>YEAR($B3431)*12+MONTH($B3431)-1</f>
        <v/>
      </c>
      <c r="H3431" s="207">
        <f>IF(OR(nr_SeasonOn="OFF",$D$3424=0,$E$3424=0),1,12*INDEX(se_block,$D$3424,$E3431)/$E$3424)</f>
        <v/>
      </c>
      <c r="I3431" s="208">
        <f>EXP(SUMPRODUCT((rl_eff&lt;$B3431)*(rl_key=$A$3424)*rl_ln1p))</f>
        <v/>
      </c>
      <c r="J3431" s="208">
        <f>EXP(SUMPRODUCT((rl_eff&lt;=$C3431)*(rl_key=$A$3424)*rl_ln1p))</f>
        <v/>
      </c>
      <c r="K3431" s="201">
        <f>COUNTIFS(rl_key,$A$3424,rl_eff,"&gt;="&amp;$B3431,rl_eff,"&lt;="&amp;$C3431)</f>
        <v/>
      </c>
      <c r="L3431" s="201">
        <f>SUMIFS(rl_daysafter,rl_key,$A$3424,rl_effmonth,$B3431,rl_first,1)</f>
        <v/>
      </c>
      <c r="M3431" s="209">
        <f>IF($K3431=0,0,MIN(1,$L3431/$D3431))</f>
        <v/>
      </c>
      <c r="N3431" s="208">
        <f>IF($K3431=0,$J3431,(1-$M3431)*$I3431+$M3431*$J3431)</f>
        <v/>
      </c>
      <c r="O3431" s="209">
        <f>IF($F3431&lt;$B$3425,$E$3425+$I$3425*($F3431-$A$3425),IF($F3431&lt;$C$3425,$F$3425+$J$3425*($F3431-$B$3425),$G$3425+$K$3425*($F3431-$C$3425)))</f>
        <v/>
      </c>
      <c r="P3431" s="208">
        <f>MIN(1,MAX(0,(nr_MEndPm1-$G3431+0.5)/$C$3424))-MIN(1,MAX(0,(nr_MStartPm1-1-$G3431+0.5)/$C$3424))</f>
        <v/>
      </c>
      <c r="Q3431" s="208">
        <f>MIN(1,MAX(0,(nr_MEndP-$G3431+0.5)/$C$3424))-MIN(1,MAX(0,(nr_MStartP-1-$G3431+0.5)/$C$3424))</f>
        <v/>
      </c>
      <c r="R3431" s="208">
        <f>MIN(1,MAX(0,(nr_MEndP1-$G3431+0.5)/$C$3424))-MIN(1,MAX(0,(nr_MStartP1-1-$G3431+0.5)/$C$3424))</f>
        <v/>
      </c>
      <c r="S3431" s="208">
        <f>IF($L$3424,$N3431*IF($O$3424=1,$O3431/$F$3424,1),"")</f>
        <v/>
      </c>
      <c r="T3431" s="208">
        <f>IF(NOT($L$3424),"",IF($G3431&lt;nr_MStartP,$S3431,$T3419*(1+IF($G3431&lt;nr_MStartP1,$M$3424,$N$3424))))</f>
        <v/>
      </c>
      <c r="U3431" s="208">
        <f>IF($L$3424,$T3431,$N3431)</f>
        <v/>
      </c>
    </row>
    <row r="3432">
      <c r="A3432" s="145" t="n">
        <v>6</v>
      </c>
      <c r="B3432" s="204">
        <f>EDATE($B3431,1)</f>
        <v/>
      </c>
      <c r="C3432" s="205">
        <f>EOMONTH($B3432,0)</f>
        <v/>
      </c>
      <c r="D3432" s="201">
        <f>$C3432-$B3432+1</f>
        <v/>
      </c>
      <c r="E3432" s="201">
        <f>MONTH($B3432)</f>
        <v/>
      </c>
      <c r="F3432" s="235">
        <f>($B3432+$C3432+1)/2</f>
        <v/>
      </c>
      <c r="G3432" s="201">
        <f>YEAR($B3432)*12+MONTH($B3432)-1</f>
        <v/>
      </c>
      <c r="H3432" s="207">
        <f>IF(OR(nr_SeasonOn="OFF",$D$3424=0,$E$3424=0),1,12*INDEX(se_block,$D$3424,$E3432)/$E$3424)</f>
        <v/>
      </c>
      <c r="I3432" s="208">
        <f>EXP(SUMPRODUCT((rl_eff&lt;$B3432)*(rl_key=$A$3424)*rl_ln1p))</f>
        <v/>
      </c>
      <c r="J3432" s="208">
        <f>EXP(SUMPRODUCT((rl_eff&lt;=$C3432)*(rl_key=$A$3424)*rl_ln1p))</f>
        <v/>
      </c>
      <c r="K3432" s="201">
        <f>COUNTIFS(rl_key,$A$3424,rl_eff,"&gt;="&amp;$B3432,rl_eff,"&lt;="&amp;$C3432)</f>
        <v/>
      </c>
      <c r="L3432" s="201">
        <f>SUMIFS(rl_daysafter,rl_key,$A$3424,rl_effmonth,$B3432,rl_first,1)</f>
        <v/>
      </c>
      <c r="M3432" s="209">
        <f>IF($K3432=0,0,MIN(1,$L3432/$D3432))</f>
        <v/>
      </c>
      <c r="N3432" s="208">
        <f>IF($K3432=0,$J3432,(1-$M3432)*$I3432+$M3432*$J3432)</f>
        <v/>
      </c>
      <c r="O3432" s="209">
        <f>IF($F3432&lt;$B$3425,$E$3425+$I$3425*($F3432-$A$3425),IF($F3432&lt;$C$3425,$F$3425+$J$3425*($F3432-$B$3425),$G$3425+$K$3425*($F3432-$C$3425)))</f>
        <v/>
      </c>
      <c r="P3432" s="208">
        <f>MIN(1,MAX(0,(nr_MEndPm1-$G3432+0.5)/$C$3424))-MIN(1,MAX(0,(nr_MStartPm1-1-$G3432+0.5)/$C$3424))</f>
        <v/>
      </c>
      <c r="Q3432" s="208">
        <f>MIN(1,MAX(0,(nr_MEndP-$G3432+0.5)/$C$3424))-MIN(1,MAX(0,(nr_MStartP-1-$G3432+0.5)/$C$3424))</f>
        <v/>
      </c>
      <c r="R3432" s="208">
        <f>MIN(1,MAX(0,(nr_MEndP1-$G3432+0.5)/$C$3424))-MIN(1,MAX(0,(nr_MStartP1-1-$G3432+0.5)/$C$3424))</f>
        <v/>
      </c>
      <c r="S3432" s="208">
        <f>IF($L$3424,$N3432*IF($O$3424=1,$O3432/$F$3424,1),"")</f>
        <v/>
      </c>
      <c r="T3432" s="208">
        <f>IF(NOT($L$3424),"",IF($G3432&lt;nr_MStartP,$S3432,$T3420*(1+IF($G3432&lt;nr_MStartP1,$M$3424,$N$3424))))</f>
        <v/>
      </c>
      <c r="U3432" s="208">
        <f>IF($L$3424,$T3432,$N3432)</f>
        <v/>
      </c>
    </row>
    <row r="3433">
      <c r="A3433" s="145" t="n">
        <v>7</v>
      </c>
      <c r="B3433" s="204">
        <f>EDATE($B3432,1)</f>
        <v/>
      </c>
      <c r="C3433" s="205">
        <f>EOMONTH($B3433,0)</f>
        <v/>
      </c>
      <c r="D3433" s="201">
        <f>$C3433-$B3433+1</f>
        <v/>
      </c>
      <c r="E3433" s="201">
        <f>MONTH($B3433)</f>
        <v/>
      </c>
      <c r="F3433" s="235">
        <f>($B3433+$C3433+1)/2</f>
        <v/>
      </c>
      <c r="G3433" s="201">
        <f>YEAR($B3433)*12+MONTH($B3433)-1</f>
        <v/>
      </c>
      <c r="H3433" s="207">
        <f>IF(OR(nr_SeasonOn="OFF",$D$3424=0,$E$3424=0),1,12*INDEX(se_block,$D$3424,$E3433)/$E$3424)</f>
        <v/>
      </c>
      <c r="I3433" s="208">
        <f>EXP(SUMPRODUCT((rl_eff&lt;$B3433)*(rl_key=$A$3424)*rl_ln1p))</f>
        <v/>
      </c>
      <c r="J3433" s="208">
        <f>EXP(SUMPRODUCT((rl_eff&lt;=$C3433)*(rl_key=$A$3424)*rl_ln1p))</f>
        <v/>
      </c>
      <c r="K3433" s="201">
        <f>COUNTIFS(rl_key,$A$3424,rl_eff,"&gt;="&amp;$B3433,rl_eff,"&lt;="&amp;$C3433)</f>
        <v/>
      </c>
      <c r="L3433" s="201">
        <f>SUMIFS(rl_daysafter,rl_key,$A$3424,rl_effmonth,$B3433,rl_first,1)</f>
        <v/>
      </c>
      <c r="M3433" s="209">
        <f>IF($K3433=0,0,MIN(1,$L3433/$D3433))</f>
        <v/>
      </c>
      <c r="N3433" s="208">
        <f>IF($K3433=0,$J3433,(1-$M3433)*$I3433+$M3433*$J3433)</f>
        <v/>
      </c>
      <c r="O3433" s="209">
        <f>IF($F3433&lt;$B$3425,$E$3425+$I$3425*($F3433-$A$3425),IF($F3433&lt;$C$3425,$F$3425+$J$3425*($F3433-$B$3425),$G$3425+$K$3425*($F3433-$C$3425)))</f>
        <v/>
      </c>
      <c r="P3433" s="208">
        <f>MIN(1,MAX(0,(nr_MEndPm1-$G3433+0.5)/$C$3424))-MIN(1,MAX(0,(nr_MStartPm1-1-$G3433+0.5)/$C$3424))</f>
        <v/>
      </c>
      <c r="Q3433" s="208">
        <f>MIN(1,MAX(0,(nr_MEndP-$G3433+0.5)/$C$3424))-MIN(1,MAX(0,(nr_MStartP-1-$G3433+0.5)/$C$3424))</f>
        <v/>
      </c>
      <c r="R3433" s="208">
        <f>MIN(1,MAX(0,(nr_MEndP1-$G3433+0.5)/$C$3424))-MIN(1,MAX(0,(nr_MStartP1-1-$G3433+0.5)/$C$3424))</f>
        <v/>
      </c>
      <c r="S3433" s="208">
        <f>IF($L$3424,$N3433*IF($O$3424=1,$O3433/$F$3424,1),"")</f>
        <v/>
      </c>
      <c r="T3433" s="208">
        <f>IF(NOT($L$3424),"",IF($G3433&lt;nr_MStartP,$S3433,$T3421*(1+IF($G3433&lt;nr_MStartP1,$M$3424,$N$3424))))</f>
        <v/>
      </c>
      <c r="U3433" s="208">
        <f>IF($L$3424,$T3433,$N3433)</f>
        <v/>
      </c>
    </row>
    <row r="3434">
      <c r="A3434" s="145" t="n">
        <v>8</v>
      </c>
      <c r="B3434" s="204">
        <f>EDATE($B3433,1)</f>
        <v/>
      </c>
      <c r="C3434" s="205">
        <f>EOMONTH($B3434,0)</f>
        <v/>
      </c>
      <c r="D3434" s="201">
        <f>$C3434-$B3434+1</f>
        <v/>
      </c>
      <c r="E3434" s="201">
        <f>MONTH($B3434)</f>
        <v/>
      </c>
      <c r="F3434" s="235">
        <f>($B3434+$C3434+1)/2</f>
        <v/>
      </c>
      <c r="G3434" s="201">
        <f>YEAR($B3434)*12+MONTH($B3434)-1</f>
        <v/>
      </c>
      <c r="H3434" s="207">
        <f>IF(OR(nr_SeasonOn="OFF",$D$3424=0,$E$3424=0),1,12*INDEX(se_block,$D$3424,$E3434)/$E$3424)</f>
        <v/>
      </c>
      <c r="I3434" s="208">
        <f>EXP(SUMPRODUCT((rl_eff&lt;$B3434)*(rl_key=$A$3424)*rl_ln1p))</f>
        <v/>
      </c>
      <c r="J3434" s="208">
        <f>EXP(SUMPRODUCT((rl_eff&lt;=$C3434)*(rl_key=$A$3424)*rl_ln1p))</f>
        <v/>
      </c>
      <c r="K3434" s="201">
        <f>COUNTIFS(rl_key,$A$3424,rl_eff,"&gt;="&amp;$B3434,rl_eff,"&lt;="&amp;$C3434)</f>
        <v/>
      </c>
      <c r="L3434" s="201">
        <f>SUMIFS(rl_daysafter,rl_key,$A$3424,rl_effmonth,$B3434,rl_first,1)</f>
        <v/>
      </c>
      <c r="M3434" s="209">
        <f>IF($K3434=0,0,MIN(1,$L3434/$D3434))</f>
        <v/>
      </c>
      <c r="N3434" s="208">
        <f>IF($K3434=0,$J3434,(1-$M3434)*$I3434+$M3434*$J3434)</f>
        <v/>
      </c>
      <c r="O3434" s="209">
        <f>IF($F3434&lt;$B$3425,$E$3425+$I$3425*($F3434-$A$3425),IF($F3434&lt;$C$3425,$F$3425+$J$3425*($F3434-$B$3425),$G$3425+$K$3425*($F3434-$C$3425)))</f>
        <v/>
      </c>
      <c r="P3434" s="208">
        <f>MIN(1,MAX(0,(nr_MEndPm1-$G3434+0.5)/$C$3424))-MIN(1,MAX(0,(nr_MStartPm1-1-$G3434+0.5)/$C$3424))</f>
        <v/>
      </c>
      <c r="Q3434" s="208">
        <f>MIN(1,MAX(0,(nr_MEndP-$G3434+0.5)/$C$3424))-MIN(1,MAX(0,(nr_MStartP-1-$G3434+0.5)/$C$3424))</f>
        <v/>
      </c>
      <c r="R3434" s="208">
        <f>MIN(1,MAX(0,(nr_MEndP1-$G3434+0.5)/$C$3424))-MIN(1,MAX(0,(nr_MStartP1-1-$G3434+0.5)/$C$3424))</f>
        <v/>
      </c>
      <c r="S3434" s="208">
        <f>IF($L$3424,$N3434*IF($O$3424=1,$O3434/$F$3424,1),"")</f>
        <v/>
      </c>
      <c r="T3434" s="208">
        <f>IF(NOT($L$3424),"",IF($G3434&lt;nr_MStartP,$S3434,$T3422*(1+IF($G3434&lt;nr_MStartP1,$M$3424,$N$3424))))</f>
        <v/>
      </c>
      <c r="U3434" s="208">
        <f>IF($L$3424,$T3434,$N3434)</f>
        <v/>
      </c>
    </row>
    <row r="3435">
      <c r="A3435" s="145" t="n">
        <v>9</v>
      </c>
      <c r="B3435" s="204">
        <f>EDATE($B3434,1)</f>
        <v/>
      </c>
      <c r="C3435" s="205">
        <f>EOMONTH($B3435,0)</f>
        <v/>
      </c>
      <c r="D3435" s="201">
        <f>$C3435-$B3435+1</f>
        <v/>
      </c>
      <c r="E3435" s="201">
        <f>MONTH($B3435)</f>
        <v/>
      </c>
      <c r="F3435" s="235">
        <f>($B3435+$C3435+1)/2</f>
        <v/>
      </c>
      <c r="G3435" s="201">
        <f>YEAR($B3435)*12+MONTH($B3435)-1</f>
        <v/>
      </c>
      <c r="H3435" s="207">
        <f>IF(OR(nr_SeasonOn="OFF",$D$3424=0,$E$3424=0),1,12*INDEX(se_block,$D$3424,$E3435)/$E$3424)</f>
        <v/>
      </c>
      <c r="I3435" s="208">
        <f>EXP(SUMPRODUCT((rl_eff&lt;$B3435)*(rl_key=$A$3424)*rl_ln1p))</f>
        <v/>
      </c>
      <c r="J3435" s="208">
        <f>EXP(SUMPRODUCT((rl_eff&lt;=$C3435)*(rl_key=$A$3424)*rl_ln1p))</f>
        <v/>
      </c>
      <c r="K3435" s="201">
        <f>COUNTIFS(rl_key,$A$3424,rl_eff,"&gt;="&amp;$B3435,rl_eff,"&lt;="&amp;$C3435)</f>
        <v/>
      </c>
      <c r="L3435" s="201">
        <f>SUMIFS(rl_daysafter,rl_key,$A$3424,rl_effmonth,$B3435,rl_first,1)</f>
        <v/>
      </c>
      <c r="M3435" s="209">
        <f>IF($K3435=0,0,MIN(1,$L3435/$D3435))</f>
        <v/>
      </c>
      <c r="N3435" s="208">
        <f>IF($K3435=0,$J3435,(1-$M3435)*$I3435+$M3435*$J3435)</f>
        <v/>
      </c>
      <c r="O3435" s="209">
        <f>IF($F3435&lt;$B$3425,$E$3425+$I$3425*($F3435-$A$3425),IF($F3435&lt;$C$3425,$F$3425+$J$3425*($F3435-$B$3425),$G$3425+$K$3425*($F3435-$C$3425)))</f>
        <v/>
      </c>
      <c r="P3435" s="208">
        <f>MIN(1,MAX(0,(nr_MEndPm1-$G3435+0.5)/$C$3424))-MIN(1,MAX(0,(nr_MStartPm1-1-$G3435+0.5)/$C$3424))</f>
        <v/>
      </c>
      <c r="Q3435" s="208">
        <f>MIN(1,MAX(0,(nr_MEndP-$G3435+0.5)/$C$3424))-MIN(1,MAX(0,(nr_MStartP-1-$G3435+0.5)/$C$3424))</f>
        <v/>
      </c>
      <c r="R3435" s="208">
        <f>MIN(1,MAX(0,(nr_MEndP1-$G3435+0.5)/$C$3424))-MIN(1,MAX(0,(nr_MStartP1-1-$G3435+0.5)/$C$3424))</f>
        <v/>
      </c>
      <c r="S3435" s="208">
        <f>IF($L$3424,$N3435*IF($O$3424=1,$O3435/$F$3424,1),"")</f>
        <v/>
      </c>
      <c r="T3435" s="208">
        <f>IF(NOT($L$3424),"",IF($G3435&lt;nr_MStartP,$S3435,$T3423*(1+IF($G3435&lt;nr_MStartP1,$M$3424,$N$3424))))</f>
        <v/>
      </c>
      <c r="U3435" s="208">
        <f>IF($L$3424,$T3435,$N3435)</f>
        <v/>
      </c>
    </row>
    <row r="3436">
      <c r="A3436" s="145" t="n">
        <v>10</v>
      </c>
      <c r="B3436" s="204">
        <f>EDATE($B3435,1)</f>
        <v/>
      </c>
      <c r="C3436" s="205">
        <f>EOMONTH($B3436,0)</f>
        <v/>
      </c>
      <c r="D3436" s="201">
        <f>$C3436-$B3436+1</f>
        <v/>
      </c>
      <c r="E3436" s="201">
        <f>MONTH($B3436)</f>
        <v/>
      </c>
      <c r="F3436" s="235">
        <f>($B3436+$C3436+1)/2</f>
        <v/>
      </c>
      <c r="G3436" s="201">
        <f>YEAR($B3436)*12+MONTH($B3436)-1</f>
        <v/>
      </c>
      <c r="H3436" s="207">
        <f>IF(OR(nr_SeasonOn="OFF",$D$3424=0,$E$3424=0),1,12*INDEX(se_block,$D$3424,$E3436)/$E$3424)</f>
        <v/>
      </c>
      <c r="I3436" s="208">
        <f>EXP(SUMPRODUCT((rl_eff&lt;$B3436)*(rl_key=$A$3424)*rl_ln1p))</f>
        <v/>
      </c>
      <c r="J3436" s="208">
        <f>EXP(SUMPRODUCT((rl_eff&lt;=$C3436)*(rl_key=$A$3424)*rl_ln1p))</f>
        <v/>
      </c>
      <c r="K3436" s="201">
        <f>COUNTIFS(rl_key,$A$3424,rl_eff,"&gt;="&amp;$B3436,rl_eff,"&lt;="&amp;$C3436)</f>
        <v/>
      </c>
      <c r="L3436" s="201">
        <f>SUMIFS(rl_daysafter,rl_key,$A$3424,rl_effmonth,$B3436,rl_first,1)</f>
        <v/>
      </c>
      <c r="M3436" s="209">
        <f>IF($K3436=0,0,MIN(1,$L3436/$D3436))</f>
        <v/>
      </c>
      <c r="N3436" s="208">
        <f>IF($K3436=0,$J3436,(1-$M3436)*$I3436+$M3436*$J3436)</f>
        <v/>
      </c>
      <c r="O3436" s="209">
        <f>IF($F3436&lt;$B$3425,$E$3425+$I$3425*($F3436-$A$3425),IF($F3436&lt;$C$3425,$F$3425+$J$3425*($F3436-$B$3425),$G$3425+$K$3425*($F3436-$C$3425)))</f>
        <v/>
      </c>
      <c r="P3436" s="208">
        <f>MIN(1,MAX(0,(nr_MEndPm1-$G3436+0.5)/$C$3424))-MIN(1,MAX(0,(nr_MStartPm1-1-$G3436+0.5)/$C$3424))</f>
        <v/>
      </c>
      <c r="Q3436" s="208">
        <f>MIN(1,MAX(0,(nr_MEndP-$G3436+0.5)/$C$3424))-MIN(1,MAX(0,(nr_MStartP-1-$G3436+0.5)/$C$3424))</f>
        <v/>
      </c>
      <c r="R3436" s="208">
        <f>MIN(1,MAX(0,(nr_MEndP1-$G3436+0.5)/$C$3424))-MIN(1,MAX(0,(nr_MStartP1-1-$G3436+0.5)/$C$3424))</f>
        <v/>
      </c>
      <c r="S3436" s="208">
        <f>IF($L$3424,$N3436*IF($O$3424=1,$O3436/$F$3424,1),"")</f>
        <v/>
      </c>
      <c r="T3436" s="208">
        <f>IF(NOT($L$3424),"",IF($G3436&lt;nr_MStartP,$S3436,$T3424*(1+IF($G3436&lt;nr_MStartP1,$M$3424,$N$3424))))</f>
        <v/>
      </c>
      <c r="U3436" s="208">
        <f>IF($L$3424,$T3436,$N3436)</f>
        <v/>
      </c>
    </row>
    <row r="3437">
      <c r="A3437" s="145" t="n">
        <v>11</v>
      </c>
      <c r="B3437" s="204">
        <f>EDATE($B3436,1)</f>
        <v/>
      </c>
      <c r="C3437" s="205">
        <f>EOMONTH($B3437,0)</f>
        <v/>
      </c>
      <c r="D3437" s="201">
        <f>$C3437-$B3437+1</f>
        <v/>
      </c>
      <c r="E3437" s="201">
        <f>MONTH($B3437)</f>
        <v/>
      </c>
      <c r="F3437" s="235">
        <f>($B3437+$C3437+1)/2</f>
        <v/>
      </c>
      <c r="G3437" s="201">
        <f>YEAR($B3437)*12+MONTH($B3437)-1</f>
        <v/>
      </c>
      <c r="H3437" s="207">
        <f>IF(OR(nr_SeasonOn="OFF",$D$3424=0,$E$3424=0),1,12*INDEX(se_block,$D$3424,$E3437)/$E$3424)</f>
        <v/>
      </c>
      <c r="I3437" s="208">
        <f>EXP(SUMPRODUCT((rl_eff&lt;$B3437)*(rl_key=$A$3424)*rl_ln1p))</f>
        <v/>
      </c>
      <c r="J3437" s="208">
        <f>EXP(SUMPRODUCT((rl_eff&lt;=$C3437)*(rl_key=$A$3424)*rl_ln1p))</f>
        <v/>
      </c>
      <c r="K3437" s="201">
        <f>COUNTIFS(rl_key,$A$3424,rl_eff,"&gt;="&amp;$B3437,rl_eff,"&lt;="&amp;$C3437)</f>
        <v/>
      </c>
      <c r="L3437" s="201">
        <f>SUMIFS(rl_daysafter,rl_key,$A$3424,rl_effmonth,$B3437,rl_first,1)</f>
        <v/>
      </c>
      <c r="M3437" s="209">
        <f>IF($K3437=0,0,MIN(1,$L3437/$D3437))</f>
        <v/>
      </c>
      <c r="N3437" s="208">
        <f>IF($K3437=0,$J3437,(1-$M3437)*$I3437+$M3437*$J3437)</f>
        <v/>
      </c>
      <c r="O3437" s="209">
        <f>IF($F3437&lt;$B$3425,$E$3425+$I$3425*($F3437-$A$3425),IF($F3437&lt;$C$3425,$F$3425+$J$3425*($F3437-$B$3425),$G$3425+$K$3425*($F3437-$C$3425)))</f>
        <v/>
      </c>
      <c r="P3437" s="208">
        <f>MIN(1,MAX(0,(nr_MEndPm1-$G3437+0.5)/$C$3424))-MIN(1,MAX(0,(nr_MStartPm1-1-$G3437+0.5)/$C$3424))</f>
        <v/>
      </c>
      <c r="Q3437" s="208">
        <f>MIN(1,MAX(0,(nr_MEndP-$G3437+0.5)/$C$3424))-MIN(1,MAX(0,(nr_MStartP-1-$G3437+0.5)/$C$3424))</f>
        <v/>
      </c>
      <c r="R3437" s="208">
        <f>MIN(1,MAX(0,(nr_MEndP1-$G3437+0.5)/$C$3424))-MIN(1,MAX(0,(nr_MStartP1-1-$G3437+0.5)/$C$3424))</f>
        <v/>
      </c>
      <c r="S3437" s="208">
        <f>IF($L$3424,$N3437*IF($O$3424=1,$O3437/$F$3424,1),"")</f>
        <v/>
      </c>
      <c r="T3437" s="208">
        <f>IF(NOT($L$3424),"",IF($G3437&lt;nr_MStartP,$S3437,$T3425*(1+IF($G3437&lt;nr_MStartP1,$M$3424,$N$3424))))</f>
        <v/>
      </c>
      <c r="U3437" s="208">
        <f>IF($L$3424,$T3437,$N3437)</f>
        <v/>
      </c>
    </row>
    <row r="3438">
      <c r="A3438" s="145" t="n">
        <v>12</v>
      </c>
      <c r="B3438" s="204">
        <f>EDATE($B3437,1)</f>
        <v/>
      </c>
      <c r="C3438" s="205">
        <f>EOMONTH($B3438,0)</f>
        <v/>
      </c>
      <c r="D3438" s="201">
        <f>$C3438-$B3438+1</f>
        <v/>
      </c>
      <c r="E3438" s="201">
        <f>MONTH($B3438)</f>
        <v/>
      </c>
      <c r="F3438" s="235">
        <f>($B3438+$C3438+1)/2</f>
        <v/>
      </c>
      <c r="G3438" s="201">
        <f>YEAR($B3438)*12+MONTH($B3438)-1</f>
        <v/>
      </c>
      <c r="H3438" s="207">
        <f>IF(OR(nr_SeasonOn="OFF",$D$3424=0,$E$3424=0),1,12*INDEX(se_block,$D$3424,$E3438)/$E$3424)</f>
        <v/>
      </c>
      <c r="I3438" s="208">
        <f>EXP(SUMPRODUCT((rl_eff&lt;$B3438)*(rl_key=$A$3424)*rl_ln1p))</f>
        <v/>
      </c>
      <c r="J3438" s="208">
        <f>EXP(SUMPRODUCT((rl_eff&lt;=$C3438)*(rl_key=$A$3424)*rl_ln1p))</f>
        <v/>
      </c>
      <c r="K3438" s="201">
        <f>COUNTIFS(rl_key,$A$3424,rl_eff,"&gt;="&amp;$B3438,rl_eff,"&lt;="&amp;$C3438)</f>
        <v/>
      </c>
      <c r="L3438" s="201">
        <f>SUMIFS(rl_daysafter,rl_key,$A$3424,rl_effmonth,$B3438,rl_first,1)</f>
        <v/>
      </c>
      <c r="M3438" s="209">
        <f>IF($K3438=0,0,MIN(1,$L3438/$D3438))</f>
        <v/>
      </c>
      <c r="N3438" s="208">
        <f>IF($K3438=0,$J3438,(1-$M3438)*$I3438+$M3438*$J3438)</f>
        <v/>
      </c>
      <c r="O3438" s="209">
        <f>IF($F3438&lt;$B$3425,$E$3425+$I$3425*($F3438-$A$3425),IF($F3438&lt;$C$3425,$F$3425+$J$3425*($F3438-$B$3425),$G$3425+$K$3425*($F3438-$C$3425)))</f>
        <v/>
      </c>
      <c r="P3438" s="208">
        <f>MIN(1,MAX(0,(nr_MEndPm1-$G3438+0.5)/$C$3424))-MIN(1,MAX(0,(nr_MStartPm1-1-$G3438+0.5)/$C$3424))</f>
        <v/>
      </c>
      <c r="Q3438" s="208">
        <f>MIN(1,MAX(0,(nr_MEndP-$G3438+0.5)/$C$3424))-MIN(1,MAX(0,(nr_MStartP-1-$G3438+0.5)/$C$3424))</f>
        <v/>
      </c>
      <c r="R3438" s="208">
        <f>MIN(1,MAX(0,(nr_MEndP1-$G3438+0.5)/$C$3424))-MIN(1,MAX(0,(nr_MStartP1-1-$G3438+0.5)/$C$3424))</f>
        <v/>
      </c>
      <c r="S3438" s="208">
        <f>IF($L$3424,$N3438*IF($O$3424=1,$O3438/$F$3424,1),"")</f>
        <v/>
      </c>
      <c r="T3438" s="208">
        <f>IF(NOT($L$3424),"",IF($G3438&lt;nr_MStartP,$S3438,$T3426*(1+IF($G3438&lt;nr_MStartP1,$M$3424,$N$3424))))</f>
        <v/>
      </c>
      <c r="U3438" s="208">
        <f>IF($L$3424,$T3438,$N3438)</f>
        <v/>
      </c>
    </row>
    <row r="3439">
      <c r="A3439" s="145" t="n">
        <v>13</v>
      </c>
      <c r="B3439" s="204">
        <f>EDATE($B3438,1)</f>
        <v/>
      </c>
      <c r="C3439" s="205">
        <f>EOMONTH($B3439,0)</f>
        <v/>
      </c>
      <c r="D3439" s="201">
        <f>$C3439-$B3439+1</f>
        <v/>
      </c>
      <c r="E3439" s="201">
        <f>MONTH($B3439)</f>
        <v/>
      </c>
      <c r="F3439" s="235">
        <f>($B3439+$C3439+1)/2</f>
        <v/>
      </c>
      <c r="G3439" s="201">
        <f>YEAR($B3439)*12+MONTH($B3439)-1</f>
        <v/>
      </c>
      <c r="H3439" s="207">
        <f>IF(OR(nr_SeasonOn="OFF",$D$3424=0,$E$3424=0),1,12*INDEX(se_block,$D$3424,$E3439)/$E$3424)</f>
        <v/>
      </c>
      <c r="I3439" s="208">
        <f>EXP(SUMPRODUCT((rl_eff&lt;$B3439)*(rl_key=$A$3424)*rl_ln1p))</f>
        <v/>
      </c>
      <c r="J3439" s="208">
        <f>EXP(SUMPRODUCT((rl_eff&lt;=$C3439)*(rl_key=$A$3424)*rl_ln1p))</f>
        <v/>
      </c>
      <c r="K3439" s="201">
        <f>COUNTIFS(rl_key,$A$3424,rl_eff,"&gt;="&amp;$B3439,rl_eff,"&lt;="&amp;$C3439)</f>
        <v/>
      </c>
      <c r="L3439" s="201">
        <f>SUMIFS(rl_daysafter,rl_key,$A$3424,rl_effmonth,$B3439,rl_first,1)</f>
        <v/>
      </c>
      <c r="M3439" s="209">
        <f>IF($K3439=0,0,MIN(1,$L3439/$D3439))</f>
        <v/>
      </c>
      <c r="N3439" s="208">
        <f>IF($K3439=0,$J3439,(1-$M3439)*$I3439+$M3439*$J3439)</f>
        <v/>
      </c>
      <c r="O3439" s="209">
        <f>IF($F3439&lt;$B$3425,$E$3425+$I$3425*($F3439-$A$3425),IF($F3439&lt;$C$3425,$F$3425+$J$3425*($F3439-$B$3425),$G$3425+$K$3425*($F3439-$C$3425)))</f>
        <v/>
      </c>
      <c r="P3439" s="208">
        <f>MIN(1,MAX(0,(nr_MEndPm1-$G3439+0.5)/$C$3424))-MIN(1,MAX(0,(nr_MStartPm1-1-$G3439+0.5)/$C$3424))</f>
        <v/>
      </c>
      <c r="Q3439" s="208">
        <f>MIN(1,MAX(0,(nr_MEndP-$G3439+0.5)/$C$3424))-MIN(1,MAX(0,(nr_MStartP-1-$G3439+0.5)/$C$3424))</f>
        <v/>
      </c>
      <c r="R3439" s="208">
        <f>MIN(1,MAX(0,(nr_MEndP1-$G3439+0.5)/$C$3424))-MIN(1,MAX(0,(nr_MStartP1-1-$G3439+0.5)/$C$3424))</f>
        <v/>
      </c>
      <c r="S3439" s="208">
        <f>IF($L$3424,$N3439*IF($O$3424=1,$O3439/$F$3424,1),"")</f>
        <v/>
      </c>
      <c r="T3439" s="208">
        <f>IF(NOT($L$3424),"",IF($G3439&lt;nr_MStartP,$S3439,$T3427*(1+IF($G3439&lt;nr_MStartP1,$M$3424,$N$3424))))</f>
        <v/>
      </c>
      <c r="U3439" s="208">
        <f>IF($L$3424,$T3439,$N3439)</f>
        <v/>
      </c>
    </row>
    <row r="3440">
      <c r="A3440" s="145" t="n">
        <v>14</v>
      </c>
      <c r="B3440" s="204">
        <f>EDATE($B3439,1)</f>
        <v/>
      </c>
      <c r="C3440" s="205">
        <f>EOMONTH($B3440,0)</f>
        <v/>
      </c>
      <c r="D3440" s="201">
        <f>$C3440-$B3440+1</f>
        <v/>
      </c>
      <c r="E3440" s="201">
        <f>MONTH($B3440)</f>
        <v/>
      </c>
      <c r="F3440" s="235">
        <f>($B3440+$C3440+1)/2</f>
        <v/>
      </c>
      <c r="G3440" s="201">
        <f>YEAR($B3440)*12+MONTH($B3440)-1</f>
        <v/>
      </c>
      <c r="H3440" s="207">
        <f>IF(OR(nr_SeasonOn="OFF",$D$3424=0,$E$3424=0),1,12*INDEX(se_block,$D$3424,$E3440)/$E$3424)</f>
        <v/>
      </c>
      <c r="I3440" s="208">
        <f>EXP(SUMPRODUCT((rl_eff&lt;$B3440)*(rl_key=$A$3424)*rl_ln1p))</f>
        <v/>
      </c>
      <c r="J3440" s="208">
        <f>EXP(SUMPRODUCT((rl_eff&lt;=$C3440)*(rl_key=$A$3424)*rl_ln1p))</f>
        <v/>
      </c>
      <c r="K3440" s="201">
        <f>COUNTIFS(rl_key,$A$3424,rl_eff,"&gt;="&amp;$B3440,rl_eff,"&lt;="&amp;$C3440)</f>
        <v/>
      </c>
      <c r="L3440" s="201">
        <f>SUMIFS(rl_daysafter,rl_key,$A$3424,rl_effmonth,$B3440,rl_first,1)</f>
        <v/>
      </c>
      <c r="M3440" s="209">
        <f>IF($K3440=0,0,MIN(1,$L3440/$D3440))</f>
        <v/>
      </c>
      <c r="N3440" s="208">
        <f>IF($K3440=0,$J3440,(1-$M3440)*$I3440+$M3440*$J3440)</f>
        <v/>
      </c>
      <c r="O3440" s="209">
        <f>IF($F3440&lt;$B$3425,$E$3425+$I$3425*($F3440-$A$3425),IF($F3440&lt;$C$3425,$F$3425+$J$3425*($F3440-$B$3425),$G$3425+$K$3425*($F3440-$C$3425)))</f>
        <v/>
      </c>
      <c r="P3440" s="208">
        <f>MIN(1,MAX(0,(nr_MEndPm1-$G3440+0.5)/$C$3424))-MIN(1,MAX(0,(nr_MStartPm1-1-$G3440+0.5)/$C$3424))</f>
        <v/>
      </c>
      <c r="Q3440" s="208">
        <f>MIN(1,MAX(0,(nr_MEndP-$G3440+0.5)/$C$3424))-MIN(1,MAX(0,(nr_MStartP-1-$G3440+0.5)/$C$3424))</f>
        <v/>
      </c>
      <c r="R3440" s="208">
        <f>MIN(1,MAX(0,(nr_MEndP1-$G3440+0.5)/$C$3424))-MIN(1,MAX(0,(nr_MStartP1-1-$G3440+0.5)/$C$3424))</f>
        <v/>
      </c>
      <c r="S3440" s="208">
        <f>IF($L$3424,$N3440*IF($O$3424=1,$O3440/$F$3424,1),"")</f>
        <v/>
      </c>
      <c r="T3440" s="208">
        <f>IF(NOT($L$3424),"",IF($G3440&lt;nr_MStartP,$S3440,$T3428*(1+IF($G3440&lt;nr_MStartP1,$M$3424,$N$3424))))</f>
        <v/>
      </c>
      <c r="U3440" s="208">
        <f>IF($L$3424,$T3440,$N3440)</f>
        <v/>
      </c>
    </row>
    <row r="3441">
      <c r="A3441" s="145" t="n">
        <v>15</v>
      </c>
      <c r="B3441" s="204">
        <f>EDATE($B3440,1)</f>
        <v/>
      </c>
      <c r="C3441" s="205">
        <f>EOMONTH($B3441,0)</f>
        <v/>
      </c>
      <c r="D3441" s="201">
        <f>$C3441-$B3441+1</f>
        <v/>
      </c>
      <c r="E3441" s="201">
        <f>MONTH($B3441)</f>
        <v/>
      </c>
      <c r="F3441" s="235">
        <f>($B3441+$C3441+1)/2</f>
        <v/>
      </c>
      <c r="G3441" s="201">
        <f>YEAR($B3441)*12+MONTH($B3441)-1</f>
        <v/>
      </c>
      <c r="H3441" s="207">
        <f>IF(OR(nr_SeasonOn="OFF",$D$3424=0,$E$3424=0),1,12*INDEX(se_block,$D$3424,$E3441)/$E$3424)</f>
        <v/>
      </c>
      <c r="I3441" s="208">
        <f>EXP(SUMPRODUCT((rl_eff&lt;$B3441)*(rl_key=$A$3424)*rl_ln1p))</f>
        <v/>
      </c>
      <c r="J3441" s="208">
        <f>EXP(SUMPRODUCT((rl_eff&lt;=$C3441)*(rl_key=$A$3424)*rl_ln1p))</f>
        <v/>
      </c>
      <c r="K3441" s="201">
        <f>COUNTIFS(rl_key,$A$3424,rl_eff,"&gt;="&amp;$B3441,rl_eff,"&lt;="&amp;$C3441)</f>
        <v/>
      </c>
      <c r="L3441" s="201">
        <f>SUMIFS(rl_daysafter,rl_key,$A$3424,rl_effmonth,$B3441,rl_first,1)</f>
        <v/>
      </c>
      <c r="M3441" s="209">
        <f>IF($K3441=0,0,MIN(1,$L3441/$D3441))</f>
        <v/>
      </c>
      <c r="N3441" s="208">
        <f>IF($K3441=0,$J3441,(1-$M3441)*$I3441+$M3441*$J3441)</f>
        <v/>
      </c>
      <c r="O3441" s="209">
        <f>IF($F3441&lt;$B$3425,$E$3425+$I$3425*($F3441-$A$3425),IF($F3441&lt;$C$3425,$F$3425+$J$3425*($F3441-$B$3425),$G$3425+$K$3425*($F3441-$C$3425)))</f>
        <v/>
      </c>
      <c r="P3441" s="208">
        <f>MIN(1,MAX(0,(nr_MEndPm1-$G3441+0.5)/$C$3424))-MIN(1,MAX(0,(nr_MStartPm1-1-$G3441+0.5)/$C$3424))</f>
        <v/>
      </c>
      <c r="Q3441" s="208">
        <f>MIN(1,MAX(0,(nr_MEndP-$G3441+0.5)/$C$3424))-MIN(1,MAX(0,(nr_MStartP-1-$G3441+0.5)/$C$3424))</f>
        <v/>
      </c>
      <c r="R3441" s="208">
        <f>MIN(1,MAX(0,(nr_MEndP1-$G3441+0.5)/$C$3424))-MIN(1,MAX(0,(nr_MStartP1-1-$G3441+0.5)/$C$3424))</f>
        <v/>
      </c>
      <c r="S3441" s="208">
        <f>IF($L$3424,$N3441*IF($O$3424=1,$O3441/$F$3424,1),"")</f>
        <v/>
      </c>
      <c r="T3441" s="208">
        <f>IF(NOT($L$3424),"",IF($G3441&lt;nr_MStartP,$S3441,$T3429*(1+IF($G3441&lt;nr_MStartP1,$M$3424,$N$3424))))</f>
        <v/>
      </c>
      <c r="U3441" s="208">
        <f>IF($L$3424,$T3441,$N3441)</f>
        <v/>
      </c>
    </row>
    <row r="3442">
      <c r="A3442" s="145" t="n">
        <v>16</v>
      </c>
      <c r="B3442" s="204">
        <f>EDATE($B3441,1)</f>
        <v/>
      </c>
      <c r="C3442" s="205">
        <f>EOMONTH($B3442,0)</f>
        <v/>
      </c>
      <c r="D3442" s="201">
        <f>$C3442-$B3442+1</f>
        <v/>
      </c>
      <c r="E3442" s="201">
        <f>MONTH($B3442)</f>
        <v/>
      </c>
      <c r="F3442" s="235">
        <f>($B3442+$C3442+1)/2</f>
        <v/>
      </c>
      <c r="G3442" s="201">
        <f>YEAR($B3442)*12+MONTH($B3442)-1</f>
        <v/>
      </c>
      <c r="H3442" s="207">
        <f>IF(OR(nr_SeasonOn="OFF",$D$3424=0,$E$3424=0),1,12*INDEX(se_block,$D$3424,$E3442)/$E$3424)</f>
        <v/>
      </c>
      <c r="I3442" s="208">
        <f>EXP(SUMPRODUCT((rl_eff&lt;$B3442)*(rl_key=$A$3424)*rl_ln1p))</f>
        <v/>
      </c>
      <c r="J3442" s="208">
        <f>EXP(SUMPRODUCT((rl_eff&lt;=$C3442)*(rl_key=$A$3424)*rl_ln1p))</f>
        <v/>
      </c>
      <c r="K3442" s="201">
        <f>COUNTIFS(rl_key,$A$3424,rl_eff,"&gt;="&amp;$B3442,rl_eff,"&lt;="&amp;$C3442)</f>
        <v/>
      </c>
      <c r="L3442" s="201">
        <f>SUMIFS(rl_daysafter,rl_key,$A$3424,rl_effmonth,$B3442,rl_first,1)</f>
        <v/>
      </c>
      <c r="M3442" s="209">
        <f>IF($K3442=0,0,MIN(1,$L3442/$D3442))</f>
        <v/>
      </c>
      <c r="N3442" s="208">
        <f>IF($K3442=0,$J3442,(1-$M3442)*$I3442+$M3442*$J3442)</f>
        <v/>
      </c>
      <c r="O3442" s="209">
        <f>IF($F3442&lt;$B$3425,$E$3425+$I$3425*($F3442-$A$3425),IF($F3442&lt;$C$3425,$F$3425+$J$3425*($F3442-$B$3425),$G$3425+$K$3425*($F3442-$C$3425)))</f>
        <v/>
      </c>
      <c r="P3442" s="208">
        <f>MIN(1,MAX(0,(nr_MEndPm1-$G3442+0.5)/$C$3424))-MIN(1,MAX(0,(nr_MStartPm1-1-$G3442+0.5)/$C$3424))</f>
        <v/>
      </c>
      <c r="Q3442" s="208">
        <f>MIN(1,MAX(0,(nr_MEndP-$G3442+0.5)/$C$3424))-MIN(1,MAX(0,(nr_MStartP-1-$G3442+0.5)/$C$3424))</f>
        <v/>
      </c>
      <c r="R3442" s="208">
        <f>MIN(1,MAX(0,(nr_MEndP1-$G3442+0.5)/$C$3424))-MIN(1,MAX(0,(nr_MStartP1-1-$G3442+0.5)/$C$3424))</f>
        <v/>
      </c>
      <c r="S3442" s="208">
        <f>IF($L$3424,$N3442*IF($O$3424=1,$O3442/$F$3424,1),"")</f>
        <v/>
      </c>
      <c r="T3442" s="208">
        <f>IF(NOT($L$3424),"",IF($G3442&lt;nr_MStartP,$S3442,$T3430*(1+IF($G3442&lt;nr_MStartP1,$M$3424,$N$3424))))</f>
        <v/>
      </c>
      <c r="U3442" s="208">
        <f>IF($L$3424,$T3442,$N3442)</f>
        <v/>
      </c>
    </row>
    <row r="3443">
      <c r="A3443" s="145" t="n">
        <v>17</v>
      </c>
      <c r="B3443" s="204">
        <f>EDATE($B3442,1)</f>
        <v/>
      </c>
      <c r="C3443" s="205">
        <f>EOMONTH($B3443,0)</f>
        <v/>
      </c>
      <c r="D3443" s="201">
        <f>$C3443-$B3443+1</f>
        <v/>
      </c>
      <c r="E3443" s="201">
        <f>MONTH($B3443)</f>
        <v/>
      </c>
      <c r="F3443" s="235">
        <f>($B3443+$C3443+1)/2</f>
        <v/>
      </c>
      <c r="G3443" s="201">
        <f>YEAR($B3443)*12+MONTH($B3443)-1</f>
        <v/>
      </c>
      <c r="H3443" s="207">
        <f>IF(OR(nr_SeasonOn="OFF",$D$3424=0,$E$3424=0),1,12*INDEX(se_block,$D$3424,$E3443)/$E$3424)</f>
        <v/>
      </c>
      <c r="I3443" s="208">
        <f>EXP(SUMPRODUCT((rl_eff&lt;$B3443)*(rl_key=$A$3424)*rl_ln1p))</f>
        <v/>
      </c>
      <c r="J3443" s="208">
        <f>EXP(SUMPRODUCT((rl_eff&lt;=$C3443)*(rl_key=$A$3424)*rl_ln1p))</f>
        <v/>
      </c>
      <c r="K3443" s="201">
        <f>COUNTIFS(rl_key,$A$3424,rl_eff,"&gt;="&amp;$B3443,rl_eff,"&lt;="&amp;$C3443)</f>
        <v/>
      </c>
      <c r="L3443" s="201">
        <f>SUMIFS(rl_daysafter,rl_key,$A$3424,rl_effmonth,$B3443,rl_first,1)</f>
        <v/>
      </c>
      <c r="M3443" s="209">
        <f>IF($K3443=0,0,MIN(1,$L3443/$D3443))</f>
        <v/>
      </c>
      <c r="N3443" s="208">
        <f>IF($K3443=0,$J3443,(1-$M3443)*$I3443+$M3443*$J3443)</f>
        <v/>
      </c>
      <c r="O3443" s="209">
        <f>IF($F3443&lt;$B$3425,$E$3425+$I$3425*($F3443-$A$3425),IF($F3443&lt;$C$3425,$F$3425+$J$3425*($F3443-$B$3425),$G$3425+$K$3425*($F3443-$C$3425)))</f>
        <v/>
      </c>
      <c r="P3443" s="208">
        <f>MIN(1,MAX(0,(nr_MEndPm1-$G3443+0.5)/$C$3424))-MIN(1,MAX(0,(nr_MStartPm1-1-$G3443+0.5)/$C$3424))</f>
        <v/>
      </c>
      <c r="Q3443" s="208">
        <f>MIN(1,MAX(0,(nr_MEndP-$G3443+0.5)/$C$3424))-MIN(1,MAX(0,(nr_MStartP-1-$G3443+0.5)/$C$3424))</f>
        <v/>
      </c>
      <c r="R3443" s="208">
        <f>MIN(1,MAX(0,(nr_MEndP1-$G3443+0.5)/$C$3424))-MIN(1,MAX(0,(nr_MStartP1-1-$G3443+0.5)/$C$3424))</f>
        <v/>
      </c>
      <c r="S3443" s="208">
        <f>IF($L$3424,$N3443*IF($O$3424=1,$O3443/$F$3424,1),"")</f>
        <v/>
      </c>
      <c r="T3443" s="208">
        <f>IF(NOT($L$3424),"",IF($G3443&lt;nr_MStartP,$S3443,$T3431*(1+IF($G3443&lt;nr_MStartP1,$M$3424,$N$3424))))</f>
        <v/>
      </c>
      <c r="U3443" s="208">
        <f>IF($L$3424,$T3443,$N3443)</f>
        <v/>
      </c>
    </row>
    <row r="3444">
      <c r="A3444" s="145" t="n">
        <v>18</v>
      </c>
      <c r="B3444" s="204">
        <f>EDATE($B3443,1)</f>
        <v/>
      </c>
      <c r="C3444" s="205">
        <f>EOMONTH($B3444,0)</f>
        <v/>
      </c>
      <c r="D3444" s="201">
        <f>$C3444-$B3444+1</f>
        <v/>
      </c>
      <c r="E3444" s="201">
        <f>MONTH($B3444)</f>
        <v/>
      </c>
      <c r="F3444" s="235">
        <f>($B3444+$C3444+1)/2</f>
        <v/>
      </c>
      <c r="G3444" s="201">
        <f>YEAR($B3444)*12+MONTH($B3444)-1</f>
        <v/>
      </c>
      <c r="H3444" s="207">
        <f>IF(OR(nr_SeasonOn="OFF",$D$3424=0,$E$3424=0),1,12*INDEX(se_block,$D$3424,$E3444)/$E$3424)</f>
        <v/>
      </c>
      <c r="I3444" s="208">
        <f>EXP(SUMPRODUCT((rl_eff&lt;$B3444)*(rl_key=$A$3424)*rl_ln1p))</f>
        <v/>
      </c>
      <c r="J3444" s="208">
        <f>EXP(SUMPRODUCT((rl_eff&lt;=$C3444)*(rl_key=$A$3424)*rl_ln1p))</f>
        <v/>
      </c>
      <c r="K3444" s="201">
        <f>COUNTIFS(rl_key,$A$3424,rl_eff,"&gt;="&amp;$B3444,rl_eff,"&lt;="&amp;$C3444)</f>
        <v/>
      </c>
      <c r="L3444" s="201">
        <f>SUMIFS(rl_daysafter,rl_key,$A$3424,rl_effmonth,$B3444,rl_first,1)</f>
        <v/>
      </c>
      <c r="M3444" s="209">
        <f>IF($K3444=0,0,MIN(1,$L3444/$D3444))</f>
        <v/>
      </c>
      <c r="N3444" s="208">
        <f>IF($K3444=0,$J3444,(1-$M3444)*$I3444+$M3444*$J3444)</f>
        <v/>
      </c>
      <c r="O3444" s="209">
        <f>IF($F3444&lt;$B$3425,$E$3425+$I$3425*($F3444-$A$3425),IF($F3444&lt;$C$3425,$F$3425+$J$3425*($F3444-$B$3425),$G$3425+$K$3425*($F3444-$C$3425)))</f>
        <v/>
      </c>
      <c r="P3444" s="208">
        <f>MIN(1,MAX(0,(nr_MEndPm1-$G3444+0.5)/$C$3424))-MIN(1,MAX(0,(nr_MStartPm1-1-$G3444+0.5)/$C$3424))</f>
        <v/>
      </c>
      <c r="Q3444" s="208">
        <f>MIN(1,MAX(0,(nr_MEndP-$G3444+0.5)/$C$3424))-MIN(1,MAX(0,(nr_MStartP-1-$G3444+0.5)/$C$3424))</f>
        <v/>
      </c>
      <c r="R3444" s="208">
        <f>MIN(1,MAX(0,(nr_MEndP1-$G3444+0.5)/$C$3424))-MIN(1,MAX(0,(nr_MStartP1-1-$G3444+0.5)/$C$3424))</f>
        <v/>
      </c>
      <c r="S3444" s="208">
        <f>IF($L$3424,$N3444*IF($O$3424=1,$O3444/$F$3424,1),"")</f>
        <v/>
      </c>
      <c r="T3444" s="208">
        <f>IF(NOT($L$3424),"",IF($G3444&lt;nr_MStartP,$S3444,$T3432*(1+IF($G3444&lt;nr_MStartP1,$M$3424,$N$3424))))</f>
        <v/>
      </c>
      <c r="U3444" s="208">
        <f>IF($L$3424,$T3444,$N3444)</f>
        <v/>
      </c>
    </row>
    <row r="3445">
      <c r="A3445" s="145" t="n">
        <v>19</v>
      </c>
      <c r="B3445" s="204">
        <f>EDATE($B3444,1)</f>
        <v/>
      </c>
      <c r="C3445" s="205">
        <f>EOMONTH($B3445,0)</f>
        <v/>
      </c>
      <c r="D3445" s="201">
        <f>$C3445-$B3445+1</f>
        <v/>
      </c>
      <c r="E3445" s="201">
        <f>MONTH($B3445)</f>
        <v/>
      </c>
      <c r="F3445" s="235">
        <f>($B3445+$C3445+1)/2</f>
        <v/>
      </c>
      <c r="G3445" s="201">
        <f>YEAR($B3445)*12+MONTH($B3445)-1</f>
        <v/>
      </c>
      <c r="H3445" s="207">
        <f>IF(OR(nr_SeasonOn="OFF",$D$3424=0,$E$3424=0),1,12*INDEX(se_block,$D$3424,$E3445)/$E$3424)</f>
        <v/>
      </c>
      <c r="I3445" s="208">
        <f>EXP(SUMPRODUCT((rl_eff&lt;$B3445)*(rl_key=$A$3424)*rl_ln1p))</f>
        <v/>
      </c>
      <c r="J3445" s="208">
        <f>EXP(SUMPRODUCT((rl_eff&lt;=$C3445)*(rl_key=$A$3424)*rl_ln1p))</f>
        <v/>
      </c>
      <c r="K3445" s="201">
        <f>COUNTIFS(rl_key,$A$3424,rl_eff,"&gt;="&amp;$B3445,rl_eff,"&lt;="&amp;$C3445)</f>
        <v/>
      </c>
      <c r="L3445" s="201">
        <f>SUMIFS(rl_daysafter,rl_key,$A$3424,rl_effmonth,$B3445,rl_first,1)</f>
        <v/>
      </c>
      <c r="M3445" s="209">
        <f>IF($K3445=0,0,MIN(1,$L3445/$D3445))</f>
        <v/>
      </c>
      <c r="N3445" s="208">
        <f>IF($K3445=0,$J3445,(1-$M3445)*$I3445+$M3445*$J3445)</f>
        <v/>
      </c>
      <c r="O3445" s="209">
        <f>IF($F3445&lt;$B$3425,$E$3425+$I$3425*($F3445-$A$3425),IF($F3445&lt;$C$3425,$F$3425+$J$3425*($F3445-$B$3425),$G$3425+$K$3425*($F3445-$C$3425)))</f>
        <v/>
      </c>
      <c r="P3445" s="208">
        <f>MIN(1,MAX(0,(nr_MEndPm1-$G3445+0.5)/$C$3424))-MIN(1,MAX(0,(nr_MStartPm1-1-$G3445+0.5)/$C$3424))</f>
        <v/>
      </c>
      <c r="Q3445" s="208">
        <f>MIN(1,MAX(0,(nr_MEndP-$G3445+0.5)/$C$3424))-MIN(1,MAX(0,(nr_MStartP-1-$G3445+0.5)/$C$3424))</f>
        <v/>
      </c>
      <c r="R3445" s="208">
        <f>MIN(1,MAX(0,(nr_MEndP1-$G3445+0.5)/$C$3424))-MIN(1,MAX(0,(nr_MStartP1-1-$G3445+0.5)/$C$3424))</f>
        <v/>
      </c>
      <c r="S3445" s="208">
        <f>IF($L$3424,$N3445*IF($O$3424=1,$O3445/$F$3424,1),"")</f>
        <v/>
      </c>
      <c r="T3445" s="208">
        <f>IF(NOT($L$3424),"",IF($G3445&lt;nr_MStartP,$S3445,$T3433*(1+IF($G3445&lt;nr_MStartP1,$M$3424,$N$3424))))</f>
        <v/>
      </c>
      <c r="U3445" s="208">
        <f>IF($L$3424,$T3445,$N3445)</f>
        <v/>
      </c>
    </row>
    <row r="3446">
      <c r="A3446" s="145" t="n">
        <v>20</v>
      </c>
      <c r="B3446" s="204">
        <f>EDATE($B3445,1)</f>
        <v/>
      </c>
      <c r="C3446" s="205">
        <f>EOMONTH($B3446,0)</f>
        <v/>
      </c>
      <c r="D3446" s="201">
        <f>$C3446-$B3446+1</f>
        <v/>
      </c>
      <c r="E3446" s="201">
        <f>MONTH($B3446)</f>
        <v/>
      </c>
      <c r="F3446" s="235">
        <f>($B3446+$C3446+1)/2</f>
        <v/>
      </c>
      <c r="G3446" s="201">
        <f>YEAR($B3446)*12+MONTH($B3446)-1</f>
        <v/>
      </c>
      <c r="H3446" s="207">
        <f>IF(OR(nr_SeasonOn="OFF",$D$3424=0,$E$3424=0),1,12*INDEX(se_block,$D$3424,$E3446)/$E$3424)</f>
        <v/>
      </c>
      <c r="I3446" s="208">
        <f>EXP(SUMPRODUCT((rl_eff&lt;$B3446)*(rl_key=$A$3424)*rl_ln1p))</f>
        <v/>
      </c>
      <c r="J3446" s="208">
        <f>EXP(SUMPRODUCT((rl_eff&lt;=$C3446)*(rl_key=$A$3424)*rl_ln1p))</f>
        <v/>
      </c>
      <c r="K3446" s="201">
        <f>COUNTIFS(rl_key,$A$3424,rl_eff,"&gt;="&amp;$B3446,rl_eff,"&lt;="&amp;$C3446)</f>
        <v/>
      </c>
      <c r="L3446" s="201">
        <f>SUMIFS(rl_daysafter,rl_key,$A$3424,rl_effmonth,$B3446,rl_first,1)</f>
        <v/>
      </c>
      <c r="M3446" s="209">
        <f>IF($K3446=0,0,MIN(1,$L3446/$D3446))</f>
        <v/>
      </c>
      <c r="N3446" s="208">
        <f>IF($K3446=0,$J3446,(1-$M3446)*$I3446+$M3446*$J3446)</f>
        <v/>
      </c>
      <c r="O3446" s="209">
        <f>IF($F3446&lt;$B$3425,$E$3425+$I$3425*($F3446-$A$3425),IF($F3446&lt;$C$3425,$F$3425+$J$3425*($F3446-$B$3425),$G$3425+$K$3425*($F3446-$C$3425)))</f>
        <v/>
      </c>
      <c r="P3446" s="208">
        <f>MIN(1,MAX(0,(nr_MEndPm1-$G3446+0.5)/$C$3424))-MIN(1,MAX(0,(nr_MStartPm1-1-$G3446+0.5)/$C$3424))</f>
        <v/>
      </c>
      <c r="Q3446" s="208">
        <f>MIN(1,MAX(0,(nr_MEndP-$G3446+0.5)/$C$3424))-MIN(1,MAX(0,(nr_MStartP-1-$G3446+0.5)/$C$3424))</f>
        <v/>
      </c>
      <c r="R3446" s="208">
        <f>MIN(1,MAX(0,(nr_MEndP1-$G3446+0.5)/$C$3424))-MIN(1,MAX(0,(nr_MStartP1-1-$G3446+0.5)/$C$3424))</f>
        <v/>
      </c>
      <c r="S3446" s="208">
        <f>IF($L$3424,$N3446*IF($O$3424=1,$O3446/$F$3424,1),"")</f>
        <v/>
      </c>
      <c r="T3446" s="208">
        <f>IF(NOT($L$3424),"",IF($G3446&lt;nr_MStartP,$S3446,$T3434*(1+IF($G3446&lt;nr_MStartP1,$M$3424,$N$3424))))</f>
        <v/>
      </c>
      <c r="U3446" s="208">
        <f>IF($L$3424,$T3446,$N3446)</f>
        <v/>
      </c>
    </row>
    <row r="3447">
      <c r="A3447" s="145" t="n">
        <v>21</v>
      </c>
      <c r="B3447" s="204">
        <f>EDATE($B3446,1)</f>
        <v/>
      </c>
      <c r="C3447" s="205">
        <f>EOMONTH($B3447,0)</f>
        <v/>
      </c>
      <c r="D3447" s="201">
        <f>$C3447-$B3447+1</f>
        <v/>
      </c>
      <c r="E3447" s="201">
        <f>MONTH($B3447)</f>
        <v/>
      </c>
      <c r="F3447" s="235">
        <f>($B3447+$C3447+1)/2</f>
        <v/>
      </c>
      <c r="G3447" s="201">
        <f>YEAR($B3447)*12+MONTH($B3447)-1</f>
        <v/>
      </c>
      <c r="H3447" s="207">
        <f>IF(OR(nr_SeasonOn="OFF",$D$3424=0,$E$3424=0),1,12*INDEX(se_block,$D$3424,$E3447)/$E$3424)</f>
        <v/>
      </c>
      <c r="I3447" s="208">
        <f>EXP(SUMPRODUCT((rl_eff&lt;$B3447)*(rl_key=$A$3424)*rl_ln1p))</f>
        <v/>
      </c>
      <c r="J3447" s="208">
        <f>EXP(SUMPRODUCT((rl_eff&lt;=$C3447)*(rl_key=$A$3424)*rl_ln1p))</f>
        <v/>
      </c>
      <c r="K3447" s="201">
        <f>COUNTIFS(rl_key,$A$3424,rl_eff,"&gt;="&amp;$B3447,rl_eff,"&lt;="&amp;$C3447)</f>
        <v/>
      </c>
      <c r="L3447" s="201">
        <f>SUMIFS(rl_daysafter,rl_key,$A$3424,rl_effmonth,$B3447,rl_first,1)</f>
        <v/>
      </c>
      <c r="M3447" s="209">
        <f>IF($K3447=0,0,MIN(1,$L3447/$D3447))</f>
        <v/>
      </c>
      <c r="N3447" s="208">
        <f>IF($K3447=0,$J3447,(1-$M3447)*$I3447+$M3447*$J3447)</f>
        <v/>
      </c>
      <c r="O3447" s="209">
        <f>IF($F3447&lt;$B$3425,$E$3425+$I$3425*($F3447-$A$3425),IF($F3447&lt;$C$3425,$F$3425+$J$3425*($F3447-$B$3425),$G$3425+$K$3425*($F3447-$C$3425)))</f>
        <v/>
      </c>
      <c r="P3447" s="208">
        <f>MIN(1,MAX(0,(nr_MEndPm1-$G3447+0.5)/$C$3424))-MIN(1,MAX(0,(nr_MStartPm1-1-$G3447+0.5)/$C$3424))</f>
        <v/>
      </c>
      <c r="Q3447" s="208">
        <f>MIN(1,MAX(0,(nr_MEndP-$G3447+0.5)/$C$3424))-MIN(1,MAX(0,(nr_MStartP-1-$G3447+0.5)/$C$3424))</f>
        <v/>
      </c>
      <c r="R3447" s="208">
        <f>MIN(1,MAX(0,(nr_MEndP1-$G3447+0.5)/$C$3424))-MIN(1,MAX(0,(nr_MStartP1-1-$G3447+0.5)/$C$3424))</f>
        <v/>
      </c>
      <c r="S3447" s="208">
        <f>IF($L$3424,$N3447*IF($O$3424=1,$O3447/$F$3424,1),"")</f>
        <v/>
      </c>
      <c r="T3447" s="208">
        <f>IF(NOT($L$3424),"",IF($G3447&lt;nr_MStartP,$S3447,$T3435*(1+IF($G3447&lt;nr_MStartP1,$M$3424,$N$3424))))</f>
        <v/>
      </c>
      <c r="U3447" s="208">
        <f>IF($L$3424,$T3447,$N3447)</f>
        <v/>
      </c>
    </row>
    <row r="3448">
      <c r="A3448" s="145" t="n">
        <v>22</v>
      </c>
      <c r="B3448" s="204">
        <f>EDATE($B3447,1)</f>
        <v/>
      </c>
      <c r="C3448" s="205">
        <f>EOMONTH($B3448,0)</f>
        <v/>
      </c>
      <c r="D3448" s="201">
        <f>$C3448-$B3448+1</f>
        <v/>
      </c>
      <c r="E3448" s="201">
        <f>MONTH($B3448)</f>
        <v/>
      </c>
      <c r="F3448" s="235">
        <f>($B3448+$C3448+1)/2</f>
        <v/>
      </c>
      <c r="G3448" s="201">
        <f>YEAR($B3448)*12+MONTH($B3448)-1</f>
        <v/>
      </c>
      <c r="H3448" s="207">
        <f>IF(OR(nr_SeasonOn="OFF",$D$3424=0,$E$3424=0),1,12*INDEX(se_block,$D$3424,$E3448)/$E$3424)</f>
        <v/>
      </c>
      <c r="I3448" s="208">
        <f>EXP(SUMPRODUCT((rl_eff&lt;$B3448)*(rl_key=$A$3424)*rl_ln1p))</f>
        <v/>
      </c>
      <c r="J3448" s="208">
        <f>EXP(SUMPRODUCT((rl_eff&lt;=$C3448)*(rl_key=$A$3424)*rl_ln1p))</f>
        <v/>
      </c>
      <c r="K3448" s="201">
        <f>COUNTIFS(rl_key,$A$3424,rl_eff,"&gt;="&amp;$B3448,rl_eff,"&lt;="&amp;$C3448)</f>
        <v/>
      </c>
      <c r="L3448" s="201">
        <f>SUMIFS(rl_daysafter,rl_key,$A$3424,rl_effmonth,$B3448,rl_first,1)</f>
        <v/>
      </c>
      <c r="M3448" s="209">
        <f>IF($K3448=0,0,MIN(1,$L3448/$D3448))</f>
        <v/>
      </c>
      <c r="N3448" s="208">
        <f>IF($K3448=0,$J3448,(1-$M3448)*$I3448+$M3448*$J3448)</f>
        <v/>
      </c>
      <c r="O3448" s="209">
        <f>IF($F3448&lt;$B$3425,$E$3425+$I$3425*($F3448-$A$3425),IF($F3448&lt;$C$3425,$F$3425+$J$3425*($F3448-$B$3425),$G$3425+$K$3425*($F3448-$C$3425)))</f>
        <v/>
      </c>
      <c r="P3448" s="208">
        <f>MIN(1,MAX(0,(nr_MEndPm1-$G3448+0.5)/$C$3424))-MIN(1,MAX(0,(nr_MStartPm1-1-$G3448+0.5)/$C$3424))</f>
        <v/>
      </c>
      <c r="Q3448" s="208">
        <f>MIN(1,MAX(0,(nr_MEndP-$G3448+0.5)/$C$3424))-MIN(1,MAX(0,(nr_MStartP-1-$G3448+0.5)/$C$3424))</f>
        <v/>
      </c>
      <c r="R3448" s="208">
        <f>MIN(1,MAX(0,(nr_MEndP1-$G3448+0.5)/$C$3424))-MIN(1,MAX(0,(nr_MStartP1-1-$G3448+0.5)/$C$3424))</f>
        <v/>
      </c>
      <c r="S3448" s="208">
        <f>IF($L$3424,$N3448*IF($O$3424=1,$O3448/$F$3424,1),"")</f>
        <v/>
      </c>
      <c r="T3448" s="208">
        <f>IF(NOT($L$3424),"",IF($G3448&lt;nr_MStartP,$S3448,$T3436*(1+IF($G3448&lt;nr_MStartP1,$M$3424,$N$3424))))</f>
        <v/>
      </c>
      <c r="U3448" s="208">
        <f>IF($L$3424,$T3448,$N3448)</f>
        <v/>
      </c>
    </row>
    <row r="3449">
      <c r="A3449" s="145" t="n">
        <v>23</v>
      </c>
      <c r="B3449" s="204">
        <f>EDATE($B3448,1)</f>
        <v/>
      </c>
      <c r="C3449" s="205">
        <f>EOMONTH($B3449,0)</f>
        <v/>
      </c>
      <c r="D3449" s="201">
        <f>$C3449-$B3449+1</f>
        <v/>
      </c>
      <c r="E3449" s="201">
        <f>MONTH($B3449)</f>
        <v/>
      </c>
      <c r="F3449" s="235">
        <f>($B3449+$C3449+1)/2</f>
        <v/>
      </c>
      <c r="G3449" s="201">
        <f>YEAR($B3449)*12+MONTH($B3449)-1</f>
        <v/>
      </c>
      <c r="H3449" s="207">
        <f>IF(OR(nr_SeasonOn="OFF",$D$3424=0,$E$3424=0),1,12*INDEX(se_block,$D$3424,$E3449)/$E$3424)</f>
        <v/>
      </c>
      <c r="I3449" s="208">
        <f>EXP(SUMPRODUCT((rl_eff&lt;$B3449)*(rl_key=$A$3424)*rl_ln1p))</f>
        <v/>
      </c>
      <c r="J3449" s="208">
        <f>EXP(SUMPRODUCT((rl_eff&lt;=$C3449)*(rl_key=$A$3424)*rl_ln1p))</f>
        <v/>
      </c>
      <c r="K3449" s="201">
        <f>COUNTIFS(rl_key,$A$3424,rl_eff,"&gt;="&amp;$B3449,rl_eff,"&lt;="&amp;$C3449)</f>
        <v/>
      </c>
      <c r="L3449" s="201">
        <f>SUMIFS(rl_daysafter,rl_key,$A$3424,rl_effmonth,$B3449,rl_first,1)</f>
        <v/>
      </c>
      <c r="M3449" s="209">
        <f>IF($K3449=0,0,MIN(1,$L3449/$D3449))</f>
        <v/>
      </c>
      <c r="N3449" s="208">
        <f>IF($K3449=0,$J3449,(1-$M3449)*$I3449+$M3449*$J3449)</f>
        <v/>
      </c>
      <c r="O3449" s="209">
        <f>IF($F3449&lt;$B$3425,$E$3425+$I$3425*($F3449-$A$3425),IF($F3449&lt;$C$3425,$F$3425+$J$3425*($F3449-$B$3425),$G$3425+$K$3425*($F3449-$C$3425)))</f>
        <v/>
      </c>
      <c r="P3449" s="208">
        <f>MIN(1,MAX(0,(nr_MEndPm1-$G3449+0.5)/$C$3424))-MIN(1,MAX(0,(nr_MStartPm1-1-$G3449+0.5)/$C$3424))</f>
        <v/>
      </c>
      <c r="Q3449" s="208">
        <f>MIN(1,MAX(0,(nr_MEndP-$G3449+0.5)/$C$3424))-MIN(1,MAX(0,(nr_MStartP-1-$G3449+0.5)/$C$3424))</f>
        <v/>
      </c>
      <c r="R3449" s="208">
        <f>MIN(1,MAX(0,(nr_MEndP1-$G3449+0.5)/$C$3424))-MIN(1,MAX(0,(nr_MStartP1-1-$G3449+0.5)/$C$3424))</f>
        <v/>
      </c>
      <c r="S3449" s="208">
        <f>IF($L$3424,$N3449*IF($O$3424=1,$O3449/$F$3424,1),"")</f>
        <v/>
      </c>
      <c r="T3449" s="208">
        <f>IF(NOT($L$3424),"",IF($G3449&lt;nr_MStartP,$S3449,$T3437*(1+IF($G3449&lt;nr_MStartP1,$M$3424,$N$3424))))</f>
        <v/>
      </c>
      <c r="U3449" s="208">
        <f>IF($L$3424,$T3449,$N3449)</f>
        <v/>
      </c>
    </row>
    <row r="3450">
      <c r="A3450" s="145" t="n">
        <v>24</v>
      </c>
      <c r="B3450" s="204">
        <f>EDATE($B3449,1)</f>
        <v/>
      </c>
      <c r="C3450" s="205">
        <f>EOMONTH($B3450,0)</f>
        <v/>
      </c>
      <c r="D3450" s="201">
        <f>$C3450-$B3450+1</f>
        <v/>
      </c>
      <c r="E3450" s="201">
        <f>MONTH($B3450)</f>
        <v/>
      </c>
      <c r="F3450" s="235">
        <f>($B3450+$C3450+1)/2</f>
        <v/>
      </c>
      <c r="G3450" s="201">
        <f>YEAR($B3450)*12+MONTH($B3450)-1</f>
        <v/>
      </c>
      <c r="H3450" s="207">
        <f>IF(OR(nr_SeasonOn="OFF",$D$3424=0,$E$3424=0),1,12*INDEX(se_block,$D$3424,$E3450)/$E$3424)</f>
        <v/>
      </c>
      <c r="I3450" s="208">
        <f>EXP(SUMPRODUCT((rl_eff&lt;$B3450)*(rl_key=$A$3424)*rl_ln1p))</f>
        <v/>
      </c>
      <c r="J3450" s="208">
        <f>EXP(SUMPRODUCT((rl_eff&lt;=$C3450)*(rl_key=$A$3424)*rl_ln1p))</f>
        <v/>
      </c>
      <c r="K3450" s="201">
        <f>COUNTIFS(rl_key,$A$3424,rl_eff,"&gt;="&amp;$B3450,rl_eff,"&lt;="&amp;$C3450)</f>
        <v/>
      </c>
      <c r="L3450" s="201">
        <f>SUMIFS(rl_daysafter,rl_key,$A$3424,rl_effmonth,$B3450,rl_first,1)</f>
        <v/>
      </c>
      <c r="M3450" s="209">
        <f>IF($K3450=0,0,MIN(1,$L3450/$D3450))</f>
        <v/>
      </c>
      <c r="N3450" s="208">
        <f>IF($K3450=0,$J3450,(1-$M3450)*$I3450+$M3450*$J3450)</f>
        <v/>
      </c>
      <c r="O3450" s="209">
        <f>IF($F3450&lt;$B$3425,$E$3425+$I$3425*($F3450-$A$3425),IF($F3450&lt;$C$3425,$F$3425+$J$3425*($F3450-$B$3425),$G$3425+$K$3425*($F3450-$C$3425)))</f>
        <v/>
      </c>
      <c r="P3450" s="208">
        <f>MIN(1,MAX(0,(nr_MEndPm1-$G3450+0.5)/$C$3424))-MIN(1,MAX(0,(nr_MStartPm1-1-$G3450+0.5)/$C$3424))</f>
        <v/>
      </c>
      <c r="Q3450" s="208">
        <f>MIN(1,MAX(0,(nr_MEndP-$G3450+0.5)/$C$3424))-MIN(1,MAX(0,(nr_MStartP-1-$G3450+0.5)/$C$3424))</f>
        <v/>
      </c>
      <c r="R3450" s="208">
        <f>MIN(1,MAX(0,(nr_MEndP1-$G3450+0.5)/$C$3424))-MIN(1,MAX(0,(nr_MStartP1-1-$G3450+0.5)/$C$3424))</f>
        <v/>
      </c>
      <c r="S3450" s="208">
        <f>IF($L$3424,$N3450*IF($O$3424=1,$O3450/$F$3424,1),"")</f>
        <v/>
      </c>
      <c r="T3450" s="208">
        <f>IF(NOT($L$3424),"",IF($G3450&lt;nr_MStartP,$S3450,$T3438*(1+IF($G3450&lt;nr_MStartP1,$M$3424,$N$3424))))</f>
        <v/>
      </c>
      <c r="U3450" s="208">
        <f>IF($L$3424,$T3450,$N3450)</f>
        <v/>
      </c>
    </row>
    <row r="3451">
      <c r="A3451" s="145" t="n">
        <v>25</v>
      </c>
      <c r="B3451" s="204">
        <f>EDATE($B3450,1)</f>
        <v/>
      </c>
      <c r="C3451" s="205">
        <f>EOMONTH($B3451,0)</f>
        <v/>
      </c>
      <c r="D3451" s="201">
        <f>$C3451-$B3451+1</f>
        <v/>
      </c>
      <c r="E3451" s="201">
        <f>MONTH($B3451)</f>
        <v/>
      </c>
      <c r="F3451" s="235">
        <f>($B3451+$C3451+1)/2</f>
        <v/>
      </c>
      <c r="G3451" s="201">
        <f>YEAR($B3451)*12+MONTH($B3451)-1</f>
        <v/>
      </c>
      <c r="H3451" s="207">
        <f>IF(OR(nr_SeasonOn="OFF",$D$3424=0,$E$3424=0),1,12*INDEX(se_block,$D$3424,$E3451)/$E$3424)</f>
        <v/>
      </c>
      <c r="I3451" s="208">
        <f>EXP(SUMPRODUCT((rl_eff&lt;$B3451)*(rl_key=$A$3424)*rl_ln1p))</f>
        <v/>
      </c>
      <c r="J3451" s="208">
        <f>EXP(SUMPRODUCT((rl_eff&lt;=$C3451)*(rl_key=$A$3424)*rl_ln1p))</f>
        <v/>
      </c>
      <c r="K3451" s="201">
        <f>COUNTIFS(rl_key,$A$3424,rl_eff,"&gt;="&amp;$B3451,rl_eff,"&lt;="&amp;$C3451)</f>
        <v/>
      </c>
      <c r="L3451" s="201">
        <f>SUMIFS(rl_daysafter,rl_key,$A$3424,rl_effmonth,$B3451,rl_first,1)</f>
        <v/>
      </c>
      <c r="M3451" s="209">
        <f>IF($K3451=0,0,MIN(1,$L3451/$D3451))</f>
        <v/>
      </c>
      <c r="N3451" s="208">
        <f>IF($K3451=0,$J3451,(1-$M3451)*$I3451+$M3451*$J3451)</f>
        <v/>
      </c>
      <c r="O3451" s="209">
        <f>IF($F3451&lt;$B$3425,$E$3425+$I$3425*($F3451-$A$3425),IF($F3451&lt;$C$3425,$F$3425+$J$3425*($F3451-$B$3425),$G$3425+$K$3425*($F3451-$C$3425)))</f>
        <v/>
      </c>
      <c r="P3451" s="208">
        <f>MIN(1,MAX(0,(nr_MEndPm1-$G3451+0.5)/$C$3424))-MIN(1,MAX(0,(nr_MStartPm1-1-$G3451+0.5)/$C$3424))</f>
        <v/>
      </c>
      <c r="Q3451" s="208">
        <f>MIN(1,MAX(0,(nr_MEndP-$G3451+0.5)/$C$3424))-MIN(1,MAX(0,(nr_MStartP-1-$G3451+0.5)/$C$3424))</f>
        <v/>
      </c>
      <c r="R3451" s="208">
        <f>MIN(1,MAX(0,(nr_MEndP1-$G3451+0.5)/$C$3424))-MIN(1,MAX(0,(nr_MStartP1-1-$G3451+0.5)/$C$3424))</f>
        <v/>
      </c>
      <c r="S3451" s="208">
        <f>IF($L$3424,$N3451*IF($O$3424=1,$O3451/$F$3424,1),"")</f>
        <v/>
      </c>
      <c r="T3451" s="208">
        <f>IF(NOT($L$3424),"",IF($G3451&lt;nr_MStartP,$S3451,$T3439*(1+IF($G3451&lt;nr_MStartP1,$M$3424,$N$3424))))</f>
        <v/>
      </c>
      <c r="U3451" s="208">
        <f>IF($L$3424,$T3451,$N3451)</f>
        <v/>
      </c>
    </row>
    <row r="3452">
      <c r="A3452" s="145" t="n">
        <v>26</v>
      </c>
      <c r="B3452" s="204">
        <f>EDATE($B3451,1)</f>
        <v/>
      </c>
      <c r="C3452" s="205">
        <f>EOMONTH($B3452,0)</f>
        <v/>
      </c>
      <c r="D3452" s="201">
        <f>$C3452-$B3452+1</f>
        <v/>
      </c>
      <c r="E3452" s="201">
        <f>MONTH($B3452)</f>
        <v/>
      </c>
      <c r="F3452" s="235">
        <f>($B3452+$C3452+1)/2</f>
        <v/>
      </c>
      <c r="G3452" s="201">
        <f>YEAR($B3452)*12+MONTH($B3452)-1</f>
        <v/>
      </c>
      <c r="H3452" s="207">
        <f>IF(OR(nr_SeasonOn="OFF",$D$3424=0,$E$3424=0),1,12*INDEX(se_block,$D$3424,$E3452)/$E$3424)</f>
        <v/>
      </c>
      <c r="I3452" s="208">
        <f>EXP(SUMPRODUCT((rl_eff&lt;$B3452)*(rl_key=$A$3424)*rl_ln1p))</f>
        <v/>
      </c>
      <c r="J3452" s="208">
        <f>EXP(SUMPRODUCT((rl_eff&lt;=$C3452)*(rl_key=$A$3424)*rl_ln1p))</f>
        <v/>
      </c>
      <c r="K3452" s="201">
        <f>COUNTIFS(rl_key,$A$3424,rl_eff,"&gt;="&amp;$B3452,rl_eff,"&lt;="&amp;$C3452)</f>
        <v/>
      </c>
      <c r="L3452" s="201">
        <f>SUMIFS(rl_daysafter,rl_key,$A$3424,rl_effmonth,$B3452,rl_first,1)</f>
        <v/>
      </c>
      <c r="M3452" s="209">
        <f>IF($K3452=0,0,MIN(1,$L3452/$D3452))</f>
        <v/>
      </c>
      <c r="N3452" s="208">
        <f>IF($K3452=0,$J3452,(1-$M3452)*$I3452+$M3452*$J3452)</f>
        <v/>
      </c>
      <c r="O3452" s="209">
        <f>IF($F3452&lt;$B$3425,$E$3425+$I$3425*($F3452-$A$3425),IF($F3452&lt;$C$3425,$F$3425+$J$3425*($F3452-$B$3425),$G$3425+$K$3425*($F3452-$C$3425)))</f>
        <v/>
      </c>
      <c r="P3452" s="208">
        <f>MIN(1,MAX(0,(nr_MEndPm1-$G3452+0.5)/$C$3424))-MIN(1,MAX(0,(nr_MStartPm1-1-$G3452+0.5)/$C$3424))</f>
        <v/>
      </c>
      <c r="Q3452" s="208">
        <f>MIN(1,MAX(0,(nr_MEndP-$G3452+0.5)/$C$3424))-MIN(1,MAX(0,(nr_MStartP-1-$G3452+0.5)/$C$3424))</f>
        <v/>
      </c>
      <c r="R3452" s="208">
        <f>MIN(1,MAX(0,(nr_MEndP1-$G3452+0.5)/$C$3424))-MIN(1,MAX(0,(nr_MStartP1-1-$G3452+0.5)/$C$3424))</f>
        <v/>
      </c>
      <c r="S3452" s="208">
        <f>IF($L$3424,$N3452*IF($O$3424=1,$O3452/$F$3424,1),"")</f>
        <v/>
      </c>
      <c r="T3452" s="208">
        <f>IF(NOT($L$3424),"",IF($G3452&lt;nr_MStartP,$S3452,$T3440*(1+IF($G3452&lt;nr_MStartP1,$M$3424,$N$3424))))</f>
        <v/>
      </c>
      <c r="U3452" s="208">
        <f>IF($L$3424,$T3452,$N3452)</f>
        <v/>
      </c>
    </row>
    <row r="3453">
      <c r="A3453" s="145" t="n">
        <v>27</v>
      </c>
      <c r="B3453" s="204">
        <f>EDATE($B3452,1)</f>
        <v/>
      </c>
      <c r="C3453" s="205">
        <f>EOMONTH($B3453,0)</f>
        <v/>
      </c>
      <c r="D3453" s="201">
        <f>$C3453-$B3453+1</f>
        <v/>
      </c>
      <c r="E3453" s="201">
        <f>MONTH($B3453)</f>
        <v/>
      </c>
      <c r="F3453" s="235">
        <f>($B3453+$C3453+1)/2</f>
        <v/>
      </c>
      <c r="G3453" s="201">
        <f>YEAR($B3453)*12+MONTH($B3453)-1</f>
        <v/>
      </c>
      <c r="H3453" s="207">
        <f>IF(OR(nr_SeasonOn="OFF",$D$3424=0,$E$3424=0),1,12*INDEX(se_block,$D$3424,$E3453)/$E$3424)</f>
        <v/>
      </c>
      <c r="I3453" s="208">
        <f>EXP(SUMPRODUCT((rl_eff&lt;$B3453)*(rl_key=$A$3424)*rl_ln1p))</f>
        <v/>
      </c>
      <c r="J3453" s="208">
        <f>EXP(SUMPRODUCT((rl_eff&lt;=$C3453)*(rl_key=$A$3424)*rl_ln1p))</f>
        <v/>
      </c>
      <c r="K3453" s="201">
        <f>COUNTIFS(rl_key,$A$3424,rl_eff,"&gt;="&amp;$B3453,rl_eff,"&lt;="&amp;$C3453)</f>
        <v/>
      </c>
      <c r="L3453" s="201">
        <f>SUMIFS(rl_daysafter,rl_key,$A$3424,rl_effmonth,$B3453,rl_first,1)</f>
        <v/>
      </c>
      <c r="M3453" s="209">
        <f>IF($K3453=0,0,MIN(1,$L3453/$D3453))</f>
        <v/>
      </c>
      <c r="N3453" s="208">
        <f>IF($K3453=0,$J3453,(1-$M3453)*$I3453+$M3453*$J3453)</f>
        <v/>
      </c>
      <c r="O3453" s="209">
        <f>IF($F3453&lt;$B$3425,$E$3425+$I$3425*($F3453-$A$3425),IF($F3453&lt;$C$3425,$F$3425+$J$3425*($F3453-$B$3425),$G$3425+$K$3425*($F3453-$C$3425)))</f>
        <v/>
      </c>
      <c r="P3453" s="208">
        <f>MIN(1,MAX(0,(nr_MEndPm1-$G3453+0.5)/$C$3424))-MIN(1,MAX(0,(nr_MStartPm1-1-$G3453+0.5)/$C$3424))</f>
        <v/>
      </c>
      <c r="Q3453" s="208">
        <f>MIN(1,MAX(0,(nr_MEndP-$G3453+0.5)/$C$3424))-MIN(1,MAX(0,(nr_MStartP-1-$G3453+0.5)/$C$3424))</f>
        <v/>
      </c>
      <c r="R3453" s="208">
        <f>MIN(1,MAX(0,(nr_MEndP1-$G3453+0.5)/$C$3424))-MIN(1,MAX(0,(nr_MStartP1-1-$G3453+0.5)/$C$3424))</f>
        <v/>
      </c>
      <c r="S3453" s="208">
        <f>IF($L$3424,$N3453*IF($O$3424=1,$O3453/$F$3424,1),"")</f>
        <v/>
      </c>
      <c r="T3453" s="208">
        <f>IF(NOT($L$3424),"",IF($G3453&lt;nr_MStartP,$S3453,$T3441*(1+IF($G3453&lt;nr_MStartP1,$M$3424,$N$3424))))</f>
        <v/>
      </c>
      <c r="U3453" s="208">
        <f>IF($L$3424,$T3453,$N3453)</f>
        <v/>
      </c>
    </row>
    <row r="3454">
      <c r="A3454" s="145" t="n">
        <v>28</v>
      </c>
      <c r="B3454" s="204">
        <f>EDATE($B3453,1)</f>
        <v/>
      </c>
      <c r="C3454" s="205">
        <f>EOMONTH($B3454,0)</f>
        <v/>
      </c>
      <c r="D3454" s="201">
        <f>$C3454-$B3454+1</f>
        <v/>
      </c>
      <c r="E3454" s="201">
        <f>MONTH($B3454)</f>
        <v/>
      </c>
      <c r="F3454" s="235">
        <f>($B3454+$C3454+1)/2</f>
        <v/>
      </c>
      <c r="G3454" s="201">
        <f>YEAR($B3454)*12+MONTH($B3454)-1</f>
        <v/>
      </c>
      <c r="H3454" s="207">
        <f>IF(OR(nr_SeasonOn="OFF",$D$3424=0,$E$3424=0),1,12*INDEX(se_block,$D$3424,$E3454)/$E$3424)</f>
        <v/>
      </c>
      <c r="I3454" s="208">
        <f>EXP(SUMPRODUCT((rl_eff&lt;$B3454)*(rl_key=$A$3424)*rl_ln1p))</f>
        <v/>
      </c>
      <c r="J3454" s="208">
        <f>EXP(SUMPRODUCT((rl_eff&lt;=$C3454)*(rl_key=$A$3424)*rl_ln1p))</f>
        <v/>
      </c>
      <c r="K3454" s="201">
        <f>COUNTIFS(rl_key,$A$3424,rl_eff,"&gt;="&amp;$B3454,rl_eff,"&lt;="&amp;$C3454)</f>
        <v/>
      </c>
      <c r="L3454" s="201">
        <f>SUMIFS(rl_daysafter,rl_key,$A$3424,rl_effmonth,$B3454,rl_first,1)</f>
        <v/>
      </c>
      <c r="M3454" s="209">
        <f>IF($K3454=0,0,MIN(1,$L3454/$D3454))</f>
        <v/>
      </c>
      <c r="N3454" s="208">
        <f>IF($K3454=0,$J3454,(1-$M3454)*$I3454+$M3454*$J3454)</f>
        <v/>
      </c>
      <c r="O3454" s="209">
        <f>IF($F3454&lt;$B$3425,$E$3425+$I$3425*($F3454-$A$3425),IF($F3454&lt;$C$3425,$F$3425+$J$3425*($F3454-$B$3425),$G$3425+$K$3425*($F3454-$C$3425)))</f>
        <v/>
      </c>
      <c r="P3454" s="208">
        <f>MIN(1,MAX(0,(nr_MEndPm1-$G3454+0.5)/$C$3424))-MIN(1,MAX(0,(nr_MStartPm1-1-$G3454+0.5)/$C$3424))</f>
        <v/>
      </c>
      <c r="Q3454" s="208">
        <f>MIN(1,MAX(0,(nr_MEndP-$G3454+0.5)/$C$3424))-MIN(1,MAX(0,(nr_MStartP-1-$G3454+0.5)/$C$3424))</f>
        <v/>
      </c>
      <c r="R3454" s="208">
        <f>MIN(1,MAX(0,(nr_MEndP1-$G3454+0.5)/$C$3424))-MIN(1,MAX(0,(nr_MStartP1-1-$G3454+0.5)/$C$3424))</f>
        <v/>
      </c>
      <c r="S3454" s="208">
        <f>IF($L$3424,$N3454*IF($O$3424=1,$O3454/$F$3424,1),"")</f>
        <v/>
      </c>
      <c r="T3454" s="208">
        <f>IF(NOT($L$3424),"",IF($G3454&lt;nr_MStartP,$S3454,$T3442*(1+IF($G3454&lt;nr_MStartP1,$M$3424,$N$3424))))</f>
        <v/>
      </c>
      <c r="U3454" s="208">
        <f>IF($L$3424,$T3454,$N3454)</f>
        <v/>
      </c>
    </row>
    <row r="3455">
      <c r="A3455" s="145" t="n">
        <v>29</v>
      </c>
      <c r="B3455" s="204">
        <f>EDATE($B3454,1)</f>
        <v/>
      </c>
      <c r="C3455" s="205">
        <f>EOMONTH($B3455,0)</f>
        <v/>
      </c>
      <c r="D3455" s="201">
        <f>$C3455-$B3455+1</f>
        <v/>
      </c>
      <c r="E3455" s="201">
        <f>MONTH($B3455)</f>
        <v/>
      </c>
      <c r="F3455" s="235">
        <f>($B3455+$C3455+1)/2</f>
        <v/>
      </c>
      <c r="G3455" s="201">
        <f>YEAR($B3455)*12+MONTH($B3455)-1</f>
        <v/>
      </c>
      <c r="H3455" s="207">
        <f>IF(OR(nr_SeasonOn="OFF",$D$3424=0,$E$3424=0),1,12*INDEX(se_block,$D$3424,$E3455)/$E$3424)</f>
        <v/>
      </c>
      <c r="I3455" s="208">
        <f>EXP(SUMPRODUCT((rl_eff&lt;$B3455)*(rl_key=$A$3424)*rl_ln1p))</f>
        <v/>
      </c>
      <c r="J3455" s="208">
        <f>EXP(SUMPRODUCT((rl_eff&lt;=$C3455)*(rl_key=$A$3424)*rl_ln1p))</f>
        <v/>
      </c>
      <c r="K3455" s="201">
        <f>COUNTIFS(rl_key,$A$3424,rl_eff,"&gt;="&amp;$B3455,rl_eff,"&lt;="&amp;$C3455)</f>
        <v/>
      </c>
      <c r="L3455" s="201">
        <f>SUMIFS(rl_daysafter,rl_key,$A$3424,rl_effmonth,$B3455,rl_first,1)</f>
        <v/>
      </c>
      <c r="M3455" s="209">
        <f>IF($K3455=0,0,MIN(1,$L3455/$D3455))</f>
        <v/>
      </c>
      <c r="N3455" s="208">
        <f>IF($K3455=0,$J3455,(1-$M3455)*$I3455+$M3455*$J3455)</f>
        <v/>
      </c>
      <c r="O3455" s="209">
        <f>IF($F3455&lt;$B$3425,$E$3425+$I$3425*($F3455-$A$3425),IF($F3455&lt;$C$3425,$F$3425+$J$3425*($F3455-$B$3425),$G$3425+$K$3425*($F3455-$C$3425)))</f>
        <v/>
      </c>
      <c r="P3455" s="208">
        <f>MIN(1,MAX(0,(nr_MEndPm1-$G3455+0.5)/$C$3424))-MIN(1,MAX(0,(nr_MStartPm1-1-$G3455+0.5)/$C$3424))</f>
        <v/>
      </c>
      <c r="Q3455" s="208">
        <f>MIN(1,MAX(0,(nr_MEndP-$G3455+0.5)/$C$3424))-MIN(1,MAX(0,(nr_MStartP-1-$G3455+0.5)/$C$3424))</f>
        <v/>
      </c>
      <c r="R3455" s="208">
        <f>MIN(1,MAX(0,(nr_MEndP1-$G3455+0.5)/$C$3424))-MIN(1,MAX(0,(nr_MStartP1-1-$G3455+0.5)/$C$3424))</f>
        <v/>
      </c>
      <c r="S3455" s="208">
        <f>IF($L$3424,$N3455*IF($O$3424=1,$O3455/$F$3424,1),"")</f>
        <v/>
      </c>
      <c r="T3455" s="208">
        <f>IF(NOT($L$3424),"",IF($G3455&lt;nr_MStartP,$S3455,$T3443*(1+IF($G3455&lt;nr_MStartP1,$M$3424,$N$3424))))</f>
        <v/>
      </c>
      <c r="U3455" s="208">
        <f>IF($L$3424,$T3455,$N3455)</f>
        <v/>
      </c>
    </row>
    <row r="3456">
      <c r="A3456" s="145" t="n">
        <v>30</v>
      </c>
      <c r="B3456" s="204">
        <f>EDATE($B3455,1)</f>
        <v/>
      </c>
      <c r="C3456" s="205">
        <f>EOMONTH($B3456,0)</f>
        <v/>
      </c>
      <c r="D3456" s="201">
        <f>$C3456-$B3456+1</f>
        <v/>
      </c>
      <c r="E3456" s="201">
        <f>MONTH($B3456)</f>
        <v/>
      </c>
      <c r="F3456" s="235">
        <f>($B3456+$C3456+1)/2</f>
        <v/>
      </c>
      <c r="G3456" s="201">
        <f>YEAR($B3456)*12+MONTH($B3456)-1</f>
        <v/>
      </c>
      <c r="H3456" s="207">
        <f>IF(OR(nr_SeasonOn="OFF",$D$3424=0,$E$3424=0),1,12*INDEX(se_block,$D$3424,$E3456)/$E$3424)</f>
        <v/>
      </c>
      <c r="I3456" s="208">
        <f>EXP(SUMPRODUCT((rl_eff&lt;$B3456)*(rl_key=$A$3424)*rl_ln1p))</f>
        <v/>
      </c>
      <c r="J3456" s="208">
        <f>EXP(SUMPRODUCT((rl_eff&lt;=$C3456)*(rl_key=$A$3424)*rl_ln1p))</f>
        <v/>
      </c>
      <c r="K3456" s="201">
        <f>COUNTIFS(rl_key,$A$3424,rl_eff,"&gt;="&amp;$B3456,rl_eff,"&lt;="&amp;$C3456)</f>
        <v/>
      </c>
      <c r="L3456" s="201">
        <f>SUMIFS(rl_daysafter,rl_key,$A$3424,rl_effmonth,$B3456,rl_first,1)</f>
        <v/>
      </c>
      <c r="M3456" s="209">
        <f>IF($K3456=0,0,MIN(1,$L3456/$D3456))</f>
        <v/>
      </c>
      <c r="N3456" s="208">
        <f>IF($K3456=0,$J3456,(1-$M3456)*$I3456+$M3456*$J3456)</f>
        <v/>
      </c>
      <c r="O3456" s="209">
        <f>IF($F3456&lt;$B$3425,$E$3425+$I$3425*($F3456-$A$3425),IF($F3456&lt;$C$3425,$F$3425+$J$3425*($F3456-$B$3425),$G$3425+$K$3425*($F3456-$C$3425)))</f>
        <v/>
      </c>
      <c r="P3456" s="208">
        <f>MIN(1,MAX(0,(nr_MEndPm1-$G3456+0.5)/$C$3424))-MIN(1,MAX(0,(nr_MStartPm1-1-$G3456+0.5)/$C$3424))</f>
        <v/>
      </c>
      <c r="Q3456" s="208">
        <f>MIN(1,MAX(0,(nr_MEndP-$G3456+0.5)/$C$3424))-MIN(1,MAX(0,(nr_MStartP-1-$G3456+0.5)/$C$3424))</f>
        <v/>
      </c>
      <c r="R3456" s="208">
        <f>MIN(1,MAX(0,(nr_MEndP1-$G3456+0.5)/$C$3424))-MIN(1,MAX(0,(nr_MStartP1-1-$G3456+0.5)/$C$3424))</f>
        <v/>
      </c>
      <c r="S3456" s="208">
        <f>IF($L$3424,$N3456*IF($O$3424=1,$O3456/$F$3424,1),"")</f>
        <v/>
      </c>
      <c r="T3456" s="208">
        <f>IF(NOT($L$3424),"",IF($G3456&lt;nr_MStartP,$S3456,$T3444*(1+IF($G3456&lt;nr_MStartP1,$M$3424,$N$3424))))</f>
        <v/>
      </c>
      <c r="U3456" s="208">
        <f>IF($L$3424,$T3456,$N3456)</f>
        <v/>
      </c>
    </row>
    <row r="3457">
      <c r="A3457" s="145" t="n">
        <v>31</v>
      </c>
      <c r="B3457" s="204">
        <f>EDATE($B3456,1)</f>
        <v/>
      </c>
      <c r="C3457" s="205">
        <f>EOMONTH($B3457,0)</f>
        <v/>
      </c>
      <c r="D3457" s="201">
        <f>$C3457-$B3457+1</f>
        <v/>
      </c>
      <c r="E3457" s="201">
        <f>MONTH($B3457)</f>
        <v/>
      </c>
      <c r="F3457" s="235">
        <f>($B3457+$C3457+1)/2</f>
        <v/>
      </c>
      <c r="G3457" s="201">
        <f>YEAR($B3457)*12+MONTH($B3457)-1</f>
        <v/>
      </c>
      <c r="H3457" s="207">
        <f>IF(OR(nr_SeasonOn="OFF",$D$3424=0,$E$3424=0),1,12*INDEX(se_block,$D$3424,$E3457)/$E$3424)</f>
        <v/>
      </c>
      <c r="I3457" s="208">
        <f>EXP(SUMPRODUCT((rl_eff&lt;$B3457)*(rl_key=$A$3424)*rl_ln1p))</f>
        <v/>
      </c>
      <c r="J3457" s="208">
        <f>EXP(SUMPRODUCT((rl_eff&lt;=$C3457)*(rl_key=$A$3424)*rl_ln1p))</f>
        <v/>
      </c>
      <c r="K3457" s="201">
        <f>COUNTIFS(rl_key,$A$3424,rl_eff,"&gt;="&amp;$B3457,rl_eff,"&lt;="&amp;$C3457)</f>
        <v/>
      </c>
      <c r="L3457" s="201">
        <f>SUMIFS(rl_daysafter,rl_key,$A$3424,rl_effmonth,$B3457,rl_first,1)</f>
        <v/>
      </c>
      <c r="M3457" s="209">
        <f>IF($K3457=0,0,MIN(1,$L3457/$D3457))</f>
        <v/>
      </c>
      <c r="N3457" s="208">
        <f>IF($K3457=0,$J3457,(1-$M3457)*$I3457+$M3457*$J3457)</f>
        <v/>
      </c>
      <c r="O3457" s="209">
        <f>IF($F3457&lt;$B$3425,$E$3425+$I$3425*($F3457-$A$3425),IF($F3457&lt;$C$3425,$F$3425+$J$3425*($F3457-$B$3425),$G$3425+$K$3425*($F3457-$C$3425)))</f>
        <v/>
      </c>
      <c r="P3457" s="208">
        <f>MIN(1,MAX(0,(nr_MEndPm1-$G3457+0.5)/$C$3424))-MIN(1,MAX(0,(nr_MStartPm1-1-$G3457+0.5)/$C$3424))</f>
        <v/>
      </c>
      <c r="Q3457" s="208">
        <f>MIN(1,MAX(0,(nr_MEndP-$G3457+0.5)/$C$3424))-MIN(1,MAX(0,(nr_MStartP-1-$G3457+0.5)/$C$3424))</f>
        <v/>
      </c>
      <c r="R3457" s="208">
        <f>MIN(1,MAX(0,(nr_MEndP1-$G3457+0.5)/$C$3424))-MIN(1,MAX(0,(nr_MStartP1-1-$G3457+0.5)/$C$3424))</f>
        <v/>
      </c>
      <c r="S3457" s="208">
        <f>IF($L$3424,$N3457*IF($O$3424=1,$O3457/$F$3424,1),"")</f>
        <v/>
      </c>
      <c r="T3457" s="208">
        <f>IF(NOT($L$3424),"",IF($G3457&lt;nr_MStartP,$S3457,$T3445*(1+IF($G3457&lt;nr_MStartP1,$M$3424,$N$3424))))</f>
        <v/>
      </c>
      <c r="U3457" s="208">
        <f>IF($L$3424,$T3457,$N3457)</f>
        <v/>
      </c>
    </row>
    <row r="3458">
      <c r="A3458" s="145" t="n">
        <v>32</v>
      </c>
      <c r="B3458" s="204">
        <f>EDATE($B3457,1)</f>
        <v/>
      </c>
      <c r="C3458" s="205">
        <f>EOMONTH($B3458,0)</f>
        <v/>
      </c>
      <c r="D3458" s="201">
        <f>$C3458-$B3458+1</f>
        <v/>
      </c>
      <c r="E3458" s="201">
        <f>MONTH($B3458)</f>
        <v/>
      </c>
      <c r="F3458" s="235">
        <f>($B3458+$C3458+1)/2</f>
        <v/>
      </c>
      <c r="G3458" s="201">
        <f>YEAR($B3458)*12+MONTH($B3458)-1</f>
        <v/>
      </c>
      <c r="H3458" s="207">
        <f>IF(OR(nr_SeasonOn="OFF",$D$3424=0,$E$3424=0),1,12*INDEX(se_block,$D$3424,$E3458)/$E$3424)</f>
        <v/>
      </c>
      <c r="I3458" s="208">
        <f>EXP(SUMPRODUCT((rl_eff&lt;$B3458)*(rl_key=$A$3424)*rl_ln1p))</f>
        <v/>
      </c>
      <c r="J3458" s="208">
        <f>EXP(SUMPRODUCT((rl_eff&lt;=$C3458)*(rl_key=$A$3424)*rl_ln1p))</f>
        <v/>
      </c>
      <c r="K3458" s="201">
        <f>COUNTIFS(rl_key,$A$3424,rl_eff,"&gt;="&amp;$B3458,rl_eff,"&lt;="&amp;$C3458)</f>
        <v/>
      </c>
      <c r="L3458" s="201">
        <f>SUMIFS(rl_daysafter,rl_key,$A$3424,rl_effmonth,$B3458,rl_first,1)</f>
        <v/>
      </c>
      <c r="M3458" s="209">
        <f>IF($K3458=0,0,MIN(1,$L3458/$D3458))</f>
        <v/>
      </c>
      <c r="N3458" s="208">
        <f>IF($K3458=0,$J3458,(1-$M3458)*$I3458+$M3458*$J3458)</f>
        <v/>
      </c>
      <c r="O3458" s="209">
        <f>IF($F3458&lt;$B$3425,$E$3425+$I$3425*($F3458-$A$3425),IF($F3458&lt;$C$3425,$F$3425+$J$3425*($F3458-$B$3425),$G$3425+$K$3425*($F3458-$C$3425)))</f>
        <v/>
      </c>
      <c r="P3458" s="208">
        <f>MIN(1,MAX(0,(nr_MEndPm1-$G3458+0.5)/$C$3424))-MIN(1,MAX(0,(nr_MStartPm1-1-$G3458+0.5)/$C$3424))</f>
        <v/>
      </c>
      <c r="Q3458" s="208">
        <f>MIN(1,MAX(0,(nr_MEndP-$G3458+0.5)/$C$3424))-MIN(1,MAX(0,(nr_MStartP-1-$G3458+0.5)/$C$3424))</f>
        <v/>
      </c>
      <c r="R3458" s="208">
        <f>MIN(1,MAX(0,(nr_MEndP1-$G3458+0.5)/$C$3424))-MIN(1,MAX(0,(nr_MStartP1-1-$G3458+0.5)/$C$3424))</f>
        <v/>
      </c>
      <c r="S3458" s="208">
        <f>IF($L$3424,$N3458*IF($O$3424=1,$O3458/$F$3424,1),"")</f>
        <v/>
      </c>
      <c r="T3458" s="208">
        <f>IF(NOT($L$3424),"",IF($G3458&lt;nr_MStartP,$S3458,$T3446*(1+IF($G3458&lt;nr_MStartP1,$M$3424,$N$3424))))</f>
        <v/>
      </c>
      <c r="U3458" s="208">
        <f>IF($L$3424,$T3458,$N3458)</f>
        <v/>
      </c>
    </row>
    <row r="3459">
      <c r="A3459" s="145" t="n">
        <v>33</v>
      </c>
      <c r="B3459" s="204">
        <f>EDATE($B3458,1)</f>
        <v/>
      </c>
      <c r="C3459" s="205">
        <f>EOMONTH($B3459,0)</f>
        <v/>
      </c>
      <c r="D3459" s="201">
        <f>$C3459-$B3459+1</f>
        <v/>
      </c>
      <c r="E3459" s="201">
        <f>MONTH($B3459)</f>
        <v/>
      </c>
      <c r="F3459" s="235">
        <f>($B3459+$C3459+1)/2</f>
        <v/>
      </c>
      <c r="G3459" s="201">
        <f>YEAR($B3459)*12+MONTH($B3459)-1</f>
        <v/>
      </c>
      <c r="H3459" s="207">
        <f>IF(OR(nr_SeasonOn="OFF",$D$3424=0,$E$3424=0),1,12*INDEX(se_block,$D$3424,$E3459)/$E$3424)</f>
        <v/>
      </c>
      <c r="I3459" s="208">
        <f>EXP(SUMPRODUCT((rl_eff&lt;$B3459)*(rl_key=$A$3424)*rl_ln1p))</f>
        <v/>
      </c>
      <c r="J3459" s="208">
        <f>EXP(SUMPRODUCT((rl_eff&lt;=$C3459)*(rl_key=$A$3424)*rl_ln1p))</f>
        <v/>
      </c>
      <c r="K3459" s="201">
        <f>COUNTIFS(rl_key,$A$3424,rl_eff,"&gt;="&amp;$B3459,rl_eff,"&lt;="&amp;$C3459)</f>
        <v/>
      </c>
      <c r="L3459" s="201">
        <f>SUMIFS(rl_daysafter,rl_key,$A$3424,rl_effmonth,$B3459,rl_first,1)</f>
        <v/>
      </c>
      <c r="M3459" s="209">
        <f>IF($K3459=0,0,MIN(1,$L3459/$D3459))</f>
        <v/>
      </c>
      <c r="N3459" s="208">
        <f>IF($K3459=0,$J3459,(1-$M3459)*$I3459+$M3459*$J3459)</f>
        <v/>
      </c>
      <c r="O3459" s="209">
        <f>IF($F3459&lt;$B$3425,$E$3425+$I$3425*($F3459-$A$3425),IF($F3459&lt;$C$3425,$F$3425+$J$3425*($F3459-$B$3425),$G$3425+$K$3425*($F3459-$C$3425)))</f>
        <v/>
      </c>
      <c r="P3459" s="208">
        <f>MIN(1,MAX(0,(nr_MEndPm1-$G3459+0.5)/$C$3424))-MIN(1,MAX(0,(nr_MStartPm1-1-$G3459+0.5)/$C$3424))</f>
        <v/>
      </c>
      <c r="Q3459" s="208">
        <f>MIN(1,MAX(0,(nr_MEndP-$G3459+0.5)/$C$3424))-MIN(1,MAX(0,(nr_MStartP-1-$G3459+0.5)/$C$3424))</f>
        <v/>
      </c>
      <c r="R3459" s="208">
        <f>MIN(1,MAX(0,(nr_MEndP1-$G3459+0.5)/$C$3424))-MIN(1,MAX(0,(nr_MStartP1-1-$G3459+0.5)/$C$3424))</f>
        <v/>
      </c>
      <c r="S3459" s="208">
        <f>IF($L$3424,$N3459*IF($O$3424=1,$O3459/$F$3424,1),"")</f>
        <v/>
      </c>
      <c r="T3459" s="208">
        <f>IF(NOT($L$3424),"",IF($G3459&lt;nr_MStartP,$S3459,$T3447*(1+IF($G3459&lt;nr_MStartP1,$M$3424,$N$3424))))</f>
        <v/>
      </c>
      <c r="U3459" s="208">
        <f>IF($L$3424,$T3459,$N3459)</f>
        <v/>
      </c>
    </row>
    <row r="3460">
      <c r="A3460" s="145" t="n">
        <v>34</v>
      </c>
      <c r="B3460" s="204">
        <f>EDATE($B3459,1)</f>
        <v/>
      </c>
      <c r="C3460" s="205">
        <f>EOMONTH($B3460,0)</f>
        <v/>
      </c>
      <c r="D3460" s="201">
        <f>$C3460-$B3460+1</f>
        <v/>
      </c>
      <c r="E3460" s="201">
        <f>MONTH($B3460)</f>
        <v/>
      </c>
      <c r="F3460" s="235">
        <f>($B3460+$C3460+1)/2</f>
        <v/>
      </c>
      <c r="G3460" s="201">
        <f>YEAR($B3460)*12+MONTH($B3460)-1</f>
        <v/>
      </c>
      <c r="H3460" s="207">
        <f>IF(OR(nr_SeasonOn="OFF",$D$3424=0,$E$3424=0),1,12*INDEX(se_block,$D$3424,$E3460)/$E$3424)</f>
        <v/>
      </c>
      <c r="I3460" s="208">
        <f>EXP(SUMPRODUCT((rl_eff&lt;$B3460)*(rl_key=$A$3424)*rl_ln1p))</f>
        <v/>
      </c>
      <c r="J3460" s="208">
        <f>EXP(SUMPRODUCT((rl_eff&lt;=$C3460)*(rl_key=$A$3424)*rl_ln1p))</f>
        <v/>
      </c>
      <c r="K3460" s="201">
        <f>COUNTIFS(rl_key,$A$3424,rl_eff,"&gt;="&amp;$B3460,rl_eff,"&lt;="&amp;$C3460)</f>
        <v/>
      </c>
      <c r="L3460" s="201">
        <f>SUMIFS(rl_daysafter,rl_key,$A$3424,rl_effmonth,$B3460,rl_first,1)</f>
        <v/>
      </c>
      <c r="M3460" s="209">
        <f>IF($K3460=0,0,MIN(1,$L3460/$D3460))</f>
        <v/>
      </c>
      <c r="N3460" s="208">
        <f>IF($K3460=0,$J3460,(1-$M3460)*$I3460+$M3460*$J3460)</f>
        <v/>
      </c>
      <c r="O3460" s="209">
        <f>IF($F3460&lt;$B$3425,$E$3425+$I$3425*($F3460-$A$3425),IF($F3460&lt;$C$3425,$F$3425+$J$3425*($F3460-$B$3425),$G$3425+$K$3425*($F3460-$C$3425)))</f>
        <v/>
      </c>
      <c r="P3460" s="208">
        <f>MIN(1,MAX(0,(nr_MEndPm1-$G3460+0.5)/$C$3424))-MIN(1,MAX(0,(nr_MStartPm1-1-$G3460+0.5)/$C$3424))</f>
        <v/>
      </c>
      <c r="Q3460" s="208">
        <f>MIN(1,MAX(0,(nr_MEndP-$G3460+0.5)/$C$3424))-MIN(1,MAX(0,(nr_MStartP-1-$G3460+0.5)/$C$3424))</f>
        <v/>
      </c>
      <c r="R3460" s="208">
        <f>MIN(1,MAX(0,(nr_MEndP1-$G3460+0.5)/$C$3424))-MIN(1,MAX(0,(nr_MStartP1-1-$G3460+0.5)/$C$3424))</f>
        <v/>
      </c>
      <c r="S3460" s="208">
        <f>IF($L$3424,$N3460*IF($O$3424=1,$O3460/$F$3424,1),"")</f>
        <v/>
      </c>
      <c r="T3460" s="208">
        <f>IF(NOT($L$3424),"",IF($G3460&lt;nr_MStartP,$S3460,$T3448*(1+IF($G3460&lt;nr_MStartP1,$M$3424,$N$3424))))</f>
        <v/>
      </c>
      <c r="U3460" s="208">
        <f>IF($L$3424,$T3460,$N3460)</f>
        <v/>
      </c>
    </row>
    <row r="3461">
      <c r="A3461" s="145" t="n">
        <v>35</v>
      </c>
      <c r="B3461" s="204">
        <f>EDATE($B3460,1)</f>
        <v/>
      </c>
      <c r="C3461" s="205">
        <f>EOMONTH($B3461,0)</f>
        <v/>
      </c>
      <c r="D3461" s="201">
        <f>$C3461-$B3461+1</f>
        <v/>
      </c>
      <c r="E3461" s="201">
        <f>MONTH($B3461)</f>
        <v/>
      </c>
      <c r="F3461" s="235">
        <f>($B3461+$C3461+1)/2</f>
        <v/>
      </c>
      <c r="G3461" s="201">
        <f>YEAR($B3461)*12+MONTH($B3461)-1</f>
        <v/>
      </c>
      <c r="H3461" s="207">
        <f>IF(OR(nr_SeasonOn="OFF",$D$3424=0,$E$3424=0),1,12*INDEX(se_block,$D$3424,$E3461)/$E$3424)</f>
        <v/>
      </c>
      <c r="I3461" s="208">
        <f>EXP(SUMPRODUCT((rl_eff&lt;$B3461)*(rl_key=$A$3424)*rl_ln1p))</f>
        <v/>
      </c>
      <c r="J3461" s="208">
        <f>EXP(SUMPRODUCT((rl_eff&lt;=$C3461)*(rl_key=$A$3424)*rl_ln1p))</f>
        <v/>
      </c>
      <c r="K3461" s="201">
        <f>COUNTIFS(rl_key,$A$3424,rl_eff,"&gt;="&amp;$B3461,rl_eff,"&lt;="&amp;$C3461)</f>
        <v/>
      </c>
      <c r="L3461" s="201">
        <f>SUMIFS(rl_daysafter,rl_key,$A$3424,rl_effmonth,$B3461,rl_first,1)</f>
        <v/>
      </c>
      <c r="M3461" s="209">
        <f>IF($K3461=0,0,MIN(1,$L3461/$D3461))</f>
        <v/>
      </c>
      <c r="N3461" s="208">
        <f>IF($K3461=0,$J3461,(1-$M3461)*$I3461+$M3461*$J3461)</f>
        <v/>
      </c>
      <c r="O3461" s="209">
        <f>IF($F3461&lt;$B$3425,$E$3425+$I$3425*($F3461-$A$3425),IF($F3461&lt;$C$3425,$F$3425+$J$3425*($F3461-$B$3425),$G$3425+$K$3425*($F3461-$C$3425)))</f>
        <v/>
      </c>
      <c r="P3461" s="208">
        <f>MIN(1,MAX(0,(nr_MEndPm1-$G3461+0.5)/$C$3424))-MIN(1,MAX(0,(nr_MStartPm1-1-$G3461+0.5)/$C$3424))</f>
        <v/>
      </c>
      <c r="Q3461" s="208">
        <f>MIN(1,MAX(0,(nr_MEndP-$G3461+0.5)/$C$3424))-MIN(1,MAX(0,(nr_MStartP-1-$G3461+0.5)/$C$3424))</f>
        <v/>
      </c>
      <c r="R3461" s="208">
        <f>MIN(1,MAX(0,(nr_MEndP1-$G3461+0.5)/$C$3424))-MIN(1,MAX(0,(nr_MStartP1-1-$G3461+0.5)/$C$3424))</f>
        <v/>
      </c>
      <c r="S3461" s="208">
        <f>IF($L$3424,$N3461*IF($O$3424=1,$O3461/$F$3424,1),"")</f>
        <v/>
      </c>
      <c r="T3461" s="208">
        <f>IF(NOT($L$3424),"",IF($G3461&lt;nr_MStartP,$S3461,$T3449*(1+IF($G3461&lt;nr_MStartP1,$M$3424,$N$3424))))</f>
        <v/>
      </c>
      <c r="U3461" s="208">
        <f>IF($L$3424,$T3461,$N3461)</f>
        <v/>
      </c>
    </row>
    <row r="3462">
      <c r="A3462" s="145" t="n">
        <v>36</v>
      </c>
      <c r="B3462" s="204">
        <f>EDATE($B3461,1)</f>
        <v/>
      </c>
      <c r="C3462" s="205">
        <f>EOMONTH($B3462,0)</f>
        <v/>
      </c>
      <c r="D3462" s="201">
        <f>$C3462-$B3462+1</f>
        <v/>
      </c>
      <c r="E3462" s="201">
        <f>MONTH($B3462)</f>
        <v/>
      </c>
      <c r="F3462" s="235">
        <f>($B3462+$C3462+1)/2</f>
        <v/>
      </c>
      <c r="G3462" s="201">
        <f>YEAR($B3462)*12+MONTH($B3462)-1</f>
        <v/>
      </c>
      <c r="H3462" s="207">
        <f>IF(OR(nr_SeasonOn="OFF",$D$3424=0,$E$3424=0),1,12*INDEX(se_block,$D$3424,$E3462)/$E$3424)</f>
        <v/>
      </c>
      <c r="I3462" s="208">
        <f>EXP(SUMPRODUCT((rl_eff&lt;$B3462)*(rl_key=$A$3424)*rl_ln1p))</f>
        <v/>
      </c>
      <c r="J3462" s="208">
        <f>EXP(SUMPRODUCT((rl_eff&lt;=$C3462)*(rl_key=$A$3424)*rl_ln1p))</f>
        <v/>
      </c>
      <c r="K3462" s="201">
        <f>COUNTIFS(rl_key,$A$3424,rl_eff,"&gt;="&amp;$B3462,rl_eff,"&lt;="&amp;$C3462)</f>
        <v/>
      </c>
      <c r="L3462" s="201">
        <f>SUMIFS(rl_daysafter,rl_key,$A$3424,rl_effmonth,$B3462,rl_first,1)</f>
        <v/>
      </c>
      <c r="M3462" s="209">
        <f>IF($K3462=0,0,MIN(1,$L3462/$D3462))</f>
        <v/>
      </c>
      <c r="N3462" s="208">
        <f>IF($K3462=0,$J3462,(1-$M3462)*$I3462+$M3462*$J3462)</f>
        <v/>
      </c>
      <c r="O3462" s="209">
        <f>IF($F3462&lt;$B$3425,$E$3425+$I$3425*($F3462-$A$3425),IF($F3462&lt;$C$3425,$F$3425+$J$3425*($F3462-$B$3425),$G$3425+$K$3425*($F3462-$C$3425)))</f>
        <v/>
      </c>
      <c r="P3462" s="208">
        <f>MIN(1,MAX(0,(nr_MEndPm1-$G3462+0.5)/$C$3424))-MIN(1,MAX(0,(nr_MStartPm1-1-$G3462+0.5)/$C$3424))</f>
        <v/>
      </c>
      <c r="Q3462" s="208">
        <f>MIN(1,MAX(0,(nr_MEndP-$G3462+0.5)/$C$3424))-MIN(1,MAX(0,(nr_MStartP-1-$G3462+0.5)/$C$3424))</f>
        <v/>
      </c>
      <c r="R3462" s="208">
        <f>MIN(1,MAX(0,(nr_MEndP1-$G3462+0.5)/$C$3424))-MIN(1,MAX(0,(nr_MStartP1-1-$G3462+0.5)/$C$3424))</f>
        <v/>
      </c>
      <c r="S3462" s="208">
        <f>IF($L$3424,$N3462*IF($O$3424=1,$O3462/$F$3424,1),"")</f>
        <v/>
      </c>
      <c r="T3462" s="208">
        <f>IF(NOT($L$3424),"",IF($G3462&lt;nr_MStartP,$S3462,$T3450*(1+IF($G3462&lt;nr_MStartP1,$M$3424,$N$3424))))</f>
        <v/>
      </c>
      <c r="U3462" s="208">
        <f>IF($L$3424,$T3462,$N3462)</f>
        <v/>
      </c>
    </row>
    <row r="3463">
      <c r="A3463" s="145" t="n">
        <v>37</v>
      </c>
      <c r="B3463" s="204">
        <f>EDATE($B3462,1)</f>
        <v/>
      </c>
      <c r="C3463" s="205">
        <f>EOMONTH($B3463,0)</f>
        <v/>
      </c>
      <c r="D3463" s="201">
        <f>$C3463-$B3463+1</f>
        <v/>
      </c>
      <c r="E3463" s="201">
        <f>MONTH($B3463)</f>
        <v/>
      </c>
      <c r="F3463" s="235">
        <f>($B3463+$C3463+1)/2</f>
        <v/>
      </c>
      <c r="G3463" s="201">
        <f>YEAR($B3463)*12+MONTH($B3463)-1</f>
        <v/>
      </c>
      <c r="H3463" s="207">
        <f>IF(OR(nr_SeasonOn="OFF",$D$3424=0,$E$3424=0),1,12*INDEX(se_block,$D$3424,$E3463)/$E$3424)</f>
        <v/>
      </c>
      <c r="I3463" s="208">
        <f>EXP(SUMPRODUCT((rl_eff&lt;$B3463)*(rl_key=$A$3424)*rl_ln1p))</f>
        <v/>
      </c>
      <c r="J3463" s="208">
        <f>EXP(SUMPRODUCT((rl_eff&lt;=$C3463)*(rl_key=$A$3424)*rl_ln1p))</f>
        <v/>
      </c>
      <c r="K3463" s="201">
        <f>COUNTIFS(rl_key,$A$3424,rl_eff,"&gt;="&amp;$B3463,rl_eff,"&lt;="&amp;$C3463)</f>
        <v/>
      </c>
      <c r="L3463" s="201">
        <f>SUMIFS(rl_daysafter,rl_key,$A$3424,rl_effmonth,$B3463,rl_first,1)</f>
        <v/>
      </c>
      <c r="M3463" s="209">
        <f>IF($K3463=0,0,MIN(1,$L3463/$D3463))</f>
        <v/>
      </c>
      <c r="N3463" s="208">
        <f>IF($K3463=0,$J3463,(1-$M3463)*$I3463+$M3463*$J3463)</f>
        <v/>
      </c>
      <c r="O3463" s="209">
        <f>IF($F3463&lt;$B$3425,$E$3425+$I$3425*($F3463-$A$3425),IF($F3463&lt;$C$3425,$F$3425+$J$3425*($F3463-$B$3425),$G$3425+$K$3425*($F3463-$C$3425)))</f>
        <v/>
      </c>
      <c r="P3463" s="208">
        <f>MIN(1,MAX(0,(nr_MEndPm1-$G3463+0.5)/$C$3424))-MIN(1,MAX(0,(nr_MStartPm1-1-$G3463+0.5)/$C$3424))</f>
        <v/>
      </c>
      <c r="Q3463" s="208">
        <f>MIN(1,MAX(0,(nr_MEndP-$G3463+0.5)/$C$3424))-MIN(1,MAX(0,(nr_MStartP-1-$G3463+0.5)/$C$3424))</f>
        <v/>
      </c>
      <c r="R3463" s="208">
        <f>MIN(1,MAX(0,(nr_MEndP1-$G3463+0.5)/$C$3424))-MIN(1,MAX(0,(nr_MStartP1-1-$G3463+0.5)/$C$3424))</f>
        <v/>
      </c>
      <c r="S3463" s="208">
        <f>IF($L$3424,$N3463*IF($O$3424=1,$O3463/$F$3424,1),"")</f>
        <v/>
      </c>
      <c r="T3463" s="208">
        <f>IF(NOT($L$3424),"",IF($G3463&lt;nr_MStartP,$S3463,$T3451*(1+IF($G3463&lt;nr_MStartP1,$M$3424,$N$3424))))</f>
        <v/>
      </c>
      <c r="U3463" s="208">
        <f>IF($L$3424,$T3463,$N3463)</f>
        <v/>
      </c>
    </row>
    <row r="3464">
      <c r="A3464" s="145" t="n">
        <v>38</v>
      </c>
      <c r="B3464" s="204">
        <f>EDATE($B3463,1)</f>
        <v/>
      </c>
      <c r="C3464" s="205">
        <f>EOMONTH($B3464,0)</f>
        <v/>
      </c>
      <c r="D3464" s="201">
        <f>$C3464-$B3464+1</f>
        <v/>
      </c>
      <c r="E3464" s="201">
        <f>MONTH($B3464)</f>
        <v/>
      </c>
      <c r="F3464" s="235">
        <f>($B3464+$C3464+1)/2</f>
        <v/>
      </c>
      <c r="G3464" s="201">
        <f>YEAR($B3464)*12+MONTH($B3464)-1</f>
        <v/>
      </c>
      <c r="H3464" s="207">
        <f>IF(OR(nr_SeasonOn="OFF",$D$3424=0,$E$3424=0),1,12*INDEX(se_block,$D$3424,$E3464)/$E$3424)</f>
        <v/>
      </c>
      <c r="I3464" s="208">
        <f>EXP(SUMPRODUCT((rl_eff&lt;$B3464)*(rl_key=$A$3424)*rl_ln1p))</f>
        <v/>
      </c>
      <c r="J3464" s="208">
        <f>EXP(SUMPRODUCT((rl_eff&lt;=$C3464)*(rl_key=$A$3424)*rl_ln1p))</f>
        <v/>
      </c>
      <c r="K3464" s="201">
        <f>COUNTIFS(rl_key,$A$3424,rl_eff,"&gt;="&amp;$B3464,rl_eff,"&lt;="&amp;$C3464)</f>
        <v/>
      </c>
      <c r="L3464" s="201">
        <f>SUMIFS(rl_daysafter,rl_key,$A$3424,rl_effmonth,$B3464,rl_first,1)</f>
        <v/>
      </c>
      <c r="M3464" s="209">
        <f>IF($K3464=0,0,MIN(1,$L3464/$D3464))</f>
        <v/>
      </c>
      <c r="N3464" s="208">
        <f>IF($K3464=0,$J3464,(1-$M3464)*$I3464+$M3464*$J3464)</f>
        <v/>
      </c>
      <c r="O3464" s="209">
        <f>IF($F3464&lt;$B$3425,$E$3425+$I$3425*($F3464-$A$3425),IF($F3464&lt;$C$3425,$F$3425+$J$3425*($F3464-$B$3425),$G$3425+$K$3425*($F3464-$C$3425)))</f>
        <v/>
      </c>
      <c r="P3464" s="208">
        <f>MIN(1,MAX(0,(nr_MEndPm1-$G3464+0.5)/$C$3424))-MIN(1,MAX(0,(nr_MStartPm1-1-$G3464+0.5)/$C$3424))</f>
        <v/>
      </c>
      <c r="Q3464" s="208">
        <f>MIN(1,MAX(0,(nr_MEndP-$G3464+0.5)/$C$3424))-MIN(1,MAX(0,(nr_MStartP-1-$G3464+0.5)/$C$3424))</f>
        <v/>
      </c>
      <c r="R3464" s="208">
        <f>MIN(1,MAX(0,(nr_MEndP1-$G3464+0.5)/$C$3424))-MIN(1,MAX(0,(nr_MStartP1-1-$G3464+0.5)/$C$3424))</f>
        <v/>
      </c>
      <c r="S3464" s="208">
        <f>IF($L$3424,$N3464*IF($O$3424=1,$O3464/$F$3424,1),"")</f>
        <v/>
      </c>
      <c r="T3464" s="208">
        <f>IF(NOT($L$3424),"",IF($G3464&lt;nr_MStartP,$S3464,$T3452*(1+IF($G3464&lt;nr_MStartP1,$M$3424,$N$3424))))</f>
        <v/>
      </c>
      <c r="U3464" s="208">
        <f>IF($L$3424,$T3464,$N3464)</f>
        <v/>
      </c>
    </row>
    <row r="3465">
      <c r="A3465" s="145" t="n">
        <v>39</v>
      </c>
      <c r="B3465" s="204">
        <f>EDATE($B3464,1)</f>
        <v/>
      </c>
      <c r="C3465" s="205">
        <f>EOMONTH($B3465,0)</f>
        <v/>
      </c>
      <c r="D3465" s="201">
        <f>$C3465-$B3465+1</f>
        <v/>
      </c>
      <c r="E3465" s="201">
        <f>MONTH($B3465)</f>
        <v/>
      </c>
      <c r="F3465" s="235">
        <f>($B3465+$C3465+1)/2</f>
        <v/>
      </c>
      <c r="G3465" s="201">
        <f>YEAR($B3465)*12+MONTH($B3465)-1</f>
        <v/>
      </c>
      <c r="H3465" s="207">
        <f>IF(OR(nr_SeasonOn="OFF",$D$3424=0,$E$3424=0),1,12*INDEX(se_block,$D$3424,$E3465)/$E$3424)</f>
        <v/>
      </c>
      <c r="I3465" s="208">
        <f>EXP(SUMPRODUCT((rl_eff&lt;$B3465)*(rl_key=$A$3424)*rl_ln1p))</f>
        <v/>
      </c>
      <c r="J3465" s="208">
        <f>EXP(SUMPRODUCT((rl_eff&lt;=$C3465)*(rl_key=$A$3424)*rl_ln1p))</f>
        <v/>
      </c>
      <c r="K3465" s="201">
        <f>COUNTIFS(rl_key,$A$3424,rl_eff,"&gt;="&amp;$B3465,rl_eff,"&lt;="&amp;$C3465)</f>
        <v/>
      </c>
      <c r="L3465" s="201">
        <f>SUMIFS(rl_daysafter,rl_key,$A$3424,rl_effmonth,$B3465,rl_first,1)</f>
        <v/>
      </c>
      <c r="M3465" s="209">
        <f>IF($K3465=0,0,MIN(1,$L3465/$D3465))</f>
        <v/>
      </c>
      <c r="N3465" s="208">
        <f>IF($K3465=0,$J3465,(1-$M3465)*$I3465+$M3465*$J3465)</f>
        <v/>
      </c>
      <c r="O3465" s="209">
        <f>IF($F3465&lt;$B$3425,$E$3425+$I$3425*($F3465-$A$3425),IF($F3465&lt;$C$3425,$F$3425+$J$3425*($F3465-$B$3425),$G$3425+$K$3425*($F3465-$C$3425)))</f>
        <v/>
      </c>
      <c r="P3465" s="208">
        <f>MIN(1,MAX(0,(nr_MEndPm1-$G3465+0.5)/$C$3424))-MIN(1,MAX(0,(nr_MStartPm1-1-$G3465+0.5)/$C$3424))</f>
        <v/>
      </c>
      <c r="Q3465" s="208">
        <f>MIN(1,MAX(0,(nr_MEndP-$G3465+0.5)/$C$3424))-MIN(1,MAX(0,(nr_MStartP-1-$G3465+0.5)/$C$3424))</f>
        <v/>
      </c>
      <c r="R3465" s="208">
        <f>MIN(1,MAX(0,(nr_MEndP1-$G3465+0.5)/$C$3424))-MIN(1,MAX(0,(nr_MStartP1-1-$G3465+0.5)/$C$3424))</f>
        <v/>
      </c>
      <c r="S3465" s="208">
        <f>IF($L$3424,$N3465*IF($O$3424=1,$O3465/$F$3424,1),"")</f>
        <v/>
      </c>
      <c r="T3465" s="208">
        <f>IF(NOT($L$3424),"",IF($G3465&lt;nr_MStartP,$S3465,$T3453*(1+IF($G3465&lt;nr_MStartP1,$M$3424,$N$3424))))</f>
        <v/>
      </c>
      <c r="U3465" s="208">
        <f>IF($L$3424,$T3465,$N3465)</f>
        <v/>
      </c>
    </row>
    <row r="3466">
      <c r="A3466" s="145" t="n">
        <v>40</v>
      </c>
      <c r="B3466" s="204">
        <f>EDATE($B3465,1)</f>
        <v/>
      </c>
      <c r="C3466" s="205">
        <f>EOMONTH($B3466,0)</f>
        <v/>
      </c>
      <c r="D3466" s="201">
        <f>$C3466-$B3466+1</f>
        <v/>
      </c>
      <c r="E3466" s="201">
        <f>MONTH($B3466)</f>
        <v/>
      </c>
      <c r="F3466" s="235">
        <f>($B3466+$C3466+1)/2</f>
        <v/>
      </c>
      <c r="G3466" s="201">
        <f>YEAR($B3466)*12+MONTH($B3466)-1</f>
        <v/>
      </c>
      <c r="H3466" s="207">
        <f>IF(OR(nr_SeasonOn="OFF",$D$3424=0,$E$3424=0),1,12*INDEX(se_block,$D$3424,$E3466)/$E$3424)</f>
        <v/>
      </c>
      <c r="I3466" s="208">
        <f>EXP(SUMPRODUCT((rl_eff&lt;$B3466)*(rl_key=$A$3424)*rl_ln1p))</f>
        <v/>
      </c>
      <c r="J3466" s="208">
        <f>EXP(SUMPRODUCT((rl_eff&lt;=$C3466)*(rl_key=$A$3424)*rl_ln1p))</f>
        <v/>
      </c>
      <c r="K3466" s="201">
        <f>COUNTIFS(rl_key,$A$3424,rl_eff,"&gt;="&amp;$B3466,rl_eff,"&lt;="&amp;$C3466)</f>
        <v/>
      </c>
      <c r="L3466" s="201">
        <f>SUMIFS(rl_daysafter,rl_key,$A$3424,rl_effmonth,$B3466,rl_first,1)</f>
        <v/>
      </c>
      <c r="M3466" s="209">
        <f>IF($K3466=0,0,MIN(1,$L3466/$D3466))</f>
        <v/>
      </c>
      <c r="N3466" s="208">
        <f>IF($K3466=0,$J3466,(1-$M3466)*$I3466+$M3466*$J3466)</f>
        <v/>
      </c>
      <c r="O3466" s="209">
        <f>IF($F3466&lt;$B$3425,$E$3425+$I$3425*($F3466-$A$3425),IF($F3466&lt;$C$3425,$F$3425+$J$3425*($F3466-$B$3425),$G$3425+$K$3425*($F3466-$C$3425)))</f>
        <v/>
      </c>
      <c r="P3466" s="208">
        <f>MIN(1,MAX(0,(nr_MEndPm1-$G3466+0.5)/$C$3424))-MIN(1,MAX(0,(nr_MStartPm1-1-$G3466+0.5)/$C$3424))</f>
        <v/>
      </c>
      <c r="Q3466" s="208">
        <f>MIN(1,MAX(0,(nr_MEndP-$G3466+0.5)/$C$3424))-MIN(1,MAX(0,(nr_MStartP-1-$G3466+0.5)/$C$3424))</f>
        <v/>
      </c>
      <c r="R3466" s="208">
        <f>MIN(1,MAX(0,(nr_MEndP1-$G3466+0.5)/$C$3424))-MIN(1,MAX(0,(nr_MStartP1-1-$G3466+0.5)/$C$3424))</f>
        <v/>
      </c>
      <c r="S3466" s="208">
        <f>IF($L$3424,$N3466*IF($O$3424=1,$O3466/$F$3424,1),"")</f>
        <v/>
      </c>
      <c r="T3466" s="208">
        <f>IF(NOT($L$3424),"",IF($G3466&lt;nr_MStartP,$S3466,$T3454*(1+IF($G3466&lt;nr_MStartP1,$M$3424,$N$3424))))</f>
        <v/>
      </c>
      <c r="U3466" s="208">
        <f>IF($L$3424,$T3466,$N3466)</f>
        <v/>
      </c>
    </row>
    <row r="3467">
      <c r="A3467" s="145" t="n">
        <v>41</v>
      </c>
      <c r="B3467" s="204">
        <f>EDATE($B3466,1)</f>
        <v/>
      </c>
      <c r="C3467" s="205">
        <f>EOMONTH($B3467,0)</f>
        <v/>
      </c>
      <c r="D3467" s="201">
        <f>$C3467-$B3467+1</f>
        <v/>
      </c>
      <c r="E3467" s="201">
        <f>MONTH($B3467)</f>
        <v/>
      </c>
      <c r="F3467" s="235">
        <f>($B3467+$C3467+1)/2</f>
        <v/>
      </c>
      <c r="G3467" s="201">
        <f>YEAR($B3467)*12+MONTH($B3467)-1</f>
        <v/>
      </c>
      <c r="H3467" s="207">
        <f>IF(OR(nr_SeasonOn="OFF",$D$3424=0,$E$3424=0),1,12*INDEX(se_block,$D$3424,$E3467)/$E$3424)</f>
        <v/>
      </c>
      <c r="I3467" s="208">
        <f>EXP(SUMPRODUCT((rl_eff&lt;$B3467)*(rl_key=$A$3424)*rl_ln1p))</f>
        <v/>
      </c>
      <c r="J3467" s="208">
        <f>EXP(SUMPRODUCT((rl_eff&lt;=$C3467)*(rl_key=$A$3424)*rl_ln1p))</f>
        <v/>
      </c>
      <c r="K3467" s="201">
        <f>COUNTIFS(rl_key,$A$3424,rl_eff,"&gt;="&amp;$B3467,rl_eff,"&lt;="&amp;$C3467)</f>
        <v/>
      </c>
      <c r="L3467" s="201">
        <f>SUMIFS(rl_daysafter,rl_key,$A$3424,rl_effmonth,$B3467,rl_first,1)</f>
        <v/>
      </c>
      <c r="M3467" s="209">
        <f>IF($K3467=0,0,MIN(1,$L3467/$D3467))</f>
        <v/>
      </c>
      <c r="N3467" s="208">
        <f>IF($K3467=0,$J3467,(1-$M3467)*$I3467+$M3467*$J3467)</f>
        <v/>
      </c>
      <c r="O3467" s="209">
        <f>IF($F3467&lt;$B$3425,$E$3425+$I$3425*($F3467-$A$3425),IF($F3467&lt;$C$3425,$F$3425+$J$3425*($F3467-$B$3425),$G$3425+$K$3425*($F3467-$C$3425)))</f>
        <v/>
      </c>
      <c r="P3467" s="208">
        <f>MIN(1,MAX(0,(nr_MEndPm1-$G3467+0.5)/$C$3424))-MIN(1,MAX(0,(nr_MStartPm1-1-$G3467+0.5)/$C$3424))</f>
        <v/>
      </c>
      <c r="Q3467" s="208">
        <f>MIN(1,MAX(0,(nr_MEndP-$G3467+0.5)/$C$3424))-MIN(1,MAX(0,(nr_MStartP-1-$G3467+0.5)/$C$3424))</f>
        <v/>
      </c>
      <c r="R3467" s="208">
        <f>MIN(1,MAX(0,(nr_MEndP1-$G3467+0.5)/$C$3424))-MIN(1,MAX(0,(nr_MStartP1-1-$G3467+0.5)/$C$3424))</f>
        <v/>
      </c>
      <c r="S3467" s="208">
        <f>IF($L$3424,$N3467*IF($O$3424=1,$O3467/$F$3424,1),"")</f>
        <v/>
      </c>
      <c r="T3467" s="208">
        <f>IF(NOT($L$3424),"",IF($G3467&lt;nr_MStartP,$S3467,$T3455*(1+IF($G3467&lt;nr_MStartP1,$M$3424,$N$3424))))</f>
        <v/>
      </c>
      <c r="U3467" s="208">
        <f>IF($L$3424,$T3467,$N3467)</f>
        <v/>
      </c>
    </row>
    <row r="3468">
      <c r="A3468" s="145" t="n">
        <v>42</v>
      </c>
      <c r="B3468" s="204">
        <f>EDATE($B3467,1)</f>
        <v/>
      </c>
      <c r="C3468" s="205">
        <f>EOMONTH($B3468,0)</f>
        <v/>
      </c>
      <c r="D3468" s="201">
        <f>$C3468-$B3468+1</f>
        <v/>
      </c>
      <c r="E3468" s="201">
        <f>MONTH($B3468)</f>
        <v/>
      </c>
      <c r="F3468" s="235">
        <f>($B3468+$C3468+1)/2</f>
        <v/>
      </c>
      <c r="G3468" s="201">
        <f>YEAR($B3468)*12+MONTH($B3468)-1</f>
        <v/>
      </c>
      <c r="H3468" s="207">
        <f>IF(OR(nr_SeasonOn="OFF",$D$3424=0,$E$3424=0),1,12*INDEX(se_block,$D$3424,$E3468)/$E$3424)</f>
        <v/>
      </c>
      <c r="I3468" s="208">
        <f>EXP(SUMPRODUCT((rl_eff&lt;$B3468)*(rl_key=$A$3424)*rl_ln1p))</f>
        <v/>
      </c>
      <c r="J3468" s="208">
        <f>EXP(SUMPRODUCT((rl_eff&lt;=$C3468)*(rl_key=$A$3424)*rl_ln1p))</f>
        <v/>
      </c>
      <c r="K3468" s="201">
        <f>COUNTIFS(rl_key,$A$3424,rl_eff,"&gt;="&amp;$B3468,rl_eff,"&lt;="&amp;$C3468)</f>
        <v/>
      </c>
      <c r="L3468" s="201">
        <f>SUMIFS(rl_daysafter,rl_key,$A$3424,rl_effmonth,$B3468,rl_first,1)</f>
        <v/>
      </c>
      <c r="M3468" s="209">
        <f>IF($K3468=0,0,MIN(1,$L3468/$D3468))</f>
        <v/>
      </c>
      <c r="N3468" s="208">
        <f>IF($K3468=0,$J3468,(1-$M3468)*$I3468+$M3468*$J3468)</f>
        <v/>
      </c>
      <c r="O3468" s="209">
        <f>IF($F3468&lt;$B$3425,$E$3425+$I$3425*($F3468-$A$3425),IF($F3468&lt;$C$3425,$F$3425+$J$3425*($F3468-$B$3425),$G$3425+$K$3425*($F3468-$C$3425)))</f>
        <v/>
      </c>
      <c r="P3468" s="208">
        <f>MIN(1,MAX(0,(nr_MEndPm1-$G3468+0.5)/$C$3424))-MIN(1,MAX(0,(nr_MStartPm1-1-$G3468+0.5)/$C$3424))</f>
        <v/>
      </c>
      <c r="Q3468" s="208">
        <f>MIN(1,MAX(0,(nr_MEndP-$G3468+0.5)/$C$3424))-MIN(1,MAX(0,(nr_MStartP-1-$G3468+0.5)/$C$3424))</f>
        <v/>
      </c>
      <c r="R3468" s="208">
        <f>MIN(1,MAX(0,(nr_MEndP1-$G3468+0.5)/$C$3424))-MIN(1,MAX(0,(nr_MStartP1-1-$G3468+0.5)/$C$3424))</f>
        <v/>
      </c>
      <c r="S3468" s="208">
        <f>IF($L$3424,$N3468*IF($O$3424=1,$O3468/$F$3424,1),"")</f>
        <v/>
      </c>
      <c r="T3468" s="208">
        <f>IF(NOT($L$3424),"",IF($G3468&lt;nr_MStartP,$S3468,$T3456*(1+IF($G3468&lt;nr_MStartP1,$M$3424,$N$3424))))</f>
        <v/>
      </c>
      <c r="U3468" s="208">
        <f>IF($L$3424,$T3468,$N3468)</f>
        <v/>
      </c>
    </row>
    <row r="3469">
      <c r="A3469" s="145" t="n">
        <v>43</v>
      </c>
      <c r="B3469" s="204">
        <f>EDATE($B3468,1)</f>
        <v/>
      </c>
      <c r="C3469" s="205">
        <f>EOMONTH($B3469,0)</f>
        <v/>
      </c>
      <c r="D3469" s="201">
        <f>$C3469-$B3469+1</f>
        <v/>
      </c>
      <c r="E3469" s="201">
        <f>MONTH($B3469)</f>
        <v/>
      </c>
      <c r="F3469" s="235">
        <f>($B3469+$C3469+1)/2</f>
        <v/>
      </c>
      <c r="G3469" s="201">
        <f>YEAR($B3469)*12+MONTH($B3469)-1</f>
        <v/>
      </c>
      <c r="H3469" s="207">
        <f>IF(OR(nr_SeasonOn="OFF",$D$3424=0,$E$3424=0),1,12*INDEX(se_block,$D$3424,$E3469)/$E$3424)</f>
        <v/>
      </c>
      <c r="I3469" s="208">
        <f>EXP(SUMPRODUCT((rl_eff&lt;$B3469)*(rl_key=$A$3424)*rl_ln1p))</f>
        <v/>
      </c>
      <c r="J3469" s="208">
        <f>EXP(SUMPRODUCT((rl_eff&lt;=$C3469)*(rl_key=$A$3424)*rl_ln1p))</f>
        <v/>
      </c>
      <c r="K3469" s="201">
        <f>COUNTIFS(rl_key,$A$3424,rl_eff,"&gt;="&amp;$B3469,rl_eff,"&lt;="&amp;$C3469)</f>
        <v/>
      </c>
      <c r="L3469" s="201">
        <f>SUMIFS(rl_daysafter,rl_key,$A$3424,rl_effmonth,$B3469,rl_first,1)</f>
        <v/>
      </c>
      <c r="M3469" s="209">
        <f>IF($K3469=0,0,MIN(1,$L3469/$D3469))</f>
        <v/>
      </c>
      <c r="N3469" s="208">
        <f>IF($K3469=0,$J3469,(1-$M3469)*$I3469+$M3469*$J3469)</f>
        <v/>
      </c>
      <c r="O3469" s="209">
        <f>IF($F3469&lt;$B$3425,$E$3425+$I$3425*($F3469-$A$3425),IF($F3469&lt;$C$3425,$F$3425+$J$3425*($F3469-$B$3425),$G$3425+$K$3425*($F3469-$C$3425)))</f>
        <v/>
      </c>
      <c r="P3469" s="208">
        <f>MIN(1,MAX(0,(nr_MEndPm1-$G3469+0.5)/$C$3424))-MIN(1,MAX(0,(nr_MStartPm1-1-$G3469+0.5)/$C$3424))</f>
        <v/>
      </c>
      <c r="Q3469" s="208">
        <f>MIN(1,MAX(0,(nr_MEndP-$G3469+0.5)/$C$3424))-MIN(1,MAX(0,(nr_MStartP-1-$G3469+0.5)/$C$3424))</f>
        <v/>
      </c>
      <c r="R3469" s="208">
        <f>MIN(1,MAX(0,(nr_MEndP1-$G3469+0.5)/$C$3424))-MIN(1,MAX(0,(nr_MStartP1-1-$G3469+0.5)/$C$3424))</f>
        <v/>
      </c>
      <c r="S3469" s="208">
        <f>IF($L$3424,$N3469*IF($O$3424=1,$O3469/$F$3424,1),"")</f>
        <v/>
      </c>
      <c r="T3469" s="208">
        <f>IF(NOT($L$3424),"",IF($G3469&lt;nr_MStartP,$S3469,$T3457*(1+IF($G3469&lt;nr_MStartP1,$M$3424,$N$3424))))</f>
        <v/>
      </c>
      <c r="U3469" s="208">
        <f>IF($L$3424,$T3469,$N3469)</f>
        <v/>
      </c>
    </row>
    <row r="3470">
      <c r="A3470" s="145" t="n">
        <v>44</v>
      </c>
      <c r="B3470" s="204">
        <f>EDATE($B3469,1)</f>
        <v/>
      </c>
      <c r="C3470" s="205">
        <f>EOMONTH($B3470,0)</f>
        <v/>
      </c>
      <c r="D3470" s="201">
        <f>$C3470-$B3470+1</f>
        <v/>
      </c>
      <c r="E3470" s="201">
        <f>MONTH($B3470)</f>
        <v/>
      </c>
      <c r="F3470" s="235">
        <f>($B3470+$C3470+1)/2</f>
        <v/>
      </c>
      <c r="G3470" s="201">
        <f>YEAR($B3470)*12+MONTH($B3470)-1</f>
        <v/>
      </c>
      <c r="H3470" s="207">
        <f>IF(OR(nr_SeasonOn="OFF",$D$3424=0,$E$3424=0),1,12*INDEX(se_block,$D$3424,$E3470)/$E$3424)</f>
        <v/>
      </c>
      <c r="I3470" s="208">
        <f>EXP(SUMPRODUCT((rl_eff&lt;$B3470)*(rl_key=$A$3424)*rl_ln1p))</f>
        <v/>
      </c>
      <c r="J3470" s="208">
        <f>EXP(SUMPRODUCT((rl_eff&lt;=$C3470)*(rl_key=$A$3424)*rl_ln1p))</f>
        <v/>
      </c>
      <c r="K3470" s="201">
        <f>COUNTIFS(rl_key,$A$3424,rl_eff,"&gt;="&amp;$B3470,rl_eff,"&lt;="&amp;$C3470)</f>
        <v/>
      </c>
      <c r="L3470" s="201">
        <f>SUMIFS(rl_daysafter,rl_key,$A$3424,rl_effmonth,$B3470,rl_first,1)</f>
        <v/>
      </c>
      <c r="M3470" s="209">
        <f>IF($K3470=0,0,MIN(1,$L3470/$D3470))</f>
        <v/>
      </c>
      <c r="N3470" s="208">
        <f>IF($K3470=0,$J3470,(1-$M3470)*$I3470+$M3470*$J3470)</f>
        <v/>
      </c>
      <c r="O3470" s="209">
        <f>IF($F3470&lt;$B$3425,$E$3425+$I$3425*($F3470-$A$3425),IF($F3470&lt;$C$3425,$F$3425+$J$3425*($F3470-$B$3425),$G$3425+$K$3425*($F3470-$C$3425)))</f>
        <v/>
      </c>
      <c r="P3470" s="208">
        <f>MIN(1,MAX(0,(nr_MEndPm1-$G3470+0.5)/$C$3424))-MIN(1,MAX(0,(nr_MStartPm1-1-$G3470+0.5)/$C$3424))</f>
        <v/>
      </c>
      <c r="Q3470" s="208">
        <f>MIN(1,MAX(0,(nr_MEndP-$G3470+0.5)/$C$3424))-MIN(1,MAX(0,(nr_MStartP-1-$G3470+0.5)/$C$3424))</f>
        <v/>
      </c>
      <c r="R3470" s="208">
        <f>MIN(1,MAX(0,(nr_MEndP1-$G3470+0.5)/$C$3424))-MIN(1,MAX(0,(nr_MStartP1-1-$G3470+0.5)/$C$3424))</f>
        <v/>
      </c>
      <c r="S3470" s="208">
        <f>IF($L$3424,$N3470*IF($O$3424=1,$O3470/$F$3424,1),"")</f>
        <v/>
      </c>
      <c r="T3470" s="208">
        <f>IF(NOT($L$3424),"",IF($G3470&lt;nr_MStartP,$S3470,$T3458*(1+IF($G3470&lt;nr_MStartP1,$M$3424,$N$3424))))</f>
        <v/>
      </c>
      <c r="U3470" s="208">
        <f>IF($L$3424,$T3470,$N3470)</f>
        <v/>
      </c>
    </row>
    <row r="3471">
      <c r="A3471" s="145" t="n">
        <v>45</v>
      </c>
      <c r="B3471" s="204">
        <f>EDATE($B3470,1)</f>
        <v/>
      </c>
      <c r="C3471" s="205">
        <f>EOMONTH($B3471,0)</f>
        <v/>
      </c>
      <c r="D3471" s="201">
        <f>$C3471-$B3471+1</f>
        <v/>
      </c>
      <c r="E3471" s="201">
        <f>MONTH($B3471)</f>
        <v/>
      </c>
      <c r="F3471" s="235">
        <f>($B3471+$C3471+1)/2</f>
        <v/>
      </c>
      <c r="G3471" s="201">
        <f>YEAR($B3471)*12+MONTH($B3471)-1</f>
        <v/>
      </c>
      <c r="H3471" s="207">
        <f>IF(OR(nr_SeasonOn="OFF",$D$3424=0,$E$3424=0),1,12*INDEX(se_block,$D$3424,$E3471)/$E$3424)</f>
        <v/>
      </c>
      <c r="I3471" s="208">
        <f>EXP(SUMPRODUCT((rl_eff&lt;$B3471)*(rl_key=$A$3424)*rl_ln1p))</f>
        <v/>
      </c>
      <c r="J3471" s="208">
        <f>EXP(SUMPRODUCT((rl_eff&lt;=$C3471)*(rl_key=$A$3424)*rl_ln1p))</f>
        <v/>
      </c>
      <c r="K3471" s="201">
        <f>COUNTIFS(rl_key,$A$3424,rl_eff,"&gt;="&amp;$B3471,rl_eff,"&lt;="&amp;$C3471)</f>
        <v/>
      </c>
      <c r="L3471" s="201">
        <f>SUMIFS(rl_daysafter,rl_key,$A$3424,rl_effmonth,$B3471,rl_first,1)</f>
        <v/>
      </c>
      <c r="M3471" s="209">
        <f>IF($K3471=0,0,MIN(1,$L3471/$D3471))</f>
        <v/>
      </c>
      <c r="N3471" s="208">
        <f>IF($K3471=0,$J3471,(1-$M3471)*$I3471+$M3471*$J3471)</f>
        <v/>
      </c>
      <c r="O3471" s="209">
        <f>IF($F3471&lt;$B$3425,$E$3425+$I$3425*($F3471-$A$3425),IF($F3471&lt;$C$3425,$F$3425+$J$3425*($F3471-$B$3425),$G$3425+$K$3425*($F3471-$C$3425)))</f>
        <v/>
      </c>
      <c r="P3471" s="208">
        <f>MIN(1,MAX(0,(nr_MEndPm1-$G3471+0.5)/$C$3424))-MIN(1,MAX(0,(nr_MStartPm1-1-$G3471+0.5)/$C$3424))</f>
        <v/>
      </c>
      <c r="Q3471" s="208">
        <f>MIN(1,MAX(0,(nr_MEndP-$G3471+0.5)/$C$3424))-MIN(1,MAX(0,(nr_MStartP-1-$G3471+0.5)/$C$3424))</f>
        <v/>
      </c>
      <c r="R3471" s="208">
        <f>MIN(1,MAX(0,(nr_MEndP1-$G3471+0.5)/$C$3424))-MIN(1,MAX(0,(nr_MStartP1-1-$G3471+0.5)/$C$3424))</f>
        <v/>
      </c>
      <c r="S3471" s="208">
        <f>IF($L$3424,$N3471*IF($O$3424=1,$O3471/$F$3424,1),"")</f>
        <v/>
      </c>
      <c r="T3471" s="208">
        <f>IF(NOT($L$3424),"",IF($G3471&lt;nr_MStartP,$S3471,$T3459*(1+IF($G3471&lt;nr_MStartP1,$M$3424,$N$3424))))</f>
        <v/>
      </c>
      <c r="U3471" s="208">
        <f>IF($L$3424,$T3471,$N3471)</f>
        <v/>
      </c>
    </row>
    <row r="3472">
      <c r="A3472" s="145" t="n">
        <v>46</v>
      </c>
      <c r="B3472" s="204">
        <f>EDATE($B3471,1)</f>
        <v/>
      </c>
      <c r="C3472" s="205">
        <f>EOMONTH($B3472,0)</f>
        <v/>
      </c>
      <c r="D3472" s="201">
        <f>$C3472-$B3472+1</f>
        <v/>
      </c>
      <c r="E3472" s="201">
        <f>MONTH($B3472)</f>
        <v/>
      </c>
      <c r="F3472" s="235">
        <f>($B3472+$C3472+1)/2</f>
        <v/>
      </c>
      <c r="G3472" s="201">
        <f>YEAR($B3472)*12+MONTH($B3472)-1</f>
        <v/>
      </c>
      <c r="H3472" s="207">
        <f>IF(OR(nr_SeasonOn="OFF",$D$3424=0,$E$3424=0),1,12*INDEX(se_block,$D$3424,$E3472)/$E$3424)</f>
        <v/>
      </c>
      <c r="I3472" s="208">
        <f>EXP(SUMPRODUCT((rl_eff&lt;$B3472)*(rl_key=$A$3424)*rl_ln1p))</f>
        <v/>
      </c>
      <c r="J3472" s="208">
        <f>EXP(SUMPRODUCT((rl_eff&lt;=$C3472)*(rl_key=$A$3424)*rl_ln1p))</f>
        <v/>
      </c>
      <c r="K3472" s="201">
        <f>COUNTIFS(rl_key,$A$3424,rl_eff,"&gt;="&amp;$B3472,rl_eff,"&lt;="&amp;$C3472)</f>
        <v/>
      </c>
      <c r="L3472" s="201">
        <f>SUMIFS(rl_daysafter,rl_key,$A$3424,rl_effmonth,$B3472,rl_first,1)</f>
        <v/>
      </c>
      <c r="M3472" s="209">
        <f>IF($K3472=0,0,MIN(1,$L3472/$D3472))</f>
        <v/>
      </c>
      <c r="N3472" s="208">
        <f>IF($K3472=0,$J3472,(1-$M3472)*$I3472+$M3472*$J3472)</f>
        <v/>
      </c>
      <c r="O3472" s="209">
        <f>IF($F3472&lt;$B$3425,$E$3425+$I$3425*($F3472-$A$3425),IF($F3472&lt;$C$3425,$F$3425+$J$3425*($F3472-$B$3425),$G$3425+$K$3425*($F3472-$C$3425)))</f>
        <v/>
      </c>
      <c r="P3472" s="208">
        <f>MIN(1,MAX(0,(nr_MEndPm1-$G3472+0.5)/$C$3424))-MIN(1,MAX(0,(nr_MStartPm1-1-$G3472+0.5)/$C$3424))</f>
        <v/>
      </c>
      <c r="Q3472" s="208">
        <f>MIN(1,MAX(0,(nr_MEndP-$G3472+0.5)/$C$3424))-MIN(1,MAX(0,(nr_MStartP-1-$G3472+0.5)/$C$3424))</f>
        <v/>
      </c>
      <c r="R3472" s="208">
        <f>MIN(1,MAX(0,(nr_MEndP1-$G3472+0.5)/$C$3424))-MIN(1,MAX(0,(nr_MStartP1-1-$G3472+0.5)/$C$3424))</f>
        <v/>
      </c>
      <c r="S3472" s="208">
        <f>IF($L$3424,$N3472*IF($O$3424=1,$O3472/$F$3424,1),"")</f>
        <v/>
      </c>
      <c r="T3472" s="208">
        <f>IF(NOT($L$3424),"",IF($G3472&lt;nr_MStartP,$S3472,$T3460*(1+IF($G3472&lt;nr_MStartP1,$M$3424,$N$3424))))</f>
        <v/>
      </c>
      <c r="U3472" s="208">
        <f>IF($L$3424,$T3472,$N3472)</f>
        <v/>
      </c>
    </row>
    <row r="3473">
      <c r="A3473" s="145" t="n">
        <v>47</v>
      </c>
      <c r="B3473" s="204">
        <f>EDATE($B3472,1)</f>
        <v/>
      </c>
      <c r="C3473" s="205">
        <f>EOMONTH($B3473,0)</f>
        <v/>
      </c>
      <c r="D3473" s="201">
        <f>$C3473-$B3473+1</f>
        <v/>
      </c>
      <c r="E3473" s="201">
        <f>MONTH($B3473)</f>
        <v/>
      </c>
      <c r="F3473" s="235">
        <f>($B3473+$C3473+1)/2</f>
        <v/>
      </c>
      <c r="G3473" s="201">
        <f>YEAR($B3473)*12+MONTH($B3473)-1</f>
        <v/>
      </c>
      <c r="H3473" s="207">
        <f>IF(OR(nr_SeasonOn="OFF",$D$3424=0,$E$3424=0),1,12*INDEX(se_block,$D$3424,$E3473)/$E$3424)</f>
        <v/>
      </c>
      <c r="I3473" s="208">
        <f>EXP(SUMPRODUCT((rl_eff&lt;$B3473)*(rl_key=$A$3424)*rl_ln1p))</f>
        <v/>
      </c>
      <c r="J3473" s="208">
        <f>EXP(SUMPRODUCT((rl_eff&lt;=$C3473)*(rl_key=$A$3424)*rl_ln1p))</f>
        <v/>
      </c>
      <c r="K3473" s="201">
        <f>COUNTIFS(rl_key,$A$3424,rl_eff,"&gt;="&amp;$B3473,rl_eff,"&lt;="&amp;$C3473)</f>
        <v/>
      </c>
      <c r="L3473" s="201">
        <f>SUMIFS(rl_daysafter,rl_key,$A$3424,rl_effmonth,$B3473,rl_first,1)</f>
        <v/>
      </c>
      <c r="M3473" s="209">
        <f>IF($K3473=0,0,MIN(1,$L3473/$D3473))</f>
        <v/>
      </c>
      <c r="N3473" s="208">
        <f>IF($K3473=0,$J3473,(1-$M3473)*$I3473+$M3473*$J3473)</f>
        <v/>
      </c>
      <c r="O3473" s="209">
        <f>IF($F3473&lt;$B$3425,$E$3425+$I$3425*($F3473-$A$3425),IF($F3473&lt;$C$3425,$F$3425+$J$3425*($F3473-$B$3425),$G$3425+$K$3425*($F3473-$C$3425)))</f>
        <v/>
      </c>
      <c r="P3473" s="208">
        <f>MIN(1,MAX(0,(nr_MEndPm1-$G3473+0.5)/$C$3424))-MIN(1,MAX(0,(nr_MStartPm1-1-$G3473+0.5)/$C$3424))</f>
        <v/>
      </c>
      <c r="Q3473" s="208">
        <f>MIN(1,MAX(0,(nr_MEndP-$G3473+0.5)/$C$3424))-MIN(1,MAX(0,(nr_MStartP-1-$G3473+0.5)/$C$3424))</f>
        <v/>
      </c>
      <c r="R3473" s="208">
        <f>MIN(1,MAX(0,(nr_MEndP1-$G3473+0.5)/$C$3424))-MIN(1,MAX(0,(nr_MStartP1-1-$G3473+0.5)/$C$3424))</f>
        <v/>
      </c>
      <c r="S3473" s="208">
        <f>IF($L$3424,$N3473*IF($O$3424=1,$O3473/$F$3424,1),"")</f>
        <v/>
      </c>
      <c r="T3473" s="208">
        <f>IF(NOT($L$3424),"",IF($G3473&lt;nr_MStartP,$S3473,$T3461*(1+IF($G3473&lt;nr_MStartP1,$M$3424,$N$3424))))</f>
        <v/>
      </c>
      <c r="U3473" s="208">
        <f>IF($L$3424,$T3473,$N3473)</f>
        <v/>
      </c>
    </row>
    <row r="3474">
      <c r="A3474" s="145" t="n">
        <v>48</v>
      </c>
      <c r="B3474" s="204">
        <f>EDATE($B3473,1)</f>
        <v/>
      </c>
      <c r="C3474" s="205">
        <f>EOMONTH($B3474,0)</f>
        <v/>
      </c>
      <c r="D3474" s="201">
        <f>$C3474-$B3474+1</f>
        <v/>
      </c>
      <c r="E3474" s="201">
        <f>MONTH($B3474)</f>
        <v/>
      </c>
      <c r="F3474" s="235">
        <f>($B3474+$C3474+1)/2</f>
        <v/>
      </c>
      <c r="G3474" s="201">
        <f>YEAR($B3474)*12+MONTH($B3474)-1</f>
        <v/>
      </c>
      <c r="H3474" s="207">
        <f>IF(OR(nr_SeasonOn="OFF",$D$3424=0,$E$3424=0),1,12*INDEX(se_block,$D$3424,$E3474)/$E$3424)</f>
        <v/>
      </c>
      <c r="I3474" s="208">
        <f>EXP(SUMPRODUCT((rl_eff&lt;$B3474)*(rl_key=$A$3424)*rl_ln1p))</f>
        <v/>
      </c>
      <c r="J3474" s="208">
        <f>EXP(SUMPRODUCT((rl_eff&lt;=$C3474)*(rl_key=$A$3424)*rl_ln1p))</f>
        <v/>
      </c>
      <c r="K3474" s="201">
        <f>COUNTIFS(rl_key,$A$3424,rl_eff,"&gt;="&amp;$B3474,rl_eff,"&lt;="&amp;$C3474)</f>
        <v/>
      </c>
      <c r="L3474" s="201">
        <f>SUMIFS(rl_daysafter,rl_key,$A$3424,rl_effmonth,$B3474,rl_first,1)</f>
        <v/>
      </c>
      <c r="M3474" s="209">
        <f>IF($K3474=0,0,MIN(1,$L3474/$D3474))</f>
        <v/>
      </c>
      <c r="N3474" s="208">
        <f>IF($K3474=0,$J3474,(1-$M3474)*$I3474+$M3474*$J3474)</f>
        <v/>
      </c>
      <c r="O3474" s="209">
        <f>IF($F3474&lt;$B$3425,$E$3425+$I$3425*($F3474-$A$3425),IF($F3474&lt;$C$3425,$F$3425+$J$3425*($F3474-$B$3425),$G$3425+$K$3425*($F3474-$C$3425)))</f>
        <v/>
      </c>
      <c r="P3474" s="208">
        <f>MIN(1,MAX(0,(nr_MEndPm1-$G3474+0.5)/$C$3424))-MIN(1,MAX(0,(nr_MStartPm1-1-$G3474+0.5)/$C$3424))</f>
        <v/>
      </c>
      <c r="Q3474" s="208">
        <f>MIN(1,MAX(0,(nr_MEndP-$G3474+0.5)/$C$3424))-MIN(1,MAX(0,(nr_MStartP-1-$G3474+0.5)/$C$3424))</f>
        <v/>
      </c>
      <c r="R3474" s="208">
        <f>MIN(1,MAX(0,(nr_MEndP1-$G3474+0.5)/$C$3424))-MIN(1,MAX(0,(nr_MStartP1-1-$G3474+0.5)/$C$3424))</f>
        <v/>
      </c>
      <c r="S3474" s="208">
        <f>IF($L$3424,$N3474*IF($O$3424=1,$O3474/$F$3424,1),"")</f>
        <v/>
      </c>
      <c r="T3474" s="208">
        <f>IF(NOT($L$3424),"",IF($G3474&lt;nr_MStartP,$S3474,$T3462*(1+IF($G3474&lt;nr_MStartP1,$M$3424,$N$3424))))</f>
        <v/>
      </c>
      <c r="U3474" s="208">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184">
        <f>SUMPRODUCT($H$3427:$H$3474,$Q$3427:$Q$3474,$O$3427:$O$3474)/SUMPRODUCT($H$3427:$H$3474,$Q$3427:$Q$3474)</f>
        <v/>
      </c>
      <c r="G3475" s="184">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184">
        <f>IF(N(INDEX(lr_mind,64))=0,1,INDEX(lr_mind,64))</f>
        <v/>
      </c>
      <c r="G3478" s="184">
        <f>IF(N(INDEX(lr_m0,64))=0,1,INDEX(lr_m0,64))</f>
        <v/>
      </c>
      <c r="H3478" s="73">
        <f>IF(N(INDEX(lr_m0asof,64))=0,DATE(nr_PlanYear-1,10,1),INDEX(lr_m0asof,64))</f>
        <v/>
      </c>
      <c r="I3478" s="184">
        <f>IF(N(INDEX(lr_m1,64))=0,1,INDEX(lr_m1,64))</f>
        <v/>
      </c>
      <c r="J3478" s="184">
        <f>INDEX(lr_mprior,64)</f>
        <v/>
      </c>
      <c r="K3478" s="184">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145" t="n">
        <v>1</v>
      </c>
      <c r="B3481" s="204">
        <f>DATE(nr_PlanYear-2,1,1)</f>
        <v/>
      </c>
      <c r="C3481" s="205">
        <f>EOMONTH($B3481,0)</f>
        <v/>
      </c>
      <c r="D3481" s="201">
        <f>$C3481-$B3481+1</f>
        <v/>
      </c>
      <c r="E3481" s="201">
        <f>MONTH($B3481)</f>
        <v/>
      </c>
      <c r="F3481" s="235">
        <f>($B3481+$C3481+1)/2</f>
        <v/>
      </c>
      <c r="G3481" s="201">
        <f>YEAR($B3481)*12+MONTH($B3481)-1</f>
        <v/>
      </c>
      <c r="H3481" s="207">
        <f>IF(OR(nr_SeasonOn="OFF",$D$3478=0,$E$3478=0),1,12*INDEX(se_block,$D$3478,$E3481)/$E$3478)</f>
        <v/>
      </c>
      <c r="I3481" s="208">
        <f>EXP(SUMPRODUCT((rl_eff&lt;$B3481)*(rl_key=$A$3478)*rl_ln1p))</f>
        <v/>
      </c>
      <c r="J3481" s="208">
        <f>EXP(SUMPRODUCT((rl_eff&lt;=$C3481)*(rl_key=$A$3478)*rl_ln1p))</f>
        <v/>
      </c>
      <c r="K3481" s="201">
        <f>COUNTIFS(rl_key,$A$3478,rl_eff,"&gt;="&amp;$B3481,rl_eff,"&lt;="&amp;$C3481)</f>
        <v/>
      </c>
      <c r="L3481" s="201">
        <f>SUMIFS(rl_daysafter,rl_key,$A$3478,rl_effmonth,$B3481,rl_first,1)</f>
        <v/>
      </c>
      <c r="M3481" s="209">
        <f>IF($K3481=0,0,MIN(1,$L3481/$D3481))</f>
        <v/>
      </c>
      <c r="N3481" s="208">
        <f>IF($K3481=0,$J3481,(1-$M3481)*$I3481+$M3481*$J3481)</f>
        <v/>
      </c>
      <c r="O3481" s="209">
        <f>IF($F3481&lt;$B$3479,$E$3479+$I$3479*($F3481-$A$3479),IF($F3481&lt;$C$3479,$F$3479+$J$3479*($F3481-$B$3479),$G$3479+$K$3479*($F3481-$C$3479)))</f>
        <v/>
      </c>
      <c r="P3481" s="208">
        <f>MIN(1,MAX(0,(nr_MEndPm1-$G3481+0.5)/$C$3478))-MIN(1,MAX(0,(nr_MStartPm1-1-$G3481+0.5)/$C$3478))</f>
        <v/>
      </c>
      <c r="Q3481" s="208">
        <f>MIN(1,MAX(0,(nr_MEndP-$G3481+0.5)/$C$3478))-MIN(1,MAX(0,(nr_MStartP-1-$G3481+0.5)/$C$3478))</f>
        <v/>
      </c>
      <c r="R3481" s="208">
        <f>MIN(1,MAX(0,(nr_MEndP1-$G3481+0.5)/$C$3478))-MIN(1,MAX(0,(nr_MStartP1-1-$G3481+0.5)/$C$3478))</f>
        <v/>
      </c>
      <c r="S3481" s="208">
        <f>IF($L$3478,$N3481*IF($O$3478=1,$O3481/$F$3478,1),"")</f>
        <v/>
      </c>
      <c r="T3481" s="208">
        <f>IF(NOT($L$3478),"",IF($G3481&lt;nr_MStartP,$S3481,$T3469*(1+IF($G3481&lt;nr_MStartP1,$M$3478,$N$3478))))</f>
        <v/>
      </c>
      <c r="U3481" s="208">
        <f>IF($L$3478,$T3481,$N3481)</f>
        <v/>
      </c>
    </row>
    <row r="3482">
      <c r="A3482" s="145" t="n">
        <v>2</v>
      </c>
      <c r="B3482" s="204">
        <f>EDATE($B3481,1)</f>
        <v/>
      </c>
      <c r="C3482" s="205">
        <f>EOMONTH($B3482,0)</f>
        <v/>
      </c>
      <c r="D3482" s="201">
        <f>$C3482-$B3482+1</f>
        <v/>
      </c>
      <c r="E3482" s="201">
        <f>MONTH($B3482)</f>
        <v/>
      </c>
      <c r="F3482" s="235">
        <f>($B3482+$C3482+1)/2</f>
        <v/>
      </c>
      <c r="G3482" s="201">
        <f>YEAR($B3482)*12+MONTH($B3482)-1</f>
        <v/>
      </c>
      <c r="H3482" s="207">
        <f>IF(OR(nr_SeasonOn="OFF",$D$3478=0,$E$3478=0),1,12*INDEX(se_block,$D$3478,$E3482)/$E$3478)</f>
        <v/>
      </c>
      <c r="I3482" s="208">
        <f>EXP(SUMPRODUCT((rl_eff&lt;$B3482)*(rl_key=$A$3478)*rl_ln1p))</f>
        <v/>
      </c>
      <c r="J3482" s="208">
        <f>EXP(SUMPRODUCT((rl_eff&lt;=$C3482)*(rl_key=$A$3478)*rl_ln1p))</f>
        <v/>
      </c>
      <c r="K3482" s="201">
        <f>COUNTIFS(rl_key,$A$3478,rl_eff,"&gt;="&amp;$B3482,rl_eff,"&lt;="&amp;$C3482)</f>
        <v/>
      </c>
      <c r="L3482" s="201">
        <f>SUMIFS(rl_daysafter,rl_key,$A$3478,rl_effmonth,$B3482,rl_first,1)</f>
        <v/>
      </c>
      <c r="M3482" s="209">
        <f>IF($K3482=0,0,MIN(1,$L3482/$D3482))</f>
        <v/>
      </c>
      <c r="N3482" s="208">
        <f>IF($K3482=0,$J3482,(1-$M3482)*$I3482+$M3482*$J3482)</f>
        <v/>
      </c>
      <c r="O3482" s="209">
        <f>IF($F3482&lt;$B$3479,$E$3479+$I$3479*($F3482-$A$3479),IF($F3482&lt;$C$3479,$F$3479+$J$3479*($F3482-$B$3479),$G$3479+$K$3479*($F3482-$C$3479)))</f>
        <v/>
      </c>
      <c r="P3482" s="208">
        <f>MIN(1,MAX(0,(nr_MEndPm1-$G3482+0.5)/$C$3478))-MIN(1,MAX(0,(nr_MStartPm1-1-$G3482+0.5)/$C$3478))</f>
        <v/>
      </c>
      <c r="Q3482" s="208">
        <f>MIN(1,MAX(0,(nr_MEndP-$G3482+0.5)/$C$3478))-MIN(1,MAX(0,(nr_MStartP-1-$G3482+0.5)/$C$3478))</f>
        <v/>
      </c>
      <c r="R3482" s="208">
        <f>MIN(1,MAX(0,(nr_MEndP1-$G3482+0.5)/$C$3478))-MIN(1,MAX(0,(nr_MStartP1-1-$G3482+0.5)/$C$3478))</f>
        <v/>
      </c>
      <c r="S3482" s="208">
        <f>IF($L$3478,$N3482*IF($O$3478=1,$O3482/$F$3478,1),"")</f>
        <v/>
      </c>
      <c r="T3482" s="208">
        <f>IF(NOT($L$3478),"",IF($G3482&lt;nr_MStartP,$S3482,$T3470*(1+IF($G3482&lt;nr_MStartP1,$M$3478,$N$3478))))</f>
        <v/>
      </c>
      <c r="U3482" s="208">
        <f>IF($L$3478,$T3482,$N3482)</f>
        <v/>
      </c>
    </row>
    <row r="3483">
      <c r="A3483" s="145" t="n">
        <v>3</v>
      </c>
      <c r="B3483" s="204">
        <f>EDATE($B3482,1)</f>
        <v/>
      </c>
      <c r="C3483" s="205">
        <f>EOMONTH($B3483,0)</f>
        <v/>
      </c>
      <c r="D3483" s="201">
        <f>$C3483-$B3483+1</f>
        <v/>
      </c>
      <c r="E3483" s="201">
        <f>MONTH($B3483)</f>
        <v/>
      </c>
      <c r="F3483" s="235">
        <f>($B3483+$C3483+1)/2</f>
        <v/>
      </c>
      <c r="G3483" s="201">
        <f>YEAR($B3483)*12+MONTH($B3483)-1</f>
        <v/>
      </c>
      <c r="H3483" s="207">
        <f>IF(OR(nr_SeasonOn="OFF",$D$3478=0,$E$3478=0),1,12*INDEX(se_block,$D$3478,$E3483)/$E$3478)</f>
        <v/>
      </c>
      <c r="I3483" s="208">
        <f>EXP(SUMPRODUCT((rl_eff&lt;$B3483)*(rl_key=$A$3478)*rl_ln1p))</f>
        <v/>
      </c>
      <c r="J3483" s="208">
        <f>EXP(SUMPRODUCT((rl_eff&lt;=$C3483)*(rl_key=$A$3478)*rl_ln1p))</f>
        <v/>
      </c>
      <c r="K3483" s="201">
        <f>COUNTIFS(rl_key,$A$3478,rl_eff,"&gt;="&amp;$B3483,rl_eff,"&lt;="&amp;$C3483)</f>
        <v/>
      </c>
      <c r="L3483" s="201">
        <f>SUMIFS(rl_daysafter,rl_key,$A$3478,rl_effmonth,$B3483,rl_first,1)</f>
        <v/>
      </c>
      <c r="M3483" s="209">
        <f>IF($K3483=0,0,MIN(1,$L3483/$D3483))</f>
        <v/>
      </c>
      <c r="N3483" s="208">
        <f>IF($K3483=0,$J3483,(1-$M3483)*$I3483+$M3483*$J3483)</f>
        <v/>
      </c>
      <c r="O3483" s="209">
        <f>IF($F3483&lt;$B$3479,$E$3479+$I$3479*($F3483-$A$3479),IF($F3483&lt;$C$3479,$F$3479+$J$3479*($F3483-$B$3479),$G$3479+$K$3479*($F3483-$C$3479)))</f>
        <v/>
      </c>
      <c r="P3483" s="208">
        <f>MIN(1,MAX(0,(nr_MEndPm1-$G3483+0.5)/$C$3478))-MIN(1,MAX(0,(nr_MStartPm1-1-$G3483+0.5)/$C$3478))</f>
        <v/>
      </c>
      <c r="Q3483" s="208">
        <f>MIN(1,MAX(0,(nr_MEndP-$G3483+0.5)/$C$3478))-MIN(1,MAX(0,(nr_MStartP-1-$G3483+0.5)/$C$3478))</f>
        <v/>
      </c>
      <c r="R3483" s="208">
        <f>MIN(1,MAX(0,(nr_MEndP1-$G3483+0.5)/$C$3478))-MIN(1,MAX(0,(nr_MStartP1-1-$G3483+0.5)/$C$3478))</f>
        <v/>
      </c>
      <c r="S3483" s="208">
        <f>IF($L$3478,$N3483*IF($O$3478=1,$O3483/$F$3478,1),"")</f>
        <v/>
      </c>
      <c r="T3483" s="208">
        <f>IF(NOT($L$3478),"",IF($G3483&lt;nr_MStartP,$S3483,$T3471*(1+IF($G3483&lt;nr_MStartP1,$M$3478,$N$3478))))</f>
        <v/>
      </c>
      <c r="U3483" s="208">
        <f>IF($L$3478,$T3483,$N3483)</f>
        <v/>
      </c>
    </row>
    <row r="3484">
      <c r="A3484" s="145" t="n">
        <v>4</v>
      </c>
      <c r="B3484" s="204">
        <f>EDATE($B3483,1)</f>
        <v/>
      </c>
      <c r="C3484" s="205">
        <f>EOMONTH($B3484,0)</f>
        <v/>
      </c>
      <c r="D3484" s="201">
        <f>$C3484-$B3484+1</f>
        <v/>
      </c>
      <c r="E3484" s="201">
        <f>MONTH($B3484)</f>
        <v/>
      </c>
      <c r="F3484" s="235">
        <f>($B3484+$C3484+1)/2</f>
        <v/>
      </c>
      <c r="G3484" s="201">
        <f>YEAR($B3484)*12+MONTH($B3484)-1</f>
        <v/>
      </c>
      <c r="H3484" s="207">
        <f>IF(OR(nr_SeasonOn="OFF",$D$3478=0,$E$3478=0),1,12*INDEX(se_block,$D$3478,$E3484)/$E$3478)</f>
        <v/>
      </c>
      <c r="I3484" s="208">
        <f>EXP(SUMPRODUCT((rl_eff&lt;$B3484)*(rl_key=$A$3478)*rl_ln1p))</f>
        <v/>
      </c>
      <c r="J3484" s="208">
        <f>EXP(SUMPRODUCT((rl_eff&lt;=$C3484)*(rl_key=$A$3478)*rl_ln1p))</f>
        <v/>
      </c>
      <c r="K3484" s="201">
        <f>COUNTIFS(rl_key,$A$3478,rl_eff,"&gt;="&amp;$B3484,rl_eff,"&lt;="&amp;$C3484)</f>
        <v/>
      </c>
      <c r="L3484" s="201">
        <f>SUMIFS(rl_daysafter,rl_key,$A$3478,rl_effmonth,$B3484,rl_first,1)</f>
        <v/>
      </c>
      <c r="M3484" s="209">
        <f>IF($K3484=0,0,MIN(1,$L3484/$D3484))</f>
        <v/>
      </c>
      <c r="N3484" s="208">
        <f>IF($K3484=0,$J3484,(1-$M3484)*$I3484+$M3484*$J3484)</f>
        <v/>
      </c>
      <c r="O3484" s="209">
        <f>IF($F3484&lt;$B$3479,$E$3479+$I$3479*($F3484-$A$3479),IF($F3484&lt;$C$3479,$F$3479+$J$3479*($F3484-$B$3479),$G$3479+$K$3479*($F3484-$C$3479)))</f>
        <v/>
      </c>
      <c r="P3484" s="208">
        <f>MIN(1,MAX(0,(nr_MEndPm1-$G3484+0.5)/$C$3478))-MIN(1,MAX(0,(nr_MStartPm1-1-$G3484+0.5)/$C$3478))</f>
        <v/>
      </c>
      <c r="Q3484" s="208">
        <f>MIN(1,MAX(0,(nr_MEndP-$G3484+0.5)/$C$3478))-MIN(1,MAX(0,(nr_MStartP-1-$G3484+0.5)/$C$3478))</f>
        <v/>
      </c>
      <c r="R3484" s="208">
        <f>MIN(1,MAX(0,(nr_MEndP1-$G3484+0.5)/$C$3478))-MIN(1,MAX(0,(nr_MStartP1-1-$G3484+0.5)/$C$3478))</f>
        <v/>
      </c>
      <c r="S3484" s="208">
        <f>IF($L$3478,$N3484*IF($O$3478=1,$O3484/$F$3478,1),"")</f>
        <v/>
      </c>
      <c r="T3484" s="208">
        <f>IF(NOT($L$3478),"",IF($G3484&lt;nr_MStartP,$S3484,$T3472*(1+IF($G3484&lt;nr_MStartP1,$M$3478,$N$3478))))</f>
        <v/>
      </c>
      <c r="U3484" s="208">
        <f>IF($L$3478,$T3484,$N3484)</f>
        <v/>
      </c>
    </row>
    <row r="3485">
      <c r="A3485" s="145" t="n">
        <v>5</v>
      </c>
      <c r="B3485" s="204">
        <f>EDATE($B3484,1)</f>
        <v/>
      </c>
      <c r="C3485" s="205">
        <f>EOMONTH($B3485,0)</f>
        <v/>
      </c>
      <c r="D3485" s="201">
        <f>$C3485-$B3485+1</f>
        <v/>
      </c>
      <c r="E3485" s="201">
        <f>MONTH($B3485)</f>
        <v/>
      </c>
      <c r="F3485" s="235">
        <f>($B3485+$C3485+1)/2</f>
        <v/>
      </c>
      <c r="G3485" s="201">
        <f>YEAR($B3485)*12+MONTH($B3485)-1</f>
        <v/>
      </c>
      <c r="H3485" s="207">
        <f>IF(OR(nr_SeasonOn="OFF",$D$3478=0,$E$3478=0),1,12*INDEX(se_block,$D$3478,$E3485)/$E$3478)</f>
        <v/>
      </c>
      <c r="I3485" s="208">
        <f>EXP(SUMPRODUCT((rl_eff&lt;$B3485)*(rl_key=$A$3478)*rl_ln1p))</f>
        <v/>
      </c>
      <c r="J3485" s="208">
        <f>EXP(SUMPRODUCT((rl_eff&lt;=$C3485)*(rl_key=$A$3478)*rl_ln1p))</f>
        <v/>
      </c>
      <c r="K3485" s="201">
        <f>COUNTIFS(rl_key,$A$3478,rl_eff,"&gt;="&amp;$B3485,rl_eff,"&lt;="&amp;$C3485)</f>
        <v/>
      </c>
      <c r="L3485" s="201">
        <f>SUMIFS(rl_daysafter,rl_key,$A$3478,rl_effmonth,$B3485,rl_first,1)</f>
        <v/>
      </c>
      <c r="M3485" s="209">
        <f>IF($K3485=0,0,MIN(1,$L3485/$D3485))</f>
        <v/>
      </c>
      <c r="N3485" s="208">
        <f>IF($K3485=0,$J3485,(1-$M3485)*$I3485+$M3485*$J3485)</f>
        <v/>
      </c>
      <c r="O3485" s="209">
        <f>IF($F3485&lt;$B$3479,$E$3479+$I$3479*($F3485-$A$3479),IF($F3485&lt;$C$3479,$F$3479+$J$3479*($F3485-$B$3479),$G$3479+$K$3479*($F3485-$C$3479)))</f>
        <v/>
      </c>
      <c r="P3485" s="208">
        <f>MIN(1,MAX(0,(nr_MEndPm1-$G3485+0.5)/$C$3478))-MIN(1,MAX(0,(nr_MStartPm1-1-$G3485+0.5)/$C$3478))</f>
        <v/>
      </c>
      <c r="Q3485" s="208">
        <f>MIN(1,MAX(0,(nr_MEndP-$G3485+0.5)/$C$3478))-MIN(1,MAX(0,(nr_MStartP-1-$G3485+0.5)/$C$3478))</f>
        <v/>
      </c>
      <c r="R3485" s="208">
        <f>MIN(1,MAX(0,(nr_MEndP1-$G3485+0.5)/$C$3478))-MIN(1,MAX(0,(nr_MStartP1-1-$G3485+0.5)/$C$3478))</f>
        <v/>
      </c>
      <c r="S3485" s="208">
        <f>IF($L$3478,$N3485*IF($O$3478=1,$O3485/$F$3478,1),"")</f>
        <v/>
      </c>
      <c r="T3485" s="208">
        <f>IF(NOT($L$3478),"",IF($G3485&lt;nr_MStartP,$S3485,$T3473*(1+IF($G3485&lt;nr_MStartP1,$M$3478,$N$3478))))</f>
        <v/>
      </c>
      <c r="U3485" s="208">
        <f>IF($L$3478,$T3485,$N3485)</f>
        <v/>
      </c>
    </row>
    <row r="3486">
      <c r="A3486" s="145" t="n">
        <v>6</v>
      </c>
      <c r="B3486" s="204">
        <f>EDATE($B3485,1)</f>
        <v/>
      </c>
      <c r="C3486" s="205">
        <f>EOMONTH($B3486,0)</f>
        <v/>
      </c>
      <c r="D3486" s="201">
        <f>$C3486-$B3486+1</f>
        <v/>
      </c>
      <c r="E3486" s="201">
        <f>MONTH($B3486)</f>
        <v/>
      </c>
      <c r="F3486" s="235">
        <f>($B3486+$C3486+1)/2</f>
        <v/>
      </c>
      <c r="G3486" s="201">
        <f>YEAR($B3486)*12+MONTH($B3486)-1</f>
        <v/>
      </c>
      <c r="H3486" s="207">
        <f>IF(OR(nr_SeasonOn="OFF",$D$3478=0,$E$3478=0),1,12*INDEX(se_block,$D$3478,$E3486)/$E$3478)</f>
        <v/>
      </c>
      <c r="I3486" s="208">
        <f>EXP(SUMPRODUCT((rl_eff&lt;$B3486)*(rl_key=$A$3478)*rl_ln1p))</f>
        <v/>
      </c>
      <c r="J3486" s="208">
        <f>EXP(SUMPRODUCT((rl_eff&lt;=$C3486)*(rl_key=$A$3478)*rl_ln1p))</f>
        <v/>
      </c>
      <c r="K3486" s="201">
        <f>COUNTIFS(rl_key,$A$3478,rl_eff,"&gt;="&amp;$B3486,rl_eff,"&lt;="&amp;$C3486)</f>
        <v/>
      </c>
      <c r="L3486" s="201">
        <f>SUMIFS(rl_daysafter,rl_key,$A$3478,rl_effmonth,$B3486,rl_first,1)</f>
        <v/>
      </c>
      <c r="M3486" s="209">
        <f>IF($K3486=0,0,MIN(1,$L3486/$D3486))</f>
        <v/>
      </c>
      <c r="N3486" s="208">
        <f>IF($K3486=0,$J3486,(1-$M3486)*$I3486+$M3486*$J3486)</f>
        <v/>
      </c>
      <c r="O3486" s="209">
        <f>IF($F3486&lt;$B$3479,$E$3479+$I$3479*($F3486-$A$3479),IF($F3486&lt;$C$3479,$F$3479+$J$3479*($F3486-$B$3479),$G$3479+$K$3479*($F3486-$C$3479)))</f>
        <v/>
      </c>
      <c r="P3486" s="208">
        <f>MIN(1,MAX(0,(nr_MEndPm1-$G3486+0.5)/$C$3478))-MIN(1,MAX(0,(nr_MStartPm1-1-$G3486+0.5)/$C$3478))</f>
        <v/>
      </c>
      <c r="Q3486" s="208">
        <f>MIN(1,MAX(0,(nr_MEndP-$G3486+0.5)/$C$3478))-MIN(1,MAX(0,(nr_MStartP-1-$G3486+0.5)/$C$3478))</f>
        <v/>
      </c>
      <c r="R3486" s="208">
        <f>MIN(1,MAX(0,(nr_MEndP1-$G3486+0.5)/$C$3478))-MIN(1,MAX(0,(nr_MStartP1-1-$G3486+0.5)/$C$3478))</f>
        <v/>
      </c>
      <c r="S3486" s="208">
        <f>IF($L$3478,$N3486*IF($O$3478=1,$O3486/$F$3478,1),"")</f>
        <v/>
      </c>
      <c r="T3486" s="208">
        <f>IF(NOT($L$3478),"",IF($G3486&lt;nr_MStartP,$S3486,$T3474*(1+IF($G3486&lt;nr_MStartP1,$M$3478,$N$3478))))</f>
        <v/>
      </c>
      <c r="U3486" s="208">
        <f>IF($L$3478,$T3486,$N3486)</f>
        <v/>
      </c>
    </row>
    <row r="3487">
      <c r="A3487" s="145" t="n">
        <v>7</v>
      </c>
      <c r="B3487" s="204">
        <f>EDATE($B3486,1)</f>
        <v/>
      </c>
      <c r="C3487" s="205">
        <f>EOMONTH($B3487,0)</f>
        <v/>
      </c>
      <c r="D3487" s="201">
        <f>$C3487-$B3487+1</f>
        <v/>
      </c>
      <c r="E3487" s="201">
        <f>MONTH($B3487)</f>
        <v/>
      </c>
      <c r="F3487" s="235">
        <f>($B3487+$C3487+1)/2</f>
        <v/>
      </c>
      <c r="G3487" s="201">
        <f>YEAR($B3487)*12+MONTH($B3487)-1</f>
        <v/>
      </c>
      <c r="H3487" s="207">
        <f>IF(OR(nr_SeasonOn="OFF",$D$3478=0,$E$3478=0),1,12*INDEX(se_block,$D$3478,$E3487)/$E$3478)</f>
        <v/>
      </c>
      <c r="I3487" s="208">
        <f>EXP(SUMPRODUCT((rl_eff&lt;$B3487)*(rl_key=$A$3478)*rl_ln1p))</f>
        <v/>
      </c>
      <c r="J3487" s="208">
        <f>EXP(SUMPRODUCT((rl_eff&lt;=$C3487)*(rl_key=$A$3478)*rl_ln1p))</f>
        <v/>
      </c>
      <c r="K3487" s="201">
        <f>COUNTIFS(rl_key,$A$3478,rl_eff,"&gt;="&amp;$B3487,rl_eff,"&lt;="&amp;$C3487)</f>
        <v/>
      </c>
      <c r="L3487" s="201">
        <f>SUMIFS(rl_daysafter,rl_key,$A$3478,rl_effmonth,$B3487,rl_first,1)</f>
        <v/>
      </c>
      <c r="M3487" s="209">
        <f>IF($K3487=0,0,MIN(1,$L3487/$D3487))</f>
        <v/>
      </c>
      <c r="N3487" s="208">
        <f>IF($K3487=0,$J3487,(1-$M3487)*$I3487+$M3487*$J3487)</f>
        <v/>
      </c>
      <c r="O3487" s="209">
        <f>IF($F3487&lt;$B$3479,$E$3479+$I$3479*($F3487-$A$3479),IF($F3487&lt;$C$3479,$F$3479+$J$3479*($F3487-$B$3479),$G$3479+$K$3479*($F3487-$C$3479)))</f>
        <v/>
      </c>
      <c r="P3487" s="208">
        <f>MIN(1,MAX(0,(nr_MEndPm1-$G3487+0.5)/$C$3478))-MIN(1,MAX(0,(nr_MStartPm1-1-$G3487+0.5)/$C$3478))</f>
        <v/>
      </c>
      <c r="Q3487" s="208">
        <f>MIN(1,MAX(0,(nr_MEndP-$G3487+0.5)/$C$3478))-MIN(1,MAX(0,(nr_MStartP-1-$G3487+0.5)/$C$3478))</f>
        <v/>
      </c>
      <c r="R3487" s="208">
        <f>MIN(1,MAX(0,(nr_MEndP1-$G3487+0.5)/$C$3478))-MIN(1,MAX(0,(nr_MStartP1-1-$G3487+0.5)/$C$3478))</f>
        <v/>
      </c>
      <c r="S3487" s="208">
        <f>IF($L$3478,$N3487*IF($O$3478=1,$O3487/$F$3478,1),"")</f>
        <v/>
      </c>
      <c r="T3487" s="208">
        <f>IF(NOT($L$3478),"",IF($G3487&lt;nr_MStartP,$S3487,$T3475*(1+IF($G3487&lt;nr_MStartP1,$M$3478,$N$3478))))</f>
        <v/>
      </c>
      <c r="U3487" s="208">
        <f>IF($L$3478,$T3487,$N3487)</f>
        <v/>
      </c>
    </row>
    <row r="3488">
      <c r="A3488" s="145" t="n">
        <v>8</v>
      </c>
      <c r="B3488" s="204">
        <f>EDATE($B3487,1)</f>
        <v/>
      </c>
      <c r="C3488" s="205">
        <f>EOMONTH($B3488,0)</f>
        <v/>
      </c>
      <c r="D3488" s="201">
        <f>$C3488-$B3488+1</f>
        <v/>
      </c>
      <c r="E3488" s="201">
        <f>MONTH($B3488)</f>
        <v/>
      </c>
      <c r="F3488" s="235">
        <f>($B3488+$C3488+1)/2</f>
        <v/>
      </c>
      <c r="G3488" s="201">
        <f>YEAR($B3488)*12+MONTH($B3488)-1</f>
        <v/>
      </c>
      <c r="H3488" s="207">
        <f>IF(OR(nr_SeasonOn="OFF",$D$3478=0,$E$3478=0),1,12*INDEX(se_block,$D$3478,$E3488)/$E$3478)</f>
        <v/>
      </c>
      <c r="I3488" s="208">
        <f>EXP(SUMPRODUCT((rl_eff&lt;$B3488)*(rl_key=$A$3478)*rl_ln1p))</f>
        <v/>
      </c>
      <c r="J3488" s="208">
        <f>EXP(SUMPRODUCT((rl_eff&lt;=$C3488)*(rl_key=$A$3478)*rl_ln1p))</f>
        <v/>
      </c>
      <c r="K3488" s="201">
        <f>COUNTIFS(rl_key,$A$3478,rl_eff,"&gt;="&amp;$B3488,rl_eff,"&lt;="&amp;$C3488)</f>
        <v/>
      </c>
      <c r="L3488" s="201">
        <f>SUMIFS(rl_daysafter,rl_key,$A$3478,rl_effmonth,$B3488,rl_first,1)</f>
        <v/>
      </c>
      <c r="M3488" s="209">
        <f>IF($K3488=0,0,MIN(1,$L3488/$D3488))</f>
        <v/>
      </c>
      <c r="N3488" s="208">
        <f>IF($K3488=0,$J3488,(1-$M3488)*$I3488+$M3488*$J3488)</f>
        <v/>
      </c>
      <c r="O3488" s="209">
        <f>IF($F3488&lt;$B$3479,$E$3479+$I$3479*($F3488-$A$3479),IF($F3488&lt;$C$3479,$F$3479+$J$3479*($F3488-$B$3479),$G$3479+$K$3479*($F3488-$C$3479)))</f>
        <v/>
      </c>
      <c r="P3488" s="208">
        <f>MIN(1,MAX(0,(nr_MEndPm1-$G3488+0.5)/$C$3478))-MIN(1,MAX(0,(nr_MStartPm1-1-$G3488+0.5)/$C$3478))</f>
        <v/>
      </c>
      <c r="Q3488" s="208">
        <f>MIN(1,MAX(0,(nr_MEndP-$G3488+0.5)/$C$3478))-MIN(1,MAX(0,(nr_MStartP-1-$G3488+0.5)/$C$3478))</f>
        <v/>
      </c>
      <c r="R3488" s="208">
        <f>MIN(1,MAX(0,(nr_MEndP1-$G3488+0.5)/$C$3478))-MIN(1,MAX(0,(nr_MStartP1-1-$G3488+0.5)/$C$3478))</f>
        <v/>
      </c>
      <c r="S3488" s="208">
        <f>IF($L$3478,$N3488*IF($O$3478=1,$O3488/$F$3478,1),"")</f>
        <v/>
      </c>
      <c r="T3488" s="208">
        <f>IF(NOT($L$3478),"",IF($G3488&lt;nr_MStartP,$S3488,$T3476*(1+IF($G3488&lt;nr_MStartP1,$M$3478,$N$3478))))</f>
        <v/>
      </c>
      <c r="U3488" s="208">
        <f>IF($L$3478,$T3488,$N3488)</f>
        <v/>
      </c>
    </row>
    <row r="3489">
      <c r="A3489" s="145" t="n">
        <v>9</v>
      </c>
      <c r="B3489" s="204">
        <f>EDATE($B3488,1)</f>
        <v/>
      </c>
      <c r="C3489" s="205">
        <f>EOMONTH($B3489,0)</f>
        <v/>
      </c>
      <c r="D3489" s="201">
        <f>$C3489-$B3489+1</f>
        <v/>
      </c>
      <c r="E3489" s="201">
        <f>MONTH($B3489)</f>
        <v/>
      </c>
      <c r="F3489" s="235">
        <f>($B3489+$C3489+1)/2</f>
        <v/>
      </c>
      <c r="G3489" s="201">
        <f>YEAR($B3489)*12+MONTH($B3489)-1</f>
        <v/>
      </c>
      <c r="H3489" s="207">
        <f>IF(OR(nr_SeasonOn="OFF",$D$3478=0,$E$3478=0),1,12*INDEX(se_block,$D$3478,$E3489)/$E$3478)</f>
        <v/>
      </c>
      <c r="I3489" s="208">
        <f>EXP(SUMPRODUCT((rl_eff&lt;$B3489)*(rl_key=$A$3478)*rl_ln1p))</f>
        <v/>
      </c>
      <c r="J3489" s="208">
        <f>EXP(SUMPRODUCT((rl_eff&lt;=$C3489)*(rl_key=$A$3478)*rl_ln1p))</f>
        <v/>
      </c>
      <c r="K3489" s="201">
        <f>COUNTIFS(rl_key,$A$3478,rl_eff,"&gt;="&amp;$B3489,rl_eff,"&lt;="&amp;$C3489)</f>
        <v/>
      </c>
      <c r="L3489" s="201">
        <f>SUMIFS(rl_daysafter,rl_key,$A$3478,rl_effmonth,$B3489,rl_first,1)</f>
        <v/>
      </c>
      <c r="M3489" s="209">
        <f>IF($K3489=0,0,MIN(1,$L3489/$D3489))</f>
        <v/>
      </c>
      <c r="N3489" s="208">
        <f>IF($K3489=0,$J3489,(1-$M3489)*$I3489+$M3489*$J3489)</f>
        <v/>
      </c>
      <c r="O3489" s="209">
        <f>IF($F3489&lt;$B$3479,$E$3479+$I$3479*($F3489-$A$3479),IF($F3489&lt;$C$3479,$F$3479+$J$3479*($F3489-$B$3479),$G$3479+$K$3479*($F3489-$C$3479)))</f>
        <v/>
      </c>
      <c r="P3489" s="208">
        <f>MIN(1,MAX(0,(nr_MEndPm1-$G3489+0.5)/$C$3478))-MIN(1,MAX(0,(nr_MStartPm1-1-$G3489+0.5)/$C$3478))</f>
        <v/>
      </c>
      <c r="Q3489" s="208">
        <f>MIN(1,MAX(0,(nr_MEndP-$G3489+0.5)/$C$3478))-MIN(1,MAX(0,(nr_MStartP-1-$G3489+0.5)/$C$3478))</f>
        <v/>
      </c>
      <c r="R3489" s="208">
        <f>MIN(1,MAX(0,(nr_MEndP1-$G3489+0.5)/$C$3478))-MIN(1,MAX(0,(nr_MStartP1-1-$G3489+0.5)/$C$3478))</f>
        <v/>
      </c>
      <c r="S3489" s="208">
        <f>IF($L$3478,$N3489*IF($O$3478=1,$O3489/$F$3478,1),"")</f>
        <v/>
      </c>
      <c r="T3489" s="208">
        <f>IF(NOT($L$3478),"",IF($G3489&lt;nr_MStartP,$S3489,$T3477*(1+IF($G3489&lt;nr_MStartP1,$M$3478,$N$3478))))</f>
        <v/>
      </c>
      <c r="U3489" s="208">
        <f>IF($L$3478,$T3489,$N3489)</f>
        <v/>
      </c>
    </row>
    <row r="3490">
      <c r="A3490" s="145" t="n">
        <v>10</v>
      </c>
      <c r="B3490" s="204">
        <f>EDATE($B3489,1)</f>
        <v/>
      </c>
      <c r="C3490" s="205">
        <f>EOMONTH($B3490,0)</f>
        <v/>
      </c>
      <c r="D3490" s="201">
        <f>$C3490-$B3490+1</f>
        <v/>
      </c>
      <c r="E3490" s="201">
        <f>MONTH($B3490)</f>
        <v/>
      </c>
      <c r="F3490" s="235">
        <f>($B3490+$C3490+1)/2</f>
        <v/>
      </c>
      <c r="G3490" s="201">
        <f>YEAR($B3490)*12+MONTH($B3490)-1</f>
        <v/>
      </c>
      <c r="H3490" s="207">
        <f>IF(OR(nr_SeasonOn="OFF",$D$3478=0,$E$3478=0),1,12*INDEX(se_block,$D$3478,$E3490)/$E$3478)</f>
        <v/>
      </c>
      <c r="I3490" s="208">
        <f>EXP(SUMPRODUCT((rl_eff&lt;$B3490)*(rl_key=$A$3478)*rl_ln1p))</f>
        <v/>
      </c>
      <c r="J3490" s="208">
        <f>EXP(SUMPRODUCT((rl_eff&lt;=$C3490)*(rl_key=$A$3478)*rl_ln1p))</f>
        <v/>
      </c>
      <c r="K3490" s="201">
        <f>COUNTIFS(rl_key,$A$3478,rl_eff,"&gt;="&amp;$B3490,rl_eff,"&lt;="&amp;$C3490)</f>
        <v/>
      </c>
      <c r="L3490" s="201">
        <f>SUMIFS(rl_daysafter,rl_key,$A$3478,rl_effmonth,$B3490,rl_first,1)</f>
        <v/>
      </c>
      <c r="M3490" s="209">
        <f>IF($K3490=0,0,MIN(1,$L3490/$D3490))</f>
        <v/>
      </c>
      <c r="N3490" s="208">
        <f>IF($K3490=0,$J3490,(1-$M3490)*$I3490+$M3490*$J3490)</f>
        <v/>
      </c>
      <c r="O3490" s="209">
        <f>IF($F3490&lt;$B$3479,$E$3479+$I$3479*($F3490-$A$3479),IF($F3490&lt;$C$3479,$F$3479+$J$3479*($F3490-$B$3479),$G$3479+$K$3479*($F3490-$C$3479)))</f>
        <v/>
      </c>
      <c r="P3490" s="208">
        <f>MIN(1,MAX(0,(nr_MEndPm1-$G3490+0.5)/$C$3478))-MIN(1,MAX(0,(nr_MStartPm1-1-$G3490+0.5)/$C$3478))</f>
        <v/>
      </c>
      <c r="Q3490" s="208">
        <f>MIN(1,MAX(0,(nr_MEndP-$G3490+0.5)/$C$3478))-MIN(1,MAX(0,(nr_MStartP-1-$G3490+0.5)/$C$3478))</f>
        <v/>
      </c>
      <c r="R3490" s="208">
        <f>MIN(1,MAX(0,(nr_MEndP1-$G3490+0.5)/$C$3478))-MIN(1,MAX(0,(nr_MStartP1-1-$G3490+0.5)/$C$3478))</f>
        <v/>
      </c>
      <c r="S3490" s="208">
        <f>IF($L$3478,$N3490*IF($O$3478=1,$O3490/$F$3478,1),"")</f>
        <v/>
      </c>
      <c r="T3490" s="208">
        <f>IF(NOT($L$3478),"",IF($G3490&lt;nr_MStartP,$S3490,$T3478*(1+IF($G3490&lt;nr_MStartP1,$M$3478,$N$3478))))</f>
        <v/>
      </c>
      <c r="U3490" s="208">
        <f>IF($L$3478,$T3490,$N3490)</f>
        <v/>
      </c>
    </row>
    <row r="3491">
      <c r="A3491" s="145" t="n">
        <v>11</v>
      </c>
      <c r="B3491" s="204">
        <f>EDATE($B3490,1)</f>
        <v/>
      </c>
      <c r="C3491" s="205">
        <f>EOMONTH($B3491,0)</f>
        <v/>
      </c>
      <c r="D3491" s="201">
        <f>$C3491-$B3491+1</f>
        <v/>
      </c>
      <c r="E3491" s="201">
        <f>MONTH($B3491)</f>
        <v/>
      </c>
      <c r="F3491" s="235">
        <f>($B3491+$C3491+1)/2</f>
        <v/>
      </c>
      <c r="G3491" s="201">
        <f>YEAR($B3491)*12+MONTH($B3491)-1</f>
        <v/>
      </c>
      <c r="H3491" s="207">
        <f>IF(OR(nr_SeasonOn="OFF",$D$3478=0,$E$3478=0),1,12*INDEX(se_block,$D$3478,$E3491)/$E$3478)</f>
        <v/>
      </c>
      <c r="I3491" s="208">
        <f>EXP(SUMPRODUCT((rl_eff&lt;$B3491)*(rl_key=$A$3478)*rl_ln1p))</f>
        <v/>
      </c>
      <c r="J3491" s="208">
        <f>EXP(SUMPRODUCT((rl_eff&lt;=$C3491)*(rl_key=$A$3478)*rl_ln1p))</f>
        <v/>
      </c>
      <c r="K3491" s="201">
        <f>COUNTIFS(rl_key,$A$3478,rl_eff,"&gt;="&amp;$B3491,rl_eff,"&lt;="&amp;$C3491)</f>
        <v/>
      </c>
      <c r="L3491" s="201">
        <f>SUMIFS(rl_daysafter,rl_key,$A$3478,rl_effmonth,$B3491,rl_first,1)</f>
        <v/>
      </c>
      <c r="M3491" s="209">
        <f>IF($K3491=0,0,MIN(1,$L3491/$D3491))</f>
        <v/>
      </c>
      <c r="N3491" s="208">
        <f>IF($K3491=0,$J3491,(1-$M3491)*$I3491+$M3491*$J3491)</f>
        <v/>
      </c>
      <c r="O3491" s="209">
        <f>IF($F3491&lt;$B$3479,$E$3479+$I$3479*($F3491-$A$3479),IF($F3491&lt;$C$3479,$F$3479+$J$3479*($F3491-$B$3479),$G$3479+$K$3479*($F3491-$C$3479)))</f>
        <v/>
      </c>
      <c r="P3491" s="208">
        <f>MIN(1,MAX(0,(nr_MEndPm1-$G3491+0.5)/$C$3478))-MIN(1,MAX(0,(nr_MStartPm1-1-$G3491+0.5)/$C$3478))</f>
        <v/>
      </c>
      <c r="Q3491" s="208">
        <f>MIN(1,MAX(0,(nr_MEndP-$G3491+0.5)/$C$3478))-MIN(1,MAX(0,(nr_MStartP-1-$G3491+0.5)/$C$3478))</f>
        <v/>
      </c>
      <c r="R3491" s="208">
        <f>MIN(1,MAX(0,(nr_MEndP1-$G3491+0.5)/$C$3478))-MIN(1,MAX(0,(nr_MStartP1-1-$G3491+0.5)/$C$3478))</f>
        <v/>
      </c>
      <c r="S3491" s="208">
        <f>IF($L$3478,$N3491*IF($O$3478=1,$O3491/$F$3478,1),"")</f>
        <v/>
      </c>
      <c r="T3491" s="208">
        <f>IF(NOT($L$3478),"",IF($G3491&lt;nr_MStartP,$S3491,$T3479*(1+IF($G3491&lt;nr_MStartP1,$M$3478,$N$3478))))</f>
        <v/>
      </c>
      <c r="U3491" s="208">
        <f>IF($L$3478,$T3491,$N3491)</f>
        <v/>
      </c>
    </row>
    <row r="3492">
      <c r="A3492" s="145" t="n">
        <v>12</v>
      </c>
      <c r="B3492" s="204">
        <f>EDATE($B3491,1)</f>
        <v/>
      </c>
      <c r="C3492" s="205">
        <f>EOMONTH($B3492,0)</f>
        <v/>
      </c>
      <c r="D3492" s="201">
        <f>$C3492-$B3492+1</f>
        <v/>
      </c>
      <c r="E3492" s="201">
        <f>MONTH($B3492)</f>
        <v/>
      </c>
      <c r="F3492" s="235">
        <f>($B3492+$C3492+1)/2</f>
        <v/>
      </c>
      <c r="G3492" s="201">
        <f>YEAR($B3492)*12+MONTH($B3492)-1</f>
        <v/>
      </c>
      <c r="H3492" s="207">
        <f>IF(OR(nr_SeasonOn="OFF",$D$3478=0,$E$3478=0),1,12*INDEX(se_block,$D$3478,$E3492)/$E$3478)</f>
        <v/>
      </c>
      <c r="I3492" s="208">
        <f>EXP(SUMPRODUCT((rl_eff&lt;$B3492)*(rl_key=$A$3478)*rl_ln1p))</f>
        <v/>
      </c>
      <c r="J3492" s="208">
        <f>EXP(SUMPRODUCT((rl_eff&lt;=$C3492)*(rl_key=$A$3478)*rl_ln1p))</f>
        <v/>
      </c>
      <c r="K3492" s="201">
        <f>COUNTIFS(rl_key,$A$3478,rl_eff,"&gt;="&amp;$B3492,rl_eff,"&lt;="&amp;$C3492)</f>
        <v/>
      </c>
      <c r="L3492" s="201">
        <f>SUMIFS(rl_daysafter,rl_key,$A$3478,rl_effmonth,$B3492,rl_first,1)</f>
        <v/>
      </c>
      <c r="M3492" s="209">
        <f>IF($K3492=0,0,MIN(1,$L3492/$D3492))</f>
        <v/>
      </c>
      <c r="N3492" s="208">
        <f>IF($K3492=0,$J3492,(1-$M3492)*$I3492+$M3492*$J3492)</f>
        <v/>
      </c>
      <c r="O3492" s="209">
        <f>IF($F3492&lt;$B$3479,$E$3479+$I$3479*($F3492-$A$3479),IF($F3492&lt;$C$3479,$F$3479+$J$3479*($F3492-$B$3479),$G$3479+$K$3479*($F3492-$C$3479)))</f>
        <v/>
      </c>
      <c r="P3492" s="208">
        <f>MIN(1,MAX(0,(nr_MEndPm1-$G3492+0.5)/$C$3478))-MIN(1,MAX(0,(nr_MStartPm1-1-$G3492+0.5)/$C$3478))</f>
        <v/>
      </c>
      <c r="Q3492" s="208">
        <f>MIN(1,MAX(0,(nr_MEndP-$G3492+0.5)/$C$3478))-MIN(1,MAX(0,(nr_MStartP-1-$G3492+0.5)/$C$3478))</f>
        <v/>
      </c>
      <c r="R3492" s="208">
        <f>MIN(1,MAX(0,(nr_MEndP1-$G3492+0.5)/$C$3478))-MIN(1,MAX(0,(nr_MStartP1-1-$G3492+0.5)/$C$3478))</f>
        <v/>
      </c>
      <c r="S3492" s="208">
        <f>IF($L$3478,$N3492*IF($O$3478=1,$O3492/$F$3478,1),"")</f>
        <v/>
      </c>
      <c r="T3492" s="208">
        <f>IF(NOT($L$3478),"",IF($G3492&lt;nr_MStartP,$S3492,$T3480*(1+IF($G3492&lt;nr_MStartP1,$M$3478,$N$3478))))</f>
        <v/>
      </c>
      <c r="U3492" s="208">
        <f>IF($L$3478,$T3492,$N3492)</f>
        <v/>
      </c>
    </row>
    <row r="3493">
      <c r="A3493" s="145" t="n">
        <v>13</v>
      </c>
      <c r="B3493" s="204">
        <f>EDATE($B3492,1)</f>
        <v/>
      </c>
      <c r="C3493" s="205">
        <f>EOMONTH($B3493,0)</f>
        <v/>
      </c>
      <c r="D3493" s="201">
        <f>$C3493-$B3493+1</f>
        <v/>
      </c>
      <c r="E3493" s="201">
        <f>MONTH($B3493)</f>
        <v/>
      </c>
      <c r="F3493" s="235">
        <f>($B3493+$C3493+1)/2</f>
        <v/>
      </c>
      <c r="G3493" s="201">
        <f>YEAR($B3493)*12+MONTH($B3493)-1</f>
        <v/>
      </c>
      <c r="H3493" s="207">
        <f>IF(OR(nr_SeasonOn="OFF",$D$3478=0,$E$3478=0),1,12*INDEX(se_block,$D$3478,$E3493)/$E$3478)</f>
        <v/>
      </c>
      <c r="I3493" s="208">
        <f>EXP(SUMPRODUCT((rl_eff&lt;$B3493)*(rl_key=$A$3478)*rl_ln1p))</f>
        <v/>
      </c>
      <c r="J3493" s="208">
        <f>EXP(SUMPRODUCT((rl_eff&lt;=$C3493)*(rl_key=$A$3478)*rl_ln1p))</f>
        <v/>
      </c>
      <c r="K3493" s="201">
        <f>COUNTIFS(rl_key,$A$3478,rl_eff,"&gt;="&amp;$B3493,rl_eff,"&lt;="&amp;$C3493)</f>
        <v/>
      </c>
      <c r="L3493" s="201">
        <f>SUMIFS(rl_daysafter,rl_key,$A$3478,rl_effmonth,$B3493,rl_first,1)</f>
        <v/>
      </c>
      <c r="M3493" s="209">
        <f>IF($K3493=0,0,MIN(1,$L3493/$D3493))</f>
        <v/>
      </c>
      <c r="N3493" s="208">
        <f>IF($K3493=0,$J3493,(1-$M3493)*$I3493+$M3493*$J3493)</f>
        <v/>
      </c>
      <c r="O3493" s="209">
        <f>IF($F3493&lt;$B$3479,$E$3479+$I$3479*($F3493-$A$3479),IF($F3493&lt;$C$3479,$F$3479+$J$3479*($F3493-$B$3479),$G$3479+$K$3479*($F3493-$C$3479)))</f>
        <v/>
      </c>
      <c r="P3493" s="208">
        <f>MIN(1,MAX(0,(nr_MEndPm1-$G3493+0.5)/$C$3478))-MIN(1,MAX(0,(nr_MStartPm1-1-$G3493+0.5)/$C$3478))</f>
        <v/>
      </c>
      <c r="Q3493" s="208">
        <f>MIN(1,MAX(0,(nr_MEndP-$G3493+0.5)/$C$3478))-MIN(1,MAX(0,(nr_MStartP-1-$G3493+0.5)/$C$3478))</f>
        <v/>
      </c>
      <c r="R3493" s="208">
        <f>MIN(1,MAX(0,(nr_MEndP1-$G3493+0.5)/$C$3478))-MIN(1,MAX(0,(nr_MStartP1-1-$G3493+0.5)/$C$3478))</f>
        <v/>
      </c>
      <c r="S3493" s="208">
        <f>IF($L$3478,$N3493*IF($O$3478=1,$O3493/$F$3478,1),"")</f>
        <v/>
      </c>
      <c r="T3493" s="208">
        <f>IF(NOT($L$3478),"",IF($G3493&lt;nr_MStartP,$S3493,$T3481*(1+IF($G3493&lt;nr_MStartP1,$M$3478,$N$3478))))</f>
        <v/>
      </c>
      <c r="U3493" s="208">
        <f>IF($L$3478,$T3493,$N3493)</f>
        <v/>
      </c>
    </row>
    <row r="3494">
      <c r="A3494" s="145" t="n">
        <v>14</v>
      </c>
      <c r="B3494" s="204">
        <f>EDATE($B3493,1)</f>
        <v/>
      </c>
      <c r="C3494" s="205">
        <f>EOMONTH($B3494,0)</f>
        <v/>
      </c>
      <c r="D3494" s="201">
        <f>$C3494-$B3494+1</f>
        <v/>
      </c>
      <c r="E3494" s="201">
        <f>MONTH($B3494)</f>
        <v/>
      </c>
      <c r="F3494" s="235">
        <f>($B3494+$C3494+1)/2</f>
        <v/>
      </c>
      <c r="G3494" s="201">
        <f>YEAR($B3494)*12+MONTH($B3494)-1</f>
        <v/>
      </c>
      <c r="H3494" s="207">
        <f>IF(OR(nr_SeasonOn="OFF",$D$3478=0,$E$3478=0),1,12*INDEX(se_block,$D$3478,$E3494)/$E$3478)</f>
        <v/>
      </c>
      <c r="I3494" s="208">
        <f>EXP(SUMPRODUCT((rl_eff&lt;$B3494)*(rl_key=$A$3478)*rl_ln1p))</f>
        <v/>
      </c>
      <c r="J3494" s="208">
        <f>EXP(SUMPRODUCT((rl_eff&lt;=$C3494)*(rl_key=$A$3478)*rl_ln1p))</f>
        <v/>
      </c>
      <c r="K3494" s="201">
        <f>COUNTIFS(rl_key,$A$3478,rl_eff,"&gt;="&amp;$B3494,rl_eff,"&lt;="&amp;$C3494)</f>
        <v/>
      </c>
      <c r="L3494" s="201">
        <f>SUMIFS(rl_daysafter,rl_key,$A$3478,rl_effmonth,$B3494,rl_first,1)</f>
        <v/>
      </c>
      <c r="M3494" s="209">
        <f>IF($K3494=0,0,MIN(1,$L3494/$D3494))</f>
        <v/>
      </c>
      <c r="N3494" s="208">
        <f>IF($K3494=0,$J3494,(1-$M3494)*$I3494+$M3494*$J3494)</f>
        <v/>
      </c>
      <c r="O3494" s="209">
        <f>IF($F3494&lt;$B$3479,$E$3479+$I$3479*($F3494-$A$3479),IF($F3494&lt;$C$3479,$F$3479+$J$3479*($F3494-$B$3479),$G$3479+$K$3479*($F3494-$C$3479)))</f>
        <v/>
      </c>
      <c r="P3494" s="208">
        <f>MIN(1,MAX(0,(nr_MEndPm1-$G3494+0.5)/$C$3478))-MIN(1,MAX(0,(nr_MStartPm1-1-$G3494+0.5)/$C$3478))</f>
        <v/>
      </c>
      <c r="Q3494" s="208">
        <f>MIN(1,MAX(0,(nr_MEndP-$G3494+0.5)/$C$3478))-MIN(1,MAX(0,(nr_MStartP-1-$G3494+0.5)/$C$3478))</f>
        <v/>
      </c>
      <c r="R3494" s="208">
        <f>MIN(1,MAX(0,(nr_MEndP1-$G3494+0.5)/$C$3478))-MIN(1,MAX(0,(nr_MStartP1-1-$G3494+0.5)/$C$3478))</f>
        <v/>
      </c>
      <c r="S3494" s="208">
        <f>IF($L$3478,$N3494*IF($O$3478=1,$O3494/$F$3478,1),"")</f>
        <v/>
      </c>
      <c r="T3494" s="208">
        <f>IF(NOT($L$3478),"",IF($G3494&lt;nr_MStartP,$S3494,$T3482*(1+IF($G3494&lt;nr_MStartP1,$M$3478,$N$3478))))</f>
        <v/>
      </c>
      <c r="U3494" s="208">
        <f>IF($L$3478,$T3494,$N3494)</f>
        <v/>
      </c>
    </row>
    <row r="3495">
      <c r="A3495" s="145" t="n">
        <v>15</v>
      </c>
      <c r="B3495" s="204">
        <f>EDATE($B3494,1)</f>
        <v/>
      </c>
      <c r="C3495" s="205">
        <f>EOMONTH($B3495,0)</f>
        <v/>
      </c>
      <c r="D3495" s="201">
        <f>$C3495-$B3495+1</f>
        <v/>
      </c>
      <c r="E3495" s="201">
        <f>MONTH($B3495)</f>
        <v/>
      </c>
      <c r="F3495" s="235">
        <f>($B3495+$C3495+1)/2</f>
        <v/>
      </c>
      <c r="G3495" s="201">
        <f>YEAR($B3495)*12+MONTH($B3495)-1</f>
        <v/>
      </c>
      <c r="H3495" s="207">
        <f>IF(OR(nr_SeasonOn="OFF",$D$3478=0,$E$3478=0),1,12*INDEX(se_block,$D$3478,$E3495)/$E$3478)</f>
        <v/>
      </c>
      <c r="I3495" s="208">
        <f>EXP(SUMPRODUCT((rl_eff&lt;$B3495)*(rl_key=$A$3478)*rl_ln1p))</f>
        <v/>
      </c>
      <c r="J3495" s="208">
        <f>EXP(SUMPRODUCT((rl_eff&lt;=$C3495)*(rl_key=$A$3478)*rl_ln1p))</f>
        <v/>
      </c>
      <c r="K3495" s="201">
        <f>COUNTIFS(rl_key,$A$3478,rl_eff,"&gt;="&amp;$B3495,rl_eff,"&lt;="&amp;$C3495)</f>
        <v/>
      </c>
      <c r="L3495" s="201">
        <f>SUMIFS(rl_daysafter,rl_key,$A$3478,rl_effmonth,$B3495,rl_first,1)</f>
        <v/>
      </c>
      <c r="M3495" s="209">
        <f>IF($K3495=0,0,MIN(1,$L3495/$D3495))</f>
        <v/>
      </c>
      <c r="N3495" s="208">
        <f>IF($K3495=0,$J3495,(1-$M3495)*$I3495+$M3495*$J3495)</f>
        <v/>
      </c>
      <c r="O3495" s="209">
        <f>IF($F3495&lt;$B$3479,$E$3479+$I$3479*($F3495-$A$3479),IF($F3495&lt;$C$3479,$F$3479+$J$3479*($F3495-$B$3479),$G$3479+$K$3479*($F3495-$C$3479)))</f>
        <v/>
      </c>
      <c r="P3495" s="208">
        <f>MIN(1,MAX(0,(nr_MEndPm1-$G3495+0.5)/$C$3478))-MIN(1,MAX(0,(nr_MStartPm1-1-$G3495+0.5)/$C$3478))</f>
        <v/>
      </c>
      <c r="Q3495" s="208">
        <f>MIN(1,MAX(0,(nr_MEndP-$G3495+0.5)/$C$3478))-MIN(1,MAX(0,(nr_MStartP-1-$G3495+0.5)/$C$3478))</f>
        <v/>
      </c>
      <c r="R3495" s="208">
        <f>MIN(1,MAX(0,(nr_MEndP1-$G3495+0.5)/$C$3478))-MIN(1,MAX(0,(nr_MStartP1-1-$G3495+0.5)/$C$3478))</f>
        <v/>
      </c>
      <c r="S3495" s="208">
        <f>IF($L$3478,$N3495*IF($O$3478=1,$O3495/$F$3478,1),"")</f>
        <v/>
      </c>
      <c r="T3495" s="208">
        <f>IF(NOT($L$3478),"",IF($G3495&lt;nr_MStartP,$S3495,$T3483*(1+IF($G3495&lt;nr_MStartP1,$M$3478,$N$3478))))</f>
        <v/>
      </c>
      <c r="U3495" s="208">
        <f>IF($L$3478,$T3495,$N3495)</f>
        <v/>
      </c>
    </row>
    <row r="3496">
      <c r="A3496" s="145" t="n">
        <v>16</v>
      </c>
      <c r="B3496" s="204">
        <f>EDATE($B3495,1)</f>
        <v/>
      </c>
      <c r="C3496" s="205">
        <f>EOMONTH($B3496,0)</f>
        <v/>
      </c>
      <c r="D3496" s="201">
        <f>$C3496-$B3496+1</f>
        <v/>
      </c>
      <c r="E3496" s="201">
        <f>MONTH($B3496)</f>
        <v/>
      </c>
      <c r="F3496" s="235">
        <f>($B3496+$C3496+1)/2</f>
        <v/>
      </c>
      <c r="G3496" s="201">
        <f>YEAR($B3496)*12+MONTH($B3496)-1</f>
        <v/>
      </c>
      <c r="H3496" s="207">
        <f>IF(OR(nr_SeasonOn="OFF",$D$3478=0,$E$3478=0),1,12*INDEX(se_block,$D$3478,$E3496)/$E$3478)</f>
        <v/>
      </c>
      <c r="I3496" s="208">
        <f>EXP(SUMPRODUCT((rl_eff&lt;$B3496)*(rl_key=$A$3478)*rl_ln1p))</f>
        <v/>
      </c>
      <c r="J3496" s="208">
        <f>EXP(SUMPRODUCT((rl_eff&lt;=$C3496)*(rl_key=$A$3478)*rl_ln1p))</f>
        <v/>
      </c>
      <c r="K3496" s="201">
        <f>COUNTIFS(rl_key,$A$3478,rl_eff,"&gt;="&amp;$B3496,rl_eff,"&lt;="&amp;$C3496)</f>
        <v/>
      </c>
      <c r="L3496" s="201">
        <f>SUMIFS(rl_daysafter,rl_key,$A$3478,rl_effmonth,$B3496,rl_first,1)</f>
        <v/>
      </c>
      <c r="M3496" s="209">
        <f>IF($K3496=0,0,MIN(1,$L3496/$D3496))</f>
        <v/>
      </c>
      <c r="N3496" s="208">
        <f>IF($K3496=0,$J3496,(1-$M3496)*$I3496+$M3496*$J3496)</f>
        <v/>
      </c>
      <c r="O3496" s="209">
        <f>IF($F3496&lt;$B$3479,$E$3479+$I$3479*($F3496-$A$3479),IF($F3496&lt;$C$3479,$F$3479+$J$3479*($F3496-$B$3479),$G$3479+$K$3479*($F3496-$C$3479)))</f>
        <v/>
      </c>
      <c r="P3496" s="208">
        <f>MIN(1,MAX(0,(nr_MEndPm1-$G3496+0.5)/$C$3478))-MIN(1,MAX(0,(nr_MStartPm1-1-$G3496+0.5)/$C$3478))</f>
        <v/>
      </c>
      <c r="Q3496" s="208">
        <f>MIN(1,MAX(0,(nr_MEndP-$G3496+0.5)/$C$3478))-MIN(1,MAX(0,(nr_MStartP-1-$G3496+0.5)/$C$3478))</f>
        <v/>
      </c>
      <c r="R3496" s="208">
        <f>MIN(1,MAX(0,(nr_MEndP1-$G3496+0.5)/$C$3478))-MIN(1,MAX(0,(nr_MStartP1-1-$G3496+0.5)/$C$3478))</f>
        <v/>
      </c>
      <c r="S3496" s="208">
        <f>IF($L$3478,$N3496*IF($O$3478=1,$O3496/$F$3478,1),"")</f>
        <v/>
      </c>
      <c r="T3496" s="208">
        <f>IF(NOT($L$3478),"",IF($G3496&lt;nr_MStartP,$S3496,$T3484*(1+IF($G3496&lt;nr_MStartP1,$M$3478,$N$3478))))</f>
        <v/>
      </c>
      <c r="U3496" s="208">
        <f>IF($L$3478,$T3496,$N3496)</f>
        <v/>
      </c>
    </row>
    <row r="3497">
      <c r="A3497" s="145" t="n">
        <v>17</v>
      </c>
      <c r="B3497" s="204">
        <f>EDATE($B3496,1)</f>
        <v/>
      </c>
      <c r="C3497" s="205">
        <f>EOMONTH($B3497,0)</f>
        <v/>
      </c>
      <c r="D3497" s="201">
        <f>$C3497-$B3497+1</f>
        <v/>
      </c>
      <c r="E3497" s="201">
        <f>MONTH($B3497)</f>
        <v/>
      </c>
      <c r="F3497" s="235">
        <f>($B3497+$C3497+1)/2</f>
        <v/>
      </c>
      <c r="G3497" s="201">
        <f>YEAR($B3497)*12+MONTH($B3497)-1</f>
        <v/>
      </c>
      <c r="H3497" s="207">
        <f>IF(OR(nr_SeasonOn="OFF",$D$3478=0,$E$3478=0),1,12*INDEX(se_block,$D$3478,$E3497)/$E$3478)</f>
        <v/>
      </c>
      <c r="I3497" s="208">
        <f>EXP(SUMPRODUCT((rl_eff&lt;$B3497)*(rl_key=$A$3478)*rl_ln1p))</f>
        <v/>
      </c>
      <c r="J3497" s="208">
        <f>EXP(SUMPRODUCT((rl_eff&lt;=$C3497)*(rl_key=$A$3478)*rl_ln1p))</f>
        <v/>
      </c>
      <c r="K3497" s="201">
        <f>COUNTIFS(rl_key,$A$3478,rl_eff,"&gt;="&amp;$B3497,rl_eff,"&lt;="&amp;$C3497)</f>
        <v/>
      </c>
      <c r="L3497" s="201">
        <f>SUMIFS(rl_daysafter,rl_key,$A$3478,rl_effmonth,$B3497,rl_first,1)</f>
        <v/>
      </c>
      <c r="M3497" s="209">
        <f>IF($K3497=0,0,MIN(1,$L3497/$D3497))</f>
        <v/>
      </c>
      <c r="N3497" s="208">
        <f>IF($K3497=0,$J3497,(1-$M3497)*$I3497+$M3497*$J3497)</f>
        <v/>
      </c>
      <c r="O3497" s="209">
        <f>IF($F3497&lt;$B$3479,$E$3479+$I$3479*($F3497-$A$3479),IF($F3497&lt;$C$3479,$F$3479+$J$3479*($F3497-$B$3479),$G$3479+$K$3479*($F3497-$C$3479)))</f>
        <v/>
      </c>
      <c r="P3497" s="208">
        <f>MIN(1,MAX(0,(nr_MEndPm1-$G3497+0.5)/$C$3478))-MIN(1,MAX(0,(nr_MStartPm1-1-$G3497+0.5)/$C$3478))</f>
        <v/>
      </c>
      <c r="Q3497" s="208">
        <f>MIN(1,MAX(0,(nr_MEndP-$G3497+0.5)/$C$3478))-MIN(1,MAX(0,(nr_MStartP-1-$G3497+0.5)/$C$3478))</f>
        <v/>
      </c>
      <c r="R3497" s="208">
        <f>MIN(1,MAX(0,(nr_MEndP1-$G3497+0.5)/$C$3478))-MIN(1,MAX(0,(nr_MStartP1-1-$G3497+0.5)/$C$3478))</f>
        <v/>
      </c>
      <c r="S3497" s="208">
        <f>IF($L$3478,$N3497*IF($O$3478=1,$O3497/$F$3478,1),"")</f>
        <v/>
      </c>
      <c r="T3497" s="208">
        <f>IF(NOT($L$3478),"",IF($G3497&lt;nr_MStartP,$S3497,$T3485*(1+IF($G3497&lt;nr_MStartP1,$M$3478,$N$3478))))</f>
        <v/>
      </c>
      <c r="U3497" s="208">
        <f>IF($L$3478,$T3497,$N3497)</f>
        <v/>
      </c>
    </row>
    <row r="3498">
      <c r="A3498" s="145" t="n">
        <v>18</v>
      </c>
      <c r="B3498" s="204">
        <f>EDATE($B3497,1)</f>
        <v/>
      </c>
      <c r="C3498" s="205">
        <f>EOMONTH($B3498,0)</f>
        <v/>
      </c>
      <c r="D3498" s="201">
        <f>$C3498-$B3498+1</f>
        <v/>
      </c>
      <c r="E3498" s="201">
        <f>MONTH($B3498)</f>
        <v/>
      </c>
      <c r="F3498" s="235">
        <f>($B3498+$C3498+1)/2</f>
        <v/>
      </c>
      <c r="G3498" s="201">
        <f>YEAR($B3498)*12+MONTH($B3498)-1</f>
        <v/>
      </c>
      <c r="H3498" s="207">
        <f>IF(OR(nr_SeasonOn="OFF",$D$3478=0,$E$3478=0),1,12*INDEX(se_block,$D$3478,$E3498)/$E$3478)</f>
        <v/>
      </c>
      <c r="I3498" s="208">
        <f>EXP(SUMPRODUCT((rl_eff&lt;$B3498)*(rl_key=$A$3478)*rl_ln1p))</f>
        <v/>
      </c>
      <c r="J3498" s="208">
        <f>EXP(SUMPRODUCT((rl_eff&lt;=$C3498)*(rl_key=$A$3478)*rl_ln1p))</f>
        <v/>
      </c>
      <c r="K3498" s="201">
        <f>COUNTIFS(rl_key,$A$3478,rl_eff,"&gt;="&amp;$B3498,rl_eff,"&lt;="&amp;$C3498)</f>
        <v/>
      </c>
      <c r="L3498" s="201">
        <f>SUMIFS(rl_daysafter,rl_key,$A$3478,rl_effmonth,$B3498,rl_first,1)</f>
        <v/>
      </c>
      <c r="M3498" s="209">
        <f>IF($K3498=0,0,MIN(1,$L3498/$D3498))</f>
        <v/>
      </c>
      <c r="N3498" s="208">
        <f>IF($K3498=0,$J3498,(1-$M3498)*$I3498+$M3498*$J3498)</f>
        <v/>
      </c>
      <c r="O3498" s="209">
        <f>IF($F3498&lt;$B$3479,$E$3479+$I$3479*($F3498-$A$3479),IF($F3498&lt;$C$3479,$F$3479+$J$3479*($F3498-$B$3479),$G$3479+$K$3479*($F3498-$C$3479)))</f>
        <v/>
      </c>
      <c r="P3498" s="208">
        <f>MIN(1,MAX(0,(nr_MEndPm1-$G3498+0.5)/$C$3478))-MIN(1,MAX(0,(nr_MStartPm1-1-$G3498+0.5)/$C$3478))</f>
        <v/>
      </c>
      <c r="Q3498" s="208">
        <f>MIN(1,MAX(0,(nr_MEndP-$G3498+0.5)/$C$3478))-MIN(1,MAX(0,(nr_MStartP-1-$G3498+0.5)/$C$3478))</f>
        <v/>
      </c>
      <c r="R3498" s="208">
        <f>MIN(1,MAX(0,(nr_MEndP1-$G3498+0.5)/$C$3478))-MIN(1,MAX(0,(nr_MStartP1-1-$G3498+0.5)/$C$3478))</f>
        <v/>
      </c>
      <c r="S3498" s="208">
        <f>IF($L$3478,$N3498*IF($O$3478=1,$O3498/$F$3478,1),"")</f>
        <v/>
      </c>
      <c r="T3498" s="208">
        <f>IF(NOT($L$3478),"",IF($G3498&lt;nr_MStartP,$S3498,$T3486*(1+IF($G3498&lt;nr_MStartP1,$M$3478,$N$3478))))</f>
        <v/>
      </c>
      <c r="U3498" s="208">
        <f>IF($L$3478,$T3498,$N3498)</f>
        <v/>
      </c>
    </row>
    <row r="3499">
      <c r="A3499" s="145" t="n">
        <v>19</v>
      </c>
      <c r="B3499" s="204">
        <f>EDATE($B3498,1)</f>
        <v/>
      </c>
      <c r="C3499" s="205">
        <f>EOMONTH($B3499,0)</f>
        <v/>
      </c>
      <c r="D3499" s="201">
        <f>$C3499-$B3499+1</f>
        <v/>
      </c>
      <c r="E3499" s="201">
        <f>MONTH($B3499)</f>
        <v/>
      </c>
      <c r="F3499" s="235">
        <f>($B3499+$C3499+1)/2</f>
        <v/>
      </c>
      <c r="G3499" s="201">
        <f>YEAR($B3499)*12+MONTH($B3499)-1</f>
        <v/>
      </c>
      <c r="H3499" s="207">
        <f>IF(OR(nr_SeasonOn="OFF",$D$3478=0,$E$3478=0),1,12*INDEX(se_block,$D$3478,$E3499)/$E$3478)</f>
        <v/>
      </c>
      <c r="I3499" s="208">
        <f>EXP(SUMPRODUCT((rl_eff&lt;$B3499)*(rl_key=$A$3478)*rl_ln1p))</f>
        <v/>
      </c>
      <c r="J3499" s="208">
        <f>EXP(SUMPRODUCT((rl_eff&lt;=$C3499)*(rl_key=$A$3478)*rl_ln1p))</f>
        <v/>
      </c>
      <c r="K3499" s="201">
        <f>COUNTIFS(rl_key,$A$3478,rl_eff,"&gt;="&amp;$B3499,rl_eff,"&lt;="&amp;$C3499)</f>
        <v/>
      </c>
      <c r="L3499" s="201">
        <f>SUMIFS(rl_daysafter,rl_key,$A$3478,rl_effmonth,$B3499,rl_first,1)</f>
        <v/>
      </c>
      <c r="M3499" s="209">
        <f>IF($K3499=0,0,MIN(1,$L3499/$D3499))</f>
        <v/>
      </c>
      <c r="N3499" s="208">
        <f>IF($K3499=0,$J3499,(1-$M3499)*$I3499+$M3499*$J3499)</f>
        <v/>
      </c>
      <c r="O3499" s="209">
        <f>IF($F3499&lt;$B$3479,$E$3479+$I$3479*($F3499-$A$3479),IF($F3499&lt;$C$3479,$F$3479+$J$3479*($F3499-$B$3479),$G$3479+$K$3479*($F3499-$C$3479)))</f>
        <v/>
      </c>
      <c r="P3499" s="208">
        <f>MIN(1,MAX(0,(nr_MEndPm1-$G3499+0.5)/$C$3478))-MIN(1,MAX(0,(nr_MStartPm1-1-$G3499+0.5)/$C$3478))</f>
        <v/>
      </c>
      <c r="Q3499" s="208">
        <f>MIN(1,MAX(0,(nr_MEndP-$G3499+0.5)/$C$3478))-MIN(1,MAX(0,(nr_MStartP-1-$G3499+0.5)/$C$3478))</f>
        <v/>
      </c>
      <c r="R3499" s="208">
        <f>MIN(1,MAX(0,(nr_MEndP1-$G3499+0.5)/$C$3478))-MIN(1,MAX(0,(nr_MStartP1-1-$G3499+0.5)/$C$3478))</f>
        <v/>
      </c>
      <c r="S3499" s="208">
        <f>IF($L$3478,$N3499*IF($O$3478=1,$O3499/$F$3478,1),"")</f>
        <v/>
      </c>
      <c r="T3499" s="208">
        <f>IF(NOT($L$3478),"",IF($G3499&lt;nr_MStartP,$S3499,$T3487*(1+IF($G3499&lt;nr_MStartP1,$M$3478,$N$3478))))</f>
        <v/>
      </c>
      <c r="U3499" s="208">
        <f>IF($L$3478,$T3499,$N3499)</f>
        <v/>
      </c>
    </row>
    <row r="3500">
      <c r="A3500" s="145" t="n">
        <v>20</v>
      </c>
      <c r="B3500" s="204">
        <f>EDATE($B3499,1)</f>
        <v/>
      </c>
      <c r="C3500" s="205">
        <f>EOMONTH($B3500,0)</f>
        <v/>
      </c>
      <c r="D3500" s="201">
        <f>$C3500-$B3500+1</f>
        <v/>
      </c>
      <c r="E3500" s="201">
        <f>MONTH($B3500)</f>
        <v/>
      </c>
      <c r="F3500" s="235">
        <f>($B3500+$C3500+1)/2</f>
        <v/>
      </c>
      <c r="G3500" s="201">
        <f>YEAR($B3500)*12+MONTH($B3500)-1</f>
        <v/>
      </c>
      <c r="H3500" s="207">
        <f>IF(OR(nr_SeasonOn="OFF",$D$3478=0,$E$3478=0),1,12*INDEX(se_block,$D$3478,$E3500)/$E$3478)</f>
        <v/>
      </c>
      <c r="I3500" s="208">
        <f>EXP(SUMPRODUCT((rl_eff&lt;$B3500)*(rl_key=$A$3478)*rl_ln1p))</f>
        <v/>
      </c>
      <c r="J3500" s="208">
        <f>EXP(SUMPRODUCT((rl_eff&lt;=$C3500)*(rl_key=$A$3478)*rl_ln1p))</f>
        <v/>
      </c>
      <c r="K3500" s="201">
        <f>COUNTIFS(rl_key,$A$3478,rl_eff,"&gt;="&amp;$B3500,rl_eff,"&lt;="&amp;$C3500)</f>
        <v/>
      </c>
      <c r="L3500" s="201">
        <f>SUMIFS(rl_daysafter,rl_key,$A$3478,rl_effmonth,$B3500,rl_first,1)</f>
        <v/>
      </c>
      <c r="M3500" s="209">
        <f>IF($K3500=0,0,MIN(1,$L3500/$D3500))</f>
        <v/>
      </c>
      <c r="N3500" s="208">
        <f>IF($K3500=0,$J3500,(1-$M3500)*$I3500+$M3500*$J3500)</f>
        <v/>
      </c>
      <c r="O3500" s="209">
        <f>IF($F3500&lt;$B$3479,$E$3479+$I$3479*($F3500-$A$3479),IF($F3500&lt;$C$3479,$F$3479+$J$3479*($F3500-$B$3479),$G$3479+$K$3479*($F3500-$C$3479)))</f>
        <v/>
      </c>
      <c r="P3500" s="208">
        <f>MIN(1,MAX(0,(nr_MEndPm1-$G3500+0.5)/$C$3478))-MIN(1,MAX(0,(nr_MStartPm1-1-$G3500+0.5)/$C$3478))</f>
        <v/>
      </c>
      <c r="Q3500" s="208">
        <f>MIN(1,MAX(0,(nr_MEndP-$G3500+0.5)/$C$3478))-MIN(1,MAX(0,(nr_MStartP-1-$G3500+0.5)/$C$3478))</f>
        <v/>
      </c>
      <c r="R3500" s="208">
        <f>MIN(1,MAX(0,(nr_MEndP1-$G3500+0.5)/$C$3478))-MIN(1,MAX(0,(nr_MStartP1-1-$G3500+0.5)/$C$3478))</f>
        <v/>
      </c>
      <c r="S3500" s="208">
        <f>IF($L$3478,$N3500*IF($O$3478=1,$O3500/$F$3478,1),"")</f>
        <v/>
      </c>
      <c r="T3500" s="208">
        <f>IF(NOT($L$3478),"",IF($G3500&lt;nr_MStartP,$S3500,$T3488*(1+IF($G3500&lt;nr_MStartP1,$M$3478,$N$3478))))</f>
        <v/>
      </c>
      <c r="U3500" s="208">
        <f>IF($L$3478,$T3500,$N3500)</f>
        <v/>
      </c>
    </row>
    <row r="3501">
      <c r="A3501" s="145" t="n">
        <v>21</v>
      </c>
      <c r="B3501" s="204">
        <f>EDATE($B3500,1)</f>
        <v/>
      </c>
      <c r="C3501" s="205">
        <f>EOMONTH($B3501,0)</f>
        <v/>
      </c>
      <c r="D3501" s="201">
        <f>$C3501-$B3501+1</f>
        <v/>
      </c>
      <c r="E3501" s="201">
        <f>MONTH($B3501)</f>
        <v/>
      </c>
      <c r="F3501" s="235">
        <f>($B3501+$C3501+1)/2</f>
        <v/>
      </c>
      <c r="G3501" s="201">
        <f>YEAR($B3501)*12+MONTH($B3501)-1</f>
        <v/>
      </c>
      <c r="H3501" s="207">
        <f>IF(OR(nr_SeasonOn="OFF",$D$3478=0,$E$3478=0),1,12*INDEX(se_block,$D$3478,$E3501)/$E$3478)</f>
        <v/>
      </c>
      <c r="I3501" s="208">
        <f>EXP(SUMPRODUCT((rl_eff&lt;$B3501)*(rl_key=$A$3478)*rl_ln1p))</f>
        <v/>
      </c>
      <c r="J3501" s="208">
        <f>EXP(SUMPRODUCT((rl_eff&lt;=$C3501)*(rl_key=$A$3478)*rl_ln1p))</f>
        <v/>
      </c>
      <c r="K3501" s="201">
        <f>COUNTIFS(rl_key,$A$3478,rl_eff,"&gt;="&amp;$B3501,rl_eff,"&lt;="&amp;$C3501)</f>
        <v/>
      </c>
      <c r="L3501" s="201">
        <f>SUMIFS(rl_daysafter,rl_key,$A$3478,rl_effmonth,$B3501,rl_first,1)</f>
        <v/>
      </c>
      <c r="M3501" s="209">
        <f>IF($K3501=0,0,MIN(1,$L3501/$D3501))</f>
        <v/>
      </c>
      <c r="N3501" s="208">
        <f>IF($K3501=0,$J3501,(1-$M3501)*$I3501+$M3501*$J3501)</f>
        <v/>
      </c>
      <c r="O3501" s="209">
        <f>IF($F3501&lt;$B$3479,$E$3479+$I$3479*($F3501-$A$3479),IF($F3501&lt;$C$3479,$F$3479+$J$3479*($F3501-$B$3479),$G$3479+$K$3479*($F3501-$C$3479)))</f>
        <v/>
      </c>
      <c r="P3501" s="208">
        <f>MIN(1,MAX(0,(nr_MEndPm1-$G3501+0.5)/$C$3478))-MIN(1,MAX(0,(nr_MStartPm1-1-$G3501+0.5)/$C$3478))</f>
        <v/>
      </c>
      <c r="Q3501" s="208">
        <f>MIN(1,MAX(0,(nr_MEndP-$G3501+0.5)/$C$3478))-MIN(1,MAX(0,(nr_MStartP-1-$G3501+0.5)/$C$3478))</f>
        <v/>
      </c>
      <c r="R3501" s="208">
        <f>MIN(1,MAX(0,(nr_MEndP1-$G3501+0.5)/$C$3478))-MIN(1,MAX(0,(nr_MStartP1-1-$G3501+0.5)/$C$3478))</f>
        <v/>
      </c>
      <c r="S3501" s="208">
        <f>IF($L$3478,$N3501*IF($O$3478=1,$O3501/$F$3478,1),"")</f>
        <v/>
      </c>
      <c r="T3501" s="208">
        <f>IF(NOT($L$3478),"",IF($G3501&lt;nr_MStartP,$S3501,$T3489*(1+IF($G3501&lt;nr_MStartP1,$M$3478,$N$3478))))</f>
        <v/>
      </c>
      <c r="U3501" s="208">
        <f>IF($L$3478,$T3501,$N3501)</f>
        <v/>
      </c>
    </row>
    <row r="3502">
      <c r="A3502" s="145" t="n">
        <v>22</v>
      </c>
      <c r="B3502" s="204">
        <f>EDATE($B3501,1)</f>
        <v/>
      </c>
      <c r="C3502" s="205">
        <f>EOMONTH($B3502,0)</f>
        <v/>
      </c>
      <c r="D3502" s="201">
        <f>$C3502-$B3502+1</f>
        <v/>
      </c>
      <c r="E3502" s="201">
        <f>MONTH($B3502)</f>
        <v/>
      </c>
      <c r="F3502" s="235">
        <f>($B3502+$C3502+1)/2</f>
        <v/>
      </c>
      <c r="G3502" s="201">
        <f>YEAR($B3502)*12+MONTH($B3502)-1</f>
        <v/>
      </c>
      <c r="H3502" s="207">
        <f>IF(OR(nr_SeasonOn="OFF",$D$3478=0,$E$3478=0),1,12*INDEX(se_block,$D$3478,$E3502)/$E$3478)</f>
        <v/>
      </c>
      <c r="I3502" s="208">
        <f>EXP(SUMPRODUCT((rl_eff&lt;$B3502)*(rl_key=$A$3478)*rl_ln1p))</f>
        <v/>
      </c>
      <c r="J3502" s="208">
        <f>EXP(SUMPRODUCT((rl_eff&lt;=$C3502)*(rl_key=$A$3478)*rl_ln1p))</f>
        <v/>
      </c>
      <c r="K3502" s="201">
        <f>COUNTIFS(rl_key,$A$3478,rl_eff,"&gt;="&amp;$B3502,rl_eff,"&lt;="&amp;$C3502)</f>
        <v/>
      </c>
      <c r="L3502" s="201">
        <f>SUMIFS(rl_daysafter,rl_key,$A$3478,rl_effmonth,$B3502,rl_first,1)</f>
        <v/>
      </c>
      <c r="M3502" s="209">
        <f>IF($K3502=0,0,MIN(1,$L3502/$D3502))</f>
        <v/>
      </c>
      <c r="N3502" s="208">
        <f>IF($K3502=0,$J3502,(1-$M3502)*$I3502+$M3502*$J3502)</f>
        <v/>
      </c>
      <c r="O3502" s="209">
        <f>IF($F3502&lt;$B$3479,$E$3479+$I$3479*($F3502-$A$3479),IF($F3502&lt;$C$3479,$F$3479+$J$3479*($F3502-$B$3479),$G$3479+$K$3479*($F3502-$C$3479)))</f>
        <v/>
      </c>
      <c r="P3502" s="208">
        <f>MIN(1,MAX(0,(nr_MEndPm1-$G3502+0.5)/$C$3478))-MIN(1,MAX(0,(nr_MStartPm1-1-$G3502+0.5)/$C$3478))</f>
        <v/>
      </c>
      <c r="Q3502" s="208">
        <f>MIN(1,MAX(0,(nr_MEndP-$G3502+0.5)/$C$3478))-MIN(1,MAX(0,(nr_MStartP-1-$G3502+0.5)/$C$3478))</f>
        <v/>
      </c>
      <c r="R3502" s="208">
        <f>MIN(1,MAX(0,(nr_MEndP1-$G3502+0.5)/$C$3478))-MIN(1,MAX(0,(nr_MStartP1-1-$G3502+0.5)/$C$3478))</f>
        <v/>
      </c>
      <c r="S3502" s="208">
        <f>IF($L$3478,$N3502*IF($O$3478=1,$O3502/$F$3478,1),"")</f>
        <v/>
      </c>
      <c r="T3502" s="208">
        <f>IF(NOT($L$3478),"",IF($G3502&lt;nr_MStartP,$S3502,$T3490*(1+IF($G3502&lt;nr_MStartP1,$M$3478,$N$3478))))</f>
        <v/>
      </c>
      <c r="U3502" s="208">
        <f>IF($L$3478,$T3502,$N3502)</f>
        <v/>
      </c>
    </row>
    <row r="3503">
      <c r="A3503" s="145" t="n">
        <v>23</v>
      </c>
      <c r="B3503" s="204">
        <f>EDATE($B3502,1)</f>
        <v/>
      </c>
      <c r="C3503" s="205">
        <f>EOMONTH($B3503,0)</f>
        <v/>
      </c>
      <c r="D3503" s="201">
        <f>$C3503-$B3503+1</f>
        <v/>
      </c>
      <c r="E3503" s="201">
        <f>MONTH($B3503)</f>
        <v/>
      </c>
      <c r="F3503" s="235">
        <f>($B3503+$C3503+1)/2</f>
        <v/>
      </c>
      <c r="G3503" s="201">
        <f>YEAR($B3503)*12+MONTH($B3503)-1</f>
        <v/>
      </c>
      <c r="H3503" s="207">
        <f>IF(OR(nr_SeasonOn="OFF",$D$3478=0,$E$3478=0),1,12*INDEX(se_block,$D$3478,$E3503)/$E$3478)</f>
        <v/>
      </c>
      <c r="I3503" s="208">
        <f>EXP(SUMPRODUCT((rl_eff&lt;$B3503)*(rl_key=$A$3478)*rl_ln1p))</f>
        <v/>
      </c>
      <c r="J3503" s="208">
        <f>EXP(SUMPRODUCT((rl_eff&lt;=$C3503)*(rl_key=$A$3478)*rl_ln1p))</f>
        <v/>
      </c>
      <c r="K3503" s="201">
        <f>COUNTIFS(rl_key,$A$3478,rl_eff,"&gt;="&amp;$B3503,rl_eff,"&lt;="&amp;$C3503)</f>
        <v/>
      </c>
      <c r="L3503" s="201">
        <f>SUMIFS(rl_daysafter,rl_key,$A$3478,rl_effmonth,$B3503,rl_first,1)</f>
        <v/>
      </c>
      <c r="M3503" s="209">
        <f>IF($K3503=0,0,MIN(1,$L3503/$D3503))</f>
        <v/>
      </c>
      <c r="N3503" s="208">
        <f>IF($K3503=0,$J3503,(1-$M3503)*$I3503+$M3503*$J3503)</f>
        <v/>
      </c>
      <c r="O3503" s="209">
        <f>IF($F3503&lt;$B$3479,$E$3479+$I$3479*($F3503-$A$3479),IF($F3503&lt;$C$3479,$F$3479+$J$3479*($F3503-$B$3479),$G$3479+$K$3479*($F3503-$C$3479)))</f>
        <v/>
      </c>
      <c r="P3503" s="208">
        <f>MIN(1,MAX(0,(nr_MEndPm1-$G3503+0.5)/$C$3478))-MIN(1,MAX(0,(nr_MStartPm1-1-$G3503+0.5)/$C$3478))</f>
        <v/>
      </c>
      <c r="Q3503" s="208">
        <f>MIN(1,MAX(0,(nr_MEndP-$G3503+0.5)/$C$3478))-MIN(1,MAX(0,(nr_MStartP-1-$G3503+0.5)/$C$3478))</f>
        <v/>
      </c>
      <c r="R3503" s="208">
        <f>MIN(1,MAX(0,(nr_MEndP1-$G3503+0.5)/$C$3478))-MIN(1,MAX(0,(nr_MStartP1-1-$G3503+0.5)/$C$3478))</f>
        <v/>
      </c>
      <c r="S3503" s="208">
        <f>IF($L$3478,$N3503*IF($O$3478=1,$O3503/$F$3478,1),"")</f>
        <v/>
      </c>
      <c r="T3503" s="208">
        <f>IF(NOT($L$3478),"",IF($G3503&lt;nr_MStartP,$S3503,$T3491*(1+IF($G3503&lt;nr_MStartP1,$M$3478,$N$3478))))</f>
        <v/>
      </c>
      <c r="U3503" s="208">
        <f>IF($L$3478,$T3503,$N3503)</f>
        <v/>
      </c>
    </row>
    <row r="3504">
      <c r="A3504" s="145" t="n">
        <v>24</v>
      </c>
      <c r="B3504" s="204">
        <f>EDATE($B3503,1)</f>
        <v/>
      </c>
      <c r="C3504" s="205">
        <f>EOMONTH($B3504,0)</f>
        <v/>
      </c>
      <c r="D3504" s="201">
        <f>$C3504-$B3504+1</f>
        <v/>
      </c>
      <c r="E3504" s="201">
        <f>MONTH($B3504)</f>
        <v/>
      </c>
      <c r="F3504" s="235">
        <f>($B3504+$C3504+1)/2</f>
        <v/>
      </c>
      <c r="G3504" s="201">
        <f>YEAR($B3504)*12+MONTH($B3504)-1</f>
        <v/>
      </c>
      <c r="H3504" s="207">
        <f>IF(OR(nr_SeasonOn="OFF",$D$3478=0,$E$3478=0),1,12*INDEX(se_block,$D$3478,$E3504)/$E$3478)</f>
        <v/>
      </c>
      <c r="I3504" s="208">
        <f>EXP(SUMPRODUCT((rl_eff&lt;$B3504)*(rl_key=$A$3478)*rl_ln1p))</f>
        <v/>
      </c>
      <c r="J3504" s="208">
        <f>EXP(SUMPRODUCT((rl_eff&lt;=$C3504)*(rl_key=$A$3478)*rl_ln1p))</f>
        <v/>
      </c>
      <c r="K3504" s="201">
        <f>COUNTIFS(rl_key,$A$3478,rl_eff,"&gt;="&amp;$B3504,rl_eff,"&lt;="&amp;$C3504)</f>
        <v/>
      </c>
      <c r="L3504" s="201">
        <f>SUMIFS(rl_daysafter,rl_key,$A$3478,rl_effmonth,$B3504,rl_first,1)</f>
        <v/>
      </c>
      <c r="M3504" s="209">
        <f>IF($K3504=0,0,MIN(1,$L3504/$D3504))</f>
        <v/>
      </c>
      <c r="N3504" s="208">
        <f>IF($K3504=0,$J3504,(1-$M3504)*$I3504+$M3504*$J3504)</f>
        <v/>
      </c>
      <c r="O3504" s="209">
        <f>IF($F3504&lt;$B$3479,$E$3479+$I$3479*($F3504-$A$3479),IF($F3504&lt;$C$3479,$F$3479+$J$3479*($F3504-$B$3479),$G$3479+$K$3479*($F3504-$C$3479)))</f>
        <v/>
      </c>
      <c r="P3504" s="208">
        <f>MIN(1,MAX(0,(nr_MEndPm1-$G3504+0.5)/$C$3478))-MIN(1,MAX(0,(nr_MStartPm1-1-$G3504+0.5)/$C$3478))</f>
        <v/>
      </c>
      <c r="Q3504" s="208">
        <f>MIN(1,MAX(0,(nr_MEndP-$G3504+0.5)/$C$3478))-MIN(1,MAX(0,(nr_MStartP-1-$G3504+0.5)/$C$3478))</f>
        <v/>
      </c>
      <c r="R3504" s="208">
        <f>MIN(1,MAX(0,(nr_MEndP1-$G3504+0.5)/$C$3478))-MIN(1,MAX(0,(nr_MStartP1-1-$G3504+0.5)/$C$3478))</f>
        <v/>
      </c>
      <c r="S3504" s="208">
        <f>IF($L$3478,$N3504*IF($O$3478=1,$O3504/$F$3478,1),"")</f>
        <v/>
      </c>
      <c r="T3504" s="208">
        <f>IF(NOT($L$3478),"",IF($G3504&lt;nr_MStartP,$S3504,$T3492*(1+IF($G3504&lt;nr_MStartP1,$M$3478,$N$3478))))</f>
        <v/>
      </c>
      <c r="U3504" s="208">
        <f>IF($L$3478,$T3504,$N3504)</f>
        <v/>
      </c>
    </row>
    <row r="3505">
      <c r="A3505" s="145" t="n">
        <v>25</v>
      </c>
      <c r="B3505" s="204">
        <f>EDATE($B3504,1)</f>
        <v/>
      </c>
      <c r="C3505" s="205">
        <f>EOMONTH($B3505,0)</f>
        <v/>
      </c>
      <c r="D3505" s="201">
        <f>$C3505-$B3505+1</f>
        <v/>
      </c>
      <c r="E3505" s="201">
        <f>MONTH($B3505)</f>
        <v/>
      </c>
      <c r="F3505" s="235">
        <f>($B3505+$C3505+1)/2</f>
        <v/>
      </c>
      <c r="G3505" s="201">
        <f>YEAR($B3505)*12+MONTH($B3505)-1</f>
        <v/>
      </c>
      <c r="H3505" s="207">
        <f>IF(OR(nr_SeasonOn="OFF",$D$3478=0,$E$3478=0),1,12*INDEX(se_block,$D$3478,$E3505)/$E$3478)</f>
        <v/>
      </c>
      <c r="I3505" s="208">
        <f>EXP(SUMPRODUCT((rl_eff&lt;$B3505)*(rl_key=$A$3478)*rl_ln1p))</f>
        <v/>
      </c>
      <c r="J3505" s="208">
        <f>EXP(SUMPRODUCT((rl_eff&lt;=$C3505)*(rl_key=$A$3478)*rl_ln1p))</f>
        <v/>
      </c>
      <c r="K3505" s="201">
        <f>COUNTIFS(rl_key,$A$3478,rl_eff,"&gt;="&amp;$B3505,rl_eff,"&lt;="&amp;$C3505)</f>
        <v/>
      </c>
      <c r="L3505" s="201">
        <f>SUMIFS(rl_daysafter,rl_key,$A$3478,rl_effmonth,$B3505,rl_first,1)</f>
        <v/>
      </c>
      <c r="M3505" s="209">
        <f>IF($K3505=0,0,MIN(1,$L3505/$D3505))</f>
        <v/>
      </c>
      <c r="N3505" s="208">
        <f>IF($K3505=0,$J3505,(1-$M3505)*$I3505+$M3505*$J3505)</f>
        <v/>
      </c>
      <c r="O3505" s="209">
        <f>IF($F3505&lt;$B$3479,$E$3479+$I$3479*($F3505-$A$3479),IF($F3505&lt;$C$3479,$F$3479+$J$3479*($F3505-$B$3479),$G$3479+$K$3479*($F3505-$C$3479)))</f>
        <v/>
      </c>
      <c r="P3505" s="208">
        <f>MIN(1,MAX(0,(nr_MEndPm1-$G3505+0.5)/$C$3478))-MIN(1,MAX(0,(nr_MStartPm1-1-$G3505+0.5)/$C$3478))</f>
        <v/>
      </c>
      <c r="Q3505" s="208">
        <f>MIN(1,MAX(0,(nr_MEndP-$G3505+0.5)/$C$3478))-MIN(1,MAX(0,(nr_MStartP-1-$G3505+0.5)/$C$3478))</f>
        <v/>
      </c>
      <c r="R3505" s="208">
        <f>MIN(1,MAX(0,(nr_MEndP1-$G3505+0.5)/$C$3478))-MIN(1,MAX(0,(nr_MStartP1-1-$G3505+0.5)/$C$3478))</f>
        <v/>
      </c>
      <c r="S3505" s="208">
        <f>IF($L$3478,$N3505*IF($O$3478=1,$O3505/$F$3478,1),"")</f>
        <v/>
      </c>
      <c r="T3505" s="208">
        <f>IF(NOT($L$3478),"",IF($G3505&lt;nr_MStartP,$S3505,$T3493*(1+IF($G3505&lt;nr_MStartP1,$M$3478,$N$3478))))</f>
        <v/>
      </c>
      <c r="U3505" s="208">
        <f>IF($L$3478,$T3505,$N3505)</f>
        <v/>
      </c>
    </row>
    <row r="3506">
      <c r="A3506" s="145" t="n">
        <v>26</v>
      </c>
      <c r="B3506" s="204">
        <f>EDATE($B3505,1)</f>
        <v/>
      </c>
      <c r="C3506" s="205">
        <f>EOMONTH($B3506,0)</f>
        <v/>
      </c>
      <c r="D3506" s="201">
        <f>$C3506-$B3506+1</f>
        <v/>
      </c>
      <c r="E3506" s="201">
        <f>MONTH($B3506)</f>
        <v/>
      </c>
      <c r="F3506" s="235">
        <f>($B3506+$C3506+1)/2</f>
        <v/>
      </c>
      <c r="G3506" s="201">
        <f>YEAR($B3506)*12+MONTH($B3506)-1</f>
        <v/>
      </c>
      <c r="H3506" s="207">
        <f>IF(OR(nr_SeasonOn="OFF",$D$3478=0,$E$3478=0),1,12*INDEX(se_block,$D$3478,$E3506)/$E$3478)</f>
        <v/>
      </c>
      <c r="I3506" s="208">
        <f>EXP(SUMPRODUCT((rl_eff&lt;$B3506)*(rl_key=$A$3478)*rl_ln1p))</f>
        <v/>
      </c>
      <c r="J3506" s="208">
        <f>EXP(SUMPRODUCT((rl_eff&lt;=$C3506)*(rl_key=$A$3478)*rl_ln1p))</f>
        <v/>
      </c>
      <c r="K3506" s="201">
        <f>COUNTIFS(rl_key,$A$3478,rl_eff,"&gt;="&amp;$B3506,rl_eff,"&lt;="&amp;$C3506)</f>
        <v/>
      </c>
      <c r="L3506" s="201">
        <f>SUMIFS(rl_daysafter,rl_key,$A$3478,rl_effmonth,$B3506,rl_first,1)</f>
        <v/>
      </c>
      <c r="M3506" s="209">
        <f>IF($K3506=0,0,MIN(1,$L3506/$D3506))</f>
        <v/>
      </c>
      <c r="N3506" s="208">
        <f>IF($K3506=0,$J3506,(1-$M3506)*$I3506+$M3506*$J3506)</f>
        <v/>
      </c>
      <c r="O3506" s="209">
        <f>IF($F3506&lt;$B$3479,$E$3479+$I$3479*($F3506-$A$3479),IF($F3506&lt;$C$3479,$F$3479+$J$3479*($F3506-$B$3479),$G$3479+$K$3479*($F3506-$C$3479)))</f>
        <v/>
      </c>
      <c r="P3506" s="208">
        <f>MIN(1,MAX(0,(nr_MEndPm1-$G3506+0.5)/$C$3478))-MIN(1,MAX(0,(nr_MStartPm1-1-$G3506+0.5)/$C$3478))</f>
        <v/>
      </c>
      <c r="Q3506" s="208">
        <f>MIN(1,MAX(0,(nr_MEndP-$G3506+0.5)/$C$3478))-MIN(1,MAX(0,(nr_MStartP-1-$G3506+0.5)/$C$3478))</f>
        <v/>
      </c>
      <c r="R3506" s="208">
        <f>MIN(1,MAX(0,(nr_MEndP1-$G3506+0.5)/$C$3478))-MIN(1,MAX(0,(nr_MStartP1-1-$G3506+0.5)/$C$3478))</f>
        <v/>
      </c>
      <c r="S3506" s="208">
        <f>IF($L$3478,$N3506*IF($O$3478=1,$O3506/$F$3478,1),"")</f>
        <v/>
      </c>
      <c r="T3506" s="208">
        <f>IF(NOT($L$3478),"",IF($G3506&lt;nr_MStartP,$S3506,$T3494*(1+IF($G3506&lt;nr_MStartP1,$M$3478,$N$3478))))</f>
        <v/>
      </c>
      <c r="U3506" s="208">
        <f>IF($L$3478,$T3506,$N3506)</f>
        <v/>
      </c>
    </row>
    <row r="3507">
      <c r="A3507" s="145" t="n">
        <v>27</v>
      </c>
      <c r="B3507" s="204">
        <f>EDATE($B3506,1)</f>
        <v/>
      </c>
      <c r="C3507" s="205">
        <f>EOMONTH($B3507,0)</f>
        <v/>
      </c>
      <c r="D3507" s="201">
        <f>$C3507-$B3507+1</f>
        <v/>
      </c>
      <c r="E3507" s="201">
        <f>MONTH($B3507)</f>
        <v/>
      </c>
      <c r="F3507" s="235">
        <f>($B3507+$C3507+1)/2</f>
        <v/>
      </c>
      <c r="G3507" s="201">
        <f>YEAR($B3507)*12+MONTH($B3507)-1</f>
        <v/>
      </c>
      <c r="H3507" s="207">
        <f>IF(OR(nr_SeasonOn="OFF",$D$3478=0,$E$3478=0),1,12*INDEX(se_block,$D$3478,$E3507)/$E$3478)</f>
        <v/>
      </c>
      <c r="I3507" s="208">
        <f>EXP(SUMPRODUCT((rl_eff&lt;$B3507)*(rl_key=$A$3478)*rl_ln1p))</f>
        <v/>
      </c>
      <c r="J3507" s="208">
        <f>EXP(SUMPRODUCT((rl_eff&lt;=$C3507)*(rl_key=$A$3478)*rl_ln1p))</f>
        <v/>
      </c>
      <c r="K3507" s="201">
        <f>COUNTIFS(rl_key,$A$3478,rl_eff,"&gt;="&amp;$B3507,rl_eff,"&lt;="&amp;$C3507)</f>
        <v/>
      </c>
      <c r="L3507" s="201">
        <f>SUMIFS(rl_daysafter,rl_key,$A$3478,rl_effmonth,$B3507,rl_first,1)</f>
        <v/>
      </c>
      <c r="M3507" s="209">
        <f>IF($K3507=0,0,MIN(1,$L3507/$D3507))</f>
        <v/>
      </c>
      <c r="N3507" s="208">
        <f>IF($K3507=0,$J3507,(1-$M3507)*$I3507+$M3507*$J3507)</f>
        <v/>
      </c>
      <c r="O3507" s="209">
        <f>IF($F3507&lt;$B$3479,$E$3479+$I$3479*($F3507-$A$3479),IF($F3507&lt;$C$3479,$F$3479+$J$3479*($F3507-$B$3479),$G$3479+$K$3479*($F3507-$C$3479)))</f>
        <v/>
      </c>
      <c r="P3507" s="208">
        <f>MIN(1,MAX(0,(nr_MEndPm1-$G3507+0.5)/$C$3478))-MIN(1,MAX(0,(nr_MStartPm1-1-$G3507+0.5)/$C$3478))</f>
        <v/>
      </c>
      <c r="Q3507" s="208">
        <f>MIN(1,MAX(0,(nr_MEndP-$G3507+0.5)/$C$3478))-MIN(1,MAX(0,(nr_MStartP-1-$G3507+0.5)/$C$3478))</f>
        <v/>
      </c>
      <c r="R3507" s="208">
        <f>MIN(1,MAX(0,(nr_MEndP1-$G3507+0.5)/$C$3478))-MIN(1,MAX(0,(nr_MStartP1-1-$G3507+0.5)/$C$3478))</f>
        <v/>
      </c>
      <c r="S3507" s="208">
        <f>IF($L$3478,$N3507*IF($O$3478=1,$O3507/$F$3478,1),"")</f>
        <v/>
      </c>
      <c r="T3507" s="208">
        <f>IF(NOT($L$3478),"",IF($G3507&lt;nr_MStartP,$S3507,$T3495*(1+IF($G3507&lt;nr_MStartP1,$M$3478,$N$3478))))</f>
        <v/>
      </c>
      <c r="U3507" s="208">
        <f>IF($L$3478,$T3507,$N3507)</f>
        <v/>
      </c>
    </row>
    <row r="3508">
      <c r="A3508" s="145" t="n">
        <v>28</v>
      </c>
      <c r="B3508" s="204">
        <f>EDATE($B3507,1)</f>
        <v/>
      </c>
      <c r="C3508" s="205">
        <f>EOMONTH($B3508,0)</f>
        <v/>
      </c>
      <c r="D3508" s="201">
        <f>$C3508-$B3508+1</f>
        <v/>
      </c>
      <c r="E3508" s="201">
        <f>MONTH($B3508)</f>
        <v/>
      </c>
      <c r="F3508" s="235">
        <f>($B3508+$C3508+1)/2</f>
        <v/>
      </c>
      <c r="G3508" s="201">
        <f>YEAR($B3508)*12+MONTH($B3508)-1</f>
        <v/>
      </c>
      <c r="H3508" s="207">
        <f>IF(OR(nr_SeasonOn="OFF",$D$3478=0,$E$3478=0),1,12*INDEX(se_block,$D$3478,$E3508)/$E$3478)</f>
        <v/>
      </c>
      <c r="I3508" s="208">
        <f>EXP(SUMPRODUCT((rl_eff&lt;$B3508)*(rl_key=$A$3478)*rl_ln1p))</f>
        <v/>
      </c>
      <c r="J3508" s="208">
        <f>EXP(SUMPRODUCT((rl_eff&lt;=$C3508)*(rl_key=$A$3478)*rl_ln1p))</f>
        <v/>
      </c>
      <c r="K3508" s="201">
        <f>COUNTIFS(rl_key,$A$3478,rl_eff,"&gt;="&amp;$B3508,rl_eff,"&lt;="&amp;$C3508)</f>
        <v/>
      </c>
      <c r="L3508" s="201">
        <f>SUMIFS(rl_daysafter,rl_key,$A$3478,rl_effmonth,$B3508,rl_first,1)</f>
        <v/>
      </c>
      <c r="M3508" s="209">
        <f>IF($K3508=0,0,MIN(1,$L3508/$D3508))</f>
        <v/>
      </c>
      <c r="N3508" s="208">
        <f>IF($K3508=0,$J3508,(1-$M3508)*$I3508+$M3508*$J3508)</f>
        <v/>
      </c>
      <c r="O3508" s="209">
        <f>IF($F3508&lt;$B$3479,$E$3479+$I$3479*($F3508-$A$3479),IF($F3508&lt;$C$3479,$F$3479+$J$3479*($F3508-$B$3479),$G$3479+$K$3479*($F3508-$C$3479)))</f>
        <v/>
      </c>
      <c r="P3508" s="208">
        <f>MIN(1,MAX(0,(nr_MEndPm1-$G3508+0.5)/$C$3478))-MIN(1,MAX(0,(nr_MStartPm1-1-$G3508+0.5)/$C$3478))</f>
        <v/>
      </c>
      <c r="Q3508" s="208">
        <f>MIN(1,MAX(0,(nr_MEndP-$G3508+0.5)/$C$3478))-MIN(1,MAX(0,(nr_MStartP-1-$G3508+0.5)/$C$3478))</f>
        <v/>
      </c>
      <c r="R3508" s="208">
        <f>MIN(1,MAX(0,(nr_MEndP1-$G3508+0.5)/$C$3478))-MIN(1,MAX(0,(nr_MStartP1-1-$G3508+0.5)/$C$3478))</f>
        <v/>
      </c>
      <c r="S3508" s="208">
        <f>IF($L$3478,$N3508*IF($O$3478=1,$O3508/$F$3478,1),"")</f>
        <v/>
      </c>
      <c r="T3508" s="208">
        <f>IF(NOT($L$3478),"",IF($G3508&lt;nr_MStartP,$S3508,$T3496*(1+IF($G3508&lt;nr_MStartP1,$M$3478,$N$3478))))</f>
        <v/>
      </c>
      <c r="U3508" s="208">
        <f>IF($L$3478,$T3508,$N3508)</f>
        <v/>
      </c>
    </row>
    <row r="3509">
      <c r="A3509" s="145" t="n">
        <v>29</v>
      </c>
      <c r="B3509" s="204">
        <f>EDATE($B3508,1)</f>
        <v/>
      </c>
      <c r="C3509" s="205">
        <f>EOMONTH($B3509,0)</f>
        <v/>
      </c>
      <c r="D3509" s="201">
        <f>$C3509-$B3509+1</f>
        <v/>
      </c>
      <c r="E3509" s="201">
        <f>MONTH($B3509)</f>
        <v/>
      </c>
      <c r="F3509" s="235">
        <f>($B3509+$C3509+1)/2</f>
        <v/>
      </c>
      <c r="G3509" s="201">
        <f>YEAR($B3509)*12+MONTH($B3509)-1</f>
        <v/>
      </c>
      <c r="H3509" s="207">
        <f>IF(OR(nr_SeasonOn="OFF",$D$3478=0,$E$3478=0),1,12*INDEX(se_block,$D$3478,$E3509)/$E$3478)</f>
        <v/>
      </c>
      <c r="I3509" s="208">
        <f>EXP(SUMPRODUCT((rl_eff&lt;$B3509)*(rl_key=$A$3478)*rl_ln1p))</f>
        <v/>
      </c>
      <c r="J3509" s="208">
        <f>EXP(SUMPRODUCT((rl_eff&lt;=$C3509)*(rl_key=$A$3478)*rl_ln1p))</f>
        <v/>
      </c>
      <c r="K3509" s="201">
        <f>COUNTIFS(rl_key,$A$3478,rl_eff,"&gt;="&amp;$B3509,rl_eff,"&lt;="&amp;$C3509)</f>
        <v/>
      </c>
      <c r="L3509" s="201">
        <f>SUMIFS(rl_daysafter,rl_key,$A$3478,rl_effmonth,$B3509,rl_first,1)</f>
        <v/>
      </c>
      <c r="M3509" s="209">
        <f>IF($K3509=0,0,MIN(1,$L3509/$D3509))</f>
        <v/>
      </c>
      <c r="N3509" s="208">
        <f>IF($K3509=0,$J3509,(1-$M3509)*$I3509+$M3509*$J3509)</f>
        <v/>
      </c>
      <c r="O3509" s="209">
        <f>IF($F3509&lt;$B$3479,$E$3479+$I$3479*($F3509-$A$3479),IF($F3509&lt;$C$3479,$F$3479+$J$3479*($F3509-$B$3479),$G$3479+$K$3479*($F3509-$C$3479)))</f>
        <v/>
      </c>
      <c r="P3509" s="208">
        <f>MIN(1,MAX(0,(nr_MEndPm1-$G3509+0.5)/$C$3478))-MIN(1,MAX(0,(nr_MStartPm1-1-$G3509+0.5)/$C$3478))</f>
        <v/>
      </c>
      <c r="Q3509" s="208">
        <f>MIN(1,MAX(0,(nr_MEndP-$G3509+0.5)/$C$3478))-MIN(1,MAX(0,(nr_MStartP-1-$G3509+0.5)/$C$3478))</f>
        <v/>
      </c>
      <c r="R3509" s="208">
        <f>MIN(1,MAX(0,(nr_MEndP1-$G3509+0.5)/$C$3478))-MIN(1,MAX(0,(nr_MStartP1-1-$G3509+0.5)/$C$3478))</f>
        <v/>
      </c>
      <c r="S3509" s="208">
        <f>IF($L$3478,$N3509*IF($O$3478=1,$O3509/$F$3478,1),"")</f>
        <v/>
      </c>
      <c r="T3509" s="208">
        <f>IF(NOT($L$3478),"",IF($G3509&lt;nr_MStartP,$S3509,$T3497*(1+IF($G3509&lt;nr_MStartP1,$M$3478,$N$3478))))</f>
        <v/>
      </c>
      <c r="U3509" s="208">
        <f>IF($L$3478,$T3509,$N3509)</f>
        <v/>
      </c>
    </row>
    <row r="3510">
      <c r="A3510" s="145" t="n">
        <v>30</v>
      </c>
      <c r="B3510" s="204">
        <f>EDATE($B3509,1)</f>
        <v/>
      </c>
      <c r="C3510" s="205">
        <f>EOMONTH($B3510,0)</f>
        <v/>
      </c>
      <c r="D3510" s="201">
        <f>$C3510-$B3510+1</f>
        <v/>
      </c>
      <c r="E3510" s="201">
        <f>MONTH($B3510)</f>
        <v/>
      </c>
      <c r="F3510" s="235">
        <f>($B3510+$C3510+1)/2</f>
        <v/>
      </c>
      <c r="G3510" s="201">
        <f>YEAR($B3510)*12+MONTH($B3510)-1</f>
        <v/>
      </c>
      <c r="H3510" s="207">
        <f>IF(OR(nr_SeasonOn="OFF",$D$3478=0,$E$3478=0),1,12*INDEX(se_block,$D$3478,$E3510)/$E$3478)</f>
        <v/>
      </c>
      <c r="I3510" s="208">
        <f>EXP(SUMPRODUCT((rl_eff&lt;$B3510)*(rl_key=$A$3478)*rl_ln1p))</f>
        <v/>
      </c>
      <c r="J3510" s="208">
        <f>EXP(SUMPRODUCT((rl_eff&lt;=$C3510)*(rl_key=$A$3478)*rl_ln1p))</f>
        <v/>
      </c>
      <c r="K3510" s="201">
        <f>COUNTIFS(rl_key,$A$3478,rl_eff,"&gt;="&amp;$B3510,rl_eff,"&lt;="&amp;$C3510)</f>
        <v/>
      </c>
      <c r="L3510" s="201">
        <f>SUMIFS(rl_daysafter,rl_key,$A$3478,rl_effmonth,$B3510,rl_first,1)</f>
        <v/>
      </c>
      <c r="M3510" s="209">
        <f>IF($K3510=0,0,MIN(1,$L3510/$D3510))</f>
        <v/>
      </c>
      <c r="N3510" s="208">
        <f>IF($K3510=0,$J3510,(1-$M3510)*$I3510+$M3510*$J3510)</f>
        <v/>
      </c>
      <c r="O3510" s="209">
        <f>IF($F3510&lt;$B$3479,$E$3479+$I$3479*($F3510-$A$3479),IF($F3510&lt;$C$3479,$F$3479+$J$3479*($F3510-$B$3479),$G$3479+$K$3479*($F3510-$C$3479)))</f>
        <v/>
      </c>
      <c r="P3510" s="208">
        <f>MIN(1,MAX(0,(nr_MEndPm1-$G3510+0.5)/$C$3478))-MIN(1,MAX(0,(nr_MStartPm1-1-$G3510+0.5)/$C$3478))</f>
        <v/>
      </c>
      <c r="Q3510" s="208">
        <f>MIN(1,MAX(0,(nr_MEndP-$G3510+0.5)/$C$3478))-MIN(1,MAX(0,(nr_MStartP-1-$G3510+0.5)/$C$3478))</f>
        <v/>
      </c>
      <c r="R3510" s="208">
        <f>MIN(1,MAX(0,(nr_MEndP1-$G3510+0.5)/$C$3478))-MIN(1,MAX(0,(nr_MStartP1-1-$G3510+0.5)/$C$3478))</f>
        <v/>
      </c>
      <c r="S3510" s="208">
        <f>IF($L$3478,$N3510*IF($O$3478=1,$O3510/$F$3478,1),"")</f>
        <v/>
      </c>
      <c r="T3510" s="208">
        <f>IF(NOT($L$3478),"",IF($G3510&lt;nr_MStartP,$S3510,$T3498*(1+IF($G3510&lt;nr_MStartP1,$M$3478,$N$3478))))</f>
        <v/>
      </c>
      <c r="U3510" s="208">
        <f>IF($L$3478,$T3510,$N3510)</f>
        <v/>
      </c>
    </row>
    <row r="3511">
      <c r="A3511" s="145" t="n">
        <v>31</v>
      </c>
      <c r="B3511" s="204">
        <f>EDATE($B3510,1)</f>
        <v/>
      </c>
      <c r="C3511" s="205">
        <f>EOMONTH($B3511,0)</f>
        <v/>
      </c>
      <c r="D3511" s="201">
        <f>$C3511-$B3511+1</f>
        <v/>
      </c>
      <c r="E3511" s="201">
        <f>MONTH($B3511)</f>
        <v/>
      </c>
      <c r="F3511" s="235">
        <f>($B3511+$C3511+1)/2</f>
        <v/>
      </c>
      <c r="G3511" s="201">
        <f>YEAR($B3511)*12+MONTH($B3511)-1</f>
        <v/>
      </c>
      <c r="H3511" s="207">
        <f>IF(OR(nr_SeasonOn="OFF",$D$3478=0,$E$3478=0),1,12*INDEX(se_block,$D$3478,$E3511)/$E$3478)</f>
        <v/>
      </c>
      <c r="I3511" s="208">
        <f>EXP(SUMPRODUCT((rl_eff&lt;$B3511)*(rl_key=$A$3478)*rl_ln1p))</f>
        <v/>
      </c>
      <c r="J3511" s="208">
        <f>EXP(SUMPRODUCT((rl_eff&lt;=$C3511)*(rl_key=$A$3478)*rl_ln1p))</f>
        <v/>
      </c>
      <c r="K3511" s="201">
        <f>COUNTIFS(rl_key,$A$3478,rl_eff,"&gt;="&amp;$B3511,rl_eff,"&lt;="&amp;$C3511)</f>
        <v/>
      </c>
      <c r="L3511" s="201">
        <f>SUMIFS(rl_daysafter,rl_key,$A$3478,rl_effmonth,$B3511,rl_first,1)</f>
        <v/>
      </c>
      <c r="M3511" s="209">
        <f>IF($K3511=0,0,MIN(1,$L3511/$D3511))</f>
        <v/>
      </c>
      <c r="N3511" s="208">
        <f>IF($K3511=0,$J3511,(1-$M3511)*$I3511+$M3511*$J3511)</f>
        <v/>
      </c>
      <c r="O3511" s="209">
        <f>IF($F3511&lt;$B$3479,$E$3479+$I$3479*($F3511-$A$3479),IF($F3511&lt;$C$3479,$F$3479+$J$3479*($F3511-$B$3479),$G$3479+$K$3479*($F3511-$C$3479)))</f>
        <v/>
      </c>
      <c r="P3511" s="208">
        <f>MIN(1,MAX(0,(nr_MEndPm1-$G3511+0.5)/$C$3478))-MIN(1,MAX(0,(nr_MStartPm1-1-$G3511+0.5)/$C$3478))</f>
        <v/>
      </c>
      <c r="Q3511" s="208">
        <f>MIN(1,MAX(0,(nr_MEndP-$G3511+0.5)/$C$3478))-MIN(1,MAX(0,(nr_MStartP-1-$G3511+0.5)/$C$3478))</f>
        <v/>
      </c>
      <c r="R3511" s="208">
        <f>MIN(1,MAX(0,(nr_MEndP1-$G3511+0.5)/$C$3478))-MIN(1,MAX(0,(nr_MStartP1-1-$G3511+0.5)/$C$3478))</f>
        <v/>
      </c>
      <c r="S3511" s="208">
        <f>IF($L$3478,$N3511*IF($O$3478=1,$O3511/$F$3478,1),"")</f>
        <v/>
      </c>
      <c r="T3511" s="208">
        <f>IF(NOT($L$3478),"",IF($G3511&lt;nr_MStartP,$S3511,$T3499*(1+IF($G3511&lt;nr_MStartP1,$M$3478,$N$3478))))</f>
        <v/>
      </c>
      <c r="U3511" s="208">
        <f>IF($L$3478,$T3511,$N3511)</f>
        <v/>
      </c>
    </row>
    <row r="3512">
      <c r="A3512" s="145" t="n">
        <v>32</v>
      </c>
      <c r="B3512" s="204">
        <f>EDATE($B3511,1)</f>
        <v/>
      </c>
      <c r="C3512" s="205">
        <f>EOMONTH($B3512,0)</f>
        <v/>
      </c>
      <c r="D3512" s="201">
        <f>$C3512-$B3512+1</f>
        <v/>
      </c>
      <c r="E3512" s="201">
        <f>MONTH($B3512)</f>
        <v/>
      </c>
      <c r="F3512" s="235">
        <f>($B3512+$C3512+1)/2</f>
        <v/>
      </c>
      <c r="G3512" s="201">
        <f>YEAR($B3512)*12+MONTH($B3512)-1</f>
        <v/>
      </c>
      <c r="H3512" s="207">
        <f>IF(OR(nr_SeasonOn="OFF",$D$3478=0,$E$3478=0),1,12*INDEX(se_block,$D$3478,$E3512)/$E$3478)</f>
        <v/>
      </c>
      <c r="I3512" s="208">
        <f>EXP(SUMPRODUCT((rl_eff&lt;$B3512)*(rl_key=$A$3478)*rl_ln1p))</f>
        <v/>
      </c>
      <c r="J3512" s="208">
        <f>EXP(SUMPRODUCT((rl_eff&lt;=$C3512)*(rl_key=$A$3478)*rl_ln1p))</f>
        <v/>
      </c>
      <c r="K3512" s="201">
        <f>COUNTIFS(rl_key,$A$3478,rl_eff,"&gt;="&amp;$B3512,rl_eff,"&lt;="&amp;$C3512)</f>
        <v/>
      </c>
      <c r="L3512" s="201">
        <f>SUMIFS(rl_daysafter,rl_key,$A$3478,rl_effmonth,$B3512,rl_first,1)</f>
        <v/>
      </c>
      <c r="M3512" s="209">
        <f>IF($K3512=0,0,MIN(1,$L3512/$D3512))</f>
        <v/>
      </c>
      <c r="N3512" s="208">
        <f>IF($K3512=0,$J3512,(1-$M3512)*$I3512+$M3512*$J3512)</f>
        <v/>
      </c>
      <c r="O3512" s="209">
        <f>IF($F3512&lt;$B$3479,$E$3479+$I$3479*($F3512-$A$3479),IF($F3512&lt;$C$3479,$F$3479+$J$3479*($F3512-$B$3479),$G$3479+$K$3479*($F3512-$C$3479)))</f>
        <v/>
      </c>
      <c r="P3512" s="208">
        <f>MIN(1,MAX(0,(nr_MEndPm1-$G3512+0.5)/$C$3478))-MIN(1,MAX(0,(nr_MStartPm1-1-$G3512+0.5)/$C$3478))</f>
        <v/>
      </c>
      <c r="Q3512" s="208">
        <f>MIN(1,MAX(0,(nr_MEndP-$G3512+0.5)/$C$3478))-MIN(1,MAX(0,(nr_MStartP-1-$G3512+0.5)/$C$3478))</f>
        <v/>
      </c>
      <c r="R3512" s="208">
        <f>MIN(1,MAX(0,(nr_MEndP1-$G3512+0.5)/$C$3478))-MIN(1,MAX(0,(nr_MStartP1-1-$G3512+0.5)/$C$3478))</f>
        <v/>
      </c>
      <c r="S3512" s="208">
        <f>IF($L$3478,$N3512*IF($O$3478=1,$O3512/$F$3478,1),"")</f>
        <v/>
      </c>
      <c r="T3512" s="208">
        <f>IF(NOT($L$3478),"",IF($G3512&lt;nr_MStartP,$S3512,$T3500*(1+IF($G3512&lt;nr_MStartP1,$M$3478,$N$3478))))</f>
        <v/>
      </c>
      <c r="U3512" s="208">
        <f>IF($L$3478,$T3512,$N3512)</f>
        <v/>
      </c>
    </row>
    <row r="3513">
      <c r="A3513" s="145" t="n">
        <v>33</v>
      </c>
      <c r="B3513" s="204">
        <f>EDATE($B3512,1)</f>
        <v/>
      </c>
      <c r="C3513" s="205">
        <f>EOMONTH($B3513,0)</f>
        <v/>
      </c>
      <c r="D3513" s="201">
        <f>$C3513-$B3513+1</f>
        <v/>
      </c>
      <c r="E3513" s="201">
        <f>MONTH($B3513)</f>
        <v/>
      </c>
      <c r="F3513" s="235">
        <f>($B3513+$C3513+1)/2</f>
        <v/>
      </c>
      <c r="G3513" s="201">
        <f>YEAR($B3513)*12+MONTH($B3513)-1</f>
        <v/>
      </c>
      <c r="H3513" s="207">
        <f>IF(OR(nr_SeasonOn="OFF",$D$3478=0,$E$3478=0),1,12*INDEX(se_block,$D$3478,$E3513)/$E$3478)</f>
        <v/>
      </c>
      <c r="I3513" s="208">
        <f>EXP(SUMPRODUCT((rl_eff&lt;$B3513)*(rl_key=$A$3478)*rl_ln1p))</f>
        <v/>
      </c>
      <c r="J3513" s="208">
        <f>EXP(SUMPRODUCT((rl_eff&lt;=$C3513)*(rl_key=$A$3478)*rl_ln1p))</f>
        <v/>
      </c>
      <c r="K3513" s="201">
        <f>COUNTIFS(rl_key,$A$3478,rl_eff,"&gt;="&amp;$B3513,rl_eff,"&lt;="&amp;$C3513)</f>
        <v/>
      </c>
      <c r="L3513" s="201">
        <f>SUMIFS(rl_daysafter,rl_key,$A$3478,rl_effmonth,$B3513,rl_first,1)</f>
        <v/>
      </c>
      <c r="M3513" s="209">
        <f>IF($K3513=0,0,MIN(1,$L3513/$D3513))</f>
        <v/>
      </c>
      <c r="N3513" s="208">
        <f>IF($K3513=0,$J3513,(1-$M3513)*$I3513+$M3513*$J3513)</f>
        <v/>
      </c>
      <c r="O3513" s="209">
        <f>IF($F3513&lt;$B$3479,$E$3479+$I$3479*($F3513-$A$3479),IF($F3513&lt;$C$3479,$F$3479+$J$3479*($F3513-$B$3479),$G$3479+$K$3479*($F3513-$C$3479)))</f>
        <v/>
      </c>
      <c r="P3513" s="208">
        <f>MIN(1,MAX(0,(nr_MEndPm1-$G3513+0.5)/$C$3478))-MIN(1,MAX(0,(nr_MStartPm1-1-$G3513+0.5)/$C$3478))</f>
        <v/>
      </c>
      <c r="Q3513" s="208">
        <f>MIN(1,MAX(0,(nr_MEndP-$G3513+0.5)/$C$3478))-MIN(1,MAX(0,(nr_MStartP-1-$G3513+0.5)/$C$3478))</f>
        <v/>
      </c>
      <c r="R3513" s="208">
        <f>MIN(1,MAX(0,(nr_MEndP1-$G3513+0.5)/$C$3478))-MIN(1,MAX(0,(nr_MStartP1-1-$G3513+0.5)/$C$3478))</f>
        <v/>
      </c>
      <c r="S3513" s="208">
        <f>IF($L$3478,$N3513*IF($O$3478=1,$O3513/$F$3478,1),"")</f>
        <v/>
      </c>
      <c r="T3513" s="208">
        <f>IF(NOT($L$3478),"",IF($G3513&lt;nr_MStartP,$S3513,$T3501*(1+IF($G3513&lt;nr_MStartP1,$M$3478,$N$3478))))</f>
        <v/>
      </c>
      <c r="U3513" s="208">
        <f>IF($L$3478,$T3513,$N3513)</f>
        <v/>
      </c>
    </row>
    <row r="3514">
      <c r="A3514" s="145" t="n">
        <v>34</v>
      </c>
      <c r="B3514" s="204">
        <f>EDATE($B3513,1)</f>
        <v/>
      </c>
      <c r="C3514" s="205">
        <f>EOMONTH($B3514,0)</f>
        <v/>
      </c>
      <c r="D3514" s="201">
        <f>$C3514-$B3514+1</f>
        <v/>
      </c>
      <c r="E3514" s="201">
        <f>MONTH($B3514)</f>
        <v/>
      </c>
      <c r="F3514" s="235">
        <f>($B3514+$C3514+1)/2</f>
        <v/>
      </c>
      <c r="G3514" s="201">
        <f>YEAR($B3514)*12+MONTH($B3514)-1</f>
        <v/>
      </c>
      <c r="H3514" s="207">
        <f>IF(OR(nr_SeasonOn="OFF",$D$3478=0,$E$3478=0),1,12*INDEX(se_block,$D$3478,$E3514)/$E$3478)</f>
        <v/>
      </c>
      <c r="I3514" s="208">
        <f>EXP(SUMPRODUCT((rl_eff&lt;$B3514)*(rl_key=$A$3478)*rl_ln1p))</f>
        <v/>
      </c>
      <c r="J3514" s="208">
        <f>EXP(SUMPRODUCT((rl_eff&lt;=$C3514)*(rl_key=$A$3478)*rl_ln1p))</f>
        <v/>
      </c>
      <c r="K3514" s="201">
        <f>COUNTIFS(rl_key,$A$3478,rl_eff,"&gt;="&amp;$B3514,rl_eff,"&lt;="&amp;$C3514)</f>
        <v/>
      </c>
      <c r="L3514" s="201">
        <f>SUMIFS(rl_daysafter,rl_key,$A$3478,rl_effmonth,$B3514,rl_first,1)</f>
        <v/>
      </c>
      <c r="M3514" s="209">
        <f>IF($K3514=0,0,MIN(1,$L3514/$D3514))</f>
        <v/>
      </c>
      <c r="N3514" s="208">
        <f>IF($K3514=0,$J3514,(1-$M3514)*$I3514+$M3514*$J3514)</f>
        <v/>
      </c>
      <c r="O3514" s="209">
        <f>IF($F3514&lt;$B$3479,$E$3479+$I$3479*($F3514-$A$3479),IF($F3514&lt;$C$3479,$F$3479+$J$3479*($F3514-$B$3479),$G$3479+$K$3479*($F3514-$C$3479)))</f>
        <v/>
      </c>
      <c r="P3514" s="208">
        <f>MIN(1,MAX(0,(nr_MEndPm1-$G3514+0.5)/$C$3478))-MIN(1,MAX(0,(nr_MStartPm1-1-$G3514+0.5)/$C$3478))</f>
        <v/>
      </c>
      <c r="Q3514" s="208">
        <f>MIN(1,MAX(0,(nr_MEndP-$G3514+0.5)/$C$3478))-MIN(1,MAX(0,(nr_MStartP-1-$G3514+0.5)/$C$3478))</f>
        <v/>
      </c>
      <c r="R3514" s="208">
        <f>MIN(1,MAX(0,(nr_MEndP1-$G3514+0.5)/$C$3478))-MIN(1,MAX(0,(nr_MStartP1-1-$G3514+0.5)/$C$3478))</f>
        <v/>
      </c>
      <c r="S3514" s="208">
        <f>IF($L$3478,$N3514*IF($O$3478=1,$O3514/$F$3478,1),"")</f>
        <v/>
      </c>
      <c r="T3514" s="208">
        <f>IF(NOT($L$3478),"",IF($G3514&lt;nr_MStartP,$S3514,$T3502*(1+IF($G3514&lt;nr_MStartP1,$M$3478,$N$3478))))</f>
        <v/>
      </c>
      <c r="U3514" s="208">
        <f>IF($L$3478,$T3514,$N3514)</f>
        <v/>
      </c>
    </row>
    <row r="3515">
      <c r="A3515" s="145" t="n">
        <v>35</v>
      </c>
      <c r="B3515" s="204">
        <f>EDATE($B3514,1)</f>
        <v/>
      </c>
      <c r="C3515" s="205">
        <f>EOMONTH($B3515,0)</f>
        <v/>
      </c>
      <c r="D3515" s="201">
        <f>$C3515-$B3515+1</f>
        <v/>
      </c>
      <c r="E3515" s="201">
        <f>MONTH($B3515)</f>
        <v/>
      </c>
      <c r="F3515" s="235">
        <f>($B3515+$C3515+1)/2</f>
        <v/>
      </c>
      <c r="G3515" s="201">
        <f>YEAR($B3515)*12+MONTH($B3515)-1</f>
        <v/>
      </c>
      <c r="H3515" s="207">
        <f>IF(OR(nr_SeasonOn="OFF",$D$3478=0,$E$3478=0),1,12*INDEX(se_block,$D$3478,$E3515)/$E$3478)</f>
        <v/>
      </c>
      <c r="I3515" s="208">
        <f>EXP(SUMPRODUCT((rl_eff&lt;$B3515)*(rl_key=$A$3478)*rl_ln1p))</f>
        <v/>
      </c>
      <c r="J3515" s="208">
        <f>EXP(SUMPRODUCT((rl_eff&lt;=$C3515)*(rl_key=$A$3478)*rl_ln1p))</f>
        <v/>
      </c>
      <c r="K3515" s="201">
        <f>COUNTIFS(rl_key,$A$3478,rl_eff,"&gt;="&amp;$B3515,rl_eff,"&lt;="&amp;$C3515)</f>
        <v/>
      </c>
      <c r="L3515" s="201">
        <f>SUMIFS(rl_daysafter,rl_key,$A$3478,rl_effmonth,$B3515,rl_first,1)</f>
        <v/>
      </c>
      <c r="M3515" s="209">
        <f>IF($K3515=0,0,MIN(1,$L3515/$D3515))</f>
        <v/>
      </c>
      <c r="N3515" s="208">
        <f>IF($K3515=0,$J3515,(1-$M3515)*$I3515+$M3515*$J3515)</f>
        <v/>
      </c>
      <c r="O3515" s="209">
        <f>IF($F3515&lt;$B$3479,$E$3479+$I$3479*($F3515-$A$3479),IF($F3515&lt;$C$3479,$F$3479+$J$3479*($F3515-$B$3479),$G$3479+$K$3479*($F3515-$C$3479)))</f>
        <v/>
      </c>
      <c r="P3515" s="208">
        <f>MIN(1,MAX(0,(nr_MEndPm1-$G3515+0.5)/$C$3478))-MIN(1,MAX(0,(nr_MStartPm1-1-$G3515+0.5)/$C$3478))</f>
        <v/>
      </c>
      <c r="Q3515" s="208">
        <f>MIN(1,MAX(0,(nr_MEndP-$G3515+0.5)/$C$3478))-MIN(1,MAX(0,(nr_MStartP-1-$G3515+0.5)/$C$3478))</f>
        <v/>
      </c>
      <c r="R3515" s="208">
        <f>MIN(1,MAX(0,(nr_MEndP1-$G3515+0.5)/$C$3478))-MIN(1,MAX(0,(nr_MStartP1-1-$G3515+0.5)/$C$3478))</f>
        <v/>
      </c>
      <c r="S3515" s="208">
        <f>IF($L$3478,$N3515*IF($O$3478=1,$O3515/$F$3478,1),"")</f>
        <v/>
      </c>
      <c r="T3515" s="208">
        <f>IF(NOT($L$3478),"",IF($G3515&lt;nr_MStartP,$S3515,$T3503*(1+IF($G3515&lt;nr_MStartP1,$M$3478,$N$3478))))</f>
        <v/>
      </c>
      <c r="U3515" s="208">
        <f>IF($L$3478,$T3515,$N3515)</f>
        <v/>
      </c>
    </row>
    <row r="3516">
      <c r="A3516" s="145" t="n">
        <v>36</v>
      </c>
      <c r="B3516" s="204">
        <f>EDATE($B3515,1)</f>
        <v/>
      </c>
      <c r="C3516" s="205">
        <f>EOMONTH($B3516,0)</f>
        <v/>
      </c>
      <c r="D3516" s="201">
        <f>$C3516-$B3516+1</f>
        <v/>
      </c>
      <c r="E3516" s="201">
        <f>MONTH($B3516)</f>
        <v/>
      </c>
      <c r="F3516" s="235">
        <f>($B3516+$C3516+1)/2</f>
        <v/>
      </c>
      <c r="G3516" s="201">
        <f>YEAR($B3516)*12+MONTH($B3516)-1</f>
        <v/>
      </c>
      <c r="H3516" s="207">
        <f>IF(OR(nr_SeasonOn="OFF",$D$3478=0,$E$3478=0),1,12*INDEX(se_block,$D$3478,$E3516)/$E$3478)</f>
        <v/>
      </c>
      <c r="I3516" s="208">
        <f>EXP(SUMPRODUCT((rl_eff&lt;$B3516)*(rl_key=$A$3478)*rl_ln1p))</f>
        <v/>
      </c>
      <c r="J3516" s="208">
        <f>EXP(SUMPRODUCT((rl_eff&lt;=$C3516)*(rl_key=$A$3478)*rl_ln1p))</f>
        <v/>
      </c>
      <c r="K3516" s="201">
        <f>COUNTIFS(rl_key,$A$3478,rl_eff,"&gt;="&amp;$B3516,rl_eff,"&lt;="&amp;$C3516)</f>
        <v/>
      </c>
      <c r="L3516" s="201">
        <f>SUMIFS(rl_daysafter,rl_key,$A$3478,rl_effmonth,$B3516,rl_first,1)</f>
        <v/>
      </c>
      <c r="M3516" s="209">
        <f>IF($K3516=0,0,MIN(1,$L3516/$D3516))</f>
        <v/>
      </c>
      <c r="N3516" s="208">
        <f>IF($K3516=0,$J3516,(1-$M3516)*$I3516+$M3516*$J3516)</f>
        <v/>
      </c>
      <c r="O3516" s="209">
        <f>IF($F3516&lt;$B$3479,$E$3479+$I$3479*($F3516-$A$3479),IF($F3516&lt;$C$3479,$F$3479+$J$3479*($F3516-$B$3479),$G$3479+$K$3479*($F3516-$C$3479)))</f>
        <v/>
      </c>
      <c r="P3516" s="208">
        <f>MIN(1,MAX(0,(nr_MEndPm1-$G3516+0.5)/$C$3478))-MIN(1,MAX(0,(nr_MStartPm1-1-$G3516+0.5)/$C$3478))</f>
        <v/>
      </c>
      <c r="Q3516" s="208">
        <f>MIN(1,MAX(0,(nr_MEndP-$G3516+0.5)/$C$3478))-MIN(1,MAX(0,(nr_MStartP-1-$G3516+0.5)/$C$3478))</f>
        <v/>
      </c>
      <c r="R3516" s="208">
        <f>MIN(1,MAX(0,(nr_MEndP1-$G3516+0.5)/$C$3478))-MIN(1,MAX(0,(nr_MStartP1-1-$G3516+0.5)/$C$3478))</f>
        <v/>
      </c>
      <c r="S3516" s="208">
        <f>IF($L$3478,$N3516*IF($O$3478=1,$O3516/$F$3478,1),"")</f>
        <v/>
      </c>
      <c r="T3516" s="208">
        <f>IF(NOT($L$3478),"",IF($G3516&lt;nr_MStartP,$S3516,$T3504*(1+IF($G3516&lt;nr_MStartP1,$M$3478,$N$3478))))</f>
        <v/>
      </c>
      <c r="U3516" s="208">
        <f>IF($L$3478,$T3516,$N3516)</f>
        <v/>
      </c>
    </row>
    <row r="3517">
      <c r="A3517" s="145" t="n">
        <v>37</v>
      </c>
      <c r="B3517" s="204">
        <f>EDATE($B3516,1)</f>
        <v/>
      </c>
      <c r="C3517" s="205">
        <f>EOMONTH($B3517,0)</f>
        <v/>
      </c>
      <c r="D3517" s="201">
        <f>$C3517-$B3517+1</f>
        <v/>
      </c>
      <c r="E3517" s="201">
        <f>MONTH($B3517)</f>
        <v/>
      </c>
      <c r="F3517" s="235">
        <f>($B3517+$C3517+1)/2</f>
        <v/>
      </c>
      <c r="G3517" s="201">
        <f>YEAR($B3517)*12+MONTH($B3517)-1</f>
        <v/>
      </c>
      <c r="H3517" s="207">
        <f>IF(OR(nr_SeasonOn="OFF",$D$3478=0,$E$3478=0),1,12*INDEX(se_block,$D$3478,$E3517)/$E$3478)</f>
        <v/>
      </c>
      <c r="I3517" s="208">
        <f>EXP(SUMPRODUCT((rl_eff&lt;$B3517)*(rl_key=$A$3478)*rl_ln1p))</f>
        <v/>
      </c>
      <c r="J3517" s="208">
        <f>EXP(SUMPRODUCT((rl_eff&lt;=$C3517)*(rl_key=$A$3478)*rl_ln1p))</f>
        <v/>
      </c>
      <c r="K3517" s="201">
        <f>COUNTIFS(rl_key,$A$3478,rl_eff,"&gt;="&amp;$B3517,rl_eff,"&lt;="&amp;$C3517)</f>
        <v/>
      </c>
      <c r="L3517" s="201">
        <f>SUMIFS(rl_daysafter,rl_key,$A$3478,rl_effmonth,$B3517,rl_first,1)</f>
        <v/>
      </c>
      <c r="M3517" s="209">
        <f>IF($K3517=0,0,MIN(1,$L3517/$D3517))</f>
        <v/>
      </c>
      <c r="N3517" s="208">
        <f>IF($K3517=0,$J3517,(1-$M3517)*$I3517+$M3517*$J3517)</f>
        <v/>
      </c>
      <c r="O3517" s="209">
        <f>IF($F3517&lt;$B$3479,$E$3479+$I$3479*($F3517-$A$3479),IF($F3517&lt;$C$3479,$F$3479+$J$3479*($F3517-$B$3479),$G$3479+$K$3479*($F3517-$C$3479)))</f>
        <v/>
      </c>
      <c r="P3517" s="208">
        <f>MIN(1,MAX(0,(nr_MEndPm1-$G3517+0.5)/$C$3478))-MIN(1,MAX(0,(nr_MStartPm1-1-$G3517+0.5)/$C$3478))</f>
        <v/>
      </c>
      <c r="Q3517" s="208">
        <f>MIN(1,MAX(0,(nr_MEndP-$G3517+0.5)/$C$3478))-MIN(1,MAX(0,(nr_MStartP-1-$G3517+0.5)/$C$3478))</f>
        <v/>
      </c>
      <c r="R3517" s="208">
        <f>MIN(1,MAX(0,(nr_MEndP1-$G3517+0.5)/$C$3478))-MIN(1,MAX(0,(nr_MStartP1-1-$G3517+0.5)/$C$3478))</f>
        <v/>
      </c>
      <c r="S3517" s="208">
        <f>IF($L$3478,$N3517*IF($O$3478=1,$O3517/$F$3478,1),"")</f>
        <v/>
      </c>
      <c r="T3517" s="208">
        <f>IF(NOT($L$3478),"",IF($G3517&lt;nr_MStartP,$S3517,$T3505*(1+IF($G3517&lt;nr_MStartP1,$M$3478,$N$3478))))</f>
        <v/>
      </c>
      <c r="U3517" s="208">
        <f>IF($L$3478,$T3517,$N3517)</f>
        <v/>
      </c>
    </row>
    <row r="3518">
      <c r="A3518" s="145" t="n">
        <v>38</v>
      </c>
      <c r="B3518" s="204">
        <f>EDATE($B3517,1)</f>
        <v/>
      </c>
      <c r="C3518" s="205">
        <f>EOMONTH($B3518,0)</f>
        <v/>
      </c>
      <c r="D3518" s="201">
        <f>$C3518-$B3518+1</f>
        <v/>
      </c>
      <c r="E3518" s="201">
        <f>MONTH($B3518)</f>
        <v/>
      </c>
      <c r="F3518" s="235">
        <f>($B3518+$C3518+1)/2</f>
        <v/>
      </c>
      <c r="G3518" s="201">
        <f>YEAR($B3518)*12+MONTH($B3518)-1</f>
        <v/>
      </c>
      <c r="H3518" s="207">
        <f>IF(OR(nr_SeasonOn="OFF",$D$3478=0,$E$3478=0),1,12*INDEX(se_block,$D$3478,$E3518)/$E$3478)</f>
        <v/>
      </c>
      <c r="I3518" s="208">
        <f>EXP(SUMPRODUCT((rl_eff&lt;$B3518)*(rl_key=$A$3478)*rl_ln1p))</f>
        <v/>
      </c>
      <c r="J3518" s="208">
        <f>EXP(SUMPRODUCT((rl_eff&lt;=$C3518)*(rl_key=$A$3478)*rl_ln1p))</f>
        <v/>
      </c>
      <c r="K3518" s="201">
        <f>COUNTIFS(rl_key,$A$3478,rl_eff,"&gt;="&amp;$B3518,rl_eff,"&lt;="&amp;$C3518)</f>
        <v/>
      </c>
      <c r="L3518" s="201">
        <f>SUMIFS(rl_daysafter,rl_key,$A$3478,rl_effmonth,$B3518,rl_first,1)</f>
        <v/>
      </c>
      <c r="M3518" s="209">
        <f>IF($K3518=0,0,MIN(1,$L3518/$D3518))</f>
        <v/>
      </c>
      <c r="N3518" s="208">
        <f>IF($K3518=0,$J3518,(1-$M3518)*$I3518+$M3518*$J3518)</f>
        <v/>
      </c>
      <c r="O3518" s="209">
        <f>IF($F3518&lt;$B$3479,$E$3479+$I$3479*($F3518-$A$3479),IF($F3518&lt;$C$3479,$F$3479+$J$3479*($F3518-$B$3479),$G$3479+$K$3479*($F3518-$C$3479)))</f>
        <v/>
      </c>
      <c r="P3518" s="208">
        <f>MIN(1,MAX(0,(nr_MEndPm1-$G3518+0.5)/$C$3478))-MIN(1,MAX(0,(nr_MStartPm1-1-$G3518+0.5)/$C$3478))</f>
        <v/>
      </c>
      <c r="Q3518" s="208">
        <f>MIN(1,MAX(0,(nr_MEndP-$G3518+0.5)/$C$3478))-MIN(1,MAX(0,(nr_MStartP-1-$G3518+0.5)/$C$3478))</f>
        <v/>
      </c>
      <c r="R3518" s="208">
        <f>MIN(1,MAX(0,(nr_MEndP1-$G3518+0.5)/$C$3478))-MIN(1,MAX(0,(nr_MStartP1-1-$G3518+0.5)/$C$3478))</f>
        <v/>
      </c>
      <c r="S3518" s="208">
        <f>IF($L$3478,$N3518*IF($O$3478=1,$O3518/$F$3478,1),"")</f>
        <v/>
      </c>
      <c r="T3518" s="208">
        <f>IF(NOT($L$3478),"",IF($G3518&lt;nr_MStartP,$S3518,$T3506*(1+IF($G3518&lt;nr_MStartP1,$M$3478,$N$3478))))</f>
        <v/>
      </c>
      <c r="U3518" s="208">
        <f>IF($L$3478,$T3518,$N3518)</f>
        <v/>
      </c>
    </row>
    <row r="3519">
      <c r="A3519" s="145" t="n">
        <v>39</v>
      </c>
      <c r="B3519" s="204">
        <f>EDATE($B3518,1)</f>
        <v/>
      </c>
      <c r="C3519" s="205">
        <f>EOMONTH($B3519,0)</f>
        <v/>
      </c>
      <c r="D3519" s="201">
        <f>$C3519-$B3519+1</f>
        <v/>
      </c>
      <c r="E3519" s="201">
        <f>MONTH($B3519)</f>
        <v/>
      </c>
      <c r="F3519" s="235">
        <f>($B3519+$C3519+1)/2</f>
        <v/>
      </c>
      <c r="G3519" s="201">
        <f>YEAR($B3519)*12+MONTH($B3519)-1</f>
        <v/>
      </c>
      <c r="H3519" s="207">
        <f>IF(OR(nr_SeasonOn="OFF",$D$3478=0,$E$3478=0),1,12*INDEX(se_block,$D$3478,$E3519)/$E$3478)</f>
        <v/>
      </c>
      <c r="I3519" s="208">
        <f>EXP(SUMPRODUCT((rl_eff&lt;$B3519)*(rl_key=$A$3478)*rl_ln1p))</f>
        <v/>
      </c>
      <c r="J3519" s="208">
        <f>EXP(SUMPRODUCT((rl_eff&lt;=$C3519)*(rl_key=$A$3478)*rl_ln1p))</f>
        <v/>
      </c>
      <c r="K3519" s="201">
        <f>COUNTIFS(rl_key,$A$3478,rl_eff,"&gt;="&amp;$B3519,rl_eff,"&lt;="&amp;$C3519)</f>
        <v/>
      </c>
      <c r="L3519" s="201">
        <f>SUMIFS(rl_daysafter,rl_key,$A$3478,rl_effmonth,$B3519,rl_first,1)</f>
        <v/>
      </c>
      <c r="M3519" s="209">
        <f>IF($K3519=0,0,MIN(1,$L3519/$D3519))</f>
        <v/>
      </c>
      <c r="N3519" s="208">
        <f>IF($K3519=0,$J3519,(1-$M3519)*$I3519+$M3519*$J3519)</f>
        <v/>
      </c>
      <c r="O3519" s="209">
        <f>IF($F3519&lt;$B$3479,$E$3479+$I$3479*($F3519-$A$3479),IF($F3519&lt;$C$3479,$F$3479+$J$3479*($F3519-$B$3479),$G$3479+$K$3479*($F3519-$C$3479)))</f>
        <v/>
      </c>
      <c r="P3519" s="208">
        <f>MIN(1,MAX(0,(nr_MEndPm1-$G3519+0.5)/$C$3478))-MIN(1,MAX(0,(nr_MStartPm1-1-$G3519+0.5)/$C$3478))</f>
        <v/>
      </c>
      <c r="Q3519" s="208">
        <f>MIN(1,MAX(0,(nr_MEndP-$G3519+0.5)/$C$3478))-MIN(1,MAX(0,(nr_MStartP-1-$G3519+0.5)/$C$3478))</f>
        <v/>
      </c>
      <c r="R3519" s="208">
        <f>MIN(1,MAX(0,(nr_MEndP1-$G3519+0.5)/$C$3478))-MIN(1,MAX(0,(nr_MStartP1-1-$G3519+0.5)/$C$3478))</f>
        <v/>
      </c>
      <c r="S3519" s="208">
        <f>IF($L$3478,$N3519*IF($O$3478=1,$O3519/$F$3478,1),"")</f>
        <v/>
      </c>
      <c r="T3519" s="208">
        <f>IF(NOT($L$3478),"",IF($G3519&lt;nr_MStartP,$S3519,$T3507*(1+IF($G3519&lt;nr_MStartP1,$M$3478,$N$3478))))</f>
        <v/>
      </c>
      <c r="U3519" s="208">
        <f>IF($L$3478,$T3519,$N3519)</f>
        <v/>
      </c>
    </row>
    <row r="3520">
      <c r="A3520" s="145" t="n">
        <v>40</v>
      </c>
      <c r="B3520" s="204">
        <f>EDATE($B3519,1)</f>
        <v/>
      </c>
      <c r="C3520" s="205">
        <f>EOMONTH($B3520,0)</f>
        <v/>
      </c>
      <c r="D3520" s="201">
        <f>$C3520-$B3520+1</f>
        <v/>
      </c>
      <c r="E3520" s="201">
        <f>MONTH($B3520)</f>
        <v/>
      </c>
      <c r="F3520" s="235">
        <f>($B3520+$C3520+1)/2</f>
        <v/>
      </c>
      <c r="G3520" s="201">
        <f>YEAR($B3520)*12+MONTH($B3520)-1</f>
        <v/>
      </c>
      <c r="H3520" s="207">
        <f>IF(OR(nr_SeasonOn="OFF",$D$3478=0,$E$3478=0),1,12*INDEX(se_block,$D$3478,$E3520)/$E$3478)</f>
        <v/>
      </c>
      <c r="I3520" s="208">
        <f>EXP(SUMPRODUCT((rl_eff&lt;$B3520)*(rl_key=$A$3478)*rl_ln1p))</f>
        <v/>
      </c>
      <c r="J3520" s="208">
        <f>EXP(SUMPRODUCT((rl_eff&lt;=$C3520)*(rl_key=$A$3478)*rl_ln1p))</f>
        <v/>
      </c>
      <c r="K3520" s="201">
        <f>COUNTIFS(rl_key,$A$3478,rl_eff,"&gt;="&amp;$B3520,rl_eff,"&lt;="&amp;$C3520)</f>
        <v/>
      </c>
      <c r="L3520" s="201">
        <f>SUMIFS(rl_daysafter,rl_key,$A$3478,rl_effmonth,$B3520,rl_first,1)</f>
        <v/>
      </c>
      <c r="M3520" s="209">
        <f>IF($K3520=0,0,MIN(1,$L3520/$D3520))</f>
        <v/>
      </c>
      <c r="N3520" s="208">
        <f>IF($K3520=0,$J3520,(1-$M3520)*$I3520+$M3520*$J3520)</f>
        <v/>
      </c>
      <c r="O3520" s="209">
        <f>IF($F3520&lt;$B$3479,$E$3479+$I$3479*($F3520-$A$3479),IF($F3520&lt;$C$3479,$F$3479+$J$3479*($F3520-$B$3479),$G$3479+$K$3479*($F3520-$C$3479)))</f>
        <v/>
      </c>
      <c r="P3520" s="208">
        <f>MIN(1,MAX(0,(nr_MEndPm1-$G3520+0.5)/$C$3478))-MIN(1,MAX(0,(nr_MStartPm1-1-$G3520+0.5)/$C$3478))</f>
        <v/>
      </c>
      <c r="Q3520" s="208">
        <f>MIN(1,MAX(0,(nr_MEndP-$G3520+0.5)/$C$3478))-MIN(1,MAX(0,(nr_MStartP-1-$G3520+0.5)/$C$3478))</f>
        <v/>
      </c>
      <c r="R3520" s="208">
        <f>MIN(1,MAX(0,(nr_MEndP1-$G3520+0.5)/$C$3478))-MIN(1,MAX(0,(nr_MStartP1-1-$G3520+0.5)/$C$3478))</f>
        <v/>
      </c>
      <c r="S3520" s="208">
        <f>IF($L$3478,$N3520*IF($O$3478=1,$O3520/$F$3478,1),"")</f>
        <v/>
      </c>
      <c r="T3520" s="208">
        <f>IF(NOT($L$3478),"",IF($G3520&lt;nr_MStartP,$S3520,$T3508*(1+IF($G3520&lt;nr_MStartP1,$M$3478,$N$3478))))</f>
        <v/>
      </c>
      <c r="U3520" s="208">
        <f>IF($L$3478,$T3520,$N3520)</f>
        <v/>
      </c>
    </row>
    <row r="3521">
      <c r="A3521" s="145" t="n">
        <v>41</v>
      </c>
      <c r="B3521" s="204">
        <f>EDATE($B3520,1)</f>
        <v/>
      </c>
      <c r="C3521" s="205">
        <f>EOMONTH($B3521,0)</f>
        <v/>
      </c>
      <c r="D3521" s="201">
        <f>$C3521-$B3521+1</f>
        <v/>
      </c>
      <c r="E3521" s="201">
        <f>MONTH($B3521)</f>
        <v/>
      </c>
      <c r="F3521" s="235">
        <f>($B3521+$C3521+1)/2</f>
        <v/>
      </c>
      <c r="G3521" s="201">
        <f>YEAR($B3521)*12+MONTH($B3521)-1</f>
        <v/>
      </c>
      <c r="H3521" s="207">
        <f>IF(OR(nr_SeasonOn="OFF",$D$3478=0,$E$3478=0),1,12*INDEX(se_block,$D$3478,$E3521)/$E$3478)</f>
        <v/>
      </c>
      <c r="I3521" s="208">
        <f>EXP(SUMPRODUCT((rl_eff&lt;$B3521)*(rl_key=$A$3478)*rl_ln1p))</f>
        <v/>
      </c>
      <c r="J3521" s="208">
        <f>EXP(SUMPRODUCT((rl_eff&lt;=$C3521)*(rl_key=$A$3478)*rl_ln1p))</f>
        <v/>
      </c>
      <c r="K3521" s="201">
        <f>COUNTIFS(rl_key,$A$3478,rl_eff,"&gt;="&amp;$B3521,rl_eff,"&lt;="&amp;$C3521)</f>
        <v/>
      </c>
      <c r="L3521" s="201">
        <f>SUMIFS(rl_daysafter,rl_key,$A$3478,rl_effmonth,$B3521,rl_first,1)</f>
        <v/>
      </c>
      <c r="M3521" s="209">
        <f>IF($K3521=0,0,MIN(1,$L3521/$D3521))</f>
        <v/>
      </c>
      <c r="N3521" s="208">
        <f>IF($K3521=0,$J3521,(1-$M3521)*$I3521+$M3521*$J3521)</f>
        <v/>
      </c>
      <c r="O3521" s="209">
        <f>IF($F3521&lt;$B$3479,$E$3479+$I$3479*($F3521-$A$3479),IF($F3521&lt;$C$3479,$F$3479+$J$3479*($F3521-$B$3479),$G$3479+$K$3479*($F3521-$C$3479)))</f>
        <v/>
      </c>
      <c r="P3521" s="208">
        <f>MIN(1,MAX(0,(nr_MEndPm1-$G3521+0.5)/$C$3478))-MIN(1,MAX(0,(nr_MStartPm1-1-$G3521+0.5)/$C$3478))</f>
        <v/>
      </c>
      <c r="Q3521" s="208">
        <f>MIN(1,MAX(0,(nr_MEndP-$G3521+0.5)/$C$3478))-MIN(1,MAX(0,(nr_MStartP-1-$G3521+0.5)/$C$3478))</f>
        <v/>
      </c>
      <c r="R3521" s="208">
        <f>MIN(1,MAX(0,(nr_MEndP1-$G3521+0.5)/$C$3478))-MIN(1,MAX(0,(nr_MStartP1-1-$G3521+0.5)/$C$3478))</f>
        <v/>
      </c>
      <c r="S3521" s="208">
        <f>IF($L$3478,$N3521*IF($O$3478=1,$O3521/$F$3478,1),"")</f>
        <v/>
      </c>
      <c r="T3521" s="208">
        <f>IF(NOT($L$3478),"",IF($G3521&lt;nr_MStartP,$S3521,$T3509*(1+IF($G3521&lt;nr_MStartP1,$M$3478,$N$3478))))</f>
        <v/>
      </c>
      <c r="U3521" s="208">
        <f>IF($L$3478,$T3521,$N3521)</f>
        <v/>
      </c>
    </row>
    <row r="3522">
      <c r="A3522" s="145" t="n">
        <v>42</v>
      </c>
      <c r="B3522" s="204">
        <f>EDATE($B3521,1)</f>
        <v/>
      </c>
      <c r="C3522" s="205">
        <f>EOMONTH($B3522,0)</f>
        <v/>
      </c>
      <c r="D3522" s="201">
        <f>$C3522-$B3522+1</f>
        <v/>
      </c>
      <c r="E3522" s="201">
        <f>MONTH($B3522)</f>
        <v/>
      </c>
      <c r="F3522" s="235">
        <f>($B3522+$C3522+1)/2</f>
        <v/>
      </c>
      <c r="G3522" s="201">
        <f>YEAR($B3522)*12+MONTH($B3522)-1</f>
        <v/>
      </c>
      <c r="H3522" s="207">
        <f>IF(OR(nr_SeasonOn="OFF",$D$3478=0,$E$3478=0),1,12*INDEX(se_block,$D$3478,$E3522)/$E$3478)</f>
        <v/>
      </c>
      <c r="I3522" s="208">
        <f>EXP(SUMPRODUCT((rl_eff&lt;$B3522)*(rl_key=$A$3478)*rl_ln1p))</f>
        <v/>
      </c>
      <c r="J3522" s="208">
        <f>EXP(SUMPRODUCT((rl_eff&lt;=$C3522)*(rl_key=$A$3478)*rl_ln1p))</f>
        <v/>
      </c>
      <c r="K3522" s="201">
        <f>COUNTIFS(rl_key,$A$3478,rl_eff,"&gt;="&amp;$B3522,rl_eff,"&lt;="&amp;$C3522)</f>
        <v/>
      </c>
      <c r="L3522" s="201">
        <f>SUMIFS(rl_daysafter,rl_key,$A$3478,rl_effmonth,$B3522,rl_first,1)</f>
        <v/>
      </c>
      <c r="M3522" s="209">
        <f>IF($K3522=0,0,MIN(1,$L3522/$D3522))</f>
        <v/>
      </c>
      <c r="N3522" s="208">
        <f>IF($K3522=0,$J3522,(1-$M3522)*$I3522+$M3522*$J3522)</f>
        <v/>
      </c>
      <c r="O3522" s="209">
        <f>IF($F3522&lt;$B$3479,$E$3479+$I$3479*($F3522-$A$3479),IF($F3522&lt;$C$3479,$F$3479+$J$3479*($F3522-$B$3479),$G$3479+$K$3479*($F3522-$C$3479)))</f>
        <v/>
      </c>
      <c r="P3522" s="208">
        <f>MIN(1,MAX(0,(nr_MEndPm1-$G3522+0.5)/$C$3478))-MIN(1,MAX(0,(nr_MStartPm1-1-$G3522+0.5)/$C$3478))</f>
        <v/>
      </c>
      <c r="Q3522" s="208">
        <f>MIN(1,MAX(0,(nr_MEndP-$G3522+0.5)/$C$3478))-MIN(1,MAX(0,(nr_MStartP-1-$G3522+0.5)/$C$3478))</f>
        <v/>
      </c>
      <c r="R3522" s="208">
        <f>MIN(1,MAX(0,(nr_MEndP1-$G3522+0.5)/$C$3478))-MIN(1,MAX(0,(nr_MStartP1-1-$G3522+0.5)/$C$3478))</f>
        <v/>
      </c>
      <c r="S3522" s="208">
        <f>IF($L$3478,$N3522*IF($O$3478=1,$O3522/$F$3478,1),"")</f>
        <v/>
      </c>
      <c r="T3522" s="208">
        <f>IF(NOT($L$3478),"",IF($G3522&lt;nr_MStartP,$S3522,$T3510*(1+IF($G3522&lt;nr_MStartP1,$M$3478,$N$3478))))</f>
        <v/>
      </c>
      <c r="U3522" s="208">
        <f>IF($L$3478,$T3522,$N3522)</f>
        <v/>
      </c>
    </row>
    <row r="3523">
      <c r="A3523" s="145" t="n">
        <v>43</v>
      </c>
      <c r="B3523" s="204">
        <f>EDATE($B3522,1)</f>
        <v/>
      </c>
      <c r="C3523" s="205">
        <f>EOMONTH($B3523,0)</f>
        <v/>
      </c>
      <c r="D3523" s="201">
        <f>$C3523-$B3523+1</f>
        <v/>
      </c>
      <c r="E3523" s="201">
        <f>MONTH($B3523)</f>
        <v/>
      </c>
      <c r="F3523" s="235">
        <f>($B3523+$C3523+1)/2</f>
        <v/>
      </c>
      <c r="G3523" s="201">
        <f>YEAR($B3523)*12+MONTH($B3523)-1</f>
        <v/>
      </c>
      <c r="H3523" s="207">
        <f>IF(OR(nr_SeasonOn="OFF",$D$3478=0,$E$3478=0),1,12*INDEX(se_block,$D$3478,$E3523)/$E$3478)</f>
        <v/>
      </c>
      <c r="I3523" s="208">
        <f>EXP(SUMPRODUCT((rl_eff&lt;$B3523)*(rl_key=$A$3478)*rl_ln1p))</f>
        <v/>
      </c>
      <c r="J3523" s="208">
        <f>EXP(SUMPRODUCT((rl_eff&lt;=$C3523)*(rl_key=$A$3478)*rl_ln1p))</f>
        <v/>
      </c>
      <c r="K3523" s="201">
        <f>COUNTIFS(rl_key,$A$3478,rl_eff,"&gt;="&amp;$B3523,rl_eff,"&lt;="&amp;$C3523)</f>
        <v/>
      </c>
      <c r="L3523" s="201">
        <f>SUMIFS(rl_daysafter,rl_key,$A$3478,rl_effmonth,$B3523,rl_first,1)</f>
        <v/>
      </c>
      <c r="M3523" s="209">
        <f>IF($K3523=0,0,MIN(1,$L3523/$D3523))</f>
        <v/>
      </c>
      <c r="N3523" s="208">
        <f>IF($K3523=0,$J3523,(1-$M3523)*$I3523+$M3523*$J3523)</f>
        <v/>
      </c>
      <c r="O3523" s="209">
        <f>IF($F3523&lt;$B$3479,$E$3479+$I$3479*($F3523-$A$3479),IF($F3523&lt;$C$3479,$F$3479+$J$3479*($F3523-$B$3479),$G$3479+$K$3479*($F3523-$C$3479)))</f>
        <v/>
      </c>
      <c r="P3523" s="208">
        <f>MIN(1,MAX(0,(nr_MEndPm1-$G3523+0.5)/$C$3478))-MIN(1,MAX(0,(nr_MStartPm1-1-$G3523+0.5)/$C$3478))</f>
        <v/>
      </c>
      <c r="Q3523" s="208">
        <f>MIN(1,MAX(0,(nr_MEndP-$G3523+0.5)/$C$3478))-MIN(1,MAX(0,(nr_MStartP-1-$G3523+0.5)/$C$3478))</f>
        <v/>
      </c>
      <c r="R3523" s="208">
        <f>MIN(1,MAX(0,(nr_MEndP1-$G3523+0.5)/$C$3478))-MIN(1,MAX(0,(nr_MStartP1-1-$G3523+0.5)/$C$3478))</f>
        <v/>
      </c>
      <c r="S3523" s="208">
        <f>IF($L$3478,$N3523*IF($O$3478=1,$O3523/$F$3478,1),"")</f>
        <v/>
      </c>
      <c r="T3523" s="208">
        <f>IF(NOT($L$3478),"",IF($G3523&lt;nr_MStartP,$S3523,$T3511*(1+IF($G3523&lt;nr_MStartP1,$M$3478,$N$3478))))</f>
        <v/>
      </c>
      <c r="U3523" s="208">
        <f>IF($L$3478,$T3523,$N3523)</f>
        <v/>
      </c>
    </row>
    <row r="3524">
      <c r="A3524" s="145" t="n">
        <v>44</v>
      </c>
      <c r="B3524" s="204">
        <f>EDATE($B3523,1)</f>
        <v/>
      </c>
      <c r="C3524" s="205">
        <f>EOMONTH($B3524,0)</f>
        <v/>
      </c>
      <c r="D3524" s="201">
        <f>$C3524-$B3524+1</f>
        <v/>
      </c>
      <c r="E3524" s="201">
        <f>MONTH($B3524)</f>
        <v/>
      </c>
      <c r="F3524" s="235">
        <f>($B3524+$C3524+1)/2</f>
        <v/>
      </c>
      <c r="G3524" s="201">
        <f>YEAR($B3524)*12+MONTH($B3524)-1</f>
        <v/>
      </c>
      <c r="H3524" s="207">
        <f>IF(OR(nr_SeasonOn="OFF",$D$3478=0,$E$3478=0),1,12*INDEX(se_block,$D$3478,$E3524)/$E$3478)</f>
        <v/>
      </c>
      <c r="I3524" s="208">
        <f>EXP(SUMPRODUCT((rl_eff&lt;$B3524)*(rl_key=$A$3478)*rl_ln1p))</f>
        <v/>
      </c>
      <c r="J3524" s="208">
        <f>EXP(SUMPRODUCT((rl_eff&lt;=$C3524)*(rl_key=$A$3478)*rl_ln1p))</f>
        <v/>
      </c>
      <c r="K3524" s="201">
        <f>COUNTIFS(rl_key,$A$3478,rl_eff,"&gt;="&amp;$B3524,rl_eff,"&lt;="&amp;$C3524)</f>
        <v/>
      </c>
      <c r="L3524" s="201">
        <f>SUMIFS(rl_daysafter,rl_key,$A$3478,rl_effmonth,$B3524,rl_first,1)</f>
        <v/>
      </c>
      <c r="M3524" s="209">
        <f>IF($K3524=0,0,MIN(1,$L3524/$D3524))</f>
        <v/>
      </c>
      <c r="N3524" s="208">
        <f>IF($K3524=0,$J3524,(1-$M3524)*$I3524+$M3524*$J3524)</f>
        <v/>
      </c>
      <c r="O3524" s="209">
        <f>IF($F3524&lt;$B$3479,$E$3479+$I$3479*($F3524-$A$3479),IF($F3524&lt;$C$3479,$F$3479+$J$3479*($F3524-$B$3479),$G$3479+$K$3479*($F3524-$C$3479)))</f>
        <v/>
      </c>
      <c r="P3524" s="208">
        <f>MIN(1,MAX(0,(nr_MEndPm1-$G3524+0.5)/$C$3478))-MIN(1,MAX(0,(nr_MStartPm1-1-$G3524+0.5)/$C$3478))</f>
        <v/>
      </c>
      <c r="Q3524" s="208">
        <f>MIN(1,MAX(0,(nr_MEndP-$G3524+0.5)/$C$3478))-MIN(1,MAX(0,(nr_MStartP-1-$G3524+0.5)/$C$3478))</f>
        <v/>
      </c>
      <c r="R3524" s="208">
        <f>MIN(1,MAX(0,(nr_MEndP1-$G3524+0.5)/$C$3478))-MIN(1,MAX(0,(nr_MStartP1-1-$G3524+0.5)/$C$3478))</f>
        <v/>
      </c>
      <c r="S3524" s="208">
        <f>IF($L$3478,$N3524*IF($O$3478=1,$O3524/$F$3478,1),"")</f>
        <v/>
      </c>
      <c r="T3524" s="208">
        <f>IF(NOT($L$3478),"",IF($G3524&lt;nr_MStartP,$S3524,$T3512*(1+IF($G3524&lt;nr_MStartP1,$M$3478,$N$3478))))</f>
        <v/>
      </c>
      <c r="U3524" s="208">
        <f>IF($L$3478,$T3524,$N3524)</f>
        <v/>
      </c>
    </row>
    <row r="3525">
      <c r="A3525" s="145" t="n">
        <v>45</v>
      </c>
      <c r="B3525" s="204">
        <f>EDATE($B3524,1)</f>
        <v/>
      </c>
      <c r="C3525" s="205">
        <f>EOMONTH($B3525,0)</f>
        <v/>
      </c>
      <c r="D3525" s="201">
        <f>$C3525-$B3525+1</f>
        <v/>
      </c>
      <c r="E3525" s="201">
        <f>MONTH($B3525)</f>
        <v/>
      </c>
      <c r="F3525" s="235">
        <f>($B3525+$C3525+1)/2</f>
        <v/>
      </c>
      <c r="G3525" s="201">
        <f>YEAR($B3525)*12+MONTH($B3525)-1</f>
        <v/>
      </c>
      <c r="H3525" s="207">
        <f>IF(OR(nr_SeasonOn="OFF",$D$3478=0,$E$3478=0),1,12*INDEX(se_block,$D$3478,$E3525)/$E$3478)</f>
        <v/>
      </c>
      <c r="I3525" s="208">
        <f>EXP(SUMPRODUCT((rl_eff&lt;$B3525)*(rl_key=$A$3478)*rl_ln1p))</f>
        <v/>
      </c>
      <c r="J3525" s="208">
        <f>EXP(SUMPRODUCT((rl_eff&lt;=$C3525)*(rl_key=$A$3478)*rl_ln1p))</f>
        <v/>
      </c>
      <c r="K3525" s="201">
        <f>COUNTIFS(rl_key,$A$3478,rl_eff,"&gt;="&amp;$B3525,rl_eff,"&lt;="&amp;$C3525)</f>
        <v/>
      </c>
      <c r="L3525" s="201">
        <f>SUMIFS(rl_daysafter,rl_key,$A$3478,rl_effmonth,$B3525,rl_first,1)</f>
        <v/>
      </c>
      <c r="M3525" s="209">
        <f>IF($K3525=0,0,MIN(1,$L3525/$D3525))</f>
        <v/>
      </c>
      <c r="N3525" s="208">
        <f>IF($K3525=0,$J3525,(1-$M3525)*$I3525+$M3525*$J3525)</f>
        <v/>
      </c>
      <c r="O3525" s="209">
        <f>IF($F3525&lt;$B$3479,$E$3479+$I$3479*($F3525-$A$3479),IF($F3525&lt;$C$3479,$F$3479+$J$3479*($F3525-$B$3479),$G$3479+$K$3479*($F3525-$C$3479)))</f>
        <v/>
      </c>
      <c r="P3525" s="208">
        <f>MIN(1,MAX(0,(nr_MEndPm1-$G3525+0.5)/$C$3478))-MIN(1,MAX(0,(nr_MStartPm1-1-$G3525+0.5)/$C$3478))</f>
        <v/>
      </c>
      <c r="Q3525" s="208">
        <f>MIN(1,MAX(0,(nr_MEndP-$G3525+0.5)/$C$3478))-MIN(1,MAX(0,(nr_MStartP-1-$G3525+0.5)/$C$3478))</f>
        <v/>
      </c>
      <c r="R3525" s="208">
        <f>MIN(1,MAX(0,(nr_MEndP1-$G3525+0.5)/$C$3478))-MIN(1,MAX(0,(nr_MStartP1-1-$G3525+0.5)/$C$3478))</f>
        <v/>
      </c>
      <c r="S3525" s="208">
        <f>IF($L$3478,$N3525*IF($O$3478=1,$O3525/$F$3478,1),"")</f>
        <v/>
      </c>
      <c r="T3525" s="208">
        <f>IF(NOT($L$3478),"",IF($G3525&lt;nr_MStartP,$S3525,$T3513*(1+IF($G3525&lt;nr_MStartP1,$M$3478,$N$3478))))</f>
        <v/>
      </c>
      <c r="U3525" s="208">
        <f>IF($L$3478,$T3525,$N3525)</f>
        <v/>
      </c>
    </row>
    <row r="3526">
      <c r="A3526" s="145" t="n">
        <v>46</v>
      </c>
      <c r="B3526" s="204">
        <f>EDATE($B3525,1)</f>
        <v/>
      </c>
      <c r="C3526" s="205">
        <f>EOMONTH($B3526,0)</f>
        <v/>
      </c>
      <c r="D3526" s="201">
        <f>$C3526-$B3526+1</f>
        <v/>
      </c>
      <c r="E3526" s="201">
        <f>MONTH($B3526)</f>
        <v/>
      </c>
      <c r="F3526" s="235">
        <f>($B3526+$C3526+1)/2</f>
        <v/>
      </c>
      <c r="G3526" s="201">
        <f>YEAR($B3526)*12+MONTH($B3526)-1</f>
        <v/>
      </c>
      <c r="H3526" s="207">
        <f>IF(OR(nr_SeasonOn="OFF",$D$3478=0,$E$3478=0),1,12*INDEX(se_block,$D$3478,$E3526)/$E$3478)</f>
        <v/>
      </c>
      <c r="I3526" s="208">
        <f>EXP(SUMPRODUCT((rl_eff&lt;$B3526)*(rl_key=$A$3478)*rl_ln1p))</f>
        <v/>
      </c>
      <c r="J3526" s="208">
        <f>EXP(SUMPRODUCT((rl_eff&lt;=$C3526)*(rl_key=$A$3478)*rl_ln1p))</f>
        <v/>
      </c>
      <c r="K3526" s="201">
        <f>COUNTIFS(rl_key,$A$3478,rl_eff,"&gt;="&amp;$B3526,rl_eff,"&lt;="&amp;$C3526)</f>
        <v/>
      </c>
      <c r="L3526" s="201">
        <f>SUMIFS(rl_daysafter,rl_key,$A$3478,rl_effmonth,$B3526,rl_first,1)</f>
        <v/>
      </c>
      <c r="M3526" s="209">
        <f>IF($K3526=0,0,MIN(1,$L3526/$D3526))</f>
        <v/>
      </c>
      <c r="N3526" s="208">
        <f>IF($K3526=0,$J3526,(1-$M3526)*$I3526+$M3526*$J3526)</f>
        <v/>
      </c>
      <c r="O3526" s="209">
        <f>IF($F3526&lt;$B$3479,$E$3479+$I$3479*($F3526-$A$3479),IF($F3526&lt;$C$3479,$F$3479+$J$3479*($F3526-$B$3479),$G$3479+$K$3479*($F3526-$C$3479)))</f>
        <v/>
      </c>
      <c r="P3526" s="208">
        <f>MIN(1,MAX(0,(nr_MEndPm1-$G3526+0.5)/$C$3478))-MIN(1,MAX(0,(nr_MStartPm1-1-$G3526+0.5)/$C$3478))</f>
        <v/>
      </c>
      <c r="Q3526" s="208">
        <f>MIN(1,MAX(0,(nr_MEndP-$G3526+0.5)/$C$3478))-MIN(1,MAX(0,(nr_MStartP-1-$G3526+0.5)/$C$3478))</f>
        <v/>
      </c>
      <c r="R3526" s="208">
        <f>MIN(1,MAX(0,(nr_MEndP1-$G3526+0.5)/$C$3478))-MIN(1,MAX(0,(nr_MStartP1-1-$G3526+0.5)/$C$3478))</f>
        <v/>
      </c>
      <c r="S3526" s="208">
        <f>IF($L$3478,$N3526*IF($O$3478=1,$O3526/$F$3478,1),"")</f>
        <v/>
      </c>
      <c r="T3526" s="208">
        <f>IF(NOT($L$3478),"",IF($G3526&lt;nr_MStartP,$S3526,$T3514*(1+IF($G3526&lt;nr_MStartP1,$M$3478,$N$3478))))</f>
        <v/>
      </c>
      <c r="U3526" s="208">
        <f>IF($L$3478,$T3526,$N3526)</f>
        <v/>
      </c>
    </row>
    <row r="3527">
      <c r="A3527" s="145" t="n">
        <v>47</v>
      </c>
      <c r="B3527" s="204">
        <f>EDATE($B3526,1)</f>
        <v/>
      </c>
      <c r="C3527" s="205">
        <f>EOMONTH($B3527,0)</f>
        <v/>
      </c>
      <c r="D3527" s="201">
        <f>$C3527-$B3527+1</f>
        <v/>
      </c>
      <c r="E3527" s="201">
        <f>MONTH($B3527)</f>
        <v/>
      </c>
      <c r="F3527" s="235">
        <f>($B3527+$C3527+1)/2</f>
        <v/>
      </c>
      <c r="G3527" s="201">
        <f>YEAR($B3527)*12+MONTH($B3527)-1</f>
        <v/>
      </c>
      <c r="H3527" s="207">
        <f>IF(OR(nr_SeasonOn="OFF",$D$3478=0,$E$3478=0),1,12*INDEX(se_block,$D$3478,$E3527)/$E$3478)</f>
        <v/>
      </c>
      <c r="I3527" s="208">
        <f>EXP(SUMPRODUCT((rl_eff&lt;$B3527)*(rl_key=$A$3478)*rl_ln1p))</f>
        <v/>
      </c>
      <c r="J3527" s="208">
        <f>EXP(SUMPRODUCT((rl_eff&lt;=$C3527)*(rl_key=$A$3478)*rl_ln1p))</f>
        <v/>
      </c>
      <c r="K3527" s="201">
        <f>COUNTIFS(rl_key,$A$3478,rl_eff,"&gt;="&amp;$B3527,rl_eff,"&lt;="&amp;$C3527)</f>
        <v/>
      </c>
      <c r="L3527" s="201">
        <f>SUMIFS(rl_daysafter,rl_key,$A$3478,rl_effmonth,$B3527,rl_first,1)</f>
        <v/>
      </c>
      <c r="M3527" s="209">
        <f>IF($K3527=0,0,MIN(1,$L3527/$D3527))</f>
        <v/>
      </c>
      <c r="N3527" s="208">
        <f>IF($K3527=0,$J3527,(1-$M3527)*$I3527+$M3527*$J3527)</f>
        <v/>
      </c>
      <c r="O3527" s="209">
        <f>IF($F3527&lt;$B$3479,$E$3479+$I$3479*($F3527-$A$3479),IF($F3527&lt;$C$3479,$F$3479+$J$3479*($F3527-$B$3479),$G$3479+$K$3479*($F3527-$C$3479)))</f>
        <v/>
      </c>
      <c r="P3527" s="208">
        <f>MIN(1,MAX(0,(nr_MEndPm1-$G3527+0.5)/$C$3478))-MIN(1,MAX(0,(nr_MStartPm1-1-$G3527+0.5)/$C$3478))</f>
        <v/>
      </c>
      <c r="Q3527" s="208">
        <f>MIN(1,MAX(0,(nr_MEndP-$G3527+0.5)/$C$3478))-MIN(1,MAX(0,(nr_MStartP-1-$G3527+0.5)/$C$3478))</f>
        <v/>
      </c>
      <c r="R3527" s="208">
        <f>MIN(1,MAX(0,(nr_MEndP1-$G3527+0.5)/$C$3478))-MIN(1,MAX(0,(nr_MStartP1-1-$G3527+0.5)/$C$3478))</f>
        <v/>
      </c>
      <c r="S3527" s="208">
        <f>IF($L$3478,$N3527*IF($O$3478=1,$O3527/$F$3478,1),"")</f>
        <v/>
      </c>
      <c r="T3527" s="208">
        <f>IF(NOT($L$3478),"",IF($G3527&lt;nr_MStartP,$S3527,$T3515*(1+IF($G3527&lt;nr_MStartP1,$M$3478,$N$3478))))</f>
        <v/>
      </c>
      <c r="U3527" s="208">
        <f>IF($L$3478,$T3527,$N3527)</f>
        <v/>
      </c>
    </row>
    <row r="3528">
      <c r="A3528" s="145" t="n">
        <v>48</v>
      </c>
      <c r="B3528" s="204">
        <f>EDATE($B3527,1)</f>
        <v/>
      </c>
      <c r="C3528" s="205">
        <f>EOMONTH($B3528,0)</f>
        <v/>
      </c>
      <c r="D3528" s="201">
        <f>$C3528-$B3528+1</f>
        <v/>
      </c>
      <c r="E3528" s="201">
        <f>MONTH($B3528)</f>
        <v/>
      </c>
      <c r="F3528" s="235">
        <f>($B3528+$C3528+1)/2</f>
        <v/>
      </c>
      <c r="G3528" s="201">
        <f>YEAR($B3528)*12+MONTH($B3528)-1</f>
        <v/>
      </c>
      <c r="H3528" s="207">
        <f>IF(OR(nr_SeasonOn="OFF",$D$3478=0,$E$3478=0),1,12*INDEX(se_block,$D$3478,$E3528)/$E$3478)</f>
        <v/>
      </c>
      <c r="I3528" s="208">
        <f>EXP(SUMPRODUCT((rl_eff&lt;$B3528)*(rl_key=$A$3478)*rl_ln1p))</f>
        <v/>
      </c>
      <c r="J3528" s="208">
        <f>EXP(SUMPRODUCT((rl_eff&lt;=$C3528)*(rl_key=$A$3478)*rl_ln1p))</f>
        <v/>
      </c>
      <c r="K3528" s="201">
        <f>COUNTIFS(rl_key,$A$3478,rl_eff,"&gt;="&amp;$B3528,rl_eff,"&lt;="&amp;$C3528)</f>
        <v/>
      </c>
      <c r="L3528" s="201">
        <f>SUMIFS(rl_daysafter,rl_key,$A$3478,rl_effmonth,$B3528,rl_first,1)</f>
        <v/>
      </c>
      <c r="M3528" s="209">
        <f>IF($K3528=0,0,MIN(1,$L3528/$D3528))</f>
        <v/>
      </c>
      <c r="N3528" s="208">
        <f>IF($K3528=0,$J3528,(1-$M3528)*$I3528+$M3528*$J3528)</f>
        <v/>
      </c>
      <c r="O3528" s="209">
        <f>IF($F3528&lt;$B$3479,$E$3479+$I$3479*($F3528-$A$3479),IF($F3528&lt;$C$3479,$F$3479+$J$3479*($F3528-$B$3479),$G$3479+$K$3479*($F3528-$C$3479)))</f>
        <v/>
      </c>
      <c r="P3528" s="208">
        <f>MIN(1,MAX(0,(nr_MEndPm1-$G3528+0.5)/$C$3478))-MIN(1,MAX(0,(nr_MStartPm1-1-$G3528+0.5)/$C$3478))</f>
        <v/>
      </c>
      <c r="Q3528" s="208">
        <f>MIN(1,MAX(0,(nr_MEndP-$G3528+0.5)/$C$3478))-MIN(1,MAX(0,(nr_MStartP-1-$G3528+0.5)/$C$3478))</f>
        <v/>
      </c>
      <c r="R3528" s="208">
        <f>MIN(1,MAX(0,(nr_MEndP1-$G3528+0.5)/$C$3478))-MIN(1,MAX(0,(nr_MStartP1-1-$G3528+0.5)/$C$3478))</f>
        <v/>
      </c>
      <c r="S3528" s="208">
        <f>IF($L$3478,$N3528*IF($O$3478=1,$O3528/$F$3478,1),"")</f>
        <v/>
      </c>
      <c r="T3528" s="208">
        <f>IF(NOT($L$3478),"",IF($G3528&lt;nr_MStartP,$S3528,$T3516*(1+IF($G3528&lt;nr_MStartP1,$M$3478,$N$3478))))</f>
        <v/>
      </c>
      <c r="U3528" s="208">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184">
        <f>SUMPRODUCT($H$3481:$H$3528,$Q$3481:$Q$3528,$O$3481:$O$3528)/SUMPRODUCT($H$3481:$H$3528,$Q$3481:$Q$3528)</f>
        <v/>
      </c>
      <c r="G3529" s="184">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184">
        <f>IF(N(INDEX(lr_mind,65))=0,1,INDEX(lr_mind,65))</f>
        <v/>
      </c>
      <c r="G3532" s="184">
        <f>IF(N(INDEX(lr_m0,65))=0,1,INDEX(lr_m0,65))</f>
        <v/>
      </c>
      <c r="H3532" s="73">
        <f>IF(N(INDEX(lr_m0asof,65))=0,DATE(nr_PlanYear-1,10,1),INDEX(lr_m0asof,65))</f>
        <v/>
      </c>
      <c r="I3532" s="184">
        <f>IF(N(INDEX(lr_m1,65))=0,1,INDEX(lr_m1,65))</f>
        <v/>
      </c>
      <c r="J3532" s="184">
        <f>INDEX(lr_mprior,65)</f>
        <v/>
      </c>
      <c r="K3532" s="184">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145" t="n">
        <v>1</v>
      </c>
      <c r="B3535" s="204">
        <f>DATE(nr_PlanYear-2,1,1)</f>
        <v/>
      </c>
      <c r="C3535" s="205">
        <f>EOMONTH($B3535,0)</f>
        <v/>
      </c>
      <c r="D3535" s="201">
        <f>$C3535-$B3535+1</f>
        <v/>
      </c>
      <c r="E3535" s="201">
        <f>MONTH($B3535)</f>
        <v/>
      </c>
      <c r="F3535" s="235">
        <f>($B3535+$C3535+1)/2</f>
        <v/>
      </c>
      <c r="G3535" s="201">
        <f>YEAR($B3535)*12+MONTH($B3535)-1</f>
        <v/>
      </c>
      <c r="H3535" s="207">
        <f>IF(OR(nr_SeasonOn="OFF",$D$3532=0,$E$3532=0),1,12*INDEX(se_block,$D$3532,$E3535)/$E$3532)</f>
        <v/>
      </c>
      <c r="I3535" s="208">
        <f>EXP(SUMPRODUCT((rl_eff&lt;$B3535)*(rl_key=$A$3532)*rl_ln1p))</f>
        <v/>
      </c>
      <c r="J3535" s="208">
        <f>EXP(SUMPRODUCT((rl_eff&lt;=$C3535)*(rl_key=$A$3532)*rl_ln1p))</f>
        <v/>
      </c>
      <c r="K3535" s="201">
        <f>COUNTIFS(rl_key,$A$3532,rl_eff,"&gt;="&amp;$B3535,rl_eff,"&lt;="&amp;$C3535)</f>
        <v/>
      </c>
      <c r="L3535" s="201">
        <f>SUMIFS(rl_daysafter,rl_key,$A$3532,rl_effmonth,$B3535,rl_first,1)</f>
        <v/>
      </c>
      <c r="M3535" s="209">
        <f>IF($K3535=0,0,MIN(1,$L3535/$D3535))</f>
        <v/>
      </c>
      <c r="N3535" s="208">
        <f>IF($K3535=0,$J3535,(1-$M3535)*$I3535+$M3535*$J3535)</f>
        <v/>
      </c>
      <c r="O3535" s="209">
        <f>IF($F3535&lt;$B$3533,$E$3533+$I$3533*($F3535-$A$3533),IF($F3535&lt;$C$3533,$F$3533+$J$3533*($F3535-$B$3533),$G$3533+$K$3533*($F3535-$C$3533)))</f>
        <v/>
      </c>
      <c r="P3535" s="208">
        <f>MIN(1,MAX(0,(nr_MEndPm1-$G3535+0.5)/$C$3532))-MIN(1,MAX(0,(nr_MStartPm1-1-$G3535+0.5)/$C$3532))</f>
        <v/>
      </c>
      <c r="Q3535" s="208">
        <f>MIN(1,MAX(0,(nr_MEndP-$G3535+0.5)/$C$3532))-MIN(1,MAX(0,(nr_MStartP-1-$G3535+0.5)/$C$3532))</f>
        <v/>
      </c>
      <c r="R3535" s="208">
        <f>MIN(1,MAX(0,(nr_MEndP1-$G3535+0.5)/$C$3532))-MIN(1,MAX(0,(nr_MStartP1-1-$G3535+0.5)/$C$3532))</f>
        <v/>
      </c>
      <c r="S3535" s="208">
        <f>IF($L$3532,$N3535*IF($O$3532=1,$O3535/$F$3532,1),"")</f>
        <v/>
      </c>
      <c r="T3535" s="208">
        <f>IF(NOT($L$3532),"",IF($G3535&lt;nr_MStartP,$S3535,$T3523*(1+IF($G3535&lt;nr_MStartP1,$M$3532,$N$3532))))</f>
        <v/>
      </c>
      <c r="U3535" s="208">
        <f>IF($L$3532,$T3535,$N3535)</f>
        <v/>
      </c>
    </row>
    <row r="3536">
      <c r="A3536" s="145" t="n">
        <v>2</v>
      </c>
      <c r="B3536" s="204">
        <f>EDATE($B3535,1)</f>
        <v/>
      </c>
      <c r="C3536" s="205">
        <f>EOMONTH($B3536,0)</f>
        <v/>
      </c>
      <c r="D3536" s="201">
        <f>$C3536-$B3536+1</f>
        <v/>
      </c>
      <c r="E3536" s="201">
        <f>MONTH($B3536)</f>
        <v/>
      </c>
      <c r="F3536" s="235">
        <f>($B3536+$C3536+1)/2</f>
        <v/>
      </c>
      <c r="G3536" s="201">
        <f>YEAR($B3536)*12+MONTH($B3536)-1</f>
        <v/>
      </c>
      <c r="H3536" s="207">
        <f>IF(OR(nr_SeasonOn="OFF",$D$3532=0,$E$3532=0),1,12*INDEX(se_block,$D$3532,$E3536)/$E$3532)</f>
        <v/>
      </c>
      <c r="I3536" s="208">
        <f>EXP(SUMPRODUCT((rl_eff&lt;$B3536)*(rl_key=$A$3532)*rl_ln1p))</f>
        <v/>
      </c>
      <c r="J3536" s="208">
        <f>EXP(SUMPRODUCT((rl_eff&lt;=$C3536)*(rl_key=$A$3532)*rl_ln1p))</f>
        <v/>
      </c>
      <c r="K3536" s="201">
        <f>COUNTIFS(rl_key,$A$3532,rl_eff,"&gt;="&amp;$B3536,rl_eff,"&lt;="&amp;$C3536)</f>
        <v/>
      </c>
      <c r="L3536" s="201">
        <f>SUMIFS(rl_daysafter,rl_key,$A$3532,rl_effmonth,$B3536,rl_first,1)</f>
        <v/>
      </c>
      <c r="M3536" s="209">
        <f>IF($K3536=0,0,MIN(1,$L3536/$D3536))</f>
        <v/>
      </c>
      <c r="N3536" s="208">
        <f>IF($K3536=0,$J3536,(1-$M3536)*$I3536+$M3536*$J3536)</f>
        <v/>
      </c>
      <c r="O3536" s="209">
        <f>IF($F3536&lt;$B$3533,$E$3533+$I$3533*($F3536-$A$3533),IF($F3536&lt;$C$3533,$F$3533+$J$3533*($F3536-$B$3533),$G$3533+$K$3533*($F3536-$C$3533)))</f>
        <v/>
      </c>
      <c r="P3536" s="208">
        <f>MIN(1,MAX(0,(nr_MEndPm1-$G3536+0.5)/$C$3532))-MIN(1,MAX(0,(nr_MStartPm1-1-$G3536+0.5)/$C$3532))</f>
        <v/>
      </c>
      <c r="Q3536" s="208">
        <f>MIN(1,MAX(0,(nr_MEndP-$G3536+0.5)/$C$3532))-MIN(1,MAX(0,(nr_MStartP-1-$G3536+0.5)/$C$3532))</f>
        <v/>
      </c>
      <c r="R3536" s="208">
        <f>MIN(1,MAX(0,(nr_MEndP1-$G3536+0.5)/$C$3532))-MIN(1,MAX(0,(nr_MStartP1-1-$G3536+0.5)/$C$3532))</f>
        <v/>
      </c>
      <c r="S3536" s="208">
        <f>IF($L$3532,$N3536*IF($O$3532=1,$O3536/$F$3532,1),"")</f>
        <v/>
      </c>
      <c r="T3536" s="208">
        <f>IF(NOT($L$3532),"",IF($G3536&lt;nr_MStartP,$S3536,$T3524*(1+IF($G3536&lt;nr_MStartP1,$M$3532,$N$3532))))</f>
        <v/>
      </c>
      <c r="U3536" s="208">
        <f>IF($L$3532,$T3536,$N3536)</f>
        <v/>
      </c>
    </row>
    <row r="3537">
      <c r="A3537" s="145" t="n">
        <v>3</v>
      </c>
      <c r="B3537" s="204">
        <f>EDATE($B3536,1)</f>
        <v/>
      </c>
      <c r="C3537" s="205">
        <f>EOMONTH($B3537,0)</f>
        <v/>
      </c>
      <c r="D3537" s="201">
        <f>$C3537-$B3537+1</f>
        <v/>
      </c>
      <c r="E3537" s="201">
        <f>MONTH($B3537)</f>
        <v/>
      </c>
      <c r="F3537" s="235">
        <f>($B3537+$C3537+1)/2</f>
        <v/>
      </c>
      <c r="G3537" s="201">
        <f>YEAR($B3537)*12+MONTH($B3537)-1</f>
        <v/>
      </c>
      <c r="H3537" s="207">
        <f>IF(OR(nr_SeasonOn="OFF",$D$3532=0,$E$3532=0),1,12*INDEX(se_block,$D$3532,$E3537)/$E$3532)</f>
        <v/>
      </c>
      <c r="I3537" s="208">
        <f>EXP(SUMPRODUCT((rl_eff&lt;$B3537)*(rl_key=$A$3532)*rl_ln1p))</f>
        <v/>
      </c>
      <c r="J3537" s="208">
        <f>EXP(SUMPRODUCT((rl_eff&lt;=$C3537)*(rl_key=$A$3532)*rl_ln1p))</f>
        <v/>
      </c>
      <c r="K3537" s="201">
        <f>COUNTIFS(rl_key,$A$3532,rl_eff,"&gt;="&amp;$B3537,rl_eff,"&lt;="&amp;$C3537)</f>
        <v/>
      </c>
      <c r="L3537" s="201">
        <f>SUMIFS(rl_daysafter,rl_key,$A$3532,rl_effmonth,$B3537,rl_first,1)</f>
        <v/>
      </c>
      <c r="M3537" s="209">
        <f>IF($K3537=0,0,MIN(1,$L3537/$D3537))</f>
        <v/>
      </c>
      <c r="N3537" s="208">
        <f>IF($K3537=0,$J3537,(1-$M3537)*$I3537+$M3537*$J3537)</f>
        <v/>
      </c>
      <c r="O3537" s="209">
        <f>IF($F3537&lt;$B$3533,$E$3533+$I$3533*($F3537-$A$3533),IF($F3537&lt;$C$3533,$F$3533+$J$3533*($F3537-$B$3533),$G$3533+$K$3533*($F3537-$C$3533)))</f>
        <v/>
      </c>
      <c r="P3537" s="208">
        <f>MIN(1,MAX(0,(nr_MEndPm1-$G3537+0.5)/$C$3532))-MIN(1,MAX(0,(nr_MStartPm1-1-$G3537+0.5)/$C$3532))</f>
        <v/>
      </c>
      <c r="Q3537" s="208">
        <f>MIN(1,MAX(0,(nr_MEndP-$G3537+0.5)/$C$3532))-MIN(1,MAX(0,(nr_MStartP-1-$G3537+0.5)/$C$3532))</f>
        <v/>
      </c>
      <c r="R3537" s="208">
        <f>MIN(1,MAX(0,(nr_MEndP1-$G3537+0.5)/$C$3532))-MIN(1,MAX(0,(nr_MStartP1-1-$G3537+0.5)/$C$3532))</f>
        <v/>
      </c>
      <c r="S3537" s="208">
        <f>IF($L$3532,$N3537*IF($O$3532=1,$O3537/$F$3532,1),"")</f>
        <v/>
      </c>
      <c r="T3537" s="208">
        <f>IF(NOT($L$3532),"",IF($G3537&lt;nr_MStartP,$S3537,$T3525*(1+IF($G3537&lt;nr_MStartP1,$M$3532,$N$3532))))</f>
        <v/>
      </c>
      <c r="U3537" s="208">
        <f>IF($L$3532,$T3537,$N3537)</f>
        <v/>
      </c>
    </row>
    <row r="3538">
      <c r="A3538" s="145" t="n">
        <v>4</v>
      </c>
      <c r="B3538" s="204">
        <f>EDATE($B3537,1)</f>
        <v/>
      </c>
      <c r="C3538" s="205">
        <f>EOMONTH($B3538,0)</f>
        <v/>
      </c>
      <c r="D3538" s="201">
        <f>$C3538-$B3538+1</f>
        <v/>
      </c>
      <c r="E3538" s="201">
        <f>MONTH($B3538)</f>
        <v/>
      </c>
      <c r="F3538" s="235">
        <f>($B3538+$C3538+1)/2</f>
        <v/>
      </c>
      <c r="G3538" s="201">
        <f>YEAR($B3538)*12+MONTH($B3538)-1</f>
        <v/>
      </c>
      <c r="H3538" s="207">
        <f>IF(OR(nr_SeasonOn="OFF",$D$3532=0,$E$3532=0),1,12*INDEX(se_block,$D$3532,$E3538)/$E$3532)</f>
        <v/>
      </c>
      <c r="I3538" s="208">
        <f>EXP(SUMPRODUCT((rl_eff&lt;$B3538)*(rl_key=$A$3532)*rl_ln1p))</f>
        <v/>
      </c>
      <c r="J3538" s="208">
        <f>EXP(SUMPRODUCT((rl_eff&lt;=$C3538)*(rl_key=$A$3532)*rl_ln1p))</f>
        <v/>
      </c>
      <c r="K3538" s="201">
        <f>COUNTIFS(rl_key,$A$3532,rl_eff,"&gt;="&amp;$B3538,rl_eff,"&lt;="&amp;$C3538)</f>
        <v/>
      </c>
      <c r="L3538" s="201">
        <f>SUMIFS(rl_daysafter,rl_key,$A$3532,rl_effmonth,$B3538,rl_first,1)</f>
        <v/>
      </c>
      <c r="M3538" s="209">
        <f>IF($K3538=0,0,MIN(1,$L3538/$D3538))</f>
        <v/>
      </c>
      <c r="N3538" s="208">
        <f>IF($K3538=0,$J3538,(1-$M3538)*$I3538+$M3538*$J3538)</f>
        <v/>
      </c>
      <c r="O3538" s="209">
        <f>IF($F3538&lt;$B$3533,$E$3533+$I$3533*($F3538-$A$3533),IF($F3538&lt;$C$3533,$F$3533+$J$3533*($F3538-$B$3533),$G$3533+$K$3533*($F3538-$C$3533)))</f>
        <v/>
      </c>
      <c r="P3538" s="208">
        <f>MIN(1,MAX(0,(nr_MEndPm1-$G3538+0.5)/$C$3532))-MIN(1,MAX(0,(nr_MStartPm1-1-$G3538+0.5)/$C$3532))</f>
        <v/>
      </c>
      <c r="Q3538" s="208">
        <f>MIN(1,MAX(0,(nr_MEndP-$G3538+0.5)/$C$3532))-MIN(1,MAX(0,(nr_MStartP-1-$G3538+0.5)/$C$3532))</f>
        <v/>
      </c>
      <c r="R3538" s="208">
        <f>MIN(1,MAX(0,(nr_MEndP1-$G3538+0.5)/$C$3532))-MIN(1,MAX(0,(nr_MStartP1-1-$G3538+0.5)/$C$3532))</f>
        <v/>
      </c>
      <c r="S3538" s="208">
        <f>IF($L$3532,$N3538*IF($O$3532=1,$O3538/$F$3532,1),"")</f>
        <v/>
      </c>
      <c r="T3538" s="208">
        <f>IF(NOT($L$3532),"",IF($G3538&lt;nr_MStartP,$S3538,$T3526*(1+IF($G3538&lt;nr_MStartP1,$M$3532,$N$3532))))</f>
        <v/>
      </c>
      <c r="U3538" s="208">
        <f>IF($L$3532,$T3538,$N3538)</f>
        <v/>
      </c>
    </row>
    <row r="3539">
      <c r="A3539" s="145" t="n">
        <v>5</v>
      </c>
      <c r="B3539" s="204">
        <f>EDATE($B3538,1)</f>
        <v/>
      </c>
      <c r="C3539" s="205">
        <f>EOMONTH($B3539,0)</f>
        <v/>
      </c>
      <c r="D3539" s="201">
        <f>$C3539-$B3539+1</f>
        <v/>
      </c>
      <c r="E3539" s="201">
        <f>MONTH($B3539)</f>
        <v/>
      </c>
      <c r="F3539" s="235">
        <f>($B3539+$C3539+1)/2</f>
        <v/>
      </c>
      <c r="G3539" s="201">
        <f>YEAR($B3539)*12+MONTH($B3539)-1</f>
        <v/>
      </c>
      <c r="H3539" s="207">
        <f>IF(OR(nr_SeasonOn="OFF",$D$3532=0,$E$3532=0),1,12*INDEX(se_block,$D$3532,$E3539)/$E$3532)</f>
        <v/>
      </c>
      <c r="I3539" s="208">
        <f>EXP(SUMPRODUCT((rl_eff&lt;$B3539)*(rl_key=$A$3532)*rl_ln1p))</f>
        <v/>
      </c>
      <c r="J3539" s="208">
        <f>EXP(SUMPRODUCT((rl_eff&lt;=$C3539)*(rl_key=$A$3532)*rl_ln1p))</f>
        <v/>
      </c>
      <c r="K3539" s="201">
        <f>COUNTIFS(rl_key,$A$3532,rl_eff,"&gt;="&amp;$B3539,rl_eff,"&lt;="&amp;$C3539)</f>
        <v/>
      </c>
      <c r="L3539" s="201">
        <f>SUMIFS(rl_daysafter,rl_key,$A$3532,rl_effmonth,$B3539,rl_first,1)</f>
        <v/>
      </c>
      <c r="M3539" s="209">
        <f>IF($K3539=0,0,MIN(1,$L3539/$D3539))</f>
        <v/>
      </c>
      <c r="N3539" s="208">
        <f>IF($K3539=0,$J3539,(1-$M3539)*$I3539+$M3539*$J3539)</f>
        <v/>
      </c>
      <c r="O3539" s="209">
        <f>IF($F3539&lt;$B$3533,$E$3533+$I$3533*($F3539-$A$3533),IF($F3539&lt;$C$3533,$F$3533+$J$3533*($F3539-$B$3533),$G$3533+$K$3533*($F3539-$C$3533)))</f>
        <v/>
      </c>
      <c r="P3539" s="208">
        <f>MIN(1,MAX(0,(nr_MEndPm1-$G3539+0.5)/$C$3532))-MIN(1,MAX(0,(nr_MStartPm1-1-$G3539+0.5)/$C$3532))</f>
        <v/>
      </c>
      <c r="Q3539" s="208">
        <f>MIN(1,MAX(0,(nr_MEndP-$G3539+0.5)/$C$3532))-MIN(1,MAX(0,(nr_MStartP-1-$G3539+0.5)/$C$3532))</f>
        <v/>
      </c>
      <c r="R3539" s="208">
        <f>MIN(1,MAX(0,(nr_MEndP1-$G3539+0.5)/$C$3532))-MIN(1,MAX(0,(nr_MStartP1-1-$G3539+0.5)/$C$3532))</f>
        <v/>
      </c>
      <c r="S3539" s="208">
        <f>IF($L$3532,$N3539*IF($O$3532=1,$O3539/$F$3532,1),"")</f>
        <v/>
      </c>
      <c r="T3539" s="208">
        <f>IF(NOT($L$3532),"",IF($G3539&lt;nr_MStartP,$S3539,$T3527*(1+IF($G3539&lt;nr_MStartP1,$M$3532,$N$3532))))</f>
        <v/>
      </c>
      <c r="U3539" s="208">
        <f>IF($L$3532,$T3539,$N3539)</f>
        <v/>
      </c>
    </row>
    <row r="3540">
      <c r="A3540" s="145" t="n">
        <v>6</v>
      </c>
      <c r="B3540" s="204">
        <f>EDATE($B3539,1)</f>
        <v/>
      </c>
      <c r="C3540" s="205">
        <f>EOMONTH($B3540,0)</f>
        <v/>
      </c>
      <c r="D3540" s="201">
        <f>$C3540-$B3540+1</f>
        <v/>
      </c>
      <c r="E3540" s="201">
        <f>MONTH($B3540)</f>
        <v/>
      </c>
      <c r="F3540" s="235">
        <f>($B3540+$C3540+1)/2</f>
        <v/>
      </c>
      <c r="G3540" s="201">
        <f>YEAR($B3540)*12+MONTH($B3540)-1</f>
        <v/>
      </c>
      <c r="H3540" s="207">
        <f>IF(OR(nr_SeasonOn="OFF",$D$3532=0,$E$3532=0),1,12*INDEX(se_block,$D$3532,$E3540)/$E$3532)</f>
        <v/>
      </c>
      <c r="I3540" s="208">
        <f>EXP(SUMPRODUCT((rl_eff&lt;$B3540)*(rl_key=$A$3532)*rl_ln1p))</f>
        <v/>
      </c>
      <c r="J3540" s="208">
        <f>EXP(SUMPRODUCT((rl_eff&lt;=$C3540)*(rl_key=$A$3532)*rl_ln1p))</f>
        <v/>
      </c>
      <c r="K3540" s="201">
        <f>COUNTIFS(rl_key,$A$3532,rl_eff,"&gt;="&amp;$B3540,rl_eff,"&lt;="&amp;$C3540)</f>
        <v/>
      </c>
      <c r="L3540" s="201">
        <f>SUMIFS(rl_daysafter,rl_key,$A$3532,rl_effmonth,$B3540,rl_first,1)</f>
        <v/>
      </c>
      <c r="M3540" s="209">
        <f>IF($K3540=0,0,MIN(1,$L3540/$D3540))</f>
        <v/>
      </c>
      <c r="N3540" s="208">
        <f>IF($K3540=0,$J3540,(1-$M3540)*$I3540+$M3540*$J3540)</f>
        <v/>
      </c>
      <c r="O3540" s="209">
        <f>IF($F3540&lt;$B$3533,$E$3533+$I$3533*($F3540-$A$3533),IF($F3540&lt;$C$3533,$F$3533+$J$3533*($F3540-$B$3533),$G$3533+$K$3533*($F3540-$C$3533)))</f>
        <v/>
      </c>
      <c r="P3540" s="208">
        <f>MIN(1,MAX(0,(nr_MEndPm1-$G3540+0.5)/$C$3532))-MIN(1,MAX(0,(nr_MStartPm1-1-$G3540+0.5)/$C$3532))</f>
        <v/>
      </c>
      <c r="Q3540" s="208">
        <f>MIN(1,MAX(0,(nr_MEndP-$G3540+0.5)/$C$3532))-MIN(1,MAX(0,(nr_MStartP-1-$G3540+0.5)/$C$3532))</f>
        <v/>
      </c>
      <c r="R3540" s="208">
        <f>MIN(1,MAX(0,(nr_MEndP1-$G3540+0.5)/$C$3532))-MIN(1,MAX(0,(nr_MStartP1-1-$G3540+0.5)/$C$3532))</f>
        <v/>
      </c>
      <c r="S3540" s="208">
        <f>IF($L$3532,$N3540*IF($O$3532=1,$O3540/$F$3532,1),"")</f>
        <v/>
      </c>
      <c r="T3540" s="208">
        <f>IF(NOT($L$3532),"",IF($G3540&lt;nr_MStartP,$S3540,$T3528*(1+IF($G3540&lt;nr_MStartP1,$M$3532,$N$3532))))</f>
        <v/>
      </c>
      <c r="U3540" s="208">
        <f>IF($L$3532,$T3540,$N3540)</f>
        <v/>
      </c>
    </row>
    <row r="3541">
      <c r="A3541" s="145" t="n">
        <v>7</v>
      </c>
      <c r="B3541" s="204">
        <f>EDATE($B3540,1)</f>
        <v/>
      </c>
      <c r="C3541" s="205">
        <f>EOMONTH($B3541,0)</f>
        <v/>
      </c>
      <c r="D3541" s="201">
        <f>$C3541-$B3541+1</f>
        <v/>
      </c>
      <c r="E3541" s="201">
        <f>MONTH($B3541)</f>
        <v/>
      </c>
      <c r="F3541" s="235">
        <f>($B3541+$C3541+1)/2</f>
        <v/>
      </c>
      <c r="G3541" s="201">
        <f>YEAR($B3541)*12+MONTH($B3541)-1</f>
        <v/>
      </c>
      <c r="H3541" s="207">
        <f>IF(OR(nr_SeasonOn="OFF",$D$3532=0,$E$3532=0),1,12*INDEX(se_block,$D$3532,$E3541)/$E$3532)</f>
        <v/>
      </c>
      <c r="I3541" s="208">
        <f>EXP(SUMPRODUCT((rl_eff&lt;$B3541)*(rl_key=$A$3532)*rl_ln1p))</f>
        <v/>
      </c>
      <c r="J3541" s="208">
        <f>EXP(SUMPRODUCT((rl_eff&lt;=$C3541)*(rl_key=$A$3532)*rl_ln1p))</f>
        <v/>
      </c>
      <c r="K3541" s="201">
        <f>COUNTIFS(rl_key,$A$3532,rl_eff,"&gt;="&amp;$B3541,rl_eff,"&lt;="&amp;$C3541)</f>
        <v/>
      </c>
      <c r="L3541" s="201">
        <f>SUMIFS(rl_daysafter,rl_key,$A$3532,rl_effmonth,$B3541,rl_first,1)</f>
        <v/>
      </c>
      <c r="M3541" s="209">
        <f>IF($K3541=0,0,MIN(1,$L3541/$D3541))</f>
        <v/>
      </c>
      <c r="N3541" s="208">
        <f>IF($K3541=0,$J3541,(1-$M3541)*$I3541+$M3541*$J3541)</f>
        <v/>
      </c>
      <c r="O3541" s="209">
        <f>IF($F3541&lt;$B$3533,$E$3533+$I$3533*($F3541-$A$3533),IF($F3541&lt;$C$3533,$F$3533+$J$3533*($F3541-$B$3533),$G$3533+$K$3533*($F3541-$C$3533)))</f>
        <v/>
      </c>
      <c r="P3541" s="208">
        <f>MIN(1,MAX(0,(nr_MEndPm1-$G3541+0.5)/$C$3532))-MIN(1,MAX(0,(nr_MStartPm1-1-$G3541+0.5)/$C$3532))</f>
        <v/>
      </c>
      <c r="Q3541" s="208">
        <f>MIN(1,MAX(0,(nr_MEndP-$G3541+0.5)/$C$3532))-MIN(1,MAX(0,(nr_MStartP-1-$G3541+0.5)/$C$3532))</f>
        <v/>
      </c>
      <c r="R3541" s="208">
        <f>MIN(1,MAX(0,(nr_MEndP1-$G3541+0.5)/$C$3532))-MIN(1,MAX(0,(nr_MStartP1-1-$G3541+0.5)/$C$3532))</f>
        <v/>
      </c>
      <c r="S3541" s="208">
        <f>IF($L$3532,$N3541*IF($O$3532=1,$O3541/$F$3532,1),"")</f>
        <v/>
      </c>
      <c r="T3541" s="208">
        <f>IF(NOT($L$3532),"",IF($G3541&lt;nr_MStartP,$S3541,$T3529*(1+IF($G3541&lt;nr_MStartP1,$M$3532,$N$3532))))</f>
        <v/>
      </c>
      <c r="U3541" s="208">
        <f>IF($L$3532,$T3541,$N3541)</f>
        <v/>
      </c>
    </row>
    <row r="3542">
      <c r="A3542" s="145" t="n">
        <v>8</v>
      </c>
      <c r="B3542" s="204">
        <f>EDATE($B3541,1)</f>
        <v/>
      </c>
      <c r="C3542" s="205">
        <f>EOMONTH($B3542,0)</f>
        <v/>
      </c>
      <c r="D3542" s="201">
        <f>$C3542-$B3542+1</f>
        <v/>
      </c>
      <c r="E3542" s="201">
        <f>MONTH($B3542)</f>
        <v/>
      </c>
      <c r="F3542" s="235">
        <f>($B3542+$C3542+1)/2</f>
        <v/>
      </c>
      <c r="G3542" s="201">
        <f>YEAR($B3542)*12+MONTH($B3542)-1</f>
        <v/>
      </c>
      <c r="H3542" s="207">
        <f>IF(OR(nr_SeasonOn="OFF",$D$3532=0,$E$3532=0),1,12*INDEX(se_block,$D$3532,$E3542)/$E$3532)</f>
        <v/>
      </c>
      <c r="I3542" s="208">
        <f>EXP(SUMPRODUCT((rl_eff&lt;$B3542)*(rl_key=$A$3532)*rl_ln1p))</f>
        <v/>
      </c>
      <c r="J3542" s="208">
        <f>EXP(SUMPRODUCT((rl_eff&lt;=$C3542)*(rl_key=$A$3532)*rl_ln1p))</f>
        <v/>
      </c>
      <c r="K3542" s="201">
        <f>COUNTIFS(rl_key,$A$3532,rl_eff,"&gt;="&amp;$B3542,rl_eff,"&lt;="&amp;$C3542)</f>
        <v/>
      </c>
      <c r="L3542" s="201">
        <f>SUMIFS(rl_daysafter,rl_key,$A$3532,rl_effmonth,$B3542,rl_first,1)</f>
        <v/>
      </c>
      <c r="M3542" s="209">
        <f>IF($K3542=0,0,MIN(1,$L3542/$D3542))</f>
        <v/>
      </c>
      <c r="N3542" s="208">
        <f>IF($K3542=0,$J3542,(1-$M3542)*$I3542+$M3542*$J3542)</f>
        <v/>
      </c>
      <c r="O3542" s="209">
        <f>IF($F3542&lt;$B$3533,$E$3533+$I$3533*($F3542-$A$3533),IF($F3542&lt;$C$3533,$F$3533+$J$3533*($F3542-$B$3533),$G$3533+$K$3533*($F3542-$C$3533)))</f>
        <v/>
      </c>
      <c r="P3542" s="208">
        <f>MIN(1,MAX(0,(nr_MEndPm1-$G3542+0.5)/$C$3532))-MIN(1,MAX(0,(nr_MStartPm1-1-$G3542+0.5)/$C$3532))</f>
        <v/>
      </c>
      <c r="Q3542" s="208">
        <f>MIN(1,MAX(0,(nr_MEndP-$G3542+0.5)/$C$3532))-MIN(1,MAX(0,(nr_MStartP-1-$G3542+0.5)/$C$3532))</f>
        <v/>
      </c>
      <c r="R3542" s="208">
        <f>MIN(1,MAX(0,(nr_MEndP1-$G3542+0.5)/$C$3532))-MIN(1,MAX(0,(nr_MStartP1-1-$G3542+0.5)/$C$3532))</f>
        <v/>
      </c>
      <c r="S3542" s="208">
        <f>IF($L$3532,$N3542*IF($O$3532=1,$O3542/$F$3532,1),"")</f>
        <v/>
      </c>
      <c r="T3542" s="208">
        <f>IF(NOT($L$3532),"",IF($G3542&lt;nr_MStartP,$S3542,$T3530*(1+IF($G3542&lt;nr_MStartP1,$M$3532,$N$3532))))</f>
        <v/>
      </c>
      <c r="U3542" s="208">
        <f>IF($L$3532,$T3542,$N3542)</f>
        <v/>
      </c>
    </row>
    <row r="3543">
      <c r="A3543" s="145" t="n">
        <v>9</v>
      </c>
      <c r="B3543" s="204">
        <f>EDATE($B3542,1)</f>
        <v/>
      </c>
      <c r="C3543" s="205">
        <f>EOMONTH($B3543,0)</f>
        <v/>
      </c>
      <c r="D3543" s="201">
        <f>$C3543-$B3543+1</f>
        <v/>
      </c>
      <c r="E3543" s="201">
        <f>MONTH($B3543)</f>
        <v/>
      </c>
      <c r="F3543" s="235">
        <f>($B3543+$C3543+1)/2</f>
        <v/>
      </c>
      <c r="G3543" s="201">
        <f>YEAR($B3543)*12+MONTH($B3543)-1</f>
        <v/>
      </c>
      <c r="H3543" s="207">
        <f>IF(OR(nr_SeasonOn="OFF",$D$3532=0,$E$3532=0),1,12*INDEX(se_block,$D$3532,$E3543)/$E$3532)</f>
        <v/>
      </c>
      <c r="I3543" s="208">
        <f>EXP(SUMPRODUCT((rl_eff&lt;$B3543)*(rl_key=$A$3532)*rl_ln1p))</f>
        <v/>
      </c>
      <c r="J3543" s="208">
        <f>EXP(SUMPRODUCT((rl_eff&lt;=$C3543)*(rl_key=$A$3532)*rl_ln1p))</f>
        <v/>
      </c>
      <c r="K3543" s="201">
        <f>COUNTIFS(rl_key,$A$3532,rl_eff,"&gt;="&amp;$B3543,rl_eff,"&lt;="&amp;$C3543)</f>
        <v/>
      </c>
      <c r="L3543" s="201">
        <f>SUMIFS(rl_daysafter,rl_key,$A$3532,rl_effmonth,$B3543,rl_first,1)</f>
        <v/>
      </c>
      <c r="M3543" s="209">
        <f>IF($K3543=0,0,MIN(1,$L3543/$D3543))</f>
        <v/>
      </c>
      <c r="N3543" s="208">
        <f>IF($K3543=0,$J3543,(1-$M3543)*$I3543+$M3543*$J3543)</f>
        <v/>
      </c>
      <c r="O3543" s="209">
        <f>IF($F3543&lt;$B$3533,$E$3533+$I$3533*($F3543-$A$3533),IF($F3543&lt;$C$3533,$F$3533+$J$3533*($F3543-$B$3533),$G$3533+$K$3533*($F3543-$C$3533)))</f>
        <v/>
      </c>
      <c r="P3543" s="208">
        <f>MIN(1,MAX(0,(nr_MEndPm1-$G3543+0.5)/$C$3532))-MIN(1,MAX(0,(nr_MStartPm1-1-$G3543+0.5)/$C$3532))</f>
        <v/>
      </c>
      <c r="Q3543" s="208">
        <f>MIN(1,MAX(0,(nr_MEndP-$G3543+0.5)/$C$3532))-MIN(1,MAX(0,(nr_MStartP-1-$G3543+0.5)/$C$3532))</f>
        <v/>
      </c>
      <c r="R3543" s="208">
        <f>MIN(1,MAX(0,(nr_MEndP1-$G3543+0.5)/$C$3532))-MIN(1,MAX(0,(nr_MStartP1-1-$G3543+0.5)/$C$3532))</f>
        <v/>
      </c>
      <c r="S3543" s="208">
        <f>IF($L$3532,$N3543*IF($O$3532=1,$O3543/$F$3532,1),"")</f>
        <v/>
      </c>
      <c r="T3543" s="208">
        <f>IF(NOT($L$3532),"",IF($G3543&lt;nr_MStartP,$S3543,$T3531*(1+IF($G3543&lt;nr_MStartP1,$M$3532,$N$3532))))</f>
        <v/>
      </c>
      <c r="U3543" s="208">
        <f>IF($L$3532,$T3543,$N3543)</f>
        <v/>
      </c>
    </row>
    <row r="3544">
      <c r="A3544" s="145" t="n">
        <v>10</v>
      </c>
      <c r="B3544" s="204">
        <f>EDATE($B3543,1)</f>
        <v/>
      </c>
      <c r="C3544" s="205">
        <f>EOMONTH($B3544,0)</f>
        <v/>
      </c>
      <c r="D3544" s="201">
        <f>$C3544-$B3544+1</f>
        <v/>
      </c>
      <c r="E3544" s="201">
        <f>MONTH($B3544)</f>
        <v/>
      </c>
      <c r="F3544" s="235">
        <f>($B3544+$C3544+1)/2</f>
        <v/>
      </c>
      <c r="G3544" s="201">
        <f>YEAR($B3544)*12+MONTH($B3544)-1</f>
        <v/>
      </c>
      <c r="H3544" s="207">
        <f>IF(OR(nr_SeasonOn="OFF",$D$3532=0,$E$3532=0),1,12*INDEX(se_block,$D$3532,$E3544)/$E$3532)</f>
        <v/>
      </c>
      <c r="I3544" s="208">
        <f>EXP(SUMPRODUCT((rl_eff&lt;$B3544)*(rl_key=$A$3532)*rl_ln1p))</f>
        <v/>
      </c>
      <c r="J3544" s="208">
        <f>EXP(SUMPRODUCT((rl_eff&lt;=$C3544)*(rl_key=$A$3532)*rl_ln1p))</f>
        <v/>
      </c>
      <c r="K3544" s="201">
        <f>COUNTIFS(rl_key,$A$3532,rl_eff,"&gt;="&amp;$B3544,rl_eff,"&lt;="&amp;$C3544)</f>
        <v/>
      </c>
      <c r="L3544" s="201">
        <f>SUMIFS(rl_daysafter,rl_key,$A$3532,rl_effmonth,$B3544,rl_first,1)</f>
        <v/>
      </c>
      <c r="M3544" s="209">
        <f>IF($K3544=0,0,MIN(1,$L3544/$D3544))</f>
        <v/>
      </c>
      <c r="N3544" s="208">
        <f>IF($K3544=0,$J3544,(1-$M3544)*$I3544+$M3544*$J3544)</f>
        <v/>
      </c>
      <c r="O3544" s="209">
        <f>IF($F3544&lt;$B$3533,$E$3533+$I$3533*($F3544-$A$3533),IF($F3544&lt;$C$3533,$F$3533+$J$3533*($F3544-$B$3533),$G$3533+$K$3533*($F3544-$C$3533)))</f>
        <v/>
      </c>
      <c r="P3544" s="208">
        <f>MIN(1,MAX(0,(nr_MEndPm1-$G3544+0.5)/$C$3532))-MIN(1,MAX(0,(nr_MStartPm1-1-$G3544+0.5)/$C$3532))</f>
        <v/>
      </c>
      <c r="Q3544" s="208">
        <f>MIN(1,MAX(0,(nr_MEndP-$G3544+0.5)/$C$3532))-MIN(1,MAX(0,(nr_MStartP-1-$G3544+0.5)/$C$3532))</f>
        <v/>
      </c>
      <c r="R3544" s="208">
        <f>MIN(1,MAX(0,(nr_MEndP1-$G3544+0.5)/$C$3532))-MIN(1,MAX(0,(nr_MStartP1-1-$G3544+0.5)/$C$3532))</f>
        <v/>
      </c>
      <c r="S3544" s="208">
        <f>IF($L$3532,$N3544*IF($O$3532=1,$O3544/$F$3532,1),"")</f>
        <v/>
      </c>
      <c r="T3544" s="208">
        <f>IF(NOT($L$3532),"",IF($G3544&lt;nr_MStartP,$S3544,$T3532*(1+IF($G3544&lt;nr_MStartP1,$M$3532,$N$3532))))</f>
        <v/>
      </c>
      <c r="U3544" s="208">
        <f>IF($L$3532,$T3544,$N3544)</f>
        <v/>
      </c>
    </row>
    <row r="3545">
      <c r="A3545" s="145" t="n">
        <v>11</v>
      </c>
      <c r="B3545" s="204">
        <f>EDATE($B3544,1)</f>
        <v/>
      </c>
      <c r="C3545" s="205">
        <f>EOMONTH($B3545,0)</f>
        <v/>
      </c>
      <c r="D3545" s="201">
        <f>$C3545-$B3545+1</f>
        <v/>
      </c>
      <c r="E3545" s="201">
        <f>MONTH($B3545)</f>
        <v/>
      </c>
      <c r="F3545" s="235">
        <f>($B3545+$C3545+1)/2</f>
        <v/>
      </c>
      <c r="G3545" s="201">
        <f>YEAR($B3545)*12+MONTH($B3545)-1</f>
        <v/>
      </c>
      <c r="H3545" s="207">
        <f>IF(OR(nr_SeasonOn="OFF",$D$3532=0,$E$3532=0),1,12*INDEX(se_block,$D$3532,$E3545)/$E$3532)</f>
        <v/>
      </c>
      <c r="I3545" s="208">
        <f>EXP(SUMPRODUCT((rl_eff&lt;$B3545)*(rl_key=$A$3532)*rl_ln1p))</f>
        <v/>
      </c>
      <c r="J3545" s="208">
        <f>EXP(SUMPRODUCT((rl_eff&lt;=$C3545)*(rl_key=$A$3532)*rl_ln1p))</f>
        <v/>
      </c>
      <c r="K3545" s="201">
        <f>COUNTIFS(rl_key,$A$3532,rl_eff,"&gt;="&amp;$B3545,rl_eff,"&lt;="&amp;$C3545)</f>
        <v/>
      </c>
      <c r="L3545" s="201">
        <f>SUMIFS(rl_daysafter,rl_key,$A$3532,rl_effmonth,$B3545,rl_first,1)</f>
        <v/>
      </c>
      <c r="M3545" s="209">
        <f>IF($K3545=0,0,MIN(1,$L3545/$D3545))</f>
        <v/>
      </c>
      <c r="N3545" s="208">
        <f>IF($K3545=0,$J3545,(1-$M3545)*$I3545+$M3545*$J3545)</f>
        <v/>
      </c>
      <c r="O3545" s="209">
        <f>IF($F3545&lt;$B$3533,$E$3533+$I$3533*($F3545-$A$3533),IF($F3545&lt;$C$3533,$F$3533+$J$3533*($F3545-$B$3533),$G$3533+$K$3533*($F3545-$C$3533)))</f>
        <v/>
      </c>
      <c r="P3545" s="208">
        <f>MIN(1,MAX(0,(nr_MEndPm1-$G3545+0.5)/$C$3532))-MIN(1,MAX(0,(nr_MStartPm1-1-$G3545+0.5)/$C$3532))</f>
        <v/>
      </c>
      <c r="Q3545" s="208">
        <f>MIN(1,MAX(0,(nr_MEndP-$G3545+0.5)/$C$3532))-MIN(1,MAX(0,(nr_MStartP-1-$G3545+0.5)/$C$3532))</f>
        <v/>
      </c>
      <c r="R3545" s="208">
        <f>MIN(1,MAX(0,(nr_MEndP1-$G3545+0.5)/$C$3532))-MIN(1,MAX(0,(nr_MStartP1-1-$G3545+0.5)/$C$3532))</f>
        <v/>
      </c>
      <c r="S3545" s="208">
        <f>IF($L$3532,$N3545*IF($O$3532=1,$O3545/$F$3532,1),"")</f>
        <v/>
      </c>
      <c r="T3545" s="208">
        <f>IF(NOT($L$3532),"",IF($G3545&lt;nr_MStartP,$S3545,$T3533*(1+IF($G3545&lt;nr_MStartP1,$M$3532,$N$3532))))</f>
        <v/>
      </c>
      <c r="U3545" s="208">
        <f>IF($L$3532,$T3545,$N3545)</f>
        <v/>
      </c>
    </row>
    <row r="3546">
      <c r="A3546" s="145" t="n">
        <v>12</v>
      </c>
      <c r="B3546" s="204">
        <f>EDATE($B3545,1)</f>
        <v/>
      </c>
      <c r="C3546" s="205">
        <f>EOMONTH($B3546,0)</f>
        <v/>
      </c>
      <c r="D3546" s="201">
        <f>$C3546-$B3546+1</f>
        <v/>
      </c>
      <c r="E3546" s="201">
        <f>MONTH($B3546)</f>
        <v/>
      </c>
      <c r="F3546" s="235">
        <f>($B3546+$C3546+1)/2</f>
        <v/>
      </c>
      <c r="G3546" s="201">
        <f>YEAR($B3546)*12+MONTH($B3546)-1</f>
        <v/>
      </c>
      <c r="H3546" s="207">
        <f>IF(OR(nr_SeasonOn="OFF",$D$3532=0,$E$3532=0),1,12*INDEX(se_block,$D$3532,$E3546)/$E$3532)</f>
        <v/>
      </c>
      <c r="I3546" s="208">
        <f>EXP(SUMPRODUCT((rl_eff&lt;$B3546)*(rl_key=$A$3532)*rl_ln1p))</f>
        <v/>
      </c>
      <c r="J3546" s="208">
        <f>EXP(SUMPRODUCT((rl_eff&lt;=$C3546)*(rl_key=$A$3532)*rl_ln1p))</f>
        <v/>
      </c>
      <c r="K3546" s="201">
        <f>COUNTIFS(rl_key,$A$3532,rl_eff,"&gt;="&amp;$B3546,rl_eff,"&lt;="&amp;$C3546)</f>
        <v/>
      </c>
      <c r="L3546" s="201">
        <f>SUMIFS(rl_daysafter,rl_key,$A$3532,rl_effmonth,$B3546,rl_first,1)</f>
        <v/>
      </c>
      <c r="M3546" s="209">
        <f>IF($K3546=0,0,MIN(1,$L3546/$D3546))</f>
        <v/>
      </c>
      <c r="N3546" s="208">
        <f>IF($K3546=0,$J3546,(1-$M3546)*$I3546+$M3546*$J3546)</f>
        <v/>
      </c>
      <c r="O3546" s="209">
        <f>IF($F3546&lt;$B$3533,$E$3533+$I$3533*($F3546-$A$3533),IF($F3546&lt;$C$3533,$F$3533+$J$3533*($F3546-$B$3533),$G$3533+$K$3533*($F3546-$C$3533)))</f>
        <v/>
      </c>
      <c r="P3546" s="208">
        <f>MIN(1,MAX(0,(nr_MEndPm1-$G3546+0.5)/$C$3532))-MIN(1,MAX(0,(nr_MStartPm1-1-$G3546+0.5)/$C$3532))</f>
        <v/>
      </c>
      <c r="Q3546" s="208">
        <f>MIN(1,MAX(0,(nr_MEndP-$G3546+0.5)/$C$3532))-MIN(1,MAX(0,(nr_MStartP-1-$G3546+0.5)/$C$3532))</f>
        <v/>
      </c>
      <c r="R3546" s="208">
        <f>MIN(1,MAX(0,(nr_MEndP1-$G3546+0.5)/$C$3532))-MIN(1,MAX(0,(nr_MStartP1-1-$G3546+0.5)/$C$3532))</f>
        <v/>
      </c>
      <c r="S3546" s="208">
        <f>IF($L$3532,$N3546*IF($O$3532=1,$O3546/$F$3532,1),"")</f>
        <v/>
      </c>
      <c r="T3546" s="208">
        <f>IF(NOT($L$3532),"",IF($G3546&lt;nr_MStartP,$S3546,$T3534*(1+IF($G3546&lt;nr_MStartP1,$M$3532,$N$3532))))</f>
        <v/>
      </c>
      <c r="U3546" s="208">
        <f>IF($L$3532,$T3546,$N3546)</f>
        <v/>
      </c>
    </row>
    <row r="3547">
      <c r="A3547" s="145" t="n">
        <v>13</v>
      </c>
      <c r="B3547" s="204">
        <f>EDATE($B3546,1)</f>
        <v/>
      </c>
      <c r="C3547" s="205">
        <f>EOMONTH($B3547,0)</f>
        <v/>
      </c>
      <c r="D3547" s="201">
        <f>$C3547-$B3547+1</f>
        <v/>
      </c>
      <c r="E3547" s="201">
        <f>MONTH($B3547)</f>
        <v/>
      </c>
      <c r="F3547" s="235">
        <f>($B3547+$C3547+1)/2</f>
        <v/>
      </c>
      <c r="G3547" s="201">
        <f>YEAR($B3547)*12+MONTH($B3547)-1</f>
        <v/>
      </c>
      <c r="H3547" s="207">
        <f>IF(OR(nr_SeasonOn="OFF",$D$3532=0,$E$3532=0),1,12*INDEX(se_block,$D$3532,$E3547)/$E$3532)</f>
        <v/>
      </c>
      <c r="I3547" s="208">
        <f>EXP(SUMPRODUCT((rl_eff&lt;$B3547)*(rl_key=$A$3532)*rl_ln1p))</f>
        <v/>
      </c>
      <c r="J3547" s="208">
        <f>EXP(SUMPRODUCT((rl_eff&lt;=$C3547)*(rl_key=$A$3532)*rl_ln1p))</f>
        <v/>
      </c>
      <c r="K3547" s="201">
        <f>COUNTIFS(rl_key,$A$3532,rl_eff,"&gt;="&amp;$B3547,rl_eff,"&lt;="&amp;$C3547)</f>
        <v/>
      </c>
      <c r="L3547" s="201">
        <f>SUMIFS(rl_daysafter,rl_key,$A$3532,rl_effmonth,$B3547,rl_first,1)</f>
        <v/>
      </c>
      <c r="M3547" s="209">
        <f>IF($K3547=0,0,MIN(1,$L3547/$D3547))</f>
        <v/>
      </c>
      <c r="N3547" s="208">
        <f>IF($K3547=0,$J3547,(1-$M3547)*$I3547+$M3547*$J3547)</f>
        <v/>
      </c>
      <c r="O3547" s="209">
        <f>IF($F3547&lt;$B$3533,$E$3533+$I$3533*($F3547-$A$3533),IF($F3547&lt;$C$3533,$F$3533+$J$3533*($F3547-$B$3533),$G$3533+$K$3533*($F3547-$C$3533)))</f>
        <v/>
      </c>
      <c r="P3547" s="208">
        <f>MIN(1,MAX(0,(nr_MEndPm1-$G3547+0.5)/$C$3532))-MIN(1,MAX(0,(nr_MStartPm1-1-$G3547+0.5)/$C$3532))</f>
        <v/>
      </c>
      <c r="Q3547" s="208">
        <f>MIN(1,MAX(0,(nr_MEndP-$G3547+0.5)/$C$3532))-MIN(1,MAX(0,(nr_MStartP-1-$G3547+0.5)/$C$3532))</f>
        <v/>
      </c>
      <c r="R3547" s="208">
        <f>MIN(1,MAX(0,(nr_MEndP1-$G3547+0.5)/$C$3532))-MIN(1,MAX(0,(nr_MStartP1-1-$G3547+0.5)/$C$3532))</f>
        <v/>
      </c>
      <c r="S3547" s="208">
        <f>IF($L$3532,$N3547*IF($O$3532=1,$O3547/$F$3532,1),"")</f>
        <v/>
      </c>
      <c r="T3547" s="208">
        <f>IF(NOT($L$3532),"",IF($G3547&lt;nr_MStartP,$S3547,$T3535*(1+IF($G3547&lt;nr_MStartP1,$M$3532,$N$3532))))</f>
        <v/>
      </c>
      <c r="U3547" s="208">
        <f>IF($L$3532,$T3547,$N3547)</f>
        <v/>
      </c>
    </row>
    <row r="3548">
      <c r="A3548" s="145" t="n">
        <v>14</v>
      </c>
      <c r="B3548" s="204">
        <f>EDATE($B3547,1)</f>
        <v/>
      </c>
      <c r="C3548" s="205">
        <f>EOMONTH($B3548,0)</f>
        <v/>
      </c>
      <c r="D3548" s="201">
        <f>$C3548-$B3548+1</f>
        <v/>
      </c>
      <c r="E3548" s="201">
        <f>MONTH($B3548)</f>
        <v/>
      </c>
      <c r="F3548" s="235">
        <f>($B3548+$C3548+1)/2</f>
        <v/>
      </c>
      <c r="G3548" s="201">
        <f>YEAR($B3548)*12+MONTH($B3548)-1</f>
        <v/>
      </c>
      <c r="H3548" s="207">
        <f>IF(OR(nr_SeasonOn="OFF",$D$3532=0,$E$3532=0),1,12*INDEX(se_block,$D$3532,$E3548)/$E$3532)</f>
        <v/>
      </c>
      <c r="I3548" s="208">
        <f>EXP(SUMPRODUCT((rl_eff&lt;$B3548)*(rl_key=$A$3532)*rl_ln1p))</f>
        <v/>
      </c>
      <c r="J3548" s="208">
        <f>EXP(SUMPRODUCT((rl_eff&lt;=$C3548)*(rl_key=$A$3532)*rl_ln1p))</f>
        <v/>
      </c>
      <c r="K3548" s="201">
        <f>COUNTIFS(rl_key,$A$3532,rl_eff,"&gt;="&amp;$B3548,rl_eff,"&lt;="&amp;$C3548)</f>
        <v/>
      </c>
      <c r="L3548" s="201">
        <f>SUMIFS(rl_daysafter,rl_key,$A$3532,rl_effmonth,$B3548,rl_first,1)</f>
        <v/>
      </c>
      <c r="M3548" s="209">
        <f>IF($K3548=0,0,MIN(1,$L3548/$D3548))</f>
        <v/>
      </c>
      <c r="N3548" s="208">
        <f>IF($K3548=0,$J3548,(1-$M3548)*$I3548+$M3548*$J3548)</f>
        <v/>
      </c>
      <c r="O3548" s="209">
        <f>IF($F3548&lt;$B$3533,$E$3533+$I$3533*($F3548-$A$3533),IF($F3548&lt;$C$3533,$F$3533+$J$3533*($F3548-$B$3533),$G$3533+$K$3533*($F3548-$C$3533)))</f>
        <v/>
      </c>
      <c r="P3548" s="208">
        <f>MIN(1,MAX(0,(nr_MEndPm1-$G3548+0.5)/$C$3532))-MIN(1,MAX(0,(nr_MStartPm1-1-$G3548+0.5)/$C$3532))</f>
        <v/>
      </c>
      <c r="Q3548" s="208">
        <f>MIN(1,MAX(0,(nr_MEndP-$G3548+0.5)/$C$3532))-MIN(1,MAX(0,(nr_MStartP-1-$G3548+0.5)/$C$3532))</f>
        <v/>
      </c>
      <c r="R3548" s="208">
        <f>MIN(1,MAX(0,(nr_MEndP1-$G3548+0.5)/$C$3532))-MIN(1,MAX(0,(nr_MStartP1-1-$G3548+0.5)/$C$3532))</f>
        <v/>
      </c>
      <c r="S3548" s="208">
        <f>IF($L$3532,$N3548*IF($O$3532=1,$O3548/$F$3532,1),"")</f>
        <v/>
      </c>
      <c r="T3548" s="208">
        <f>IF(NOT($L$3532),"",IF($G3548&lt;nr_MStartP,$S3548,$T3536*(1+IF($G3548&lt;nr_MStartP1,$M$3532,$N$3532))))</f>
        <v/>
      </c>
      <c r="U3548" s="208">
        <f>IF($L$3532,$T3548,$N3548)</f>
        <v/>
      </c>
    </row>
    <row r="3549">
      <c r="A3549" s="145" t="n">
        <v>15</v>
      </c>
      <c r="B3549" s="204">
        <f>EDATE($B3548,1)</f>
        <v/>
      </c>
      <c r="C3549" s="205">
        <f>EOMONTH($B3549,0)</f>
        <v/>
      </c>
      <c r="D3549" s="201">
        <f>$C3549-$B3549+1</f>
        <v/>
      </c>
      <c r="E3549" s="201">
        <f>MONTH($B3549)</f>
        <v/>
      </c>
      <c r="F3549" s="235">
        <f>($B3549+$C3549+1)/2</f>
        <v/>
      </c>
      <c r="G3549" s="201">
        <f>YEAR($B3549)*12+MONTH($B3549)-1</f>
        <v/>
      </c>
      <c r="H3549" s="207">
        <f>IF(OR(nr_SeasonOn="OFF",$D$3532=0,$E$3532=0),1,12*INDEX(se_block,$D$3532,$E3549)/$E$3532)</f>
        <v/>
      </c>
      <c r="I3549" s="208">
        <f>EXP(SUMPRODUCT((rl_eff&lt;$B3549)*(rl_key=$A$3532)*rl_ln1p))</f>
        <v/>
      </c>
      <c r="J3549" s="208">
        <f>EXP(SUMPRODUCT((rl_eff&lt;=$C3549)*(rl_key=$A$3532)*rl_ln1p))</f>
        <v/>
      </c>
      <c r="K3549" s="201">
        <f>COUNTIFS(rl_key,$A$3532,rl_eff,"&gt;="&amp;$B3549,rl_eff,"&lt;="&amp;$C3549)</f>
        <v/>
      </c>
      <c r="L3549" s="201">
        <f>SUMIFS(rl_daysafter,rl_key,$A$3532,rl_effmonth,$B3549,rl_first,1)</f>
        <v/>
      </c>
      <c r="M3549" s="209">
        <f>IF($K3549=0,0,MIN(1,$L3549/$D3549))</f>
        <v/>
      </c>
      <c r="N3549" s="208">
        <f>IF($K3549=0,$J3549,(1-$M3549)*$I3549+$M3549*$J3549)</f>
        <v/>
      </c>
      <c r="O3549" s="209">
        <f>IF($F3549&lt;$B$3533,$E$3533+$I$3533*($F3549-$A$3533),IF($F3549&lt;$C$3533,$F$3533+$J$3533*($F3549-$B$3533),$G$3533+$K$3533*($F3549-$C$3533)))</f>
        <v/>
      </c>
      <c r="P3549" s="208">
        <f>MIN(1,MAX(0,(nr_MEndPm1-$G3549+0.5)/$C$3532))-MIN(1,MAX(0,(nr_MStartPm1-1-$G3549+0.5)/$C$3532))</f>
        <v/>
      </c>
      <c r="Q3549" s="208">
        <f>MIN(1,MAX(0,(nr_MEndP-$G3549+0.5)/$C$3532))-MIN(1,MAX(0,(nr_MStartP-1-$G3549+0.5)/$C$3532))</f>
        <v/>
      </c>
      <c r="R3549" s="208">
        <f>MIN(1,MAX(0,(nr_MEndP1-$G3549+0.5)/$C$3532))-MIN(1,MAX(0,(nr_MStartP1-1-$G3549+0.5)/$C$3532))</f>
        <v/>
      </c>
      <c r="S3549" s="208">
        <f>IF($L$3532,$N3549*IF($O$3532=1,$O3549/$F$3532,1),"")</f>
        <v/>
      </c>
      <c r="T3549" s="208">
        <f>IF(NOT($L$3532),"",IF($G3549&lt;nr_MStartP,$S3549,$T3537*(1+IF($G3549&lt;nr_MStartP1,$M$3532,$N$3532))))</f>
        <v/>
      </c>
      <c r="U3549" s="208">
        <f>IF($L$3532,$T3549,$N3549)</f>
        <v/>
      </c>
    </row>
    <row r="3550">
      <c r="A3550" s="145" t="n">
        <v>16</v>
      </c>
      <c r="B3550" s="204">
        <f>EDATE($B3549,1)</f>
        <v/>
      </c>
      <c r="C3550" s="205">
        <f>EOMONTH($B3550,0)</f>
        <v/>
      </c>
      <c r="D3550" s="201">
        <f>$C3550-$B3550+1</f>
        <v/>
      </c>
      <c r="E3550" s="201">
        <f>MONTH($B3550)</f>
        <v/>
      </c>
      <c r="F3550" s="235">
        <f>($B3550+$C3550+1)/2</f>
        <v/>
      </c>
      <c r="G3550" s="201">
        <f>YEAR($B3550)*12+MONTH($B3550)-1</f>
        <v/>
      </c>
      <c r="H3550" s="207">
        <f>IF(OR(nr_SeasonOn="OFF",$D$3532=0,$E$3532=0),1,12*INDEX(se_block,$D$3532,$E3550)/$E$3532)</f>
        <v/>
      </c>
      <c r="I3550" s="208">
        <f>EXP(SUMPRODUCT((rl_eff&lt;$B3550)*(rl_key=$A$3532)*rl_ln1p))</f>
        <v/>
      </c>
      <c r="J3550" s="208">
        <f>EXP(SUMPRODUCT((rl_eff&lt;=$C3550)*(rl_key=$A$3532)*rl_ln1p))</f>
        <v/>
      </c>
      <c r="K3550" s="201">
        <f>COUNTIFS(rl_key,$A$3532,rl_eff,"&gt;="&amp;$B3550,rl_eff,"&lt;="&amp;$C3550)</f>
        <v/>
      </c>
      <c r="L3550" s="201">
        <f>SUMIFS(rl_daysafter,rl_key,$A$3532,rl_effmonth,$B3550,rl_first,1)</f>
        <v/>
      </c>
      <c r="M3550" s="209">
        <f>IF($K3550=0,0,MIN(1,$L3550/$D3550))</f>
        <v/>
      </c>
      <c r="N3550" s="208">
        <f>IF($K3550=0,$J3550,(1-$M3550)*$I3550+$M3550*$J3550)</f>
        <v/>
      </c>
      <c r="O3550" s="209">
        <f>IF($F3550&lt;$B$3533,$E$3533+$I$3533*($F3550-$A$3533),IF($F3550&lt;$C$3533,$F$3533+$J$3533*($F3550-$B$3533),$G$3533+$K$3533*($F3550-$C$3533)))</f>
        <v/>
      </c>
      <c r="P3550" s="208">
        <f>MIN(1,MAX(0,(nr_MEndPm1-$G3550+0.5)/$C$3532))-MIN(1,MAX(0,(nr_MStartPm1-1-$G3550+0.5)/$C$3532))</f>
        <v/>
      </c>
      <c r="Q3550" s="208">
        <f>MIN(1,MAX(0,(nr_MEndP-$G3550+0.5)/$C$3532))-MIN(1,MAX(0,(nr_MStartP-1-$G3550+0.5)/$C$3532))</f>
        <v/>
      </c>
      <c r="R3550" s="208">
        <f>MIN(1,MAX(0,(nr_MEndP1-$G3550+0.5)/$C$3532))-MIN(1,MAX(0,(nr_MStartP1-1-$G3550+0.5)/$C$3532))</f>
        <v/>
      </c>
      <c r="S3550" s="208">
        <f>IF($L$3532,$N3550*IF($O$3532=1,$O3550/$F$3532,1),"")</f>
        <v/>
      </c>
      <c r="T3550" s="208">
        <f>IF(NOT($L$3532),"",IF($G3550&lt;nr_MStartP,$S3550,$T3538*(1+IF($G3550&lt;nr_MStartP1,$M$3532,$N$3532))))</f>
        <v/>
      </c>
      <c r="U3550" s="208">
        <f>IF($L$3532,$T3550,$N3550)</f>
        <v/>
      </c>
    </row>
    <row r="3551">
      <c r="A3551" s="145" t="n">
        <v>17</v>
      </c>
      <c r="B3551" s="204">
        <f>EDATE($B3550,1)</f>
        <v/>
      </c>
      <c r="C3551" s="205">
        <f>EOMONTH($B3551,0)</f>
        <v/>
      </c>
      <c r="D3551" s="201">
        <f>$C3551-$B3551+1</f>
        <v/>
      </c>
      <c r="E3551" s="201">
        <f>MONTH($B3551)</f>
        <v/>
      </c>
      <c r="F3551" s="235">
        <f>($B3551+$C3551+1)/2</f>
        <v/>
      </c>
      <c r="G3551" s="201">
        <f>YEAR($B3551)*12+MONTH($B3551)-1</f>
        <v/>
      </c>
      <c r="H3551" s="207">
        <f>IF(OR(nr_SeasonOn="OFF",$D$3532=0,$E$3532=0),1,12*INDEX(se_block,$D$3532,$E3551)/$E$3532)</f>
        <v/>
      </c>
      <c r="I3551" s="208">
        <f>EXP(SUMPRODUCT((rl_eff&lt;$B3551)*(rl_key=$A$3532)*rl_ln1p))</f>
        <v/>
      </c>
      <c r="J3551" s="208">
        <f>EXP(SUMPRODUCT((rl_eff&lt;=$C3551)*(rl_key=$A$3532)*rl_ln1p))</f>
        <v/>
      </c>
      <c r="K3551" s="201">
        <f>COUNTIFS(rl_key,$A$3532,rl_eff,"&gt;="&amp;$B3551,rl_eff,"&lt;="&amp;$C3551)</f>
        <v/>
      </c>
      <c r="L3551" s="201">
        <f>SUMIFS(rl_daysafter,rl_key,$A$3532,rl_effmonth,$B3551,rl_first,1)</f>
        <v/>
      </c>
      <c r="M3551" s="209">
        <f>IF($K3551=0,0,MIN(1,$L3551/$D3551))</f>
        <v/>
      </c>
      <c r="N3551" s="208">
        <f>IF($K3551=0,$J3551,(1-$M3551)*$I3551+$M3551*$J3551)</f>
        <v/>
      </c>
      <c r="O3551" s="209">
        <f>IF($F3551&lt;$B$3533,$E$3533+$I$3533*($F3551-$A$3533),IF($F3551&lt;$C$3533,$F$3533+$J$3533*($F3551-$B$3533),$G$3533+$K$3533*($F3551-$C$3533)))</f>
        <v/>
      </c>
      <c r="P3551" s="208">
        <f>MIN(1,MAX(0,(nr_MEndPm1-$G3551+0.5)/$C$3532))-MIN(1,MAX(0,(nr_MStartPm1-1-$G3551+0.5)/$C$3532))</f>
        <v/>
      </c>
      <c r="Q3551" s="208">
        <f>MIN(1,MAX(0,(nr_MEndP-$G3551+0.5)/$C$3532))-MIN(1,MAX(0,(nr_MStartP-1-$G3551+0.5)/$C$3532))</f>
        <v/>
      </c>
      <c r="R3551" s="208">
        <f>MIN(1,MAX(0,(nr_MEndP1-$G3551+0.5)/$C$3532))-MIN(1,MAX(0,(nr_MStartP1-1-$G3551+0.5)/$C$3532))</f>
        <v/>
      </c>
      <c r="S3551" s="208">
        <f>IF($L$3532,$N3551*IF($O$3532=1,$O3551/$F$3532,1),"")</f>
        <v/>
      </c>
      <c r="T3551" s="208">
        <f>IF(NOT($L$3532),"",IF($G3551&lt;nr_MStartP,$S3551,$T3539*(1+IF($G3551&lt;nr_MStartP1,$M$3532,$N$3532))))</f>
        <v/>
      </c>
      <c r="U3551" s="208">
        <f>IF($L$3532,$T3551,$N3551)</f>
        <v/>
      </c>
    </row>
    <row r="3552">
      <c r="A3552" s="145" t="n">
        <v>18</v>
      </c>
      <c r="B3552" s="204">
        <f>EDATE($B3551,1)</f>
        <v/>
      </c>
      <c r="C3552" s="205">
        <f>EOMONTH($B3552,0)</f>
        <v/>
      </c>
      <c r="D3552" s="201">
        <f>$C3552-$B3552+1</f>
        <v/>
      </c>
      <c r="E3552" s="201">
        <f>MONTH($B3552)</f>
        <v/>
      </c>
      <c r="F3552" s="235">
        <f>($B3552+$C3552+1)/2</f>
        <v/>
      </c>
      <c r="G3552" s="201">
        <f>YEAR($B3552)*12+MONTH($B3552)-1</f>
        <v/>
      </c>
      <c r="H3552" s="207">
        <f>IF(OR(nr_SeasonOn="OFF",$D$3532=0,$E$3532=0),1,12*INDEX(se_block,$D$3532,$E3552)/$E$3532)</f>
        <v/>
      </c>
      <c r="I3552" s="208">
        <f>EXP(SUMPRODUCT((rl_eff&lt;$B3552)*(rl_key=$A$3532)*rl_ln1p))</f>
        <v/>
      </c>
      <c r="J3552" s="208">
        <f>EXP(SUMPRODUCT((rl_eff&lt;=$C3552)*(rl_key=$A$3532)*rl_ln1p))</f>
        <v/>
      </c>
      <c r="K3552" s="201">
        <f>COUNTIFS(rl_key,$A$3532,rl_eff,"&gt;="&amp;$B3552,rl_eff,"&lt;="&amp;$C3552)</f>
        <v/>
      </c>
      <c r="L3552" s="201">
        <f>SUMIFS(rl_daysafter,rl_key,$A$3532,rl_effmonth,$B3552,rl_first,1)</f>
        <v/>
      </c>
      <c r="M3552" s="209">
        <f>IF($K3552=0,0,MIN(1,$L3552/$D3552))</f>
        <v/>
      </c>
      <c r="N3552" s="208">
        <f>IF($K3552=0,$J3552,(1-$M3552)*$I3552+$M3552*$J3552)</f>
        <v/>
      </c>
      <c r="O3552" s="209">
        <f>IF($F3552&lt;$B$3533,$E$3533+$I$3533*($F3552-$A$3533),IF($F3552&lt;$C$3533,$F$3533+$J$3533*($F3552-$B$3533),$G$3533+$K$3533*($F3552-$C$3533)))</f>
        <v/>
      </c>
      <c r="P3552" s="208">
        <f>MIN(1,MAX(0,(nr_MEndPm1-$G3552+0.5)/$C$3532))-MIN(1,MAX(0,(nr_MStartPm1-1-$G3552+0.5)/$C$3532))</f>
        <v/>
      </c>
      <c r="Q3552" s="208">
        <f>MIN(1,MAX(0,(nr_MEndP-$G3552+0.5)/$C$3532))-MIN(1,MAX(0,(nr_MStartP-1-$G3552+0.5)/$C$3532))</f>
        <v/>
      </c>
      <c r="R3552" s="208">
        <f>MIN(1,MAX(0,(nr_MEndP1-$G3552+0.5)/$C$3532))-MIN(1,MAX(0,(nr_MStartP1-1-$G3552+0.5)/$C$3532))</f>
        <v/>
      </c>
      <c r="S3552" s="208">
        <f>IF($L$3532,$N3552*IF($O$3532=1,$O3552/$F$3532,1),"")</f>
        <v/>
      </c>
      <c r="T3552" s="208">
        <f>IF(NOT($L$3532),"",IF($G3552&lt;nr_MStartP,$S3552,$T3540*(1+IF($G3552&lt;nr_MStartP1,$M$3532,$N$3532))))</f>
        <v/>
      </c>
      <c r="U3552" s="208">
        <f>IF($L$3532,$T3552,$N3552)</f>
        <v/>
      </c>
    </row>
    <row r="3553">
      <c r="A3553" s="145" t="n">
        <v>19</v>
      </c>
      <c r="B3553" s="204">
        <f>EDATE($B3552,1)</f>
        <v/>
      </c>
      <c r="C3553" s="205">
        <f>EOMONTH($B3553,0)</f>
        <v/>
      </c>
      <c r="D3553" s="201">
        <f>$C3553-$B3553+1</f>
        <v/>
      </c>
      <c r="E3553" s="201">
        <f>MONTH($B3553)</f>
        <v/>
      </c>
      <c r="F3553" s="235">
        <f>($B3553+$C3553+1)/2</f>
        <v/>
      </c>
      <c r="G3553" s="201">
        <f>YEAR($B3553)*12+MONTH($B3553)-1</f>
        <v/>
      </c>
      <c r="H3553" s="207">
        <f>IF(OR(nr_SeasonOn="OFF",$D$3532=0,$E$3532=0),1,12*INDEX(se_block,$D$3532,$E3553)/$E$3532)</f>
        <v/>
      </c>
      <c r="I3553" s="208">
        <f>EXP(SUMPRODUCT((rl_eff&lt;$B3553)*(rl_key=$A$3532)*rl_ln1p))</f>
        <v/>
      </c>
      <c r="J3553" s="208">
        <f>EXP(SUMPRODUCT((rl_eff&lt;=$C3553)*(rl_key=$A$3532)*rl_ln1p))</f>
        <v/>
      </c>
      <c r="K3553" s="201">
        <f>COUNTIFS(rl_key,$A$3532,rl_eff,"&gt;="&amp;$B3553,rl_eff,"&lt;="&amp;$C3553)</f>
        <v/>
      </c>
      <c r="L3553" s="201">
        <f>SUMIFS(rl_daysafter,rl_key,$A$3532,rl_effmonth,$B3553,rl_first,1)</f>
        <v/>
      </c>
      <c r="M3553" s="209">
        <f>IF($K3553=0,0,MIN(1,$L3553/$D3553))</f>
        <v/>
      </c>
      <c r="N3553" s="208">
        <f>IF($K3553=0,$J3553,(1-$M3553)*$I3553+$M3553*$J3553)</f>
        <v/>
      </c>
      <c r="O3553" s="209">
        <f>IF($F3553&lt;$B$3533,$E$3533+$I$3533*($F3553-$A$3533),IF($F3553&lt;$C$3533,$F$3533+$J$3533*($F3553-$B$3533),$G$3533+$K$3533*($F3553-$C$3533)))</f>
        <v/>
      </c>
      <c r="P3553" s="208">
        <f>MIN(1,MAX(0,(nr_MEndPm1-$G3553+0.5)/$C$3532))-MIN(1,MAX(0,(nr_MStartPm1-1-$G3553+0.5)/$C$3532))</f>
        <v/>
      </c>
      <c r="Q3553" s="208">
        <f>MIN(1,MAX(0,(nr_MEndP-$G3553+0.5)/$C$3532))-MIN(1,MAX(0,(nr_MStartP-1-$G3553+0.5)/$C$3532))</f>
        <v/>
      </c>
      <c r="R3553" s="208">
        <f>MIN(1,MAX(0,(nr_MEndP1-$G3553+0.5)/$C$3532))-MIN(1,MAX(0,(nr_MStartP1-1-$G3553+0.5)/$C$3532))</f>
        <v/>
      </c>
      <c r="S3553" s="208">
        <f>IF($L$3532,$N3553*IF($O$3532=1,$O3553/$F$3532,1),"")</f>
        <v/>
      </c>
      <c r="T3553" s="208">
        <f>IF(NOT($L$3532),"",IF($G3553&lt;nr_MStartP,$S3553,$T3541*(1+IF($G3553&lt;nr_MStartP1,$M$3532,$N$3532))))</f>
        <v/>
      </c>
      <c r="U3553" s="208">
        <f>IF($L$3532,$T3553,$N3553)</f>
        <v/>
      </c>
    </row>
    <row r="3554">
      <c r="A3554" s="145" t="n">
        <v>20</v>
      </c>
      <c r="B3554" s="204">
        <f>EDATE($B3553,1)</f>
        <v/>
      </c>
      <c r="C3554" s="205">
        <f>EOMONTH($B3554,0)</f>
        <v/>
      </c>
      <c r="D3554" s="201">
        <f>$C3554-$B3554+1</f>
        <v/>
      </c>
      <c r="E3554" s="201">
        <f>MONTH($B3554)</f>
        <v/>
      </c>
      <c r="F3554" s="235">
        <f>($B3554+$C3554+1)/2</f>
        <v/>
      </c>
      <c r="G3554" s="201">
        <f>YEAR($B3554)*12+MONTH($B3554)-1</f>
        <v/>
      </c>
      <c r="H3554" s="207">
        <f>IF(OR(nr_SeasonOn="OFF",$D$3532=0,$E$3532=0),1,12*INDEX(se_block,$D$3532,$E3554)/$E$3532)</f>
        <v/>
      </c>
      <c r="I3554" s="208">
        <f>EXP(SUMPRODUCT((rl_eff&lt;$B3554)*(rl_key=$A$3532)*rl_ln1p))</f>
        <v/>
      </c>
      <c r="J3554" s="208">
        <f>EXP(SUMPRODUCT((rl_eff&lt;=$C3554)*(rl_key=$A$3532)*rl_ln1p))</f>
        <v/>
      </c>
      <c r="K3554" s="201">
        <f>COUNTIFS(rl_key,$A$3532,rl_eff,"&gt;="&amp;$B3554,rl_eff,"&lt;="&amp;$C3554)</f>
        <v/>
      </c>
      <c r="L3554" s="201">
        <f>SUMIFS(rl_daysafter,rl_key,$A$3532,rl_effmonth,$B3554,rl_first,1)</f>
        <v/>
      </c>
      <c r="M3554" s="209">
        <f>IF($K3554=0,0,MIN(1,$L3554/$D3554))</f>
        <v/>
      </c>
      <c r="N3554" s="208">
        <f>IF($K3554=0,$J3554,(1-$M3554)*$I3554+$M3554*$J3554)</f>
        <v/>
      </c>
      <c r="O3554" s="209">
        <f>IF($F3554&lt;$B$3533,$E$3533+$I$3533*($F3554-$A$3533),IF($F3554&lt;$C$3533,$F$3533+$J$3533*($F3554-$B$3533),$G$3533+$K$3533*($F3554-$C$3533)))</f>
        <v/>
      </c>
      <c r="P3554" s="208">
        <f>MIN(1,MAX(0,(nr_MEndPm1-$G3554+0.5)/$C$3532))-MIN(1,MAX(0,(nr_MStartPm1-1-$G3554+0.5)/$C$3532))</f>
        <v/>
      </c>
      <c r="Q3554" s="208">
        <f>MIN(1,MAX(0,(nr_MEndP-$G3554+0.5)/$C$3532))-MIN(1,MAX(0,(nr_MStartP-1-$G3554+0.5)/$C$3532))</f>
        <v/>
      </c>
      <c r="R3554" s="208">
        <f>MIN(1,MAX(0,(nr_MEndP1-$G3554+0.5)/$C$3532))-MIN(1,MAX(0,(nr_MStartP1-1-$G3554+0.5)/$C$3532))</f>
        <v/>
      </c>
      <c r="S3554" s="208">
        <f>IF($L$3532,$N3554*IF($O$3532=1,$O3554/$F$3532,1),"")</f>
        <v/>
      </c>
      <c r="T3554" s="208">
        <f>IF(NOT($L$3532),"",IF($G3554&lt;nr_MStartP,$S3554,$T3542*(1+IF($G3554&lt;nr_MStartP1,$M$3532,$N$3532))))</f>
        <v/>
      </c>
      <c r="U3554" s="208">
        <f>IF($L$3532,$T3554,$N3554)</f>
        <v/>
      </c>
    </row>
    <row r="3555">
      <c r="A3555" s="145" t="n">
        <v>21</v>
      </c>
      <c r="B3555" s="204">
        <f>EDATE($B3554,1)</f>
        <v/>
      </c>
      <c r="C3555" s="205">
        <f>EOMONTH($B3555,0)</f>
        <v/>
      </c>
      <c r="D3555" s="201">
        <f>$C3555-$B3555+1</f>
        <v/>
      </c>
      <c r="E3555" s="201">
        <f>MONTH($B3555)</f>
        <v/>
      </c>
      <c r="F3555" s="235">
        <f>($B3555+$C3555+1)/2</f>
        <v/>
      </c>
      <c r="G3555" s="201">
        <f>YEAR($B3555)*12+MONTH($B3555)-1</f>
        <v/>
      </c>
      <c r="H3555" s="207">
        <f>IF(OR(nr_SeasonOn="OFF",$D$3532=0,$E$3532=0),1,12*INDEX(se_block,$D$3532,$E3555)/$E$3532)</f>
        <v/>
      </c>
      <c r="I3555" s="208">
        <f>EXP(SUMPRODUCT((rl_eff&lt;$B3555)*(rl_key=$A$3532)*rl_ln1p))</f>
        <v/>
      </c>
      <c r="J3555" s="208">
        <f>EXP(SUMPRODUCT((rl_eff&lt;=$C3555)*(rl_key=$A$3532)*rl_ln1p))</f>
        <v/>
      </c>
      <c r="K3555" s="201">
        <f>COUNTIFS(rl_key,$A$3532,rl_eff,"&gt;="&amp;$B3555,rl_eff,"&lt;="&amp;$C3555)</f>
        <v/>
      </c>
      <c r="L3555" s="201">
        <f>SUMIFS(rl_daysafter,rl_key,$A$3532,rl_effmonth,$B3555,rl_first,1)</f>
        <v/>
      </c>
      <c r="M3555" s="209">
        <f>IF($K3555=0,0,MIN(1,$L3555/$D3555))</f>
        <v/>
      </c>
      <c r="N3555" s="208">
        <f>IF($K3555=0,$J3555,(1-$M3555)*$I3555+$M3555*$J3555)</f>
        <v/>
      </c>
      <c r="O3555" s="209">
        <f>IF($F3555&lt;$B$3533,$E$3533+$I$3533*($F3555-$A$3533),IF($F3555&lt;$C$3533,$F$3533+$J$3533*($F3555-$B$3533),$G$3533+$K$3533*($F3555-$C$3533)))</f>
        <v/>
      </c>
      <c r="P3555" s="208">
        <f>MIN(1,MAX(0,(nr_MEndPm1-$G3555+0.5)/$C$3532))-MIN(1,MAX(0,(nr_MStartPm1-1-$G3555+0.5)/$C$3532))</f>
        <v/>
      </c>
      <c r="Q3555" s="208">
        <f>MIN(1,MAX(0,(nr_MEndP-$G3555+0.5)/$C$3532))-MIN(1,MAX(0,(nr_MStartP-1-$G3555+0.5)/$C$3532))</f>
        <v/>
      </c>
      <c r="R3555" s="208">
        <f>MIN(1,MAX(0,(nr_MEndP1-$G3555+0.5)/$C$3532))-MIN(1,MAX(0,(nr_MStartP1-1-$G3555+0.5)/$C$3532))</f>
        <v/>
      </c>
      <c r="S3555" s="208">
        <f>IF($L$3532,$N3555*IF($O$3532=1,$O3555/$F$3532,1),"")</f>
        <v/>
      </c>
      <c r="T3555" s="208">
        <f>IF(NOT($L$3532),"",IF($G3555&lt;nr_MStartP,$S3555,$T3543*(1+IF($G3555&lt;nr_MStartP1,$M$3532,$N$3532))))</f>
        <v/>
      </c>
      <c r="U3555" s="208">
        <f>IF($L$3532,$T3555,$N3555)</f>
        <v/>
      </c>
    </row>
    <row r="3556">
      <c r="A3556" s="145" t="n">
        <v>22</v>
      </c>
      <c r="B3556" s="204">
        <f>EDATE($B3555,1)</f>
        <v/>
      </c>
      <c r="C3556" s="205">
        <f>EOMONTH($B3556,0)</f>
        <v/>
      </c>
      <c r="D3556" s="201">
        <f>$C3556-$B3556+1</f>
        <v/>
      </c>
      <c r="E3556" s="201">
        <f>MONTH($B3556)</f>
        <v/>
      </c>
      <c r="F3556" s="235">
        <f>($B3556+$C3556+1)/2</f>
        <v/>
      </c>
      <c r="G3556" s="201">
        <f>YEAR($B3556)*12+MONTH($B3556)-1</f>
        <v/>
      </c>
      <c r="H3556" s="207">
        <f>IF(OR(nr_SeasonOn="OFF",$D$3532=0,$E$3532=0),1,12*INDEX(se_block,$D$3532,$E3556)/$E$3532)</f>
        <v/>
      </c>
      <c r="I3556" s="208">
        <f>EXP(SUMPRODUCT((rl_eff&lt;$B3556)*(rl_key=$A$3532)*rl_ln1p))</f>
        <v/>
      </c>
      <c r="J3556" s="208">
        <f>EXP(SUMPRODUCT((rl_eff&lt;=$C3556)*(rl_key=$A$3532)*rl_ln1p))</f>
        <v/>
      </c>
      <c r="K3556" s="201">
        <f>COUNTIFS(rl_key,$A$3532,rl_eff,"&gt;="&amp;$B3556,rl_eff,"&lt;="&amp;$C3556)</f>
        <v/>
      </c>
      <c r="L3556" s="201">
        <f>SUMIFS(rl_daysafter,rl_key,$A$3532,rl_effmonth,$B3556,rl_first,1)</f>
        <v/>
      </c>
      <c r="M3556" s="209">
        <f>IF($K3556=0,0,MIN(1,$L3556/$D3556))</f>
        <v/>
      </c>
      <c r="N3556" s="208">
        <f>IF($K3556=0,$J3556,(1-$M3556)*$I3556+$M3556*$J3556)</f>
        <v/>
      </c>
      <c r="O3556" s="209">
        <f>IF($F3556&lt;$B$3533,$E$3533+$I$3533*($F3556-$A$3533),IF($F3556&lt;$C$3533,$F$3533+$J$3533*($F3556-$B$3533),$G$3533+$K$3533*($F3556-$C$3533)))</f>
        <v/>
      </c>
      <c r="P3556" s="208">
        <f>MIN(1,MAX(0,(nr_MEndPm1-$G3556+0.5)/$C$3532))-MIN(1,MAX(0,(nr_MStartPm1-1-$G3556+0.5)/$C$3532))</f>
        <v/>
      </c>
      <c r="Q3556" s="208">
        <f>MIN(1,MAX(0,(nr_MEndP-$G3556+0.5)/$C$3532))-MIN(1,MAX(0,(nr_MStartP-1-$G3556+0.5)/$C$3532))</f>
        <v/>
      </c>
      <c r="R3556" s="208">
        <f>MIN(1,MAX(0,(nr_MEndP1-$G3556+0.5)/$C$3532))-MIN(1,MAX(0,(nr_MStartP1-1-$G3556+0.5)/$C$3532))</f>
        <v/>
      </c>
      <c r="S3556" s="208">
        <f>IF($L$3532,$N3556*IF($O$3532=1,$O3556/$F$3532,1),"")</f>
        <v/>
      </c>
      <c r="T3556" s="208">
        <f>IF(NOT($L$3532),"",IF($G3556&lt;nr_MStartP,$S3556,$T3544*(1+IF($G3556&lt;nr_MStartP1,$M$3532,$N$3532))))</f>
        <v/>
      </c>
      <c r="U3556" s="208">
        <f>IF($L$3532,$T3556,$N3556)</f>
        <v/>
      </c>
    </row>
    <row r="3557">
      <c r="A3557" s="145" t="n">
        <v>23</v>
      </c>
      <c r="B3557" s="204">
        <f>EDATE($B3556,1)</f>
        <v/>
      </c>
      <c r="C3557" s="205">
        <f>EOMONTH($B3557,0)</f>
        <v/>
      </c>
      <c r="D3557" s="201">
        <f>$C3557-$B3557+1</f>
        <v/>
      </c>
      <c r="E3557" s="201">
        <f>MONTH($B3557)</f>
        <v/>
      </c>
      <c r="F3557" s="235">
        <f>($B3557+$C3557+1)/2</f>
        <v/>
      </c>
      <c r="G3557" s="201">
        <f>YEAR($B3557)*12+MONTH($B3557)-1</f>
        <v/>
      </c>
      <c r="H3557" s="207">
        <f>IF(OR(nr_SeasonOn="OFF",$D$3532=0,$E$3532=0),1,12*INDEX(se_block,$D$3532,$E3557)/$E$3532)</f>
        <v/>
      </c>
      <c r="I3557" s="208">
        <f>EXP(SUMPRODUCT((rl_eff&lt;$B3557)*(rl_key=$A$3532)*rl_ln1p))</f>
        <v/>
      </c>
      <c r="J3557" s="208">
        <f>EXP(SUMPRODUCT((rl_eff&lt;=$C3557)*(rl_key=$A$3532)*rl_ln1p))</f>
        <v/>
      </c>
      <c r="K3557" s="201">
        <f>COUNTIFS(rl_key,$A$3532,rl_eff,"&gt;="&amp;$B3557,rl_eff,"&lt;="&amp;$C3557)</f>
        <v/>
      </c>
      <c r="L3557" s="201">
        <f>SUMIFS(rl_daysafter,rl_key,$A$3532,rl_effmonth,$B3557,rl_first,1)</f>
        <v/>
      </c>
      <c r="M3557" s="209">
        <f>IF($K3557=0,0,MIN(1,$L3557/$D3557))</f>
        <v/>
      </c>
      <c r="N3557" s="208">
        <f>IF($K3557=0,$J3557,(1-$M3557)*$I3557+$M3557*$J3557)</f>
        <v/>
      </c>
      <c r="O3557" s="209">
        <f>IF($F3557&lt;$B$3533,$E$3533+$I$3533*($F3557-$A$3533),IF($F3557&lt;$C$3533,$F$3533+$J$3533*($F3557-$B$3533),$G$3533+$K$3533*($F3557-$C$3533)))</f>
        <v/>
      </c>
      <c r="P3557" s="208">
        <f>MIN(1,MAX(0,(nr_MEndPm1-$G3557+0.5)/$C$3532))-MIN(1,MAX(0,(nr_MStartPm1-1-$G3557+0.5)/$C$3532))</f>
        <v/>
      </c>
      <c r="Q3557" s="208">
        <f>MIN(1,MAX(0,(nr_MEndP-$G3557+0.5)/$C$3532))-MIN(1,MAX(0,(nr_MStartP-1-$G3557+0.5)/$C$3532))</f>
        <v/>
      </c>
      <c r="R3557" s="208">
        <f>MIN(1,MAX(0,(nr_MEndP1-$G3557+0.5)/$C$3532))-MIN(1,MAX(0,(nr_MStartP1-1-$G3557+0.5)/$C$3532))</f>
        <v/>
      </c>
      <c r="S3557" s="208">
        <f>IF($L$3532,$N3557*IF($O$3532=1,$O3557/$F$3532,1),"")</f>
        <v/>
      </c>
      <c r="T3557" s="208">
        <f>IF(NOT($L$3532),"",IF($G3557&lt;nr_MStartP,$S3557,$T3545*(1+IF($G3557&lt;nr_MStartP1,$M$3532,$N$3532))))</f>
        <v/>
      </c>
      <c r="U3557" s="208">
        <f>IF($L$3532,$T3557,$N3557)</f>
        <v/>
      </c>
    </row>
    <row r="3558">
      <c r="A3558" s="145" t="n">
        <v>24</v>
      </c>
      <c r="B3558" s="204">
        <f>EDATE($B3557,1)</f>
        <v/>
      </c>
      <c r="C3558" s="205">
        <f>EOMONTH($B3558,0)</f>
        <v/>
      </c>
      <c r="D3558" s="201">
        <f>$C3558-$B3558+1</f>
        <v/>
      </c>
      <c r="E3558" s="201">
        <f>MONTH($B3558)</f>
        <v/>
      </c>
      <c r="F3558" s="235">
        <f>($B3558+$C3558+1)/2</f>
        <v/>
      </c>
      <c r="G3558" s="201">
        <f>YEAR($B3558)*12+MONTH($B3558)-1</f>
        <v/>
      </c>
      <c r="H3558" s="207">
        <f>IF(OR(nr_SeasonOn="OFF",$D$3532=0,$E$3532=0),1,12*INDEX(se_block,$D$3532,$E3558)/$E$3532)</f>
        <v/>
      </c>
      <c r="I3558" s="208">
        <f>EXP(SUMPRODUCT((rl_eff&lt;$B3558)*(rl_key=$A$3532)*rl_ln1p))</f>
        <v/>
      </c>
      <c r="J3558" s="208">
        <f>EXP(SUMPRODUCT((rl_eff&lt;=$C3558)*(rl_key=$A$3532)*rl_ln1p))</f>
        <v/>
      </c>
      <c r="K3558" s="201">
        <f>COUNTIFS(rl_key,$A$3532,rl_eff,"&gt;="&amp;$B3558,rl_eff,"&lt;="&amp;$C3558)</f>
        <v/>
      </c>
      <c r="L3558" s="201">
        <f>SUMIFS(rl_daysafter,rl_key,$A$3532,rl_effmonth,$B3558,rl_first,1)</f>
        <v/>
      </c>
      <c r="M3558" s="209">
        <f>IF($K3558=0,0,MIN(1,$L3558/$D3558))</f>
        <v/>
      </c>
      <c r="N3558" s="208">
        <f>IF($K3558=0,$J3558,(1-$M3558)*$I3558+$M3558*$J3558)</f>
        <v/>
      </c>
      <c r="O3558" s="209">
        <f>IF($F3558&lt;$B$3533,$E$3533+$I$3533*($F3558-$A$3533),IF($F3558&lt;$C$3533,$F$3533+$J$3533*($F3558-$B$3533),$G$3533+$K$3533*($F3558-$C$3533)))</f>
        <v/>
      </c>
      <c r="P3558" s="208">
        <f>MIN(1,MAX(0,(nr_MEndPm1-$G3558+0.5)/$C$3532))-MIN(1,MAX(0,(nr_MStartPm1-1-$G3558+0.5)/$C$3532))</f>
        <v/>
      </c>
      <c r="Q3558" s="208">
        <f>MIN(1,MAX(0,(nr_MEndP-$G3558+0.5)/$C$3532))-MIN(1,MAX(0,(nr_MStartP-1-$G3558+0.5)/$C$3532))</f>
        <v/>
      </c>
      <c r="R3558" s="208">
        <f>MIN(1,MAX(0,(nr_MEndP1-$G3558+0.5)/$C$3532))-MIN(1,MAX(0,(nr_MStartP1-1-$G3558+0.5)/$C$3532))</f>
        <v/>
      </c>
      <c r="S3558" s="208">
        <f>IF($L$3532,$N3558*IF($O$3532=1,$O3558/$F$3532,1),"")</f>
        <v/>
      </c>
      <c r="T3558" s="208">
        <f>IF(NOT($L$3532),"",IF($G3558&lt;nr_MStartP,$S3558,$T3546*(1+IF($G3558&lt;nr_MStartP1,$M$3532,$N$3532))))</f>
        <v/>
      </c>
      <c r="U3558" s="208">
        <f>IF($L$3532,$T3558,$N3558)</f>
        <v/>
      </c>
    </row>
    <row r="3559">
      <c r="A3559" s="145" t="n">
        <v>25</v>
      </c>
      <c r="B3559" s="204">
        <f>EDATE($B3558,1)</f>
        <v/>
      </c>
      <c r="C3559" s="205">
        <f>EOMONTH($B3559,0)</f>
        <v/>
      </c>
      <c r="D3559" s="201">
        <f>$C3559-$B3559+1</f>
        <v/>
      </c>
      <c r="E3559" s="201">
        <f>MONTH($B3559)</f>
        <v/>
      </c>
      <c r="F3559" s="235">
        <f>($B3559+$C3559+1)/2</f>
        <v/>
      </c>
      <c r="G3559" s="201">
        <f>YEAR($B3559)*12+MONTH($B3559)-1</f>
        <v/>
      </c>
      <c r="H3559" s="207">
        <f>IF(OR(nr_SeasonOn="OFF",$D$3532=0,$E$3532=0),1,12*INDEX(se_block,$D$3532,$E3559)/$E$3532)</f>
        <v/>
      </c>
      <c r="I3559" s="208">
        <f>EXP(SUMPRODUCT((rl_eff&lt;$B3559)*(rl_key=$A$3532)*rl_ln1p))</f>
        <v/>
      </c>
      <c r="J3559" s="208">
        <f>EXP(SUMPRODUCT((rl_eff&lt;=$C3559)*(rl_key=$A$3532)*rl_ln1p))</f>
        <v/>
      </c>
      <c r="K3559" s="201">
        <f>COUNTIFS(rl_key,$A$3532,rl_eff,"&gt;="&amp;$B3559,rl_eff,"&lt;="&amp;$C3559)</f>
        <v/>
      </c>
      <c r="L3559" s="201">
        <f>SUMIFS(rl_daysafter,rl_key,$A$3532,rl_effmonth,$B3559,rl_first,1)</f>
        <v/>
      </c>
      <c r="M3559" s="209">
        <f>IF($K3559=0,0,MIN(1,$L3559/$D3559))</f>
        <v/>
      </c>
      <c r="N3559" s="208">
        <f>IF($K3559=0,$J3559,(1-$M3559)*$I3559+$M3559*$J3559)</f>
        <v/>
      </c>
      <c r="O3559" s="209">
        <f>IF($F3559&lt;$B$3533,$E$3533+$I$3533*($F3559-$A$3533),IF($F3559&lt;$C$3533,$F$3533+$J$3533*($F3559-$B$3533),$G$3533+$K$3533*($F3559-$C$3533)))</f>
        <v/>
      </c>
      <c r="P3559" s="208">
        <f>MIN(1,MAX(0,(nr_MEndPm1-$G3559+0.5)/$C$3532))-MIN(1,MAX(0,(nr_MStartPm1-1-$G3559+0.5)/$C$3532))</f>
        <v/>
      </c>
      <c r="Q3559" s="208">
        <f>MIN(1,MAX(0,(nr_MEndP-$G3559+0.5)/$C$3532))-MIN(1,MAX(0,(nr_MStartP-1-$G3559+0.5)/$C$3532))</f>
        <v/>
      </c>
      <c r="R3559" s="208">
        <f>MIN(1,MAX(0,(nr_MEndP1-$G3559+0.5)/$C$3532))-MIN(1,MAX(0,(nr_MStartP1-1-$G3559+0.5)/$C$3532))</f>
        <v/>
      </c>
      <c r="S3559" s="208">
        <f>IF($L$3532,$N3559*IF($O$3532=1,$O3559/$F$3532,1),"")</f>
        <v/>
      </c>
      <c r="T3559" s="208">
        <f>IF(NOT($L$3532),"",IF($G3559&lt;nr_MStartP,$S3559,$T3547*(1+IF($G3559&lt;nr_MStartP1,$M$3532,$N$3532))))</f>
        <v/>
      </c>
      <c r="U3559" s="208">
        <f>IF($L$3532,$T3559,$N3559)</f>
        <v/>
      </c>
    </row>
    <row r="3560">
      <c r="A3560" s="145" t="n">
        <v>26</v>
      </c>
      <c r="B3560" s="204">
        <f>EDATE($B3559,1)</f>
        <v/>
      </c>
      <c r="C3560" s="205">
        <f>EOMONTH($B3560,0)</f>
        <v/>
      </c>
      <c r="D3560" s="201">
        <f>$C3560-$B3560+1</f>
        <v/>
      </c>
      <c r="E3560" s="201">
        <f>MONTH($B3560)</f>
        <v/>
      </c>
      <c r="F3560" s="235">
        <f>($B3560+$C3560+1)/2</f>
        <v/>
      </c>
      <c r="G3560" s="201">
        <f>YEAR($B3560)*12+MONTH($B3560)-1</f>
        <v/>
      </c>
      <c r="H3560" s="207">
        <f>IF(OR(nr_SeasonOn="OFF",$D$3532=0,$E$3532=0),1,12*INDEX(se_block,$D$3532,$E3560)/$E$3532)</f>
        <v/>
      </c>
      <c r="I3560" s="208">
        <f>EXP(SUMPRODUCT((rl_eff&lt;$B3560)*(rl_key=$A$3532)*rl_ln1p))</f>
        <v/>
      </c>
      <c r="J3560" s="208">
        <f>EXP(SUMPRODUCT((rl_eff&lt;=$C3560)*(rl_key=$A$3532)*rl_ln1p))</f>
        <v/>
      </c>
      <c r="K3560" s="201">
        <f>COUNTIFS(rl_key,$A$3532,rl_eff,"&gt;="&amp;$B3560,rl_eff,"&lt;="&amp;$C3560)</f>
        <v/>
      </c>
      <c r="L3560" s="201">
        <f>SUMIFS(rl_daysafter,rl_key,$A$3532,rl_effmonth,$B3560,rl_first,1)</f>
        <v/>
      </c>
      <c r="M3560" s="209">
        <f>IF($K3560=0,0,MIN(1,$L3560/$D3560))</f>
        <v/>
      </c>
      <c r="N3560" s="208">
        <f>IF($K3560=0,$J3560,(1-$M3560)*$I3560+$M3560*$J3560)</f>
        <v/>
      </c>
      <c r="O3560" s="209">
        <f>IF($F3560&lt;$B$3533,$E$3533+$I$3533*($F3560-$A$3533),IF($F3560&lt;$C$3533,$F$3533+$J$3533*($F3560-$B$3533),$G$3533+$K$3533*($F3560-$C$3533)))</f>
        <v/>
      </c>
      <c r="P3560" s="208">
        <f>MIN(1,MAX(0,(nr_MEndPm1-$G3560+0.5)/$C$3532))-MIN(1,MAX(0,(nr_MStartPm1-1-$G3560+0.5)/$C$3532))</f>
        <v/>
      </c>
      <c r="Q3560" s="208">
        <f>MIN(1,MAX(0,(nr_MEndP-$G3560+0.5)/$C$3532))-MIN(1,MAX(0,(nr_MStartP-1-$G3560+0.5)/$C$3532))</f>
        <v/>
      </c>
      <c r="R3560" s="208">
        <f>MIN(1,MAX(0,(nr_MEndP1-$G3560+0.5)/$C$3532))-MIN(1,MAX(0,(nr_MStartP1-1-$G3560+0.5)/$C$3532))</f>
        <v/>
      </c>
      <c r="S3560" s="208">
        <f>IF($L$3532,$N3560*IF($O$3532=1,$O3560/$F$3532,1),"")</f>
        <v/>
      </c>
      <c r="T3560" s="208">
        <f>IF(NOT($L$3532),"",IF($G3560&lt;nr_MStartP,$S3560,$T3548*(1+IF($G3560&lt;nr_MStartP1,$M$3532,$N$3532))))</f>
        <v/>
      </c>
      <c r="U3560" s="208">
        <f>IF($L$3532,$T3560,$N3560)</f>
        <v/>
      </c>
    </row>
    <row r="3561">
      <c r="A3561" s="145" t="n">
        <v>27</v>
      </c>
      <c r="B3561" s="204">
        <f>EDATE($B3560,1)</f>
        <v/>
      </c>
      <c r="C3561" s="205">
        <f>EOMONTH($B3561,0)</f>
        <v/>
      </c>
      <c r="D3561" s="201">
        <f>$C3561-$B3561+1</f>
        <v/>
      </c>
      <c r="E3561" s="201">
        <f>MONTH($B3561)</f>
        <v/>
      </c>
      <c r="F3561" s="235">
        <f>($B3561+$C3561+1)/2</f>
        <v/>
      </c>
      <c r="G3561" s="201">
        <f>YEAR($B3561)*12+MONTH($B3561)-1</f>
        <v/>
      </c>
      <c r="H3561" s="207">
        <f>IF(OR(nr_SeasonOn="OFF",$D$3532=0,$E$3532=0),1,12*INDEX(se_block,$D$3532,$E3561)/$E$3532)</f>
        <v/>
      </c>
      <c r="I3561" s="208">
        <f>EXP(SUMPRODUCT((rl_eff&lt;$B3561)*(rl_key=$A$3532)*rl_ln1p))</f>
        <v/>
      </c>
      <c r="J3561" s="208">
        <f>EXP(SUMPRODUCT((rl_eff&lt;=$C3561)*(rl_key=$A$3532)*rl_ln1p))</f>
        <v/>
      </c>
      <c r="K3561" s="201">
        <f>COUNTIFS(rl_key,$A$3532,rl_eff,"&gt;="&amp;$B3561,rl_eff,"&lt;="&amp;$C3561)</f>
        <v/>
      </c>
      <c r="L3561" s="201">
        <f>SUMIFS(rl_daysafter,rl_key,$A$3532,rl_effmonth,$B3561,rl_first,1)</f>
        <v/>
      </c>
      <c r="M3561" s="209">
        <f>IF($K3561=0,0,MIN(1,$L3561/$D3561))</f>
        <v/>
      </c>
      <c r="N3561" s="208">
        <f>IF($K3561=0,$J3561,(1-$M3561)*$I3561+$M3561*$J3561)</f>
        <v/>
      </c>
      <c r="O3561" s="209">
        <f>IF($F3561&lt;$B$3533,$E$3533+$I$3533*($F3561-$A$3533),IF($F3561&lt;$C$3533,$F$3533+$J$3533*($F3561-$B$3533),$G$3533+$K$3533*($F3561-$C$3533)))</f>
        <v/>
      </c>
      <c r="P3561" s="208">
        <f>MIN(1,MAX(0,(nr_MEndPm1-$G3561+0.5)/$C$3532))-MIN(1,MAX(0,(nr_MStartPm1-1-$G3561+0.5)/$C$3532))</f>
        <v/>
      </c>
      <c r="Q3561" s="208">
        <f>MIN(1,MAX(0,(nr_MEndP-$G3561+0.5)/$C$3532))-MIN(1,MAX(0,(nr_MStartP-1-$G3561+0.5)/$C$3532))</f>
        <v/>
      </c>
      <c r="R3561" s="208">
        <f>MIN(1,MAX(0,(nr_MEndP1-$G3561+0.5)/$C$3532))-MIN(1,MAX(0,(nr_MStartP1-1-$G3561+0.5)/$C$3532))</f>
        <v/>
      </c>
      <c r="S3561" s="208">
        <f>IF($L$3532,$N3561*IF($O$3532=1,$O3561/$F$3532,1),"")</f>
        <v/>
      </c>
      <c r="T3561" s="208">
        <f>IF(NOT($L$3532),"",IF($G3561&lt;nr_MStartP,$S3561,$T3549*(1+IF($G3561&lt;nr_MStartP1,$M$3532,$N$3532))))</f>
        <v/>
      </c>
      <c r="U3561" s="208">
        <f>IF($L$3532,$T3561,$N3561)</f>
        <v/>
      </c>
    </row>
    <row r="3562">
      <c r="A3562" s="145" t="n">
        <v>28</v>
      </c>
      <c r="B3562" s="204">
        <f>EDATE($B3561,1)</f>
        <v/>
      </c>
      <c r="C3562" s="205">
        <f>EOMONTH($B3562,0)</f>
        <v/>
      </c>
      <c r="D3562" s="201">
        <f>$C3562-$B3562+1</f>
        <v/>
      </c>
      <c r="E3562" s="201">
        <f>MONTH($B3562)</f>
        <v/>
      </c>
      <c r="F3562" s="235">
        <f>($B3562+$C3562+1)/2</f>
        <v/>
      </c>
      <c r="G3562" s="201">
        <f>YEAR($B3562)*12+MONTH($B3562)-1</f>
        <v/>
      </c>
      <c r="H3562" s="207">
        <f>IF(OR(nr_SeasonOn="OFF",$D$3532=0,$E$3532=0),1,12*INDEX(se_block,$D$3532,$E3562)/$E$3532)</f>
        <v/>
      </c>
      <c r="I3562" s="208">
        <f>EXP(SUMPRODUCT((rl_eff&lt;$B3562)*(rl_key=$A$3532)*rl_ln1p))</f>
        <v/>
      </c>
      <c r="J3562" s="208">
        <f>EXP(SUMPRODUCT((rl_eff&lt;=$C3562)*(rl_key=$A$3532)*rl_ln1p))</f>
        <v/>
      </c>
      <c r="K3562" s="201">
        <f>COUNTIFS(rl_key,$A$3532,rl_eff,"&gt;="&amp;$B3562,rl_eff,"&lt;="&amp;$C3562)</f>
        <v/>
      </c>
      <c r="L3562" s="201">
        <f>SUMIFS(rl_daysafter,rl_key,$A$3532,rl_effmonth,$B3562,rl_first,1)</f>
        <v/>
      </c>
      <c r="M3562" s="209">
        <f>IF($K3562=0,0,MIN(1,$L3562/$D3562))</f>
        <v/>
      </c>
      <c r="N3562" s="208">
        <f>IF($K3562=0,$J3562,(1-$M3562)*$I3562+$M3562*$J3562)</f>
        <v/>
      </c>
      <c r="O3562" s="209">
        <f>IF($F3562&lt;$B$3533,$E$3533+$I$3533*($F3562-$A$3533),IF($F3562&lt;$C$3533,$F$3533+$J$3533*($F3562-$B$3533),$G$3533+$K$3533*($F3562-$C$3533)))</f>
        <v/>
      </c>
      <c r="P3562" s="208">
        <f>MIN(1,MAX(0,(nr_MEndPm1-$G3562+0.5)/$C$3532))-MIN(1,MAX(0,(nr_MStartPm1-1-$G3562+0.5)/$C$3532))</f>
        <v/>
      </c>
      <c r="Q3562" s="208">
        <f>MIN(1,MAX(0,(nr_MEndP-$G3562+0.5)/$C$3532))-MIN(1,MAX(0,(nr_MStartP-1-$G3562+0.5)/$C$3532))</f>
        <v/>
      </c>
      <c r="R3562" s="208">
        <f>MIN(1,MAX(0,(nr_MEndP1-$G3562+0.5)/$C$3532))-MIN(1,MAX(0,(nr_MStartP1-1-$G3562+0.5)/$C$3532))</f>
        <v/>
      </c>
      <c r="S3562" s="208">
        <f>IF($L$3532,$N3562*IF($O$3532=1,$O3562/$F$3532,1),"")</f>
        <v/>
      </c>
      <c r="T3562" s="208">
        <f>IF(NOT($L$3532),"",IF($G3562&lt;nr_MStartP,$S3562,$T3550*(1+IF($G3562&lt;nr_MStartP1,$M$3532,$N$3532))))</f>
        <v/>
      </c>
      <c r="U3562" s="208">
        <f>IF($L$3532,$T3562,$N3562)</f>
        <v/>
      </c>
    </row>
    <row r="3563">
      <c r="A3563" s="145" t="n">
        <v>29</v>
      </c>
      <c r="B3563" s="204">
        <f>EDATE($B3562,1)</f>
        <v/>
      </c>
      <c r="C3563" s="205">
        <f>EOMONTH($B3563,0)</f>
        <v/>
      </c>
      <c r="D3563" s="201">
        <f>$C3563-$B3563+1</f>
        <v/>
      </c>
      <c r="E3563" s="201">
        <f>MONTH($B3563)</f>
        <v/>
      </c>
      <c r="F3563" s="235">
        <f>($B3563+$C3563+1)/2</f>
        <v/>
      </c>
      <c r="G3563" s="201">
        <f>YEAR($B3563)*12+MONTH($B3563)-1</f>
        <v/>
      </c>
      <c r="H3563" s="207">
        <f>IF(OR(nr_SeasonOn="OFF",$D$3532=0,$E$3532=0),1,12*INDEX(se_block,$D$3532,$E3563)/$E$3532)</f>
        <v/>
      </c>
      <c r="I3563" s="208">
        <f>EXP(SUMPRODUCT((rl_eff&lt;$B3563)*(rl_key=$A$3532)*rl_ln1p))</f>
        <v/>
      </c>
      <c r="J3563" s="208">
        <f>EXP(SUMPRODUCT((rl_eff&lt;=$C3563)*(rl_key=$A$3532)*rl_ln1p))</f>
        <v/>
      </c>
      <c r="K3563" s="201">
        <f>COUNTIFS(rl_key,$A$3532,rl_eff,"&gt;="&amp;$B3563,rl_eff,"&lt;="&amp;$C3563)</f>
        <v/>
      </c>
      <c r="L3563" s="201">
        <f>SUMIFS(rl_daysafter,rl_key,$A$3532,rl_effmonth,$B3563,rl_first,1)</f>
        <v/>
      </c>
      <c r="M3563" s="209">
        <f>IF($K3563=0,0,MIN(1,$L3563/$D3563))</f>
        <v/>
      </c>
      <c r="N3563" s="208">
        <f>IF($K3563=0,$J3563,(1-$M3563)*$I3563+$M3563*$J3563)</f>
        <v/>
      </c>
      <c r="O3563" s="209">
        <f>IF($F3563&lt;$B$3533,$E$3533+$I$3533*($F3563-$A$3533),IF($F3563&lt;$C$3533,$F$3533+$J$3533*($F3563-$B$3533),$G$3533+$K$3533*($F3563-$C$3533)))</f>
        <v/>
      </c>
      <c r="P3563" s="208">
        <f>MIN(1,MAX(0,(nr_MEndPm1-$G3563+0.5)/$C$3532))-MIN(1,MAX(0,(nr_MStartPm1-1-$G3563+0.5)/$C$3532))</f>
        <v/>
      </c>
      <c r="Q3563" s="208">
        <f>MIN(1,MAX(0,(nr_MEndP-$G3563+0.5)/$C$3532))-MIN(1,MAX(0,(nr_MStartP-1-$G3563+0.5)/$C$3532))</f>
        <v/>
      </c>
      <c r="R3563" s="208">
        <f>MIN(1,MAX(0,(nr_MEndP1-$G3563+0.5)/$C$3532))-MIN(1,MAX(0,(nr_MStartP1-1-$G3563+0.5)/$C$3532))</f>
        <v/>
      </c>
      <c r="S3563" s="208">
        <f>IF($L$3532,$N3563*IF($O$3532=1,$O3563/$F$3532,1),"")</f>
        <v/>
      </c>
      <c r="T3563" s="208">
        <f>IF(NOT($L$3532),"",IF($G3563&lt;nr_MStartP,$S3563,$T3551*(1+IF($G3563&lt;nr_MStartP1,$M$3532,$N$3532))))</f>
        <v/>
      </c>
      <c r="U3563" s="208">
        <f>IF($L$3532,$T3563,$N3563)</f>
        <v/>
      </c>
    </row>
    <row r="3564">
      <c r="A3564" s="145" t="n">
        <v>30</v>
      </c>
      <c r="B3564" s="204">
        <f>EDATE($B3563,1)</f>
        <v/>
      </c>
      <c r="C3564" s="205">
        <f>EOMONTH($B3564,0)</f>
        <v/>
      </c>
      <c r="D3564" s="201">
        <f>$C3564-$B3564+1</f>
        <v/>
      </c>
      <c r="E3564" s="201">
        <f>MONTH($B3564)</f>
        <v/>
      </c>
      <c r="F3564" s="235">
        <f>($B3564+$C3564+1)/2</f>
        <v/>
      </c>
      <c r="G3564" s="201">
        <f>YEAR($B3564)*12+MONTH($B3564)-1</f>
        <v/>
      </c>
      <c r="H3564" s="207">
        <f>IF(OR(nr_SeasonOn="OFF",$D$3532=0,$E$3532=0),1,12*INDEX(se_block,$D$3532,$E3564)/$E$3532)</f>
        <v/>
      </c>
      <c r="I3564" s="208">
        <f>EXP(SUMPRODUCT((rl_eff&lt;$B3564)*(rl_key=$A$3532)*rl_ln1p))</f>
        <v/>
      </c>
      <c r="J3564" s="208">
        <f>EXP(SUMPRODUCT((rl_eff&lt;=$C3564)*(rl_key=$A$3532)*rl_ln1p))</f>
        <v/>
      </c>
      <c r="K3564" s="201">
        <f>COUNTIFS(rl_key,$A$3532,rl_eff,"&gt;="&amp;$B3564,rl_eff,"&lt;="&amp;$C3564)</f>
        <v/>
      </c>
      <c r="L3564" s="201">
        <f>SUMIFS(rl_daysafter,rl_key,$A$3532,rl_effmonth,$B3564,rl_first,1)</f>
        <v/>
      </c>
      <c r="M3564" s="209">
        <f>IF($K3564=0,0,MIN(1,$L3564/$D3564))</f>
        <v/>
      </c>
      <c r="N3564" s="208">
        <f>IF($K3564=0,$J3564,(1-$M3564)*$I3564+$M3564*$J3564)</f>
        <v/>
      </c>
      <c r="O3564" s="209">
        <f>IF($F3564&lt;$B$3533,$E$3533+$I$3533*($F3564-$A$3533),IF($F3564&lt;$C$3533,$F$3533+$J$3533*($F3564-$B$3533),$G$3533+$K$3533*($F3564-$C$3533)))</f>
        <v/>
      </c>
      <c r="P3564" s="208">
        <f>MIN(1,MAX(0,(nr_MEndPm1-$G3564+0.5)/$C$3532))-MIN(1,MAX(0,(nr_MStartPm1-1-$G3564+0.5)/$C$3532))</f>
        <v/>
      </c>
      <c r="Q3564" s="208">
        <f>MIN(1,MAX(0,(nr_MEndP-$G3564+0.5)/$C$3532))-MIN(1,MAX(0,(nr_MStartP-1-$G3564+0.5)/$C$3532))</f>
        <v/>
      </c>
      <c r="R3564" s="208">
        <f>MIN(1,MAX(0,(nr_MEndP1-$G3564+0.5)/$C$3532))-MIN(1,MAX(0,(nr_MStartP1-1-$G3564+0.5)/$C$3532))</f>
        <v/>
      </c>
      <c r="S3564" s="208">
        <f>IF($L$3532,$N3564*IF($O$3532=1,$O3564/$F$3532,1),"")</f>
        <v/>
      </c>
      <c r="T3564" s="208">
        <f>IF(NOT($L$3532),"",IF($G3564&lt;nr_MStartP,$S3564,$T3552*(1+IF($G3564&lt;nr_MStartP1,$M$3532,$N$3532))))</f>
        <v/>
      </c>
      <c r="U3564" s="208">
        <f>IF($L$3532,$T3564,$N3564)</f>
        <v/>
      </c>
    </row>
    <row r="3565">
      <c r="A3565" s="145" t="n">
        <v>31</v>
      </c>
      <c r="B3565" s="204">
        <f>EDATE($B3564,1)</f>
        <v/>
      </c>
      <c r="C3565" s="205">
        <f>EOMONTH($B3565,0)</f>
        <v/>
      </c>
      <c r="D3565" s="201">
        <f>$C3565-$B3565+1</f>
        <v/>
      </c>
      <c r="E3565" s="201">
        <f>MONTH($B3565)</f>
        <v/>
      </c>
      <c r="F3565" s="235">
        <f>($B3565+$C3565+1)/2</f>
        <v/>
      </c>
      <c r="G3565" s="201">
        <f>YEAR($B3565)*12+MONTH($B3565)-1</f>
        <v/>
      </c>
      <c r="H3565" s="207">
        <f>IF(OR(nr_SeasonOn="OFF",$D$3532=0,$E$3532=0),1,12*INDEX(se_block,$D$3532,$E3565)/$E$3532)</f>
        <v/>
      </c>
      <c r="I3565" s="208">
        <f>EXP(SUMPRODUCT((rl_eff&lt;$B3565)*(rl_key=$A$3532)*rl_ln1p))</f>
        <v/>
      </c>
      <c r="J3565" s="208">
        <f>EXP(SUMPRODUCT((rl_eff&lt;=$C3565)*(rl_key=$A$3532)*rl_ln1p))</f>
        <v/>
      </c>
      <c r="K3565" s="201">
        <f>COUNTIFS(rl_key,$A$3532,rl_eff,"&gt;="&amp;$B3565,rl_eff,"&lt;="&amp;$C3565)</f>
        <v/>
      </c>
      <c r="L3565" s="201">
        <f>SUMIFS(rl_daysafter,rl_key,$A$3532,rl_effmonth,$B3565,rl_first,1)</f>
        <v/>
      </c>
      <c r="M3565" s="209">
        <f>IF($K3565=0,0,MIN(1,$L3565/$D3565))</f>
        <v/>
      </c>
      <c r="N3565" s="208">
        <f>IF($K3565=0,$J3565,(1-$M3565)*$I3565+$M3565*$J3565)</f>
        <v/>
      </c>
      <c r="O3565" s="209">
        <f>IF($F3565&lt;$B$3533,$E$3533+$I$3533*($F3565-$A$3533),IF($F3565&lt;$C$3533,$F$3533+$J$3533*($F3565-$B$3533),$G$3533+$K$3533*($F3565-$C$3533)))</f>
        <v/>
      </c>
      <c r="P3565" s="208">
        <f>MIN(1,MAX(0,(nr_MEndPm1-$G3565+0.5)/$C$3532))-MIN(1,MAX(0,(nr_MStartPm1-1-$G3565+0.5)/$C$3532))</f>
        <v/>
      </c>
      <c r="Q3565" s="208">
        <f>MIN(1,MAX(0,(nr_MEndP-$G3565+0.5)/$C$3532))-MIN(1,MAX(0,(nr_MStartP-1-$G3565+0.5)/$C$3532))</f>
        <v/>
      </c>
      <c r="R3565" s="208">
        <f>MIN(1,MAX(0,(nr_MEndP1-$G3565+0.5)/$C$3532))-MIN(1,MAX(0,(nr_MStartP1-1-$G3565+0.5)/$C$3532))</f>
        <v/>
      </c>
      <c r="S3565" s="208">
        <f>IF($L$3532,$N3565*IF($O$3532=1,$O3565/$F$3532,1),"")</f>
        <v/>
      </c>
      <c r="T3565" s="208">
        <f>IF(NOT($L$3532),"",IF($G3565&lt;nr_MStartP,$S3565,$T3553*(1+IF($G3565&lt;nr_MStartP1,$M$3532,$N$3532))))</f>
        <v/>
      </c>
      <c r="U3565" s="208">
        <f>IF($L$3532,$T3565,$N3565)</f>
        <v/>
      </c>
    </row>
    <row r="3566">
      <c r="A3566" s="145" t="n">
        <v>32</v>
      </c>
      <c r="B3566" s="204">
        <f>EDATE($B3565,1)</f>
        <v/>
      </c>
      <c r="C3566" s="205">
        <f>EOMONTH($B3566,0)</f>
        <v/>
      </c>
      <c r="D3566" s="201">
        <f>$C3566-$B3566+1</f>
        <v/>
      </c>
      <c r="E3566" s="201">
        <f>MONTH($B3566)</f>
        <v/>
      </c>
      <c r="F3566" s="235">
        <f>($B3566+$C3566+1)/2</f>
        <v/>
      </c>
      <c r="G3566" s="201">
        <f>YEAR($B3566)*12+MONTH($B3566)-1</f>
        <v/>
      </c>
      <c r="H3566" s="207">
        <f>IF(OR(nr_SeasonOn="OFF",$D$3532=0,$E$3532=0),1,12*INDEX(se_block,$D$3532,$E3566)/$E$3532)</f>
        <v/>
      </c>
      <c r="I3566" s="208">
        <f>EXP(SUMPRODUCT((rl_eff&lt;$B3566)*(rl_key=$A$3532)*rl_ln1p))</f>
        <v/>
      </c>
      <c r="J3566" s="208">
        <f>EXP(SUMPRODUCT((rl_eff&lt;=$C3566)*(rl_key=$A$3532)*rl_ln1p))</f>
        <v/>
      </c>
      <c r="K3566" s="201">
        <f>COUNTIFS(rl_key,$A$3532,rl_eff,"&gt;="&amp;$B3566,rl_eff,"&lt;="&amp;$C3566)</f>
        <v/>
      </c>
      <c r="L3566" s="201">
        <f>SUMIFS(rl_daysafter,rl_key,$A$3532,rl_effmonth,$B3566,rl_first,1)</f>
        <v/>
      </c>
      <c r="M3566" s="209">
        <f>IF($K3566=0,0,MIN(1,$L3566/$D3566))</f>
        <v/>
      </c>
      <c r="N3566" s="208">
        <f>IF($K3566=0,$J3566,(1-$M3566)*$I3566+$M3566*$J3566)</f>
        <v/>
      </c>
      <c r="O3566" s="209">
        <f>IF($F3566&lt;$B$3533,$E$3533+$I$3533*($F3566-$A$3533),IF($F3566&lt;$C$3533,$F$3533+$J$3533*($F3566-$B$3533),$G$3533+$K$3533*($F3566-$C$3533)))</f>
        <v/>
      </c>
      <c r="P3566" s="208">
        <f>MIN(1,MAX(0,(nr_MEndPm1-$G3566+0.5)/$C$3532))-MIN(1,MAX(0,(nr_MStartPm1-1-$G3566+0.5)/$C$3532))</f>
        <v/>
      </c>
      <c r="Q3566" s="208">
        <f>MIN(1,MAX(0,(nr_MEndP-$G3566+0.5)/$C$3532))-MIN(1,MAX(0,(nr_MStartP-1-$G3566+0.5)/$C$3532))</f>
        <v/>
      </c>
      <c r="R3566" s="208">
        <f>MIN(1,MAX(0,(nr_MEndP1-$G3566+0.5)/$C$3532))-MIN(1,MAX(0,(nr_MStartP1-1-$G3566+0.5)/$C$3532))</f>
        <v/>
      </c>
      <c r="S3566" s="208">
        <f>IF($L$3532,$N3566*IF($O$3532=1,$O3566/$F$3532,1),"")</f>
        <v/>
      </c>
      <c r="T3566" s="208">
        <f>IF(NOT($L$3532),"",IF($G3566&lt;nr_MStartP,$S3566,$T3554*(1+IF($G3566&lt;nr_MStartP1,$M$3532,$N$3532))))</f>
        <v/>
      </c>
      <c r="U3566" s="208">
        <f>IF($L$3532,$T3566,$N3566)</f>
        <v/>
      </c>
    </row>
    <row r="3567">
      <c r="A3567" s="145" t="n">
        <v>33</v>
      </c>
      <c r="B3567" s="204">
        <f>EDATE($B3566,1)</f>
        <v/>
      </c>
      <c r="C3567" s="205">
        <f>EOMONTH($B3567,0)</f>
        <v/>
      </c>
      <c r="D3567" s="201">
        <f>$C3567-$B3567+1</f>
        <v/>
      </c>
      <c r="E3567" s="201">
        <f>MONTH($B3567)</f>
        <v/>
      </c>
      <c r="F3567" s="235">
        <f>($B3567+$C3567+1)/2</f>
        <v/>
      </c>
      <c r="G3567" s="201">
        <f>YEAR($B3567)*12+MONTH($B3567)-1</f>
        <v/>
      </c>
      <c r="H3567" s="207">
        <f>IF(OR(nr_SeasonOn="OFF",$D$3532=0,$E$3532=0),1,12*INDEX(se_block,$D$3532,$E3567)/$E$3532)</f>
        <v/>
      </c>
      <c r="I3567" s="208">
        <f>EXP(SUMPRODUCT((rl_eff&lt;$B3567)*(rl_key=$A$3532)*rl_ln1p))</f>
        <v/>
      </c>
      <c r="J3567" s="208">
        <f>EXP(SUMPRODUCT((rl_eff&lt;=$C3567)*(rl_key=$A$3532)*rl_ln1p))</f>
        <v/>
      </c>
      <c r="K3567" s="201">
        <f>COUNTIFS(rl_key,$A$3532,rl_eff,"&gt;="&amp;$B3567,rl_eff,"&lt;="&amp;$C3567)</f>
        <v/>
      </c>
      <c r="L3567" s="201">
        <f>SUMIFS(rl_daysafter,rl_key,$A$3532,rl_effmonth,$B3567,rl_first,1)</f>
        <v/>
      </c>
      <c r="M3567" s="209">
        <f>IF($K3567=0,0,MIN(1,$L3567/$D3567))</f>
        <v/>
      </c>
      <c r="N3567" s="208">
        <f>IF($K3567=0,$J3567,(1-$M3567)*$I3567+$M3567*$J3567)</f>
        <v/>
      </c>
      <c r="O3567" s="209">
        <f>IF($F3567&lt;$B$3533,$E$3533+$I$3533*($F3567-$A$3533),IF($F3567&lt;$C$3533,$F$3533+$J$3533*($F3567-$B$3533),$G$3533+$K$3533*($F3567-$C$3533)))</f>
        <v/>
      </c>
      <c r="P3567" s="208">
        <f>MIN(1,MAX(0,(nr_MEndPm1-$G3567+0.5)/$C$3532))-MIN(1,MAX(0,(nr_MStartPm1-1-$G3567+0.5)/$C$3532))</f>
        <v/>
      </c>
      <c r="Q3567" s="208">
        <f>MIN(1,MAX(0,(nr_MEndP-$G3567+0.5)/$C$3532))-MIN(1,MAX(0,(nr_MStartP-1-$G3567+0.5)/$C$3532))</f>
        <v/>
      </c>
      <c r="R3567" s="208">
        <f>MIN(1,MAX(0,(nr_MEndP1-$G3567+0.5)/$C$3532))-MIN(1,MAX(0,(nr_MStartP1-1-$G3567+0.5)/$C$3532))</f>
        <v/>
      </c>
      <c r="S3567" s="208">
        <f>IF($L$3532,$N3567*IF($O$3532=1,$O3567/$F$3532,1),"")</f>
        <v/>
      </c>
      <c r="T3567" s="208">
        <f>IF(NOT($L$3532),"",IF($G3567&lt;nr_MStartP,$S3567,$T3555*(1+IF($G3567&lt;nr_MStartP1,$M$3532,$N$3532))))</f>
        <v/>
      </c>
      <c r="U3567" s="208">
        <f>IF($L$3532,$T3567,$N3567)</f>
        <v/>
      </c>
    </row>
    <row r="3568">
      <c r="A3568" s="145" t="n">
        <v>34</v>
      </c>
      <c r="B3568" s="204">
        <f>EDATE($B3567,1)</f>
        <v/>
      </c>
      <c r="C3568" s="205">
        <f>EOMONTH($B3568,0)</f>
        <v/>
      </c>
      <c r="D3568" s="201">
        <f>$C3568-$B3568+1</f>
        <v/>
      </c>
      <c r="E3568" s="201">
        <f>MONTH($B3568)</f>
        <v/>
      </c>
      <c r="F3568" s="235">
        <f>($B3568+$C3568+1)/2</f>
        <v/>
      </c>
      <c r="G3568" s="201">
        <f>YEAR($B3568)*12+MONTH($B3568)-1</f>
        <v/>
      </c>
      <c r="H3568" s="207">
        <f>IF(OR(nr_SeasonOn="OFF",$D$3532=0,$E$3532=0),1,12*INDEX(se_block,$D$3532,$E3568)/$E$3532)</f>
        <v/>
      </c>
      <c r="I3568" s="208">
        <f>EXP(SUMPRODUCT((rl_eff&lt;$B3568)*(rl_key=$A$3532)*rl_ln1p))</f>
        <v/>
      </c>
      <c r="J3568" s="208">
        <f>EXP(SUMPRODUCT((rl_eff&lt;=$C3568)*(rl_key=$A$3532)*rl_ln1p))</f>
        <v/>
      </c>
      <c r="K3568" s="201">
        <f>COUNTIFS(rl_key,$A$3532,rl_eff,"&gt;="&amp;$B3568,rl_eff,"&lt;="&amp;$C3568)</f>
        <v/>
      </c>
      <c r="L3568" s="201">
        <f>SUMIFS(rl_daysafter,rl_key,$A$3532,rl_effmonth,$B3568,rl_first,1)</f>
        <v/>
      </c>
      <c r="M3568" s="209">
        <f>IF($K3568=0,0,MIN(1,$L3568/$D3568))</f>
        <v/>
      </c>
      <c r="N3568" s="208">
        <f>IF($K3568=0,$J3568,(1-$M3568)*$I3568+$M3568*$J3568)</f>
        <v/>
      </c>
      <c r="O3568" s="209">
        <f>IF($F3568&lt;$B$3533,$E$3533+$I$3533*($F3568-$A$3533),IF($F3568&lt;$C$3533,$F$3533+$J$3533*($F3568-$B$3533),$G$3533+$K$3533*($F3568-$C$3533)))</f>
        <v/>
      </c>
      <c r="P3568" s="208">
        <f>MIN(1,MAX(0,(nr_MEndPm1-$G3568+0.5)/$C$3532))-MIN(1,MAX(0,(nr_MStartPm1-1-$G3568+0.5)/$C$3532))</f>
        <v/>
      </c>
      <c r="Q3568" s="208">
        <f>MIN(1,MAX(0,(nr_MEndP-$G3568+0.5)/$C$3532))-MIN(1,MAX(0,(nr_MStartP-1-$G3568+0.5)/$C$3532))</f>
        <v/>
      </c>
      <c r="R3568" s="208">
        <f>MIN(1,MAX(0,(nr_MEndP1-$G3568+0.5)/$C$3532))-MIN(1,MAX(0,(nr_MStartP1-1-$G3568+0.5)/$C$3532))</f>
        <v/>
      </c>
      <c r="S3568" s="208">
        <f>IF($L$3532,$N3568*IF($O$3532=1,$O3568/$F$3532,1),"")</f>
        <v/>
      </c>
      <c r="T3568" s="208">
        <f>IF(NOT($L$3532),"",IF($G3568&lt;nr_MStartP,$S3568,$T3556*(1+IF($G3568&lt;nr_MStartP1,$M$3532,$N$3532))))</f>
        <v/>
      </c>
      <c r="U3568" s="208">
        <f>IF($L$3532,$T3568,$N3568)</f>
        <v/>
      </c>
    </row>
    <row r="3569">
      <c r="A3569" s="145" t="n">
        <v>35</v>
      </c>
      <c r="B3569" s="204">
        <f>EDATE($B3568,1)</f>
        <v/>
      </c>
      <c r="C3569" s="205">
        <f>EOMONTH($B3569,0)</f>
        <v/>
      </c>
      <c r="D3569" s="201">
        <f>$C3569-$B3569+1</f>
        <v/>
      </c>
      <c r="E3569" s="201">
        <f>MONTH($B3569)</f>
        <v/>
      </c>
      <c r="F3569" s="235">
        <f>($B3569+$C3569+1)/2</f>
        <v/>
      </c>
      <c r="G3569" s="201">
        <f>YEAR($B3569)*12+MONTH($B3569)-1</f>
        <v/>
      </c>
      <c r="H3569" s="207">
        <f>IF(OR(nr_SeasonOn="OFF",$D$3532=0,$E$3532=0),1,12*INDEX(se_block,$D$3532,$E3569)/$E$3532)</f>
        <v/>
      </c>
      <c r="I3569" s="208">
        <f>EXP(SUMPRODUCT((rl_eff&lt;$B3569)*(rl_key=$A$3532)*rl_ln1p))</f>
        <v/>
      </c>
      <c r="J3569" s="208">
        <f>EXP(SUMPRODUCT((rl_eff&lt;=$C3569)*(rl_key=$A$3532)*rl_ln1p))</f>
        <v/>
      </c>
      <c r="K3569" s="201">
        <f>COUNTIFS(rl_key,$A$3532,rl_eff,"&gt;="&amp;$B3569,rl_eff,"&lt;="&amp;$C3569)</f>
        <v/>
      </c>
      <c r="L3569" s="201">
        <f>SUMIFS(rl_daysafter,rl_key,$A$3532,rl_effmonth,$B3569,rl_first,1)</f>
        <v/>
      </c>
      <c r="M3569" s="209">
        <f>IF($K3569=0,0,MIN(1,$L3569/$D3569))</f>
        <v/>
      </c>
      <c r="N3569" s="208">
        <f>IF($K3569=0,$J3569,(1-$M3569)*$I3569+$M3569*$J3569)</f>
        <v/>
      </c>
      <c r="O3569" s="209">
        <f>IF($F3569&lt;$B$3533,$E$3533+$I$3533*($F3569-$A$3533),IF($F3569&lt;$C$3533,$F$3533+$J$3533*($F3569-$B$3533),$G$3533+$K$3533*($F3569-$C$3533)))</f>
        <v/>
      </c>
      <c r="P3569" s="208">
        <f>MIN(1,MAX(0,(nr_MEndPm1-$G3569+0.5)/$C$3532))-MIN(1,MAX(0,(nr_MStartPm1-1-$G3569+0.5)/$C$3532))</f>
        <v/>
      </c>
      <c r="Q3569" s="208">
        <f>MIN(1,MAX(0,(nr_MEndP-$G3569+0.5)/$C$3532))-MIN(1,MAX(0,(nr_MStartP-1-$G3569+0.5)/$C$3532))</f>
        <v/>
      </c>
      <c r="R3569" s="208">
        <f>MIN(1,MAX(0,(nr_MEndP1-$G3569+0.5)/$C$3532))-MIN(1,MAX(0,(nr_MStartP1-1-$G3569+0.5)/$C$3532))</f>
        <v/>
      </c>
      <c r="S3569" s="208">
        <f>IF($L$3532,$N3569*IF($O$3532=1,$O3569/$F$3532,1),"")</f>
        <v/>
      </c>
      <c r="T3569" s="208">
        <f>IF(NOT($L$3532),"",IF($G3569&lt;nr_MStartP,$S3569,$T3557*(1+IF($G3569&lt;nr_MStartP1,$M$3532,$N$3532))))</f>
        <v/>
      </c>
      <c r="U3569" s="208">
        <f>IF($L$3532,$T3569,$N3569)</f>
        <v/>
      </c>
    </row>
    <row r="3570">
      <c r="A3570" s="145" t="n">
        <v>36</v>
      </c>
      <c r="B3570" s="204">
        <f>EDATE($B3569,1)</f>
        <v/>
      </c>
      <c r="C3570" s="205">
        <f>EOMONTH($B3570,0)</f>
        <v/>
      </c>
      <c r="D3570" s="201">
        <f>$C3570-$B3570+1</f>
        <v/>
      </c>
      <c r="E3570" s="201">
        <f>MONTH($B3570)</f>
        <v/>
      </c>
      <c r="F3570" s="235">
        <f>($B3570+$C3570+1)/2</f>
        <v/>
      </c>
      <c r="G3570" s="201">
        <f>YEAR($B3570)*12+MONTH($B3570)-1</f>
        <v/>
      </c>
      <c r="H3570" s="207">
        <f>IF(OR(nr_SeasonOn="OFF",$D$3532=0,$E$3532=0),1,12*INDEX(se_block,$D$3532,$E3570)/$E$3532)</f>
        <v/>
      </c>
      <c r="I3570" s="208">
        <f>EXP(SUMPRODUCT((rl_eff&lt;$B3570)*(rl_key=$A$3532)*rl_ln1p))</f>
        <v/>
      </c>
      <c r="J3570" s="208">
        <f>EXP(SUMPRODUCT((rl_eff&lt;=$C3570)*(rl_key=$A$3532)*rl_ln1p))</f>
        <v/>
      </c>
      <c r="K3570" s="201">
        <f>COUNTIFS(rl_key,$A$3532,rl_eff,"&gt;="&amp;$B3570,rl_eff,"&lt;="&amp;$C3570)</f>
        <v/>
      </c>
      <c r="L3570" s="201">
        <f>SUMIFS(rl_daysafter,rl_key,$A$3532,rl_effmonth,$B3570,rl_first,1)</f>
        <v/>
      </c>
      <c r="M3570" s="209">
        <f>IF($K3570=0,0,MIN(1,$L3570/$D3570))</f>
        <v/>
      </c>
      <c r="N3570" s="208">
        <f>IF($K3570=0,$J3570,(1-$M3570)*$I3570+$M3570*$J3570)</f>
        <v/>
      </c>
      <c r="O3570" s="209">
        <f>IF($F3570&lt;$B$3533,$E$3533+$I$3533*($F3570-$A$3533),IF($F3570&lt;$C$3533,$F$3533+$J$3533*($F3570-$B$3533),$G$3533+$K$3533*($F3570-$C$3533)))</f>
        <v/>
      </c>
      <c r="P3570" s="208">
        <f>MIN(1,MAX(0,(nr_MEndPm1-$G3570+0.5)/$C$3532))-MIN(1,MAX(0,(nr_MStartPm1-1-$G3570+0.5)/$C$3532))</f>
        <v/>
      </c>
      <c r="Q3570" s="208">
        <f>MIN(1,MAX(0,(nr_MEndP-$G3570+0.5)/$C$3532))-MIN(1,MAX(0,(nr_MStartP-1-$G3570+0.5)/$C$3532))</f>
        <v/>
      </c>
      <c r="R3570" s="208">
        <f>MIN(1,MAX(0,(nr_MEndP1-$G3570+0.5)/$C$3532))-MIN(1,MAX(0,(nr_MStartP1-1-$G3570+0.5)/$C$3532))</f>
        <v/>
      </c>
      <c r="S3570" s="208">
        <f>IF($L$3532,$N3570*IF($O$3532=1,$O3570/$F$3532,1),"")</f>
        <v/>
      </c>
      <c r="T3570" s="208">
        <f>IF(NOT($L$3532),"",IF($G3570&lt;nr_MStartP,$S3570,$T3558*(1+IF($G3570&lt;nr_MStartP1,$M$3532,$N$3532))))</f>
        <v/>
      </c>
      <c r="U3570" s="208">
        <f>IF($L$3532,$T3570,$N3570)</f>
        <v/>
      </c>
    </row>
    <row r="3571">
      <c r="A3571" s="145" t="n">
        <v>37</v>
      </c>
      <c r="B3571" s="204">
        <f>EDATE($B3570,1)</f>
        <v/>
      </c>
      <c r="C3571" s="205">
        <f>EOMONTH($B3571,0)</f>
        <v/>
      </c>
      <c r="D3571" s="201">
        <f>$C3571-$B3571+1</f>
        <v/>
      </c>
      <c r="E3571" s="201">
        <f>MONTH($B3571)</f>
        <v/>
      </c>
      <c r="F3571" s="235">
        <f>($B3571+$C3571+1)/2</f>
        <v/>
      </c>
      <c r="G3571" s="201">
        <f>YEAR($B3571)*12+MONTH($B3571)-1</f>
        <v/>
      </c>
      <c r="H3571" s="207">
        <f>IF(OR(nr_SeasonOn="OFF",$D$3532=0,$E$3532=0),1,12*INDEX(se_block,$D$3532,$E3571)/$E$3532)</f>
        <v/>
      </c>
      <c r="I3571" s="208">
        <f>EXP(SUMPRODUCT((rl_eff&lt;$B3571)*(rl_key=$A$3532)*rl_ln1p))</f>
        <v/>
      </c>
      <c r="J3571" s="208">
        <f>EXP(SUMPRODUCT((rl_eff&lt;=$C3571)*(rl_key=$A$3532)*rl_ln1p))</f>
        <v/>
      </c>
      <c r="K3571" s="201">
        <f>COUNTIFS(rl_key,$A$3532,rl_eff,"&gt;="&amp;$B3571,rl_eff,"&lt;="&amp;$C3571)</f>
        <v/>
      </c>
      <c r="L3571" s="201">
        <f>SUMIFS(rl_daysafter,rl_key,$A$3532,rl_effmonth,$B3571,rl_first,1)</f>
        <v/>
      </c>
      <c r="M3571" s="209">
        <f>IF($K3571=0,0,MIN(1,$L3571/$D3571))</f>
        <v/>
      </c>
      <c r="N3571" s="208">
        <f>IF($K3571=0,$J3571,(1-$M3571)*$I3571+$M3571*$J3571)</f>
        <v/>
      </c>
      <c r="O3571" s="209">
        <f>IF($F3571&lt;$B$3533,$E$3533+$I$3533*($F3571-$A$3533),IF($F3571&lt;$C$3533,$F$3533+$J$3533*($F3571-$B$3533),$G$3533+$K$3533*($F3571-$C$3533)))</f>
        <v/>
      </c>
      <c r="P3571" s="208">
        <f>MIN(1,MAX(0,(nr_MEndPm1-$G3571+0.5)/$C$3532))-MIN(1,MAX(0,(nr_MStartPm1-1-$G3571+0.5)/$C$3532))</f>
        <v/>
      </c>
      <c r="Q3571" s="208">
        <f>MIN(1,MAX(0,(nr_MEndP-$G3571+0.5)/$C$3532))-MIN(1,MAX(0,(nr_MStartP-1-$G3571+0.5)/$C$3532))</f>
        <v/>
      </c>
      <c r="R3571" s="208">
        <f>MIN(1,MAX(0,(nr_MEndP1-$G3571+0.5)/$C$3532))-MIN(1,MAX(0,(nr_MStartP1-1-$G3571+0.5)/$C$3532))</f>
        <v/>
      </c>
      <c r="S3571" s="208">
        <f>IF($L$3532,$N3571*IF($O$3532=1,$O3571/$F$3532,1),"")</f>
        <v/>
      </c>
      <c r="T3571" s="208">
        <f>IF(NOT($L$3532),"",IF($G3571&lt;nr_MStartP,$S3571,$T3559*(1+IF($G3571&lt;nr_MStartP1,$M$3532,$N$3532))))</f>
        <v/>
      </c>
      <c r="U3571" s="208">
        <f>IF($L$3532,$T3571,$N3571)</f>
        <v/>
      </c>
    </row>
    <row r="3572">
      <c r="A3572" s="145" t="n">
        <v>38</v>
      </c>
      <c r="B3572" s="204">
        <f>EDATE($B3571,1)</f>
        <v/>
      </c>
      <c r="C3572" s="205">
        <f>EOMONTH($B3572,0)</f>
        <v/>
      </c>
      <c r="D3572" s="201">
        <f>$C3572-$B3572+1</f>
        <v/>
      </c>
      <c r="E3572" s="201">
        <f>MONTH($B3572)</f>
        <v/>
      </c>
      <c r="F3572" s="235">
        <f>($B3572+$C3572+1)/2</f>
        <v/>
      </c>
      <c r="G3572" s="201">
        <f>YEAR($B3572)*12+MONTH($B3572)-1</f>
        <v/>
      </c>
      <c r="H3572" s="207">
        <f>IF(OR(nr_SeasonOn="OFF",$D$3532=0,$E$3532=0),1,12*INDEX(se_block,$D$3532,$E3572)/$E$3532)</f>
        <v/>
      </c>
      <c r="I3572" s="208">
        <f>EXP(SUMPRODUCT((rl_eff&lt;$B3572)*(rl_key=$A$3532)*rl_ln1p))</f>
        <v/>
      </c>
      <c r="J3572" s="208">
        <f>EXP(SUMPRODUCT((rl_eff&lt;=$C3572)*(rl_key=$A$3532)*rl_ln1p))</f>
        <v/>
      </c>
      <c r="K3572" s="201">
        <f>COUNTIFS(rl_key,$A$3532,rl_eff,"&gt;="&amp;$B3572,rl_eff,"&lt;="&amp;$C3572)</f>
        <v/>
      </c>
      <c r="L3572" s="201">
        <f>SUMIFS(rl_daysafter,rl_key,$A$3532,rl_effmonth,$B3572,rl_first,1)</f>
        <v/>
      </c>
      <c r="M3572" s="209">
        <f>IF($K3572=0,0,MIN(1,$L3572/$D3572))</f>
        <v/>
      </c>
      <c r="N3572" s="208">
        <f>IF($K3572=0,$J3572,(1-$M3572)*$I3572+$M3572*$J3572)</f>
        <v/>
      </c>
      <c r="O3572" s="209">
        <f>IF($F3572&lt;$B$3533,$E$3533+$I$3533*($F3572-$A$3533),IF($F3572&lt;$C$3533,$F$3533+$J$3533*($F3572-$B$3533),$G$3533+$K$3533*($F3572-$C$3533)))</f>
        <v/>
      </c>
      <c r="P3572" s="208">
        <f>MIN(1,MAX(0,(nr_MEndPm1-$G3572+0.5)/$C$3532))-MIN(1,MAX(0,(nr_MStartPm1-1-$G3572+0.5)/$C$3532))</f>
        <v/>
      </c>
      <c r="Q3572" s="208">
        <f>MIN(1,MAX(0,(nr_MEndP-$G3572+0.5)/$C$3532))-MIN(1,MAX(0,(nr_MStartP-1-$G3572+0.5)/$C$3532))</f>
        <v/>
      </c>
      <c r="R3572" s="208">
        <f>MIN(1,MAX(0,(nr_MEndP1-$G3572+0.5)/$C$3532))-MIN(1,MAX(0,(nr_MStartP1-1-$G3572+0.5)/$C$3532))</f>
        <v/>
      </c>
      <c r="S3572" s="208">
        <f>IF($L$3532,$N3572*IF($O$3532=1,$O3572/$F$3532,1),"")</f>
        <v/>
      </c>
      <c r="T3572" s="208">
        <f>IF(NOT($L$3532),"",IF($G3572&lt;nr_MStartP,$S3572,$T3560*(1+IF($G3572&lt;nr_MStartP1,$M$3532,$N$3532))))</f>
        <v/>
      </c>
      <c r="U3572" s="208">
        <f>IF($L$3532,$T3572,$N3572)</f>
        <v/>
      </c>
    </row>
    <row r="3573">
      <c r="A3573" s="145" t="n">
        <v>39</v>
      </c>
      <c r="B3573" s="204">
        <f>EDATE($B3572,1)</f>
        <v/>
      </c>
      <c r="C3573" s="205">
        <f>EOMONTH($B3573,0)</f>
        <v/>
      </c>
      <c r="D3573" s="201">
        <f>$C3573-$B3573+1</f>
        <v/>
      </c>
      <c r="E3573" s="201">
        <f>MONTH($B3573)</f>
        <v/>
      </c>
      <c r="F3573" s="235">
        <f>($B3573+$C3573+1)/2</f>
        <v/>
      </c>
      <c r="G3573" s="201">
        <f>YEAR($B3573)*12+MONTH($B3573)-1</f>
        <v/>
      </c>
      <c r="H3573" s="207">
        <f>IF(OR(nr_SeasonOn="OFF",$D$3532=0,$E$3532=0),1,12*INDEX(se_block,$D$3532,$E3573)/$E$3532)</f>
        <v/>
      </c>
      <c r="I3573" s="208">
        <f>EXP(SUMPRODUCT((rl_eff&lt;$B3573)*(rl_key=$A$3532)*rl_ln1p))</f>
        <v/>
      </c>
      <c r="J3573" s="208">
        <f>EXP(SUMPRODUCT((rl_eff&lt;=$C3573)*(rl_key=$A$3532)*rl_ln1p))</f>
        <v/>
      </c>
      <c r="K3573" s="201">
        <f>COUNTIFS(rl_key,$A$3532,rl_eff,"&gt;="&amp;$B3573,rl_eff,"&lt;="&amp;$C3573)</f>
        <v/>
      </c>
      <c r="L3573" s="201">
        <f>SUMIFS(rl_daysafter,rl_key,$A$3532,rl_effmonth,$B3573,rl_first,1)</f>
        <v/>
      </c>
      <c r="M3573" s="209">
        <f>IF($K3573=0,0,MIN(1,$L3573/$D3573))</f>
        <v/>
      </c>
      <c r="N3573" s="208">
        <f>IF($K3573=0,$J3573,(1-$M3573)*$I3573+$M3573*$J3573)</f>
        <v/>
      </c>
      <c r="O3573" s="209">
        <f>IF($F3573&lt;$B$3533,$E$3533+$I$3533*($F3573-$A$3533),IF($F3573&lt;$C$3533,$F$3533+$J$3533*($F3573-$B$3533),$G$3533+$K$3533*($F3573-$C$3533)))</f>
        <v/>
      </c>
      <c r="P3573" s="208">
        <f>MIN(1,MAX(0,(nr_MEndPm1-$G3573+0.5)/$C$3532))-MIN(1,MAX(0,(nr_MStartPm1-1-$G3573+0.5)/$C$3532))</f>
        <v/>
      </c>
      <c r="Q3573" s="208">
        <f>MIN(1,MAX(0,(nr_MEndP-$G3573+0.5)/$C$3532))-MIN(1,MAX(0,(nr_MStartP-1-$G3573+0.5)/$C$3532))</f>
        <v/>
      </c>
      <c r="R3573" s="208">
        <f>MIN(1,MAX(0,(nr_MEndP1-$G3573+0.5)/$C$3532))-MIN(1,MAX(0,(nr_MStartP1-1-$G3573+0.5)/$C$3532))</f>
        <v/>
      </c>
      <c r="S3573" s="208">
        <f>IF($L$3532,$N3573*IF($O$3532=1,$O3573/$F$3532,1),"")</f>
        <v/>
      </c>
      <c r="T3573" s="208">
        <f>IF(NOT($L$3532),"",IF($G3573&lt;nr_MStartP,$S3573,$T3561*(1+IF($G3573&lt;nr_MStartP1,$M$3532,$N$3532))))</f>
        <v/>
      </c>
      <c r="U3573" s="208">
        <f>IF($L$3532,$T3573,$N3573)</f>
        <v/>
      </c>
    </row>
    <row r="3574">
      <c r="A3574" s="145" t="n">
        <v>40</v>
      </c>
      <c r="B3574" s="204">
        <f>EDATE($B3573,1)</f>
        <v/>
      </c>
      <c r="C3574" s="205">
        <f>EOMONTH($B3574,0)</f>
        <v/>
      </c>
      <c r="D3574" s="201">
        <f>$C3574-$B3574+1</f>
        <v/>
      </c>
      <c r="E3574" s="201">
        <f>MONTH($B3574)</f>
        <v/>
      </c>
      <c r="F3574" s="235">
        <f>($B3574+$C3574+1)/2</f>
        <v/>
      </c>
      <c r="G3574" s="201">
        <f>YEAR($B3574)*12+MONTH($B3574)-1</f>
        <v/>
      </c>
      <c r="H3574" s="207">
        <f>IF(OR(nr_SeasonOn="OFF",$D$3532=0,$E$3532=0),1,12*INDEX(se_block,$D$3532,$E3574)/$E$3532)</f>
        <v/>
      </c>
      <c r="I3574" s="208">
        <f>EXP(SUMPRODUCT((rl_eff&lt;$B3574)*(rl_key=$A$3532)*rl_ln1p))</f>
        <v/>
      </c>
      <c r="J3574" s="208">
        <f>EXP(SUMPRODUCT((rl_eff&lt;=$C3574)*(rl_key=$A$3532)*rl_ln1p))</f>
        <v/>
      </c>
      <c r="K3574" s="201">
        <f>COUNTIFS(rl_key,$A$3532,rl_eff,"&gt;="&amp;$B3574,rl_eff,"&lt;="&amp;$C3574)</f>
        <v/>
      </c>
      <c r="L3574" s="201">
        <f>SUMIFS(rl_daysafter,rl_key,$A$3532,rl_effmonth,$B3574,rl_first,1)</f>
        <v/>
      </c>
      <c r="M3574" s="209">
        <f>IF($K3574=0,0,MIN(1,$L3574/$D3574))</f>
        <v/>
      </c>
      <c r="N3574" s="208">
        <f>IF($K3574=0,$J3574,(1-$M3574)*$I3574+$M3574*$J3574)</f>
        <v/>
      </c>
      <c r="O3574" s="209">
        <f>IF($F3574&lt;$B$3533,$E$3533+$I$3533*($F3574-$A$3533),IF($F3574&lt;$C$3533,$F$3533+$J$3533*($F3574-$B$3533),$G$3533+$K$3533*($F3574-$C$3533)))</f>
        <v/>
      </c>
      <c r="P3574" s="208">
        <f>MIN(1,MAX(0,(nr_MEndPm1-$G3574+0.5)/$C$3532))-MIN(1,MAX(0,(nr_MStartPm1-1-$G3574+0.5)/$C$3532))</f>
        <v/>
      </c>
      <c r="Q3574" s="208">
        <f>MIN(1,MAX(0,(nr_MEndP-$G3574+0.5)/$C$3532))-MIN(1,MAX(0,(nr_MStartP-1-$G3574+0.5)/$C$3532))</f>
        <v/>
      </c>
      <c r="R3574" s="208">
        <f>MIN(1,MAX(0,(nr_MEndP1-$G3574+0.5)/$C$3532))-MIN(1,MAX(0,(nr_MStartP1-1-$G3574+0.5)/$C$3532))</f>
        <v/>
      </c>
      <c r="S3574" s="208">
        <f>IF($L$3532,$N3574*IF($O$3532=1,$O3574/$F$3532,1),"")</f>
        <v/>
      </c>
      <c r="T3574" s="208">
        <f>IF(NOT($L$3532),"",IF($G3574&lt;nr_MStartP,$S3574,$T3562*(1+IF($G3574&lt;nr_MStartP1,$M$3532,$N$3532))))</f>
        <v/>
      </c>
      <c r="U3574" s="208">
        <f>IF($L$3532,$T3574,$N3574)</f>
        <v/>
      </c>
    </row>
    <row r="3575">
      <c r="A3575" s="145" t="n">
        <v>41</v>
      </c>
      <c r="B3575" s="204">
        <f>EDATE($B3574,1)</f>
        <v/>
      </c>
      <c r="C3575" s="205">
        <f>EOMONTH($B3575,0)</f>
        <v/>
      </c>
      <c r="D3575" s="201">
        <f>$C3575-$B3575+1</f>
        <v/>
      </c>
      <c r="E3575" s="201">
        <f>MONTH($B3575)</f>
        <v/>
      </c>
      <c r="F3575" s="235">
        <f>($B3575+$C3575+1)/2</f>
        <v/>
      </c>
      <c r="G3575" s="201">
        <f>YEAR($B3575)*12+MONTH($B3575)-1</f>
        <v/>
      </c>
      <c r="H3575" s="207">
        <f>IF(OR(nr_SeasonOn="OFF",$D$3532=0,$E$3532=0),1,12*INDEX(se_block,$D$3532,$E3575)/$E$3532)</f>
        <v/>
      </c>
      <c r="I3575" s="208">
        <f>EXP(SUMPRODUCT((rl_eff&lt;$B3575)*(rl_key=$A$3532)*rl_ln1p))</f>
        <v/>
      </c>
      <c r="J3575" s="208">
        <f>EXP(SUMPRODUCT((rl_eff&lt;=$C3575)*(rl_key=$A$3532)*rl_ln1p))</f>
        <v/>
      </c>
      <c r="K3575" s="201">
        <f>COUNTIFS(rl_key,$A$3532,rl_eff,"&gt;="&amp;$B3575,rl_eff,"&lt;="&amp;$C3575)</f>
        <v/>
      </c>
      <c r="L3575" s="201">
        <f>SUMIFS(rl_daysafter,rl_key,$A$3532,rl_effmonth,$B3575,rl_first,1)</f>
        <v/>
      </c>
      <c r="M3575" s="209">
        <f>IF($K3575=0,0,MIN(1,$L3575/$D3575))</f>
        <v/>
      </c>
      <c r="N3575" s="208">
        <f>IF($K3575=0,$J3575,(1-$M3575)*$I3575+$M3575*$J3575)</f>
        <v/>
      </c>
      <c r="O3575" s="209">
        <f>IF($F3575&lt;$B$3533,$E$3533+$I$3533*($F3575-$A$3533),IF($F3575&lt;$C$3533,$F$3533+$J$3533*($F3575-$B$3533),$G$3533+$K$3533*($F3575-$C$3533)))</f>
        <v/>
      </c>
      <c r="P3575" s="208">
        <f>MIN(1,MAX(0,(nr_MEndPm1-$G3575+0.5)/$C$3532))-MIN(1,MAX(0,(nr_MStartPm1-1-$G3575+0.5)/$C$3532))</f>
        <v/>
      </c>
      <c r="Q3575" s="208">
        <f>MIN(1,MAX(0,(nr_MEndP-$G3575+0.5)/$C$3532))-MIN(1,MAX(0,(nr_MStartP-1-$G3575+0.5)/$C$3532))</f>
        <v/>
      </c>
      <c r="R3575" s="208">
        <f>MIN(1,MAX(0,(nr_MEndP1-$G3575+0.5)/$C$3532))-MIN(1,MAX(0,(nr_MStartP1-1-$G3575+0.5)/$C$3532))</f>
        <v/>
      </c>
      <c r="S3575" s="208">
        <f>IF($L$3532,$N3575*IF($O$3532=1,$O3575/$F$3532,1),"")</f>
        <v/>
      </c>
      <c r="T3575" s="208">
        <f>IF(NOT($L$3532),"",IF($G3575&lt;nr_MStartP,$S3575,$T3563*(1+IF($G3575&lt;nr_MStartP1,$M$3532,$N$3532))))</f>
        <v/>
      </c>
      <c r="U3575" s="208">
        <f>IF($L$3532,$T3575,$N3575)</f>
        <v/>
      </c>
    </row>
    <row r="3576">
      <c r="A3576" s="145" t="n">
        <v>42</v>
      </c>
      <c r="B3576" s="204">
        <f>EDATE($B3575,1)</f>
        <v/>
      </c>
      <c r="C3576" s="205">
        <f>EOMONTH($B3576,0)</f>
        <v/>
      </c>
      <c r="D3576" s="201">
        <f>$C3576-$B3576+1</f>
        <v/>
      </c>
      <c r="E3576" s="201">
        <f>MONTH($B3576)</f>
        <v/>
      </c>
      <c r="F3576" s="235">
        <f>($B3576+$C3576+1)/2</f>
        <v/>
      </c>
      <c r="G3576" s="201">
        <f>YEAR($B3576)*12+MONTH($B3576)-1</f>
        <v/>
      </c>
      <c r="H3576" s="207">
        <f>IF(OR(nr_SeasonOn="OFF",$D$3532=0,$E$3532=0),1,12*INDEX(se_block,$D$3532,$E3576)/$E$3532)</f>
        <v/>
      </c>
      <c r="I3576" s="208">
        <f>EXP(SUMPRODUCT((rl_eff&lt;$B3576)*(rl_key=$A$3532)*rl_ln1p))</f>
        <v/>
      </c>
      <c r="J3576" s="208">
        <f>EXP(SUMPRODUCT((rl_eff&lt;=$C3576)*(rl_key=$A$3532)*rl_ln1p))</f>
        <v/>
      </c>
      <c r="K3576" s="201">
        <f>COUNTIFS(rl_key,$A$3532,rl_eff,"&gt;="&amp;$B3576,rl_eff,"&lt;="&amp;$C3576)</f>
        <v/>
      </c>
      <c r="L3576" s="201">
        <f>SUMIFS(rl_daysafter,rl_key,$A$3532,rl_effmonth,$B3576,rl_first,1)</f>
        <v/>
      </c>
      <c r="M3576" s="209">
        <f>IF($K3576=0,0,MIN(1,$L3576/$D3576))</f>
        <v/>
      </c>
      <c r="N3576" s="208">
        <f>IF($K3576=0,$J3576,(1-$M3576)*$I3576+$M3576*$J3576)</f>
        <v/>
      </c>
      <c r="O3576" s="209">
        <f>IF($F3576&lt;$B$3533,$E$3533+$I$3533*($F3576-$A$3533),IF($F3576&lt;$C$3533,$F$3533+$J$3533*($F3576-$B$3533),$G$3533+$K$3533*($F3576-$C$3533)))</f>
        <v/>
      </c>
      <c r="P3576" s="208">
        <f>MIN(1,MAX(0,(nr_MEndPm1-$G3576+0.5)/$C$3532))-MIN(1,MAX(0,(nr_MStartPm1-1-$G3576+0.5)/$C$3532))</f>
        <v/>
      </c>
      <c r="Q3576" s="208">
        <f>MIN(1,MAX(0,(nr_MEndP-$G3576+0.5)/$C$3532))-MIN(1,MAX(0,(nr_MStartP-1-$G3576+0.5)/$C$3532))</f>
        <v/>
      </c>
      <c r="R3576" s="208">
        <f>MIN(1,MAX(0,(nr_MEndP1-$G3576+0.5)/$C$3532))-MIN(1,MAX(0,(nr_MStartP1-1-$G3576+0.5)/$C$3532))</f>
        <v/>
      </c>
      <c r="S3576" s="208">
        <f>IF($L$3532,$N3576*IF($O$3532=1,$O3576/$F$3532,1),"")</f>
        <v/>
      </c>
      <c r="T3576" s="208">
        <f>IF(NOT($L$3532),"",IF($G3576&lt;nr_MStartP,$S3576,$T3564*(1+IF($G3576&lt;nr_MStartP1,$M$3532,$N$3532))))</f>
        <v/>
      </c>
      <c r="U3576" s="208">
        <f>IF($L$3532,$T3576,$N3576)</f>
        <v/>
      </c>
    </row>
    <row r="3577">
      <c r="A3577" s="145" t="n">
        <v>43</v>
      </c>
      <c r="B3577" s="204">
        <f>EDATE($B3576,1)</f>
        <v/>
      </c>
      <c r="C3577" s="205">
        <f>EOMONTH($B3577,0)</f>
        <v/>
      </c>
      <c r="D3577" s="201">
        <f>$C3577-$B3577+1</f>
        <v/>
      </c>
      <c r="E3577" s="201">
        <f>MONTH($B3577)</f>
        <v/>
      </c>
      <c r="F3577" s="235">
        <f>($B3577+$C3577+1)/2</f>
        <v/>
      </c>
      <c r="G3577" s="201">
        <f>YEAR($B3577)*12+MONTH($B3577)-1</f>
        <v/>
      </c>
      <c r="H3577" s="207">
        <f>IF(OR(nr_SeasonOn="OFF",$D$3532=0,$E$3532=0),1,12*INDEX(se_block,$D$3532,$E3577)/$E$3532)</f>
        <v/>
      </c>
      <c r="I3577" s="208">
        <f>EXP(SUMPRODUCT((rl_eff&lt;$B3577)*(rl_key=$A$3532)*rl_ln1p))</f>
        <v/>
      </c>
      <c r="J3577" s="208">
        <f>EXP(SUMPRODUCT((rl_eff&lt;=$C3577)*(rl_key=$A$3532)*rl_ln1p))</f>
        <v/>
      </c>
      <c r="K3577" s="201">
        <f>COUNTIFS(rl_key,$A$3532,rl_eff,"&gt;="&amp;$B3577,rl_eff,"&lt;="&amp;$C3577)</f>
        <v/>
      </c>
      <c r="L3577" s="201">
        <f>SUMIFS(rl_daysafter,rl_key,$A$3532,rl_effmonth,$B3577,rl_first,1)</f>
        <v/>
      </c>
      <c r="M3577" s="209">
        <f>IF($K3577=0,0,MIN(1,$L3577/$D3577))</f>
        <v/>
      </c>
      <c r="N3577" s="208">
        <f>IF($K3577=0,$J3577,(1-$M3577)*$I3577+$M3577*$J3577)</f>
        <v/>
      </c>
      <c r="O3577" s="209">
        <f>IF($F3577&lt;$B$3533,$E$3533+$I$3533*($F3577-$A$3533),IF($F3577&lt;$C$3533,$F$3533+$J$3533*($F3577-$B$3533),$G$3533+$K$3533*($F3577-$C$3533)))</f>
        <v/>
      </c>
      <c r="P3577" s="208">
        <f>MIN(1,MAX(0,(nr_MEndPm1-$G3577+0.5)/$C$3532))-MIN(1,MAX(0,(nr_MStartPm1-1-$G3577+0.5)/$C$3532))</f>
        <v/>
      </c>
      <c r="Q3577" s="208">
        <f>MIN(1,MAX(0,(nr_MEndP-$G3577+0.5)/$C$3532))-MIN(1,MAX(0,(nr_MStartP-1-$G3577+0.5)/$C$3532))</f>
        <v/>
      </c>
      <c r="R3577" s="208">
        <f>MIN(1,MAX(0,(nr_MEndP1-$G3577+0.5)/$C$3532))-MIN(1,MAX(0,(nr_MStartP1-1-$G3577+0.5)/$C$3532))</f>
        <v/>
      </c>
      <c r="S3577" s="208">
        <f>IF($L$3532,$N3577*IF($O$3532=1,$O3577/$F$3532,1),"")</f>
        <v/>
      </c>
      <c r="T3577" s="208">
        <f>IF(NOT($L$3532),"",IF($G3577&lt;nr_MStartP,$S3577,$T3565*(1+IF($G3577&lt;nr_MStartP1,$M$3532,$N$3532))))</f>
        <v/>
      </c>
      <c r="U3577" s="208">
        <f>IF($L$3532,$T3577,$N3577)</f>
        <v/>
      </c>
    </row>
    <row r="3578">
      <c r="A3578" s="145" t="n">
        <v>44</v>
      </c>
      <c r="B3578" s="204">
        <f>EDATE($B3577,1)</f>
        <v/>
      </c>
      <c r="C3578" s="205">
        <f>EOMONTH($B3578,0)</f>
        <v/>
      </c>
      <c r="D3578" s="201">
        <f>$C3578-$B3578+1</f>
        <v/>
      </c>
      <c r="E3578" s="201">
        <f>MONTH($B3578)</f>
        <v/>
      </c>
      <c r="F3578" s="235">
        <f>($B3578+$C3578+1)/2</f>
        <v/>
      </c>
      <c r="G3578" s="201">
        <f>YEAR($B3578)*12+MONTH($B3578)-1</f>
        <v/>
      </c>
      <c r="H3578" s="207">
        <f>IF(OR(nr_SeasonOn="OFF",$D$3532=0,$E$3532=0),1,12*INDEX(se_block,$D$3532,$E3578)/$E$3532)</f>
        <v/>
      </c>
      <c r="I3578" s="208">
        <f>EXP(SUMPRODUCT((rl_eff&lt;$B3578)*(rl_key=$A$3532)*rl_ln1p))</f>
        <v/>
      </c>
      <c r="J3578" s="208">
        <f>EXP(SUMPRODUCT((rl_eff&lt;=$C3578)*(rl_key=$A$3532)*rl_ln1p))</f>
        <v/>
      </c>
      <c r="K3578" s="201">
        <f>COUNTIFS(rl_key,$A$3532,rl_eff,"&gt;="&amp;$B3578,rl_eff,"&lt;="&amp;$C3578)</f>
        <v/>
      </c>
      <c r="L3578" s="201">
        <f>SUMIFS(rl_daysafter,rl_key,$A$3532,rl_effmonth,$B3578,rl_first,1)</f>
        <v/>
      </c>
      <c r="M3578" s="209">
        <f>IF($K3578=0,0,MIN(1,$L3578/$D3578))</f>
        <v/>
      </c>
      <c r="N3578" s="208">
        <f>IF($K3578=0,$J3578,(1-$M3578)*$I3578+$M3578*$J3578)</f>
        <v/>
      </c>
      <c r="O3578" s="209">
        <f>IF($F3578&lt;$B$3533,$E$3533+$I$3533*($F3578-$A$3533),IF($F3578&lt;$C$3533,$F$3533+$J$3533*($F3578-$B$3533),$G$3533+$K$3533*($F3578-$C$3533)))</f>
        <v/>
      </c>
      <c r="P3578" s="208">
        <f>MIN(1,MAX(0,(nr_MEndPm1-$G3578+0.5)/$C$3532))-MIN(1,MAX(0,(nr_MStartPm1-1-$G3578+0.5)/$C$3532))</f>
        <v/>
      </c>
      <c r="Q3578" s="208">
        <f>MIN(1,MAX(0,(nr_MEndP-$G3578+0.5)/$C$3532))-MIN(1,MAX(0,(nr_MStartP-1-$G3578+0.5)/$C$3532))</f>
        <v/>
      </c>
      <c r="R3578" s="208">
        <f>MIN(1,MAX(0,(nr_MEndP1-$G3578+0.5)/$C$3532))-MIN(1,MAX(0,(nr_MStartP1-1-$G3578+0.5)/$C$3532))</f>
        <v/>
      </c>
      <c r="S3578" s="208">
        <f>IF($L$3532,$N3578*IF($O$3532=1,$O3578/$F$3532,1),"")</f>
        <v/>
      </c>
      <c r="T3578" s="208">
        <f>IF(NOT($L$3532),"",IF($G3578&lt;nr_MStartP,$S3578,$T3566*(1+IF($G3578&lt;nr_MStartP1,$M$3532,$N$3532))))</f>
        <v/>
      </c>
      <c r="U3578" s="208">
        <f>IF($L$3532,$T3578,$N3578)</f>
        <v/>
      </c>
    </row>
    <row r="3579">
      <c r="A3579" s="145" t="n">
        <v>45</v>
      </c>
      <c r="B3579" s="204">
        <f>EDATE($B3578,1)</f>
        <v/>
      </c>
      <c r="C3579" s="205">
        <f>EOMONTH($B3579,0)</f>
        <v/>
      </c>
      <c r="D3579" s="201">
        <f>$C3579-$B3579+1</f>
        <v/>
      </c>
      <c r="E3579" s="201">
        <f>MONTH($B3579)</f>
        <v/>
      </c>
      <c r="F3579" s="235">
        <f>($B3579+$C3579+1)/2</f>
        <v/>
      </c>
      <c r="G3579" s="201">
        <f>YEAR($B3579)*12+MONTH($B3579)-1</f>
        <v/>
      </c>
      <c r="H3579" s="207">
        <f>IF(OR(nr_SeasonOn="OFF",$D$3532=0,$E$3532=0),1,12*INDEX(se_block,$D$3532,$E3579)/$E$3532)</f>
        <v/>
      </c>
      <c r="I3579" s="208">
        <f>EXP(SUMPRODUCT((rl_eff&lt;$B3579)*(rl_key=$A$3532)*rl_ln1p))</f>
        <v/>
      </c>
      <c r="J3579" s="208">
        <f>EXP(SUMPRODUCT((rl_eff&lt;=$C3579)*(rl_key=$A$3532)*rl_ln1p))</f>
        <v/>
      </c>
      <c r="K3579" s="201">
        <f>COUNTIFS(rl_key,$A$3532,rl_eff,"&gt;="&amp;$B3579,rl_eff,"&lt;="&amp;$C3579)</f>
        <v/>
      </c>
      <c r="L3579" s="201">
        <f>SUMIFS(rl_daysafter,rl_key,$A$3532,rl_effmonth,$B3579,rl_first,1)</f>
        <v/>
      </c>
      <c r="M3579" s="209">
        <f>IF($K3579=0,0,MIN(1,$L3579/$D3579))</f>
        <v/>
      </c>
      <c r="N3579" s="208">
        <f>IF($K3579=0,$J3579,(1-$M3579)*$I3579+$M3579*$J3579)</f>
        <v/>
      </c>
      <c r="O3579" s="209">
        <f>IF($F3579&lt;$B$3533,$E$3533+$I$3533*($F3579-$A$3533),IF($F3579&lt;$C$3533,$F$3533+$J$3533*($F3579-$B$3533),$G$3533+$K$3533*($F3579-$C$3533)))</f>
        <v/>
      </c>
      <c r="P3579" s="208">
        <f>MIN(1,MAX(0,(nr_MEndPm1-$G3579+0.5)/$C$3532))-MIN(1,MAX(0,(nr_MStartPm1-1-$G3579+0.5)/$C$3532))</f>
        <v/>
      </c>
      <c r="Q3579" s="208">
        <f>MIN(1,MAX(0,(nr_MEndP-$G3579+0.5)/$C$3532))-MIN(1,MAX(0,(nr_MStartP-1-$G3579+0.5)/$C$3532))</f>
        <v/>
      </c>
      <c r="R3579" s="208">
        <f>MIN(1,MAX(0,(nr_MEndP1-$G3579+0.5)/$C$3532))-MIN(1,MAX(0,(nr_MStartP1-1-$G3579+0.5)/$C$3532))</f>
        <v/>
      </c>
      <c r="S3579" s="208">
        <f>IF($L$3532,$N3579*IF($O$3532=1,$O3579/$F$3532,1),"")</f>
        <v/>
      </c>
      <c r="T3579" s="208">
        <f>IF(NOT($L$3532),"",IF($G3579&lt;nr_MStartP,$S3579,$T3567*(1+IF($G3579&lt;nr_MStartP1,$M$3532,$N$3532))))</f>
        <v/>
      </c>
      <c r="U3579" s="208">
        <f>IF($L$3532,$T3579,$N3579)</f>
        <v/>
      </c>
    </row>
    <row r="3580">
      <c r="A3580" s="145" t="n">
        <v>46</v>
      </c>
      <c r="B3580" s="204">
        <f>EDATE($B3579,1)</f>
        <v/>
      </c>
      <c r="C3580" s="205">
        <f>EOMONTH($B3580,0)</f>
        <v/>
      </c>
      <c r="D3580" s="201">
        <f>$C3580-$B3580+1</f>
        <v/>
      </c>
      <c r="E3580" s="201">
        <f>MONTH($B3580)</f>
        <v/>
      </c>
      <c r="F3580" s="235">
        <f>($B3580+$C3580+1)/2</f>
        <v/>
      </c>
      <c r="G3580" s="201">
        <f>YEAR($B3580)*12+MONTH($B3580)-1</f>
        <v/>
      </c>
      <c r="H3580" s="207">
        <f>IF(OR(nr_SeasonOn="OFF",$D$3532=0,$E$3532=0),1,12*INDEX(se_block,$D$3532,$E3580)/$E$3532)</f>
        <v/>
      </c>
      <c r="I3580" s="208">
        <f>EXP(SUMPRODUCT((rl_eff&lt;$B3580)*(rl_key=$A$3532)*rl_ln1p))</f>
        <v/>
      </c>
      <c r="J3580" s="208">
        <f>EXP(SUMPRODUCT((rl_eff&lt;=$C3580)*(rl_key=$A$3532)*rl_ln1p))</f>
        <v/>
      </c>
      <c r="K3580" s="201">
        <f>COUNTIFS(rl_key,$A$3532,rl_eff,"&gt;="&amp;$B3580,rl_eff,"&lt;="&amp;$C3580)</f>
        <v/>
      </c>
      <c r="L3580" s="201">
        <f>SUMIFS(rl_daysafter,rl_key,$A$3532,rl_effmonth,$B3580,rl_first,1)</f>
        <v/>
      </c>
      <c r="M3580" s="209">
        <f>IF($K3580=0,0,MIN(1,$L3580/$D3580))</f>
        <v/>
      </c>
      <c r="N3580" s="208">
        <f>IF($K3580=0,$J3580,(1-$M3580)*$I3580+$M3580*$J3580)</f>
        <v/>
      </c>
      <c r="O3580" s="209">
        <f>IF($F3580&lt;$B$3533,$E$3533+$I$3533*($F3580-$A$3533),IF($F3580&lt;$C$3533,$F$3533+$J$3533*($F3580-$B$3533),$G$3533+$K$3533*($F3580-$C$3533)))</f>
        <v/>
      </c>
      <c r="P3580" s="208">
        <f>MIN(1,MAX(0,(nr_MEndPm1-$G3580+0.5)/$C$3532))-MIN(1,MAX(0,(nr_MStartPm1-1-$G3580+0.5)/$C$3532))</f>
        <v/>
      </c>
      <c r="Q3580" s="208">
        <f>MIN(1,MAX(0,(nr_MEndP-$G3580+0.5)/$C$3532))-MIN(1,MAX(0,(nr_MStartP-1-$G3580+0.5)/$C$3532))</f>
        <v/>
      </c>
      <c r="R3580" s="208">
        <f>MIN(1,MAX(0,(nr_MEndP1-$G3580+0.5)/$C$3532))-MIN(1,MAX(0,(nr_MStartP1-1-$G3580+0.5)/$C$3532))</f>
        <v/>
      </c>
      <c r="S3580" s="208">
        <f>IF($L$3532,$N3580*IF($O$3532=1,$O3580/$F$3532,1),"")</f>
        <v/>
      </c>
      <c r="T3580" s="208">
        <f>IF(NOT($L$3532),"",IF($G3580&lt;nr_MStartP,$S3580,$T3568*(1+IF($G3580&lt;nr_MStartP1,$M$3532,$N$3532))))</f>
        <v/>
      </c>
      <c r="U3580" s="208">
        <f>IF($L$3532,$T3580,$N3580)</f>
        <v/>
      </c>
    </row>
    <row r="3581">
      <c r="A3581" s="145" t="n">
        <v>47</v>
      </c>
      <c r="B3581" s="204">
        <f>EDATE($B3580,1)</f>
        <v/>
      </c>
      <c r="C3581" s="205">
        <f>EOMONTH($B3581,0)</f>
        <v/>
      </c>
      <c r="D3581" s="201">
        <f>$C3581-$B3581+1</f>
        <v/>
      </c>
      <c r="E3581" s="201">
        <f>MONTH($B3581)</f>
        <v/>
      </c>
      <c r="F3581" s="235">
        <f>($B3581+$C3581+1)/2</f>
        <v/>
      </c>
      <c r="G3581" s="201">
        <f>YEAR($B3581)*12+MONTH($B3581)-1</f>
        <v/>
      </c>
      <c r="H3581" s="207">
        <f>IF(OR(nr_SeasonOn="OFF",$D$3532=0,$E$3532=0),1,12*INDEX(se_block,$D$3532,$E3581)/$E$3532)</f>
        <v/>
      </c>
      <c r="I3581" s="208">
        <f>EXP(SUMPRODUCT((rl_eff&lt;$B3581)*(rl_key=$A$3532)*rl_ln1p))</f>
        <v/>
      </c>
      <c r="J3581" s="208">
        <f>EXP(SUMPRODUCT((rl_eff&lt;=$C3581)*(rl_key=$A$3532)*rl_ln1p))</f>
        <v/>
      </c>
      <c r="K3581" s="201">
        <f>COUNTIFS(rl_key,$A$3532,rl_eff,"&gt;="&amp;$B3581,rl_eff,"&lt;="&amp;$C3581)</f>
        <v/>
      </c>
      <c r="L3581" s="201">
        <f>SUMIFS(rl_daysafter,rl_key,$A$3532,rl_effmonth,$B3581,rl_first,1)</f>
        <v/>
      </c>
      <c r="M3581" s="209">
        <f>IF($K3581=0,0,MIN(1,$L3581/$D3581))</f>
        <v/>
      </c>
      <c r="N3581" s="208">
        <f>IF($K3581=0,$J3581,(1-$M3581)*$I3581+$M3581*$J3581)</f>
        <v/>
      </c>
      <c r="O3581" s="209">
        <f>IF($F3581&lt;$B$3533,$E$3533+$I$3533*($F3581-$A$3533),IF($F3581&lt;$C$3533,$F$3533+$J$3533*($F3581-$B$3533),$G$3533+$K$3533*($F3581-$C$3533)))</f>
        <v/>
      </c>
      <c r="P3581" s="208">
        <f>MIN(1,MAX(0,(nr_MEndPm1-$G3581+0.5)/$C$3532))-MIN(1,MAX(0,(nr_MStartPm1-1-$G3581+0.5)/$C$3532))</f>
        <v/>
      </c>
      <c r="Q3581" s="208">
        <f>MIN(1,MAX(0,(nr_MEndP-$G3581+0.5)/$C$3532))-MIN(1,MAX(0,(nr_MStartP-1-$G3581+0.5)/$C$3532))</f>
        <v/>
      </c>
      <c r="R3581" s="208">
        <f>MIN(1,MAX(0,(nr_MEndP1-$G3581+0.5)/$C$3532))-MIN(1,MAX(0,(nr_MStartP1-1-$G3581+0.5)/$C$3532))</f>
        <v/>
      </c>
      <c r="S3581" s="208">
        <f>IF($L$3532,$N3581*IF($O$3532=1,$O3581/$F$3532,1),"")</f>
        <v/>
      </c>
      <c r="T3581" s="208">
        <f>IF(NOT($L$3532),"",IF($G3581&lt;nr_MStartP,$S3581,$T3569*(1+IF($G3581&lt;nr_MStartP1,$M$3532,$N$3532))))</f>
        <v/>
      </c>
      <c r="U3581" s="208">
        <f>IF($L$3532,$T3581,$N3581)</f>
        <v/>
      </c>
    </row>
    <row r="3582">
      <c r="A3582" s="145" t="n">
        <v>48</v>
      </c>
      <c r="B3582" s="204">
        <f>EDATE($B3581,1)</f>
        <v/>
      </c>
      <c r="C3582" s="205">
        <f>EOMONTH($B3582,0)</f>
        <v/>
      </c>
      <c r="D3582" s="201">
        <f>$C3582-$B3582+1</f>
        <v/>
      </c>
      <c r="E3582" s="201">
        <f>MONTH($B3582)</f>
        <v/>
      </c>
      <c r="F3582" s="235">
        <f>($B3582+$C3582+1)/2</f>
        <v/>
      </c>
      <c r="G3582" s="201">
        <f>YEAR($B3582)*12+MONTH($B3582)-1</f>
        <v/>
      </c>
      <c r="H3582" s="207">
        <f>IF(OR(nr_SeasonOn="OFF",$D$3532=0,$E$3532=0),1,12*INDEX(se_block,$D$3532,$E3582)/$E$3532)</f>
        <v/>
      </c>
      <c r="I3582" s="208">
        <f>EXP(SUMPRODUCT((rl_eff&lt;$B3582)*(rl_key=$A$3532)*rl_ln1p))</f>
        <v/>
      </c>
      <c r="J3582" s="208">
        <f>EXP(SUMPRODUCT((rl_eff&lt;=$C3582)*(rl_key=$A$3532)*rl_ln1p))</f>
        <v/>
      </c>
      <c r="K3582" s="201">
        <f>COUNTIFS(rl_key,$A$3532,rl_eff,"&gt;="&amp;$B3582,rl_eff,"&lt;="&amp;$C3582)</f>
        <v/>
      </c>
      <c r="L3582" s="201">
        <f>SUMIFS(rl_daysafter,rl_key,$A$3532,rl_effmonth,$B3582,rl_first,1)</f>
        <v/>
      </c>
      <c r="M3582" s="209">
        <f>IF($K3582=0,0,MIN(1,$L3582/$D3582))</f>
        <v/>
      </c>
      <c r="N3582" s="208">
        <f>IF($K3582=0,$J3582,(1-$M3582)*$I3582+$M3582*$J3582)</f>
        <v/>
      </c>
      <c r="O3582" s="209">
        <f>IF($F3582&lt;$B$3533,$E$3533+$I$3533*($F3582-$A$3533),IF($F3582&lt;$C$3533,$F$3533+$J$3533*($F3582-$B$3533),$G$3533+$K$3533*($F3582-$C$3533)))</f>
        <v/>
      </c>
      <c r="P3582" s="208">
        <f>MIN(1,MAX(0,(nr_MEndPm1-$G3582+0.5)/$C$3532))-MIN(1,MAX(0,(nr_MStartPm1-1-$G3582+0.5)/$C$3532))</f>
        <v/>
      </c>
      <c r="Q3582" s="208">
        <f>MIN(1,MAX(0,(nr_MEndP-$G3582+0.5)/$C$3532))-MIN(1,MAX(0,(nr_MStartP-1-$G3582+0.5)/$C$3532))</f>
        <v/>
      </c>
      <c r="R3582" s="208">
        <f>MIN(1,MAX(0,(nr_MEndP1-$G3582+0.5)/$C$3532))-MIN(1,MAX(0,(nr_MStartP1-1-$G3582+0.5)/$C$3532))</f>
        <v/>
      </c>
      <c r="S3582" s="208">
        <f>IF($L$3532,$N3582*IF($O$3532=1,$O3582/$F$3532,1),"")</f>
        <v/>
      </c>
      <c r="T3582" s="208">
        <f>IF(NOT($L$3532),"",IF($G3582&lt;nr_MStartP,$S3582,$T3570*(1+IF($G3582&lt;nr_MStartP1,$M$3532,$N$3532))))</f>
        <v/>
      </c>
      <c r="U3582" s="208">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184">
        <f>SUMPRODUCT($H$3535:$H$3582,$Q$3535:$Q$3582,$O$3535:$O$3582)/SUMPRODUCT($H$3535:$H$3582,$Q$3535:$Q$3582)</f>
        <v/>
      </c>
      <c r="G3583" s="184">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184">
        <f>IF(N(INDEX(lr_mind,66))=0,1,INDEX(lr_mind,66))</f>
        <v/>
      </c>
      <c r="G3586" s="184">
        <f>IF(N(INDEX(lr_m0,66))=0,1,INDEX(lr_m0,66))</f>
        <v/>
      </c>
      <c r="H3586" s="73">
        <f>IF(N(INDEX(lr_m0asof,66))=0,DATE(nr_PlanYear-1,10,1),INDEX(lr_m0asof,66))</f>
        <v/>
      </c>
      <c r="I3586" s="184">
        <f>IF(N(INDEX(lr_m1,66))=0,1,INDEX(lr_m1,66))</f>
        <v/>
      </c>
      <c r="J3586" s="184">
        <f>INDEX(lr_mprior,66)</f>
        <v/>
      </c>
      <c r="K3586" s="184">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145" t="n">
        <v>1</v>
      </c>
      <c r="B3589" s="204">
        <f>DATE(nr_PlanYear-2,1,1)</f>
        <v/>
      </c>
      <c r="C3589" s="205">
        <f>EOMONTH($B3589,0)</f>
        <v/>
      </c>
      <c r="D3589" s="201">
        <f>$C3589-$B3589+1</f>
        <v/>
      </c>
      <c r="E3589" s="201">
        <f>MONTH($B3589)</f>
        <v/>
      </c>
      <c r="F3589" s="235">
        <f>($B3589+$C3589+1)/2</f>
        <v/>
      </c>
      <c r="G3589" s="201">
        <f>YEAR($B3589)*12+MONTH($B3589)-1</f>
        <v/>
      </c>
      <c r="H3589" s="207">
        <f>IF(OR(nr_SeasonOn="OFF",$D$3586=0,$E$3586=0),1,12*INDEX(se_block,$D$3586,$E3589)/$E$3586)</f>
        <v/>
      </c>
      <c r="I3589" s="208">
        <f>EXP(SUMPRODUCT((rl_eff&lt;$B3589)*(rl_key=$A$3586)*rl_ln1p))</f>
        <v/>
      </c>
      <c r="J3589" s="208">
        <f>EXP(SUMPRODUCT((rl_eff&lt;=$C3589)*(rl_key=$A$3586)*rl_ln1p))</f>
        <v/>
      </c>
      <c r="K3589" s="201">
        <f>COUNTIFS(rl_key,$A$3586,rl_eff,"&gt;="&amp;$B3589,rl_eff,"&lt;="&amp;$C3589)</f>
        <v/>
      </c>
      <c r="L3589" s="201">
        <f>SUMIFS(rl_daysafter,rl_key,$A$3586,rl_effmonth,$B3589,rl_first,1)</f>
        <v/>
      </c>
      <c r="M3589" s="209">
        <f>IF($K3589=0,0,MIN(1,$L3589/$D3589))</f>
        <v/>
      </c>
      <c r="N3589" s="208">
        <f>IF($K3589=0,$J3589,(1-$M3589)*$I3589+$M3589*$J3589)</f>
        <v/>
      </c>
      <c r="O3589" s="209">
        <f>IF($F3589&lt;$B$3587,$E$3587+$I$3587*($F3589-$A$3587),IF($F3589&lt;$C$3587,$F$3587+$J$3587*($F3589-$B$3587),$G$3587+$K$3587*($F3589-$C$3587)))</f>
        <v/>
      </c>
      <c r="P3589" s="208">
        <f>MIN(1,MAX(0,(nr_MEndPm1-$G3589+0.5)/$C$3586))-MIN(1,MAX(0,(nr_MStartPm1-1-$G3589+0.5)/$C$3586))</f>
        <v/>
      </c>
      <c r="Q3589" s="208">
        <f>MIN(1,MAX(0,(nr_MEndP-$G3589+0.5)/$C$3586))-MIN(1,MAX(0,(nr_MStartP-1-$G3589+0.5)/$C$3586))</f>
        <v/>
      </c>
      <c r="R3589" s="208">
        <f>MIN(1,MAX(0,(nr_MEndP1-$G3589+0.5)/$C$3586))-MIN(1,MAX(0,(nr_MStartP1-1-$G3589+0.5)/$C$3586))</f>
        <v/>
      </c>
      <c r="S3589" s="208">
        <f>IF($L$3586,$N3589*IF($O$3586=1,$O3589/$F$3586,1),"")</f>
        <v/>
      </c>
      <c r="T3589" s="208">
        <f>IF(NOT($L$3586),"",IF($G3589&lt;nr_MStartP,$S3589,$T3577*(1+IF($G3589&lt;nr_MStartP1,$M$3586,$N$3586))))</f>
        <v/>
      </c>
      <c r="U3589" s="208">
        <f>IF($L$3586,$T3589,$N3589)</f>
        <v/>
      </c>
    </row>
    <row r="3590">
      <c r="A3590" s="145" t="n">
        <v>2</v>
      </c>
      <c r="B3590" s="204">
        <f>EDATE($B3589,1)</f>
        <v/>
      </c>
      <c r="C3590" s="205">
        <f>EOMONTH($B3590,0)</f>
        <v/>
      </c>
      <c r="D3590" s="201">
        <f>$C3590-$B3590+1</f>
        <v/>
      </c>
      <c r="E3590" s="201">
        <f>MONTH($B3590)</f>
        <v/>
      </c>
      <c r="F3590" s="235">
        <f>($B3590+$C3590+1)/2</f>
        <v/>
      </c>
      <c r="G3590" s="201">
        <f>YEAR($B3590)*12+MONTH($B3590)-1</f>
        <v/>
      </c>
      <c r="H3590" s="207">
        <f>IF(OR(nr_SeasonOn="OFF",$D$3586=0,$E$3586=0),1,12*INDEX(se_block,$D$3586,$E3590)/$E$3586)</f>
        <v/>
      </c>
      <c r="I3590" s="208">
        <f>EXP(SUMPRODUCT((rl_eff&lt;$B3590)*(rl_key=$A$3586)*rl_ln1p))</f>
        <v/>
      </c>
      <c r="J3590" s="208">
        <f>EXP(SUMPRODUCT((rl_eff&lt;=$C3590)*(rl_key=$A$3586)*rl_ln1p))</f>
        <v/>
      </c>
      <c r="K3590" s="201">
        <f>COUNTIFS(rl_key,$A$3586,rl_eff,"&gt;="&amp;$B3590,rl_eff,"&lt;="&amp;$C3590)</f>
        <v/>
      </c>
      <c r="L3590" s="201">
        <f>SUMIFS(rl_daysafter,rl_key,$A$3586,rl_effmonth,$B3590,rl_first,1)</f>
        <v/>
      </c>
      <c r="M3590" s="209">
        <f>IF($K3590=0,0,MIN(1,$L3590/$D3590))</f>
        <v/>
      </c>
      <c r="N3590" s="208">
        <f>IF($K3590=0,$J3590,(1-$M3590)*$I3590+$M3590*$J3590)</f>
        <v/>
      </c>
      <c r="O3590" s="209">
        <f>IF($F3590&lt;$B$3587,$E$3587+$I$3587*($F3590-$A$3587),IF($F3590&lt;$C$3587,$F$3587+$J$3587*($F3590-$B$3587),$G$3587+$K$3587*($F3590-$C$3587)))</f>
        <v/>
      </c>
      <c r="P3590" s="208">
        <f>MIN(1,MAX(0,(nr_MEndPm1-$G3590+0.5)/$C$3586))-MIN(1,MAX(0,(nr_MStartPm1-1-$G3590+0.5)/$C$3586))</f>
        <v/>
      </c>
      <c r="Q3590" s="208">
        <f>MIN(1,MAX(0,(nr_MEndP-$G3590+0.5)/$C$3586))-MIN(1,MAX(0,(nr_MStartP-1-$G3590+0.5)/$C$3586))</f>
        <v/>
      </c>
      <c r="R3590" s="208">
        <f>MIN(1,MAX(0,(nr_MEndP1-$G3590+0.5)/$C$3586))-MIN(1,MAX(0,(nr_MStartP1-1-$G3590+0.5)/$C$3586))</f>
        <v/>
      </c>
      <c r="S3590" s="208">
        <f>IF($L$3586,$N3590*IF($O$3586=1,$O3590/$F$3586,1),"")</f>
        <v/>
      </c>
      <c r="T3590" s="208">
        <f>IF(NOT($L$3586),"",IF($G3590&lt;nr_MStartP,$S3590,$T3578*(1+IF($G3590&lt;nr_MStartP1,$M$3586,$N$3586))))</f>
        <v/>
      </c>
      <c r="U3590" s="208">
        <f>IF($L$3586,$T3590,$N3590)</f>
        <v/>
      </c>
    </row>
    <row r="3591">
      <c r="A3591" s="145" t="n">
        <v>3</v>
      </c>
      <c r="B3591" s="204">
        <f>EDATE($B3590,1)</f>
        <v/>
      </c>
      <c r="C3591" s="205">
        <f>EOMONTH($B3591,0)</f>
        <v/>
      </c>
      <c r="D3591" s="201">
        <f>$C3591-$B3591+1</f>
        <v/>
      </c>
      <c r="E3591" s="201">
        <f>MONTH($B3591)</f>
        <v/>
      </c>
      <c r="F3591" s="235">
        <f>($B3591+$C3591+1)/2</f>
        <v/>
      </c>
      <c r="G3591" s="201">
        <f>YEAR($B3591)*12+MONTH($B3591)-1</f>
        <v/>
      </c>
      <c r="H3591" s="207">
        <f>IF(OR(nr_SeasonOn="OFF",$D$3586=0,$E$3586=0),1,12*INDEX(se_block,$D$3586,$E3591)/$E$3586)</f>
        <v/>
      </c>
      <c r="I3591" s="208">
        <f>EXP(SUMPRODUCT((rl_eff&lt;$B3591)*(rl_key=$A$3586)*rl_ln1p))</f>
        <v/>
      </c>
      <c r="J3591" s="208">
        <f>EXP(SUMPRODUCT((rl_eff&lt;=$C3591)*(rl_key=$A$3586)*rl_ln1p))</f>
        <v/>
      </c>
      <c r="K3591" s="201">
        <f>COUNTIFS(rl_key,$A$3586,rl_eff,"&gt;="&amp;$B3591,rl_eff,"&lt;="&amp;$C3591)</f>
        <v/>
      </c>
      <c r="L3591" s="201">
        <f>SUMIFS(rl_daysafter,rl_key,$A$3586,rl_effmonth,$B3591,rl_first,1)</f>
        <v/>
      </c>
      <c r="M3591" s="209">
        <f>IF($K3591=0,0,MIN(1,$L3591/$D3591))</f>
        <v/>
      </c>
      <c r="N3591" s="208">
        <f>IF($K3591=0,$J3591,(1-$M3591)*$I3591+$M3591*$J3591)</f>
        <v/>
      </c>
      <c r="O3591" s="209">
        <f>IF($F3591&lt;$B$3587,$E$3587+$I$3587*($F3591-$A$3587),IF($F3591&lt;$C$3587,$F$3587+$J$3587*($F3591-$B$3587),$G$3587+$K$3587*($F3591-$C$3587)))</f>
        <v/>
      </c>
      <c r="P3591" s="208">
        <f>MIN(1,MAX(0,(nr_MEndPm1-$G3591+0.5)/$C$3586))-MIN(1,MAX(0,(nr_MStartPm1-1-$G3591+0.5)/$C$3586))</f>
        <v/>
      </c>
      <c r="Q3591" s="208">
        <f>MIN(1,MAX(0,(nr_MEndP-$G3591+0.5)/$C$3586))-MIN(1,MAX(0,(nr_MStartP-1-$G3591+0.5)/$C$3586))</f>
        <v/>
      </c>
      <c r="R3591" s="208">
        <f>MIN(1,MAX(0,(nr_MEndP1-$G3591+0.5)/$C$3586))-MIN(1,MAX(0,(nr_MStartP1-1-$G3591+0.5)/$C$3586))</f>
        <v/>
      </c>
      <c r="S3591" s="208">
        <f>IF($L$3586,$N3591*IF($O$3586=1,$O3591/$F$3586,1),"")</f>
        <v/>
      </c>
      <c r="T3591" s="208">
        <f>IF(NOT($L$3586),"",IF($G3591&lt;nr_MStartP,$S3591,$T3579*(1+IF($G3591&lt;nr_MStartP1,$M$3586,$N$3586))))</f>
        <v/>
      </c>
      <c r="U3591" s="208">
        <f>IF($L$3586,$T3591,$N3591)</f>
        <v/>
      </c>
    </row>
    <row r="3592">
      <c r="A3592" s="145" t="n">
        <v>4</v>
      </c>
      <c r="B3592" s="204">
        <f>EDATE($B3591,1)</f>
        <v/>
      </c>
      <c r="C3592" s="205">
        <f>EOMONTH($B3592,0)</f>
        <v/>
      </c>
      <c r="D3592" s="201">
        <f>$C3592-$B3592+1</f>
        <v/>
      </c>
      <c r="E3592" s="201">
        <f>MONTH($B3592)</f>
        <v/>
      </c>
      <c r="F3592" s="235">
        <f>($B3592+$C3592+1)/2</f>
        <v/>
      </c>
      <c r="G3592" s="201">
        <f>YEAR($B3592)*12+MONTH($B3592)-1</f>
        <v/>
      </c>
      <c r="H3592" s="207">
        <f>IF(OR(nr_SeasonOn="OFF",$D$3586=0,$E$3586=0),1,12*INDEX(se_block,$D$3586,$E3592)/$E$3586)</f>
        <v/>
      </c>
      <c r="I3592" s="208">
        <f>EXP(SUMPRODUCT((rl_eff&lt;$B3592)*(rl_key=$A$3586)*rl_ln1p))</f>
        <v/>
      </c>
      <c r="J3592" s="208">
        <f>EXP(SUMPRODUCT((rl_eff&lt;=$C3592)*(rl_key=$A$3586)*rl_ln1p))</f>
        <v/>
      </c>
      <c r="K3592" s="201">
        <f>COUNTIFS(rl_key,$A$3586,rl_eff,"&gt;="&amp;$B3592,rl_eff,"&lt;="&amp;$C3592)</f>
        <v/>
      </c>
      <c r="L3592" s="201">
        <f>SUMIFS(rl_daysafter,rl_key,$A$3586,rl_effmonth,$B3592,rl_first,1)</f>
        <v/>
      </c>
      <c r="M3592" s="209">
        <f>IF($K3592=0,0,MIN(1,$L3592/$D3592))</f>
        <v/>
      </c>
      <c r="N3592" s="208">
        <f>IF($K3592=0,$J3592,(1-$M3592)*$I3592+$M3592*$J3592)</f>
        <v/>
      </c>
      <c r="O3592" s="209">
        <f>IF($F3592&lt;$B$3587,$E$3587+$I$3587*($F3592-$A$3587),IF($F3592&lt;$C$3587,$F$3587+$J$3587*($F3592-$B$3587),$G$3587+$K$3587*($F3592-$C$3587)))</f>
        <v/>
      </c>
      <c r="P3592" s="208">
        <f>MIN(1,MAX(0,(nr_MEndPm1-$G3592+0.5)/$C$3586))-MIN(1,MAX(0,(nr_MStartPm1-1-$G3592+0.5)/$C$3586))</f>
        <v/>
      </c>
      <c r="Q3592" s="208">
        <f>MIN(1,MAX(0,(nr_MEndP-$G3592+0.5)/$C$3586))-MIN(1,MAX(0,(nr_MStartP-1-$G3592+0.5)/$C$3586))</f>
        <v/>
      </c>
      <c r="R3592" s="208">
        <f>MIN(1,MAX(0,(nr_MEndP1-$G3592+0.5)/$C$3586))-MIN(1,MAX(0,(nr_MStartP1-1-$G3592+0.5)/$C$3586))</f>
        <v/>
      </c>
      <c r="S3592" s="208">
        <f>IF($L$3586,$N3592*IF($O$3586=1,$O3592/$F$3586,1),"")</f>
        <v/>
      </c>
      <c r="T3592" s="208">
        <f>IF(NOT($L$3586),"",IF($G3592&lt;nr_MStartP,$S3592,$T3580*(1+IF($G3592&lt;nr_MStartP1,$M$3586,$N$3586))))</f>
        <v/>
      </c>
      <c r="U3592" s="208">
        <f>IF($L$3586,$T3592,$N3592)</f>
        <v/>
      </c>
    </row>
    <row r="3593">
      <c r="A3593" s="145" t="n">
        <v>5</v>
      </c>
      <c r="B3593" s="204">
        <f>EDATE($B3592,1)</f>
        <v/>
      </c>
      <c r="C3593" s="205">
        <f>EOMONTH($B3593,0)</f>
        <v/>
      </c>
      <c r="D3593" s="201">
        <f>$C3593-$B3593+1</f>
        <v/>
      </c>
      <c r="E3593" s="201">
        <f>MONTH($B3593)</f>
        <v/>
      </c>
      <c r="F3593" s="235">
        <f>($B3593+$C3593+1)/2</f>
        <v/>
      </c>
      <c r="G3593" s="201">
        <f>YEAR($B3593)*12+MONTH($B3593)-1</f>
        <v/>
      </c>
      <c r="H3593" s="207">
        <f>IF(OR(nr_SeasonOn="OFF",$D$3586=0,$E$3586=0),1,12*INDEX(se_block,$D$3586,$E3593)/$E$3586)</f>
        <v/>
      </c>
      <c r="I3593" s="208">
        <f>EXP(SUMPRODUCT((rl_eff&lt;$B3593)*(rl_key=$A$3586)*rl_ln1p))</f>
        <v/>
      </c>
      <c r="J3593" s="208">
        <f>EXP(SUMPRODUCT((rl_eff&lt;=$C3593)*(rl_key=$A$3586)*rl_ln1p))</f>
        <v/>
      </c>
      <c r="K3593" s="201">
        <f>COUNTIFS(rl_key,$A$3586,rl_eff,"&gt;="&amp;$B3593,rl_eff,"&lt;="&amp;$C3593)</f>
        <v/>
      </c>
      <c r="L3593" s="201">
        <f>SUMIFS(rl_daysafter,rl_key,$A$3586,rl_effmonth,$B3593,rl_first,1)</f>
        <v/>
      </c>
      <c r="M3593" s="209">
        <f>IF($K3593=0,0,MIN(1,$L3593/$D3593))</f>
        <v/>
      </c>
      <c r="N3593" s="208">
        <f>IF($K3593=0,$J3593,(1-$M3593)*$I3593+$M3593*$J3593)</f>
        <v/>
      </c>
      <c r="O3593" s="209">
        <f>IF($F3593&lt;$B$3587,$E$3587+$I$3587*($F3593-$A$3587),IF($F3593&lt;$C$3587,$F$3587+$J$3587*($F3593-$B$3587),$G$3587+$K$3587*($F3593-$C$3587)))</f>
        <v/>
      </c>
      <c r="P3593" s="208">
        <f>MIN(1,MAX(0,(nr_MEndPm1-$G3593+0.5)/$C$3586))-MIN(1,MAX(0,(nr_MStartPm1-1-$G3593+0.5)/$C$3586))</f>
        <v/>
      </c>
      <c r="Q3593" s="208">
        <f>MIN(1,MAX(0,(nr_MEndP-$G3593+0.5)/$C$3586))-MIN(1,MAX(0,(nr_MStartP-1-$G3593+0.5)/$C$3586))</f>
        <v/>
      </c>
      <c r="R3593" s="208">
        <f>MIN(1,MAX(0,(nr_MEndP1-$G3593+0.5)/$C$3586))-MIN(1,MAX(0,(nr_MStartP1-1-$G3593+0.5)/$C$3586))</f>
        <v/>
      </c>
      <c r="S3593" s="208">
        <f>IF($L$3586,$N3593*IF($O$3586=1,$O3593/$F$3586,1),"")</f>
        <v/>
      </c>
      <c r="T3593" s="208">
        <f>IF(NOT($L$3586),"",IF($G3593&lt;nr_MStartP,$S3593,$T3581*(1+IF($G3593&lt;nr_MStartP1,$M$3586,$N$3586))))</f>
        <v/>
      </c>
      <c r="U3593" s="208">
        <f>IF($L$3586,$T3593,$N3593)</f>
        <v/>
      </c>
    </row>
    <row r="3594">
      <c r="A3594" s="145" t="n">
        <v>6</v>
      </c>
      <c r="B3594" s="204">
        <f>EDATE($B3593,1)</f>
        <v/>
      </c>
      <c r="C3594" s="205">
        <f>EOMONTH($B3594,0)</f>
        <v/>
      </c>
      <c r="D3594" s="201">
        <f>$C3594-$B3594+1</f>
        <v/>
      </c>
      <c r="E3594" s="201">
        <f>MONTH($B3594)</f>
        <v/>
      </c>
      <c r="F3594" s="235">
        <f>($B3594+$C3594+1)/2</f>
        <v/>
      </c>
      <c r="G3594" s="201">
        <f>YEAR($B3594)*12+MONTH($B3594)-1</f>
        <v/>
      </c>
      <c r="H3594" s="207">
        <f>IF(OR(nr_SeasonOn="OFF",$D$3586=0,$E$3586=0),1,12*INDEX(se_block,$D$3586,$E3594)/$E$3586)</f>
        <v/>
      </c>
      <c r="I3594" s="208">
        <f>EXP(SUMPRODUCT((rl_eff&lt;$B3594)*(rl_key=$A$3586)*rl_ln1p))</f>
        <v/>
      </c>
      <c r="J3594" s="208">
        <f>EXP(SUMPRODUCT((rl_eff&lt;=$C3594)*(rl_key=$A$3586)*rl_ln1p))</f>
        <v/>
      </c>
      <c r="K3594" s="201">
        <f>COUNTIFS(rl_key,$A$3586,rl_eff,"&gt;="&amp;$B3594,rl_eff,"&lt;="&amp;$C3594)</f>
        <v/>
      </c>
      <c r="L3594" s="201">
        <f>SUMIFS(rl_daysafter,rl_key,$A$3586,rl_effmonth,$B3594,rl_first,1)</f>
        <v/>
      </c>
      <c r="M3594" s="209">
        <f>IF($K3594=0,0,MIN(1,$L3594/$D3594))</f>
        <v/>
      </c>
      <c r="N3594" s="208">
        <f>IF($K3594=0,$J3594,(1-$M3594)*$I3594+$M3594*$J3594)</f>
        <v/>
      </c>
      <c r="O3594" s="209">
        <f>IF($F3594&lt;$B$3587,$E$3587+$I$3587*($F3594-$A$3587),IF($F3594&lt;$C$3587,$F$3587+$J$3587*($F3594-$B$3587),$G$3587+$K$3587*($F3594-$C$3587)))</f>
        <v/>
      </c>
      <c r="P3594" s="208">
        <f>MIN(1,MAX(0,(nr_MEndPm1-$G3594+0.5)/$C$3586))-MIN(1,MAX(0,(nr_MStartPm1-1-$G3594+0.5)/$C$3586))</f>
        <v/>
      </c>
      <c r="Q3594" s="208">
        <f>MIN(1,MAX(0,(nr_MEndP-$G3594+0.5)/$C$3586))-MIN(1,MAX(0,(nr_MStartP-1-$G3594+0.5)/$C$3586))</f>
        <v/>
      </c>
      <c r="R3594" s="208">
        <f>MIN(1,MAX(0,(nr_MEndP1-$G3594+0.5)/$C$3586))-MIN(1,MAX(0,(nr_MStartP1-1-$G3594+0.5)/$C$3586))</f>
        <v/>
      </c>
      <c r="S3594" s="208">
        <f>IF($L$3586,$N3594*IF($O$3586=1,$O3594/$F$3586,1),"")</f>
        <v/>
      </c>
      <c r="T3594" s="208">
        <f>IF(NOT($L$3586),"",IF($G3594&lt;nr_MStartP,$S3594,$T3582*(1+IF($G3594&lt;nr_MStartP1,$M$3586,$N$3586))))</f>
        <v/>
      </c>
      <c r="U3594" s="208">
        <f>IF($L$3586,$T3594,$N3594)</f>
        <v/>
      </c>
    </row>
    <row r="3595">
      <c r="A3595" s="145" t="n">
        <v>7</v>
      </c>
      <c r="B3595" s="204">
        <f>EDATE($B3594,1)</f>
        <v/>
      </c>
      <c r="C3595" s="205">
        <f>EOMONTH($B3595,0)</f>
        <v/>
      </c>
      <c r="D3595" s="201">
        <f>$C3595-$B3595+1</f>
        <v/>
      </c>
      <c r="E3595" s="201">
        <f>MONTH($B3595)</f>
        <v/>
      </c>
      <c r="F3595" s="235">
        <f>($B3595+$C3595+1)/2</f>
        <v/>
      </c>
      <c r="G3595" s="201">
        <f>YEAR($B3595)*12+MONTH($B3595)-1</f>
        <v/>
      </c>
      <c r="H3595" s="207">
        <f>IF(OR(nr_SeasonOn="OFF",$D$3586=0,$E$3586=0),1,12*INDEX(se_block,$D$3586,$E3595)/$E$3586)</f>
        <v/>
      </c>
      <c r="I3595" s="208">
        <f>EXP(SUMPRODUCT((rl_eff&lt;$B3595)*(rl_key=$A$3586)*rl_ln1p))</f>
        <v/>
      </c>
      <c r="J3595" s="208">
        <f>EXP(SUMPRODUCT((rl_eff&lt;=$C3595)*(rl_key=$A$3586)*rl_ln1p))</f>
        <v/>
      </c>
      <c r="K3595" s="201">
        <f>COUNTIFS(rl_key,$A$3586,rl_eff,"&gt;="&amp;$B3595,rl_eff,"&lt;="&amp;$C3595)</f>
        <v/>
      </c>
      <c r="L3595" s="201">
        <f>SUMIFS(rl_daysafter,rl_key,$A$3586,rl_effmonth,$B3595,rl_first,1)</f>
        <v/>
      </c>
      <c r="M3595" s="209">
        <f>IF($K3595=0,0,MIN(1,$L3595/$D3595))</f>
        <v/>
      </c>
      <c r="N3595" s="208">
        <f>IF($K3595=0,$J3595,(1-$M3595)*$I3595+$M3595*$J3595)</f>
        <v/>
      </c>
      <c r="O3595" s="209">
        <f>IF($F3595&lt;$B$3587,$E$3587+$I$3587*($F3595-$A$3587),IF($F3595&lt;$C$3587,$F$3587+$J$3587*($F3595-$B$3587),$G$3587+$K$3587*($F3595-$C$3587)))</f>
        <v/>
      </c>
      <c r="P3595" s="208">
        <f>MIN(1,MAX(0,(nr_MEndPm1-$G3595+0.5)/$C$3586))-MIN(1,MAX(0,(nr_MStartPm1-1-$G3595+0.5)/$C$3586))</f>
        <v/>
      </c>
      <c r="Q3595" s="208">
        <f>MIN(1,MAX(0,(nr_MEndP-$G3595+0.5)/$C$3586))-MIN(1,MAX(0,(nr_MStartP-1-$G3595+0.5)/$C$3586))</f>
        <v/>
      </c>
      <c r="R3595" s="208">
        <f>MIN(1,MAX(0,(nr_MEndP1-$G3595+0.5)/$C$3586))-MIN(1,MAX(0,(nr_MStartP1-1-$G3595+0.5)/$C$3586))</f>
        <v/>
      </c>
      <c r="S3595" s="208">
        <f>IF($L$3586,$N3595*IF($O$3586=1,$O3595/$F$3586,1),"")</f>
        <v/>
      </c>
      <c r="T3595" s="208">
        <f>IF(NOT($L$3586),"",IF($G3595&lt;nr_MStartP,$S3595,$T3583*(1+IF($G3595&lt;nr_MStartP1,$M$3586,$N$3586))))</f>
        <v/>
      </c>
      <c r="U3595" s="208">
        <f>IF($L$3586,$T3595,$N3595)</f>
        <v/>
      </c>
    </row>
    <row r="3596">
      <c r="A3596" s="145" t="n">
        <v>8</v>
      </c>
      <c r="B3596" s="204">
        <f>EDATE($B3595,1)</f>
        <v/>
      </c>
      <c r="C3596" s="205">
        <f>EOMONTH($B3596,0)</f>
        <v/>
      </c>
      <c r="D3596" s="201">
        <f>$C3596-$B3596+1</f>
        <v/>
      </c>
      <c r="E3596" s="201">
        <f>MONTH($B3596)</f>
        <v/>
      </c>
      <c r="F3596" s="235">
        <f>($B3596+$C3596+1)/2</f>
        <v/>
      </c>
      <c r="G3596" s="201">
        <f>YEAR($B3596)*12+MONTH($B3596)-1</f>
        <v/>
      </c>
      <c r="H3596" s="207">
        <f>IF(OR(nr_SeasonOn="OFF",$D$3586=0,$E$3586=0),1,12*INDEX(se_block,$D$3586,$E3596)/$E$3586)</f>
        <v/>
      </c>
      <c r="I3596" s="208">
        <f>EXP(SUMPRODUCT((rl_eff&lt;$B3596)*(rl_key=$A$3586)*rl_ln1p))</f>
        <v/>
      </c>
      <c r="J3596" s="208">
        <f>EXP(SUMPRODUCT((rl_eff&lt;=$C3596)*(rl_key=$A$3586)*rl_ln1p))</f>
        <v/>
      </c>
      <c r="K3596" s="201">
        <f>COUNTIFS(rl_key,$A$3586,rl_eff,"&gt;="&amp;$B3596,rl_eff,"&lt;="&amp;$C3596)</f>
        <v/>
      </c>
      <c r="L3596" s="201">
        <f>SUMIFS(rl_daysafter,rl_key,$A$3586,rl_effmonth,$B3596,rl_first,1)</f>
        <v/>
      </c>
      <c r="M3596" s="209">
        <f>IF($K3596=0,0,MIN(1,$L3596/$D3596))</f>
        <v/>
      </c>
      <c r="N3596" s="208">
        <f>IF($K3596=0,$J3596,(1-$M3596)*$I3596+$M3596*$J3596)</f>
        <v/>
      </c>
      <c r="O3596" s="209">
        <f>IF($F3596&lt;$B$3587,$E$3587+$I$3587*($F3596-$A$3587),IF($F3596&lt;$C$3587,$F$3587+$J$3587*($F3596-$B$3587),$G$3587+$K$3587*($F3596-$C$3587)))</f>
        <v/>
      </c>
      <c r="P3596" s="208">
        <f>MIN(1,MAX(0,(nr_MEndPm1-$G3596+0.5)/$C$3586))-MIN(1,MAX(0,(nr_MStartPm1-1-$G3596+0.5)/$C$3586))</f>
        <v/>
      </c>
      <c r="Q3596" s="208">
        <f>MIN(1,MAX(0,(nr_MEndP-$G3596+0.5)/$C$3586))-MIN(1,MAX(0,(nr_MStartP-1-$G3596+0.5)/$C$3586))</f>
        <v/>
      </c>
      <c r="R3596" s="208">
        <f>MIN(1,MAX(0,(nr_MEndP1-$G3596+0.5)/$C$3586))-MIN(1,MAX(0,(nr_MStartP1-1-$G3596+0.5)/$C$3586))</f>
        <v/>
      </c>
      <c r="S3596" s="208">
        <f>IF($L$3586,$N3596*IF($O$3586=1,$O3596/$F$3586,1),"")</f>
        <v/>
      </c>
      <c r="T3596" s="208">
        <f>IF(NOT($L$3586),"",IF($G3596&lt;nr_MStartP,$S3596,$T3584*(1+IF($G3596&lt;nr_MStartP1,$M$3586,$N$3586))))</f>
        <v/>
      </c>
      <c r="U3596" s="208">
        <f>IF($L$3586,$T3596,$N3596)</f>
        <v/>
      </c>
    </row>
    <row r="3597">
      <c r="A3597" s="145" t="n">
        <v>9</v>
      </c>
      <c r="B3597" s="204">
        <f>EDATE($B3596,1)</f>
        <v/>
      </c>
      <c r="C3597" s="205">
        <f>EOMONTH($B3597,0)</f>
        <v/>
      </c>
      <c r="D3597" s="201">
        <f>$C3597-$B3597+1</f>
        <v/>
      </c>
      <c r="E3597" s="201">
        <f>MONTH($B3597)</f>
        <v/>
      </c>
      <c r="F3597" s="235">
        <f>($B3597+$C3597+1)/2</f>
        <v/>
      </c>
      <c r="G3597" s="201">
        <f>YEAR($B3597)*12+MONTH($B3597)-1</f>
        <v/>
      </c>
      <c r="H3597" s="207">
        <f>IF(OR(nr_SeasonOn="OFF",$D$3586=0,$E$3586=0),1,12*INDEX(se_block,$D$3586,$E3597)/$E$3586)</f>
        <v/>
      </c>
      <c r="I3597" s="208">
        <f>EXP(SUMPRODUCT((rl_eff&lt;$B3597)*(rl_key=$A$3586)*rl_ln1p))</f>
        <v/>
      </c>
      <c r="J3597" s="208">
        <f>EXP(SUMPRODUCT((rl_eff&lt;=$C3597)*(rl_key=$A$3586)*rl_ln1p))</f>
        <v/>
      </c>
      <c r="K3597" s="201">
        <f>COUNTIFS(rl_key,$A$3586,rl_eff,"&gt;="&amp;$B3597,rl_eff,"&lt;="&amp;$C3597)</f>
        <v/>
      </c>
      <c r="L3597" s="201">
        <f>SUMIFS(rl_daysafter,rl_key,$A$3586,rl_effmonth,$B3597,rl_first,1)</f>
        <v/>
      </c>
      <c r="M3597" s="209">
        <f>IF($K3597=0,0,MIN(1,$L3597/$D3597))</f>
        <v/>
      </c>
      <c r="N3597" s="208">
        <f>IF($K3597=0,$J3597,(1-$M3597)*$I3597+$M3597*$J3597)</f>
        <v/>
      </c>
      <c r="O3597" s="209">
        <f>IF($F3597&lt;$B$3587,$E$3587+$I$3587*($F3597-$A$3587),IF($F3597&lt;$C$3587,$F$3587+$J$3587*($F3597-$B$3587),$G$3587+$K$3587*($F3597-$C$3587)))</f>
        <v/>
      </c>
      <c r="P3597" s="208">
        <f>MIN(1,MAX(0,(nr_MEndPm1-$G3597+0.5)/$C$3586))-MIN(1,MAX(0,(nr_MStartPm1-1-$G3597+0.5)/$C$3586))</f>
        <v/>
      </c>
      <c r="Q3597" s="208">
        <f>MIN(1,MAX(0,(nr_MEndP-$G3597+0.5)/$C$3586))-MIN(1,MAX(0,(nr_MStartP-1-$G3597+0.5)/$C$3586))</f>
        <v/>
      </c>
      <c r="R3597" s="208">
        <f>MIN(1,MAX(0,(nr_MEndP1-$G3597+0.5)/$C$3586))-MIN(1,MAX(0,(nr_MStartP1-1-$G3597+0.5)/$C$3586))</f>
        <v/>
      </c>
      <c r="S3597" s="208">
        <f>IF($L$3586,$N3597*IF($O$3586=1,$O3597/$F$3586,1),"")</f>
        <v/>
      </c>
      <c r="T3597" s="208">
        <f>IF(NOT($L$3586),"",IF($G3597&lt;nr_MStartP,$S3597,$T3585*(1+IF($G3597&lt;nr_MStartP1,$M$3586,$N$3586))))</f>
        <v/>
      </c>
      <c r="U3597" s="208">
        <f>IF($L$3586,$T3597,$N3597)</f>
        <v/>
      </c>
    </row>
    <row r="3598">
      <c r="A3598" s="145" t="n">
        <v>10</v>
      </c>
      <c r="B3598" s="204">
        <f>EDATE($B3597,1)</f>
        <v/>
      </c>
      <c r="C3598" s="205">
        <f>EOMONTH($B3598,0)</f>
        <v/>
      </c>
      <c r="D3598" s="201">
        <f>$C3598-$B3598+1</f>
        <v/>
      </c>
      <c r="E3598" s="201">
        <f>MONTH($B3598)</f>
        <v/>
      </c>
      <c r="F3598" s="235">
        <f>($B3598+$C3598+1)/2</f>
        <v/>
      </c>
      <c r="G3598" s="201">
        <f>YEAR($B3598)*12+MONTH($B3598)-1</f>
        <v/>
      </c>
      <c r="H3598" s="207">
        <f>IF(OR(nr_SeasonOn="OFF",$D$3586=0,$E$3586=0),1,12*INDEX(se_block,$D$3586,$E3598)/$E$3586)</f>
        <v/>
      </c>
      <c r="I3598" s="208">
        <f>EXP(SUMPRODUCT((rl_eff&lt;$B3598)*(rl_key=$A$3586)*rl_ln1p))</f>
        <v/>
      </c>
      <c r="J3598" s="208">
        <f>EXP(SUMPRODUCT((rl_eff&lt;=$C3598)*(rl_key=$A$3586)*rl_ln1p))</f>
        <v/>
      </c>
      <c r="K3598" s="201">
        <f>COUNTIFS(rl_key,$A$3586,rl_eff,"&gt;="&amp;$B3598,rl_eff,"&lt;="&amp;$C3598)</f>
        <v/>
      </c>
      <c r="L3598" s="201">
        <f>SUMIFS(rl_daysafter,rl_key,$A$3586,rl_effmonth,$B3598,rl_first,1)</f>
        <v/>
      </c>
      <c r="M3598" s="209">
        <f>IF($K3598=0,0,MIN(1,$L3598/$D3598))</f>
        <v/>
      </c>
      <c r="N3598" s="208">
        <f>IF($K3598=0,$J3598,(1-$M3598)*$I3598+$M3598*$J3598)</f>
        <v/>
      </c>
      <c r="O3598" s="209">
        <f>IF($F3598&lt;$B$3587,$E$3587+$I$3587*($F3598-$A$3587),IF($F3598&lt;$C$3587,$F$3587+$J$3587*($F3598-$B$3587),$G$3587+$K$3587*($F3598-$C$3587)))</f>
        <v/>
      </c>
      <c r="P3598" s="208">
        <f>MIN(1,MAX(0,(nr_MEndPm1-$G3598+0.5)/$C$3586))-MIN(1,MAX(0,(nr_MStartPm1-1-$G3598+0.5)/$C$3586))</f>
        <v/>
      </c>
      <c r="Q3598" s="208">
        <f>MIN(1,MAX(0,(nr_MEndP-$G3598+0.5)/$C$3586))-MIN(1,MAX(0,(nr_MStartP-1-$G3598+0.5)/$C$3586))</f>
        <v/>
      </c>
      <c r="R3598" s="208">
        <f>MIN(1,MAX(0,(nr_MEndP1-$G3598+0.5)/$C$3586))-MIN(1,MAX(0,(nr_MStartP1-1-$G3598+0.5)/$C$3586))</f>
        <v/>
      </c>
      <c r="S3598" s="208">
        <f>IF($L$3586,$N3598*IF($O$3586=1,$O3598/$F$3586,1),"")</f>
        <v/>
      </c>
      <c r="T3598" s="208">
        <f>IF(NOT($L$3586),"",IF($G3598&lt;nr_MStartP,$S3598,$T3586*(1+IF($G3598&lt;nr_MStartP1,$M$3586,$N$3586))))</f>
        <v/>
      </c>
      <c r="U3598" s="208">
        <f>IF($L$3586,$T3598,$N3598)</f>
        <v/>
      </c>
    </row>
    <row r="3599">
      <c r="A3599" s="145" t="n">
        <v>11</v>
      </c>
      <c r="B3599" s="204">
        <f>EDATE($B3598,1)</f>
        <v/>
      </c>
      <c r="C3599" s="205">
        <f>EOMONTH($B3599,0)</f>
        <v/>
      </c>
      <c r="D3599" s="201">
        <f>$C3599-$B3599+1</f>
        <v/>
      </c>
      <c r="E3599" s="201">
        <f>MONTH($B3599)</f>
        <v/>
      </c>
      <c r="F3599" s="235">
        <f>($B3599+$C3599+1)/2</f>
        <v/>
      </c>
      <c r="G3599" s="201">
        <f>YEAR($B3599)*12+MONTH($B3599)-1</f>
        <v/>
      </c>
      <c r="H3599" s="207">
        <f>IF(OR(nr_SeasonOn="OFF",$D$3586=0,$E$3586=0),1,12*INDEX(se_block,$D$3586,$E3599)/$E$3586)</f>
        <v/>
      </c>
      <c r="I3599" s="208">
        <f>EXP(SUMPRODUCT((rl_eff&lt;$B3599)*(rl_key=$A$3586)*rl_ln1p))</f>
        <v/>
      </c>
      <c r="J3599" s="208">
        <f>EXP(SUMPRODUCT((rl_eff&lt;=$C3599)*(rl_key=$A$3586)*rl_ln1p))</f>
        <v/>
      </c>
      <c r="K3599" s="201">
        <f>COUNTIFS(rl_key,$A$3586,rl_eff,"&gt;="&amp;$B3599,rl_eff,"&lt;="&amp;$C3599)</f>
        <v/>
      </c>
      <c r="L3599" s="201">
        <f>SUMIFS(rl_daysafter,rl_key,$A$3586,rl_effmonth,$B3599,rl_first,1)</f>
        <v/>
      </c>
      <c r="M3599" s="209">
        <f>IF($K3599=0,0,MIN(1,$L3599/$D3599))</f>
        <v/>
      </c>
      <c r="N3599" s="208">
        <f>IF($K3599=0,$J3599,(1-$M3599)*$I3599+$M3599*$J3599)</f>
        <v/>
      </c>
      <c r="O3599" s="209">
        <f>IF($F3599&lt;$B$3587,$E$3587+$I$3587*($F3599-$A$3587),IF($F3599&lt;$C$3587,$F$3587+$J$3587*($F3599-$B$3587),$G$3587+$K$3587*($F3599-$C$3587)))</f>
        <v/>
      </c>
      <c r="P3599" s="208">
        <f>MIN(1,MAX(0,(nr_MEndPm1-$G3599+0.5)/$C$3586))-MIN(1,MAX(0,(nr_MStartPm1-1-$G3599+0.5)/$C$3586))</f>
        <v/>
      </c>
      <c r="Q3599" s="208">
        <f>MIN(1,MAX(0,(nr_MEndP-$G3599+0.5)/$C$3586))-MIN(1,MAX(0,(nr_MStartP-1-$G3599+0.5)/$C$3586))</f>
        <v/>
      </c>
      <c r="R3599" s="208">
        <f>MIN(1,MAX(0,(nr_MEndP1-$G3599+0.5)/$C$3586))-MIN(1,MAX(0,(nr_MStartP1-1-$G3599+0.5)/$C$3586))</f>
        <v/>
      </c>
      <c r="S3599" s="208">
        <f>IF($L$3586,$N3599*IF($O$3586=1,$O3599/$F$3586,1),"")</f>
        <v/>
      </c>
      <c r="T3599" s="208">
        <f>IF(NOT($L$3586),"",IF($G3599&lt;nr_MStartP,$S3599,$T3587*(1+IF($G3599&lt;nr_MStartP1,$M$3586,$N$3586))))</f>
        <v/>
      </c>
      <c r="U3599" s="208">
        <f>IF($L$3586,$T3599,$N3599)</f>
        <v/>
      </c>
    </row>
    <row r="3600">
      <c r="A3600" s="145" t="n">
        <v>12</v>
      </c>
      <c r="B3600" s="204">
        <f>EDATE($B3599,1)</f>
        <v/>
      </c>
      <c r="C3600" s="205">
        <f>EOMONTH($B3600,0)</f>
        <v/>
      </c>
      <c r="D3600" s="201">
        <f>$C3600-$B3600+1</f>
        <v/>
      </c>
      <c r="E3600" s="201">
        <f>MONTH($B3600)</f>
        <v/>
      </c>
      <c r="F3600" s="235">
        <f>($B3600+$C3600+1)/2</f>
        <v/>
      </c>
      <c r="G3600" s="201">
        <f>YEAR($B3600)*12+MONTH($B3600)-1</f>
        <v/>
      </c>
      <c r="H3600" s="207">
        <f>IF(OR(nr_SeasonOn="OFF",$D$3586=0,$E$3586=0),1,12*INDEX(se_block,$D$3586,$E3600)/$E$3586)</f>
        <v/>
      </c>
      <c r="I3600" s="208">
        <f>EXP(SUMPRODUCT((rl_eff&lt;$B3600)*(rl_key=$A$3586)*rl_ln1p))</f>
        <v/>
      </c>
      <c r="J3600" s="208">
        <f>EXP(SUMPRODUCT((rl_eff&lt;=$C3600)*(rl_key=$A$3586)*rl_ln1p))</f>
        <v/>
      </c>
      <c r="K3600" s="201">
        <f>COUNTIFS(rl_key,$A$3586,rl_eff,"&gt;="&amp;$B3600,rl_eff,"&lt;="&amp;$C3600)</f>
        <v/>
      </c>
      <c r="L3600" s="201">
        <f>SUMIFS(rl_daysafter,rl_key,$A$3586,rl_effmonth,$B3600,rl_first,1)</f>
        <v/>
      </c>
      <c r="M3600" s="209">
        <f>IF($K3600=0,0,MIN(1,$L3600/$D3600))</f>
        <v/>
      </c>
      <c r="N3600" s="208">
        <f>IF($K3600=0,$J3600,(1-$M3600)*$I3600+$M3600*$J3600)</f>
        <v/>
      </c>
      <c r="O3600" s="209">
        <f>IF($F3600&lt;$B$3587,$E$3587+$I$3587*($F3600-$A$3587),IF($F3600&lt;$C$3587,$F$3587+$J$3587*($F3600-$B$3587),$G$3587+$K$3587*($F3600-$C$3587)))</f>
        <v/>
      </c>
      <c r="P3600" s="208">
        <f>MIN(1,MAX(0,(nr_MEndPm1-$G3600+0.5)/$C$3586))-MIN(1,MAX(0,(nr_MStartPm1-1-$G3600+0.5)/$C$3586))</f>
        <v/>
      </c>
      <c r="Q3600" s="208">
        <f>MIN(1,MAX(0,(nr_MEndP-$G3600+0.5)/$C$3586))-MIN(1,MAX(0,(nr_MStartP-1-$G3600+0.5)/$C$3586))</f>
        <v/>
      </c>
      <c r="R3600" s="208">
        <f>MIN(1,MAX(0,(nr_MEndP1-$G3600+0.5)/$C$3586))-MIN(1,MAX(0,(nr_MStartP1-1-$G3600+0.5)/$C$3586))</f>
        <v/>
      </c>
      <c r="S3600" s="208">
        <f>IF($L$3586,$N3600*IF($O$3586=1,$O3600/$F$3586,1),"")</f>
        <v/>
      </c>
      <c r="T3600" s="208">
        <f>IF(NOT($L$3586),"",IF($G3600&lt;nr_MStartP,$S3600,$T3588*(1+IF($G3600&lt;nr_MStartP1,$M$3586,$N$3586))))</f>
        <v/>
      </c>
      <c r="U3600" s="208">
        <f>IF($L$3586,$T3600,$N3600)</f>
        <v/>
      </c>
    </row>
    <row r="3601">
      <c r="A3601" s="145" t="n">
        <v>13</v>
      </c>
      <c r="B3601" s="204">
        <f>EDATE($B3600,1)</f>
        <v/>
      </c>
      <c r="C3601" s="205">
        <f>EOMONTH($B3601,0)</f>
        <v/>
      </c>
      <c r="D3601" s="201">
        <f>$C3601-$B3601+1</f>
        <v/>
      </c>
      <c r="E3601" s="201">
        <f>MONTH($B3601)</f>
        <v/>
      </c>
      <c r="F3601" s="235">
        <f>($B3601+$C3601+1)/2</f>
        <v/>
      </c>
      <c r="G3601" s="201">
        <f>YEAR($B3601)*12+MONTH($B3601)-1</f>
        <v/>
      </c>
      <c r="H3601" s="207">
        <f>IF(OR(nr_SeasonOn="OFF",$D$3586=0,$E$3586=0),1,12*INDEX(se_block,$D$3586,$E3601)/$E$3586)</f>
        <v/>
      </c>
      <c r="I3601" s="208">
        <f>EXP(SUMPRODUCT((rl_eff&lt;$B3601)*(rl_key=$A$3586)*rl_ln1p))</f>
        <v/>
      </c>
      <c r="J3601" s="208">
        <f>EXP(SUMPRODUCT((rl_eff&lt;=$C3601)*(rl_key=$A$3586)*rl_ln1p))</f>
        <v/>
      </c>
      <c r="K3601" s="201">
        <f>COUNTIFS(rl_key,$A$3586,rl_eff,"&gt;="&amp;$B3601,rl_eff,"&lt;="&amp;$C3601)</f>
        <v/>
      </c>
      <c r="L3601" s="201">
        <f>SUMIFS(rl_daysafter,rl_key,$A$3586,rl_effmonth,$B3601,rl_first,1)</f>
        <v/>
      </c>
      <c r="M3601" s="209">
        <f>IF($K3601=0,0,MIN(1,$L3601/$D3601))</f>
        <v/>
      </c>
      <c r="N3601" s="208">
        <f>IF($K3601=0,$J3601,(1-$M3601)*$I3601+$M3601*$J3601)</f>
        <v/>
      </c>
      <c r="O3601" s="209">
        <f>IF($F3601&lt;$B$3587,$E$3587+$I$3587*($F3601-$A$3587),IF($F3601&lt;$C$3587,$F$3587+$J$3587*($F3601-$B$3587),$G$3587+$K$3587*($F3601-$C$3587)))</f>
        <v/>
      </c>
      <c r="P3601" s="208">
        <f>MIN(1,MAX(0,(nr_MEndPm1-$G3601+0.5)/$C$3586))-MIN(1,MAX(0,(nr_MStartPm1-1-$G3601+0.5)/$C$3586))</f>
        <v/>
      </c>
      <c r="Q3601" s="208">
        <f>MIN(1,MAX(0,(nr_MEndP-$G3601+0.5)/$C$3586))-MIN(1,MAX(0,(nr_MStartP-1-$G3601+0.5)/$C$3586))</f>
        <v/>
      </c>
      <c r="R3601" s="208">
        <f>MIN(1,MAX(0,(nr_MEndP1-$G3601+0.5)/$C$3586))-MIN(1,MAX(0,(nr_MStartP1-1-$G3601+0.5)/$C$3586))</f>
        <v/>
      </c>
      <c r="S3601" s="208">
        <f>IF($L$3586,$N3601*IF($O$3586=1,$O3601/$F$3586,1),"")</f>
        <v/>
      </c>
      <c r="T3601" s="208">
        <f>IF(NOT($L$3586),"",IF($G3601&lt;nr_MStartP,$S3601,$T3589*(1+IF($G3601&lt;nr_MStartP1,$M$3586,$N$3586))))</f>
        <v/>
      </c>
      <c r="U3601" s="208">
        <f>IF($L$3586,$T3601,$N3601)</f>
        <v/>
      </c>
    </row>
    <row r="3602">
      <c r="A3602" s="145" t="n">
        <v>14</v>
      </c>
      <c r="B3602" s="204">
        <f>EDATE($B3601,1)</f>
        <v/>
      </c>
      <c r="C3602" s="205">
        <f>EOMONTH($B3602,0)</f>
        <v/>
      </c>
      <c r="D3602" s="201">
        <f>$C3602-$B3602+1</f>
        <v/>
      </c>
      <c r="E3602" s="201">
        <f>MONTH($B3602)</f>
        <v/>
      </c>
      <c r="F3602" s="235">
        <f>($B3602+$C3602+1)/2</f>
        <v/>
      </c>
      <c r="G3602" s="201">
        <f>YEAR($B3602)*12+MONTH($B3602)-1</f>
        <v/>
      </c>
      <c r="H3602" s="207">
        <f>IF(OR(nr_SeasonOn="OFF",$D$3586=0,$E$3586=0),1,12*INDEX(se_block,$D$3586,$E3602)/$E$3586)</f>
        <v/>
      </c>
      <c r="I3602" s="208">
        <f>EXP(SUMPRODUCT((rl_eff&lt;$B3602)*(rl_key=$A$3586)*rl_ln1p))</f>
        <v/>
      </c>
      <c r="J3602" s="208">
        <f>EXP(SUMPRODUCT((rl_eff&lt;=$C3602)*(rl_key=$A$3586)*rl_ln1p))</f>
        <v/>
      </c>
      <c r="K3602" s="201">
        <f>COUNTIFS(rl_key,$A$3586,rl_eff,"&gt;="&amp;$B3602,rl_eff,"&lt;="&amp;$C3602)</f>
        <v/>
      </c>
      <c r="L3602" s="201">
        <f>SUMIFS(rl_daysafter,rl_key,$A$3586,rl_effmonth,$B3602,rl_first,1)</f>
        <v/>
      </c>
      <c r="M3602" s="209">
        <f>IF($K3602=0,0,MIN(1,$L3602/$D3602))</f>
        <v/>
      </c>
      <c r="N3602" s="208">
        <f>IF($K3602=0,$J3602,(1-$M3602)*$I3602+$M3602*$J3602)</f>
        <v/>
      </c>
      <c r="O3602" s="209">
        <f>IF($F3602&lt;$B$3587,$E$3587+$I$3587*($F3602-$A$3587),IF($F3602&lt;$C$3587,$F$3587+$J$3587*($F3602-$B$3587),$G$3587+$K$3587*($F3602-$C$3587)))</f>
        <v/>
      </c>
      <c r="P3602" s="208">
        <f>MIN(1,MAX(0,(nr_MEndPm1-$G3602+0.5)/$C$3586))-MIN(1,MAX(0,(nr_MStartPm1-1-$G3602+0.5)/$C$3586))</f>
        <v/>
      </c>
      <c r="Q3602" s="208">
        <f>MIN(1,MAX(0,(nr_MEndP-$G3602+0.5)/$C$3586))-MIN(1,MAX(0,(nr_MStartP-1-$G3602+0.5)/$C$3586))</f>
        <v/>
      </c>
      <c r="R3602" s="208">
        <f>MIN(1,MAX(0,(nr_MEndP1-$G3602+0.5)/$C$3586))-MIN(1,MAX(0,(nr_MStartP1-1-$G3602+0.5)/$C$3586))</f>
        <v/>
      </c>
      <c r="S3602" s="208">
        <f>IF($L$3586,$N3602*IF($O$3586=1,$O3602/$F$3586,1),"")</f>
        <v/>
      </c>
      <c r="T3602" s="208">
        <f>IF(NOT($L$3586),"",IF($G3602&lt;nr_MStartP,$S3602,$T3590*(1+IF($G3602&lt;nr_MStartP1,$M$3586,$N$3586))))</f>
        <v/>
      </c>
      <c r="U3602" s="208">
        <f>IF($L$3586,$T3602,$N3602)</f>
        <v/>
      </c>
    </row>
    <row r="3603">
      <c r="A3603" s="145" t="n">
        <v>15</v>
      </c>
      <c r="B3603" s="204">
        <f>EDATE($B3602,1)</f>
        <v/>
      </c>
      <c r="C3603" s="205">
        <f>EOMONTH($B3603,0)</f>
        <v/>
      </c>
      <c r="D3603" s="201">
        <f>$C3603-$B3603+1</f>
        <v/>
      </c>
      <c r="E3603" s="201">
        <f>MONTH($B3603)</f>
        <v/>
      </c>
      <c r="F3603" s="235">
        <f>($B3603+$C3603+1)/2</f>
        <v/>
      </c>
      <c r="G3603" s="201">
        <f>YEAR($B3603)*12+MONTH($B3603)-1</f>
        <v/>
      </c>
      <c r="H3603" s="207">
        <f>IF(OR(nr_SeasonOn="OFF",$D$3586=0,$E$3586=0),1,12*INDEX(se_block,$D$3586,$E3603)/$E$3586)</f>
        <v/>
      </c>
      <c r="I3603" s="208">
        <f>EXP(SUMPRODUCT((rl_eff&lt;$B3603)*(rl_key=$A$3586)*rl_ln1p))</f>
        <v/>
      </c>
      <c r="J3603" s="208">
        <f>EXP(SUMPRODUCT((rl_eff&lt;=$C3603)*(rl_key=$A$3586)*rl_ln1p))</f>
        <v/>
      </c>
      <c r="K3603" s="201">
        <f>COUNTIFS(rl_key,$A$3586,rl_eff,"&gt;="&amp;$B3603,rl_eff,"&lt;="&amp;$C3603)</f>
        <v/>
      </c>
      <c r="L3603" s="201">
        <f>SUMIFS(rl_daysafter,rl_key,$A$3586,rl_effmonth,$B3603,rl_first,1)</f>
        <v/>
      </c>
      <c r="M3603" s="209">
        <f>IF($K3603=0,0,MIN(1,$L3603/$D3603))</f>
        <v/>
      </c>
      <c r="N3603" s="208">
        <f>IF($K3603=0,$J3603,(1-$M3603)*$I3603+$M3603*$J3603)</f>
        <v/>
      </c>
      <c r="O3603" s="209">
        <f>IF($F3603&lt;$B$3587,$E$3587+$I$3587*($F3603-$A$3587),IF($F3603&lt;$C$3587,$F$3587+$J$3587*($F3603-$B$3587),$G$3587+$K$3587*($F3603-$C$3587)))</f>
        <v/>
      </c>
      <c r="P3603" s="208">
        <f>MIN(1,MAX(0,(nr_MEndPm1-$G3603+0.5)/$C$3586))-MIN(1,MAX(0,(nr_MStartPm1-1-$G3603+0.5)/$C$3586))</f>
        <v/>
      </c>
      <c r="Q3603" s="208">
        <f>MIN(1,MAX(0,(nr_MEndP-$G3603+0.5)/$C$3586))-MIN(1,MAX(0,(nr_MStartP-1-$G3603+0.5)/$C$3586))</f>
        <v/>
      </c>
      <c r="R3603" s="208">
        <f>MIN(1,MAX(0,(nr_MEndP1-$G3603+0.5)/$C$3586))-MIN(1,MAX(0,(nr_MStartP1-1-$G3603+0.5)/$C$3586))</f>
        <v/>
      </c>
      <c r="S3603" s="208">
        <f>IF($L$3586,$N3603*IF($O$3586=1,$O3603/$F$3586,1),"")</f>
        <v/>
      </c>
      <c r="T3603" s="208">
        <f>IF(NOT($L$3586),"",IF($G3603&lt;nr_MStartP,$S3603,$T3591*(1+IF($G3603&lt;nr_MStartP1,$M$3586,$N$3586))))</f>
        <v/>
      </c>
      <c r="U3603" s="208">
        <f>IF($L$3586,$T3603,$N3603)</f>
        <v/>
      </c>
    </row>
    <row r="3604">
      <c r="A3604" s="145" t="n">
        <v>16</v>
      </c>
      <c r="B3604" s="204">
        <f>EDATE($B3603,1)</f>
        <v/>
      </c>
      <c r="C3604" s="205">
        <f>EOMONTH($B3604,0)</f>
        <v/>
      </c>
      <c r="D3604" s="201">
        <f>$C3604-$B3604+1</f>
        <v/>
      </c>
      <c r="E3604" s="201">
        <f>MONTH($B3604)</f>
        <v/>
      </c>
      <c r="F3604" s="235">
        <f>($B3604+$C3604+1)/2</f>
        <v/>
      </c>
      <c r="G3604" s="201">
        <f>YEAR($B3604)*12+MONTH($B3604)-1</f>
        <v/>
      </c>
      <c r="H3604" s="207">
        <f>IF(OR(nr_SeasonOn="OFF",$D$3586=0,$E$3586=0),1,12*INDEX(se_block,$D$3586,$E3604)/$E$3586)</f>
        <v/>
      </c>
      <c r="I3604" s="208">
        <f>EXP(SUMPRODUCT((rl_eff&lt;$B3604)*(rl_key=$A$3586)*rl_ln1p))</f>
        <v/>
      </c>
      <c r="J3604" s="208">
        <f>EXP(SUMPRODUCT((rl_eff&lt;=$C3604)*(rl_key=$A$3586)*rl_ln1p))</f>
        <v/>
      </c>
      <c r="K3604" s="201">
        <f>COUNTIFS(rl_key,$A$3586,rl_eff,"&gt;="&amp;$B3604,rl_eff,"&lt;="&amp;$C3604)</f>
        <v/>
      </c>
      <c r="L3604" s="201">
        <f>SUMIFS(rl_daysafter,rl_key,$A$3586,rl_effmonth,$B3604,rl_first,1)</f>
        <v/>
      </c>
      <c r="M3604" s="209">
        <f>IF($K3604=0,0,MIN(1,$L3604/$D3604))</f>
        <v/>
      </c>
      <c r="N3604" s="208">
        <f>IF($K3604=0,$J3604,(1-$M3604)*$I3604+$M3604*$J3604)</f>
        <v/>
      </c>
      <c r="O3604" s="209">
        <f>IF($F3604&lt;$B$3587,$E$3587+$I$3587*($F3604-$A$3587),IF($F3604&lt;$C$3587,$F$3587+$J$3587*($F3604-$B$3587),$G$3587+$K$3587*($F3604-$C$3587)))</f>
        <v/>
      </c>
      <c r="P3604" s="208">
        <f>MIN(1,MAX(0,(nr_MEndPm1-$G3604+0.5)/$C$3586))-MIN(1,MAX(0,(nr_MStartPm1-1-$G3604+0.5)/$C$3586))</f>
        <v/>
      </c>
      <c r="Q3604" s="208">
        <f>MIN(1,MAX(0,(nr_MEndP-$G3604+0.5)/$C$3586))-MIN(1,MAX(0,(nr_MStartP-1-$G3604+0.5)/$C$3586))</f>
        <v/>
      </c>
      <c r="R3604" s="208">
        <f>MIN(1,MAX(0,(nr_MEndP1-$G3604+0.5)/$C$3586))-MIN(1,MAX(0,(nr_MStartP1-1-$G3604+0.5)/$C$3586))</f>
        <v/>
      </c>
      <c r="S3604" s="208">
        <f>IF($L$3586,$N3604*IF($O$3586=1,$O3604/$F$3586,1),"")</f>
        <v/>
      </c>
      <c r="T3604" s="208">
        <f>IF(NOT($L$3586),"",IF($G3604&lt;nr_MStartP,$S3604,$T3592*(1+IF($G3604&lt;nr_MStartP1,$M$3586,$N$3586))))</f>
        <v/>
      </c>
      <c r="U3604" s="208">
        <f>IF($L$3586,$T3604,$N3604)</f>
        <v/>
      </c>
    </row>
    <row r="3605">
      <c r="A3605" s="145" t="n">
        <v>17</v>
      </c>
      <c r="B3605" s="204">
        <f>EDATE($B3604,1)</f>
        <v/>
      </c>
      <c r="C3605" s="205">
        <f>EOMONTH($B3605,0)</f>
        <v/>
      </c>
      <c r="D3605" s="201">
        <f>$C3605-$B3605+1</f>
        <v/>
      </c>
      <c r="E3605" s="201">
        <f>MONTH($B3605)</f>
        <v/>
      </c>
      <c r="F3605" s="235">
        <f>($B3605+$C3605+1)/2</f>
        <v/>
      </c>
      <c r="G3605" s="201">
        <f>YEAR($B3605)*12+MONTH($B3605)-1</f>
        <v/>
      </c>
      <c r="H3605" s="207">
        <f>IF(OR(nr_SeasonOn="OFF",$D$3586=0,$E$3586=0),1,12*INDEX(se_block,$D$3586,$E3605)/$E$3586)</f>
        <v/>
      </c>
      <c r="I3605" s="208">
        <f>EXP(SUMPRODUCT((rl_eff&lt;$B3605)*(rl_key=$A$3586)*rl_ln1p))</f>
        <v/>
      </c>
      <c r="J3605" s="208">
        <f>EXP(SUMPRODUCT((rl_eff&lt;=$C3605)*(rl_key=$A$3586)*rl_ln1p))</f>
        <v/>
      </c>
      <c r="K3605" s="201">
        <f>COUNTIFS(rl_key,$A$3586,rl_eff,"&gt;="&amp;$B3605,rl_eff,"&lt;="&amp;$C3605)</f>
        <v/>
      </c>
      <c r="L3605" s="201">
        <f>SUMIFS(rl_daysafter,rl_key,$A$3586,rl_effmonth,$B3605,rl_first,1)</f>
        <v/>
      </c>
      <c r="M3605" s="209">
        <f>IF($K3605=0,0,MIN(1,$L3605/$D3605))</f>
        <v/>
      </c>
      <c r="N3605" s="208">
        <f>IF($K3605=0,$J3605,(1-$M3605)*$I3605+$M3605*$J3605)</f>
        <v/>
      </c>
      <c r="O3605" s="209">
        <f>IF($F3605&lt;$B$3587,$E$3587+$I$3587*($F3605-$A$3587),IF($F3605&lt;$C$3587,$F$3587+$J$3587*($F3605-$B$3587),$G$3587+$K$3587*($F3605-$C$3587)))</f>
        <v/>
      </c>
      <c r="P3605" s="208">
        <f>MIN(1,MAX(0,(nr_MEndPm1-$G3605+0.5)/$C$3586))-MIN(1,MAX(0,(nr_MStartPm1-1-$G3605+0.5)/$C$3586))</f>
        <v/>
      </c>
      <c r="Q3605" s="208">
        <f>MIN(1,MAX(0,(nr_MEndP-$G3605+0.5)/$C$3586))-MIN(1,MAX(0,(nr_MStartP-1-$G3605+0.5)/$C$3586))</f>
        <v/>
      </c>
      <c r="R3605" s="208">
        <f>MIN(1,MAX(0,(nr_MEndP1-$G3605+0.5)/$C$3586))-MIN(1,MAX(0,(nr_MStartP1-1-$G3605+0.5)/$C$3586))</f>
        <v/>
      </c>
      <c r="S3605" s="208">
        <f>IF($L$3586,$N3605*IF($O$3586=1,$O3605/$F$3586,1),"")</f>
        <v/>
      </c>
      <c r="T3605" s="208">
        <f>IF(NOT($L$3586),"",IF($G3605&lt;nr_MStartP,$S3605,$T3593*(1+IF($G3605&lt;nr_MStartP1,$M$3586,$N$3586))))</f>
        <v/>
      </c>
      <c r="U3605" s="208">
        <f>IF($L$3586,$T3605,$N3605)</f>
        <v/>
      </c>
    </row>
    <row r="3606">
      <c r="A3606" s="145" t="n">
        <v>18</v>
      </c>
      <c r="B3606" s="204">
        <f>EDATE($B3605,1)</f>
        <v/>
      </c>
      <c r="C3606" s="205">
        <f>EOMONTH($B3606,0)</f>
        <v/>
      </c>
      <c r="D3606" s="201">
        <f>$C3606-$B3606+1</f>
        <v/>
      </c>
      <c r="E3606" s="201">
        <f>MONTH($B3606)</f>
        <v/>
      </c>
      <c r="F3606" s="235">
        <f>($B3606+$C3606+1)/2</f>
        <v/>
      </c>
      <c r="G3606" s="201">
        <f>YEAR($B3606)*12+MONTH($B3606)-1</f>
        <v/>
      </c>
      <c r="H3606" s="207">
        <f>IF(OR(nr_SeasonOn="OFF",$D$3586=0,$E$3586=0),1,12*INDEX(se_block,$D$3586,$E3606)/$E$3586)</f>
        <v/>
      </c>
      <c r="I3606" s="208">
        <f>EXP(SUMPRODUCT((rl_eff&lt;$B3606)*(rl_key=$A$3586)*rl_ln1p))</f>
        <v/>
      </c>
      <c r="J3606" s="208">
        <f>EXP(SUMPRODUCT((rl_eff&lt;=$C3606)*(rl_key=$A$3586)*rl_ln1p))</f>
        <v/>
      </c>
      <c r="K3606" s="201">
        <f>COUNTIFS(rl_key,$A$3586,rl_eff,"&gt;="&amp;$B3606,rl_eff,"&lt;="&amp;$C3606)</f>
        <v/>
      </c>
      <c r="L3606" s="201">
        <f>SUMIFS(rl_daysafter,rl_key,$A$3586,rl_effmonth,$B3606,rl_first,1)</f>
        <v/>
      </c>
      <c r="M3606" s="209">
        <f>IF($K3606=0,0,MIN(1,$L3606/$D3606))</f>
        <v/>
      </c>
      <c r="N3606" s="208">
        <f>IF($K3606=0,$J3606,(1-$M3606)*$I3606+$M3606*$J3606)</f>
        <v/>
      </c>
      <c r="O3606" s="209">
        <f>IF($F3606&lt;$B$3587,$E$3587+$I$3587*($F3606-$A$3587),IF($F3606&lt;$C$3587,$F$3587+$J$3587*($F3606-$B$3587),$G$3587+$K$3587*($F3606-$C$3587)))</f>
        <v/>
      </c>
      <c r="P3606" s="208">
        <f>MIN(1,MAX(0,(nr_MEndPm1-$G3606+0.5)/$C$3586))-MIN(1,MAX(0,(nr_MStartPm1-1-$G3606+0.5)/$C$3586))</f>
        <v/>
      </c>
      <c r="Q3606" s="208">
        <f>MIN(1,MAX(0,(nr_MEndP-$G3606+0.5)/$C$3586))-MIN(1,MAX(0,(nr_MStartP-1-$G3606+0.5)/$C$3586))</f>
        <v/>
      </c>
      <c r="R3606" s="208">
        <f>MIN(1,MAX(0,(nr_MEndP1-$G3606+0.5)/$C$3586))-MIN(1,MAX(0,(nr_MStartP1-1-$G3606+0.5)/$C$3586))</f>
        <v/>
      </c>
      <c r="S3606" s="208">
        <f>IF($L$3586,$N3606*IF($O$3586=1,$O3606/$F$3586,1),"")</f>
        <v/>
      </c>
      <c r="T3606" s="208">
        <f>IF(NOT($L$3586),"",IF($G3606&lt;nr_MStartP,$S3606,$T3594*(1+IF($G3606&lt;nr_MStartP1,$M$3586,$N$3586))))</f>
        <v/>
      </c>
      <c r="U3606" s="208">
        <f>IF($L$3586,$T3606,$N3606)</f>
        <v/>
      </c>
    </row>
    <row r="3607">
      <c r="A3607" s="145" t="n">
        <v>19</v>
      </c>
      <c r="B3607" s="204">
        <f>EDATE($B3606,1)</f>
        <v/>
      </c>
      <c r="C3607" s="205">
        <f>EOMONTH($B3607,0)</f>
        <v/>
      </c>
      <c r="D3607" s="201">
        <f>$C3607-$B3607+1</f>
        <v/>
      </c>
      <c r="E3607" s="201">
        <f>MONTH($B3607)</f>
        <v/>
      </c>
      <c r="F3607" s="235">
        <f>($B3607+$C3607+1)/2</f>
        <v/>
      </c>
      <c r="G3607" s="201">
        <f>YEAR($B3607)*12+MONTH($B3607)-1</f>
        <v/>
      </c>
      <c r="H3607" s="207">
        <f>IF(OR(nr_SeasonOn="OFF",$D$3586=0,$E$3586=0),1,12*INDEX(se_block,$D$3586,$E3607)/$E$3586)</f>
        <v/>
      </c>
      <c r="I3607" s="208">
        <f>EXP(SUMPRODUCT((rl_eff&lt;$B3607)*(rl_key=$A$3586)*rl_ln1p))</f>
        <v/>
      </c>
      <c r="J3607" s="208">
        <f>EXP(SUMPRODUCT((rl_eff&lt;=$C3607)*(rl_key=$A$3586)*rl_ln1p))</f>
        <v/>
      </c>
      <c r="K3607" s="201">
        <f>COUNTIFS(rl_key,$A$3586,rl_eff,"&gt;="&amp;$B3607,rl_eff,"&lt;="&amp;$C3607)</f>
        <v/>
      </c>
      <c r="L3607" s="201">
        <f>SUMIFS(rl_daysafter,rl_key,$A$3586,rl_effmonth,$B3607,rl_first,1)</f>
        <v/>
      </c>
      <c r="M3607" s="209">
        <f>IF($K3607=0,0,MIN(1,$L3607/$D3607))</f>
        <v/>
      </c>
      <c r="N3607" s="208">
        <f>IF($K3607=0,$J3607,(1-$M3607)*$I3607+$M3607*$J3607)</f>
        <v/>
      </c>
      <c r="O3607" s="209">
        <f>IF($F3607&lt;$B$3587,$E$3587+$I$3587*($F3607-$A$3587),IF($F3607&lt;$C$3587,$F$3587+$J$3587*($F3607-$B$3587),$G$3587+$K$3587*($F3607-$C$3587)))</f>
        <v/>
      </c>
      <c r="P3607" s="208">
        <f>MIN(1,MAX(0,(nr_MEndPm1-$G3607+0.5)/$C$3586))-MIN(1,MAX(0,(nr_MStartPm1-1-$G3607+0.5)/$C$3586))</f>
        <v/>
      </c>
      <c r="Q3607" s="208">
        <f>MIN(1,MAX(0,(nr_MEndP-$G3607+0.5)/$C$3586))-MIN(1,MAX(0,(nr_MStartP-1-$G3607+0.5)/$C$3586))</f>
        <v/>
      </c>
      <c r="R3607" s="208">
        <f>MIN(1,MAX(0,(nr_MEndP1-$G3607+0.5)/$C$3586))-MIN(1,MAX(0,(nr_MStartP1-1-$G3607+0.5)/$C$3586))</f>
        <v/>
      </c>
      <c r="S3607" s="208">
        <f>IF($L$3586,$N3607*IF($O$3586=1,$O3607/$F$3586,1),"")</f>
        <v/>
      </c>
      <c r="T3607" s="208">
        <f>IF(NOT($L$3586),"",IF($G3607&lt;nr_MStartP,$S3607,$T3595*(1+IF($G3607&lt;nr_MStartP1,$M$3586,$N$3586))))</f>
        <v/>
      </c>
      <c r="U3607" s="208">
        <f>IF($L$3586,$T3607,$N3607)</f>
        <v/>
      </c>
    </row>
    <row r="3608">
      <c r="A3608" s="145" t="n">
        <v>20</v>
      </c>
      <c r="B3608" s="204">
        <f>EDATE($B3607,1)</f>
        <v/>
      </c>
      <c r="C3608" s="205">
        <f>EOMONTH($B3608,0)</f>
        <v/>
      </c>
      <c r="D3608" s="201">
        <f>$C3608-$B3608+1</f>
        <v/>
      </c>
      <c r="E3608" s="201">
        <f>MONTH($B3608)</f>
        <v/>
      </c>
      <c r="F3608" s="235">
        <f>($B3608+$C3608+1)/2</f>
        <v/>
      </c>
      <c r="G3608" s="201">
        <f>YEAR($B3608)*12+MONTH($B3608)-1</f>
        <v/>
      </c>
      <c r="H3608" s="207">
        <f>IF(OR(nr_SeasonOn="OFF",$D$3586=0,$E$3586=0),1,12*INDEX(se_block,$D$3586,$E3608)/$E$3586)</f>
        <v/>
      </c>
      <c r="I3608" s="208">
        <f>EXP(SUMPRODUCT((rl_eff&lt;$B3608)*(rl_key=$A$3586)*rl_ln1p))</f>
        <v/>
      </c>
      <c r="J3608" s="208">
        <f>EXP(SUMPRODUCT((rl_eff&lt;=$C3608)*(rl_key=$A$3586)*rl_ln1p))</f>
        <v/>
      </c>
      <c r="K3608" s="201">
        <f>COUNTIFS(rl_key,$A$3586,rl_eff,"&gt;="&amp;$B3608,rl_eff,"&lt;="&amp;$C3608)</f>
        <v/>
      </c>
      <c r="L3608" s="201">
        <f>SUMIFS(rl_daysafter,rl_key,$A$3586,rl_effmonth,$B3608,rl_first,1)</f>
        <v/>
      </c>
      <c r="M3608" s="209">
        <f>IF($K3608=0,0,MIN(1,$L3608/$D3608))</f>
        <v/>
      </c>
      <c r="N3608" s="208">
        <f>IF($K3608=0,$J3608,(1-$M3608)*$I3608+$M3608*$J3608)</f>
        <v/>
      </c>
      <c r="O3608" s="209">
        <f>IF($F3608&lt;$B$3587,$E$3587+$I$3587*($F3608-$A$3587),IF($F3608&lt;$C$3587,$F$3587+$J$3587*($F3608-$B$3587),$G$3587+$K$3587*($F3608-$C$3587)))</f>
        <v/>
      </c>
      <c r="P3608" s="208">
        <f>MIN(1,MAX(0,(nr_MEndPm1-$G3608+0.5)/$C$3586))-MIN(1,MAX(0,(nr_MStartPm1-1-$G3608+0.5)/$C$3586))</f>
        <v/>
      </c>
      <c r="Q3608" s="208">
        <f>MIN(1,MAX(0,(nr_MEndP-$G3608+0.5)/$C$3586))-MIN(1,MAX(0,(nr_MStartP-1-$G3608+0.5)/$C$3586))</f>
        <v/>
      </c>
      <c r="R3608" s="208">
        <f>MIN(1,MAX(0,(nr_MEndP1-$G3608+0.5)/$C$3586))-MIN(1,MAX(0,(nr_MStartP1-1-$G3608+0.5)/$C$3586))</f>
        <v/>
      </c>
      <c r="S3608" s="208">
        <f>IF($L$3586,$N3608*IF($O$3586=1,$O3608/$F$3586,1),"")</f>
        <v/>
      </c>
      <c r="T3608" s="208">
        <f>IF(NOT($L$3586),"",IF($G3608&lt;nr_MStartP,$S3608,$T3596*(1+IF($G3608&lt;nr_MStartP1,$M$3586,$N$3586))))</f>
        <v/>
      </c>
      <c r="U3608" s="208">
        <f>IF($L$3586,$T3608,$N3608)</f>
        <v/>
      </c>
    </row>
    <row r="3609">
      <c r="A3609" s="145" t="n">
        <v>21</v>
      </c>
      <c r="B3609" s="204">
        <f>EDATE($B3608,1)</f>
        <v/>
      </c>
      <c r="C3609" s="205">
        <f>EOMONTH($B3609,0)</f>
        <v/>
      </c>
      <c r="D3609" s="201">
        <f>$C3609-$B3609+1</f>
        <v/>
      </c>
      <c r="E3609" s="201">
        <f>MONTH($B3609)</f>
        <v/>
      </c>
      <c r="F3609" s="235">
        <f>($B3609+$C3609+1)/2</f>
        <v/>
      </c>
      <c r="G3609" s="201">
        <f>YEAR($B3609)*12+MONTH($B3609)-1</f>
        <v/>
      </c>
      <c r="H3609" s="207">
        <f>IF(OR(nr_SeasonOn="OFF",$D$3586=0,$E$3586=0),1,12*INDEX(se_block,$D$3586,$E3609)/$E$3586)</f>
        <v/>
      </c>
      <c r="I3609" s="208">
        <f>EXP(SUMPRODUCT((rl_eff&lt;$B3609)*(rl_key=$A$3586)*rl_ln1p))</f>
        <v/>
      </c>
      <c r="J3609" s="208">
        <f>EXP(SUMPRODUCT((rl_eff&lt;=$C3609)*(rl_key=$A$3586)*rl_ln1p))</f>
        <v/>
      </c>
      <c r="K3609" s="201">
        <f>COUNTIFS(rl_key,$A$3586,rl_eff,"&gt;="&amp;$B3609,rl_eff,"&lt;="&amp;$C3609)</f>
        <v/>
      </c>
      <c r="L3609" s="201">
        <f>SUMIFS(rl_daysafter,rl_key,$A$3586,rl_effmonth,$B3609,rl_first,1)</f>
        <v/>
      </c>
      <c r="M3609" s="209">
        <f>IF($K3609=0,0,MIN(1,$L3609/$D3609))</f>
        <v/>
      </c>
      <c r="N3609" s="208">
        <f>IF($K3609=0,$J3609,(1-$M3609)*$I3609+$M3609*$J3609)</f>
        <v/>
      </c>
      <c r="O3609" s="209">
        <f>IF($F3609&lt;$B$3587,$E$3587+$I$3587*($F3609-$A$3587),IF($F3609&lt;$C$3587,$F$3587+$J$3587*($F3609-$B$3587),$G$3587+$K$3587*($F3609-$C$3587)))</f>
        <v/>
      </c>
      <c r="P3609" s="208">
        <f>MIN(1,MAX(0,(nr_MEndPm1-$G3609+0.5)/$C$3586))-MIN(1,MAX(0,(nr_MStartPm1-1-$G3609+0.5)/$C$3586))</f>
        <v/>
      </c>
      <c r="Q3609" s="208">
        <f>MIN(1,MAX(0,(nr_MEndP-$G3609+0.5)/$C$3586))-MIN(1,MAX(0,(nr_MStartP-1-$G3609+0.5)/$C$3586))</f>
        <v/>
      </c>
      <c r="R3609" s="208">
        <f>MIN(1,MAX(0,(nr_MEndP1-$G3609+0.5)/$C$3586))-MIN(1,MAX(0,(nr_MStartP1-1-$G3609+0.5)/$C$3586))</f>
        <v/>
      </c>
      <c r="S3609" s="208">
        <f>IF($L$3586,$N3609*IF($O$3586=1,$O3609/$F$3586,1),"")</f>
        <v/>
      </c>
      <c r="T3609" s="208">
        <f>IF(NOT($L$3586),"",IF($G3609&lt;nr_MStartP,$S3609,$T3597*(1+IF($G3609&lt;nr_MStartP1,$M$3586,$N$3586))))</f>
        <v/>
      </c>
      <c r="U3609" s="208">
        <f>IF($L$3586,$T3609,$N3609)</f>
        <v/>
      </c>
    </row>
    <row r="3610">
      <c r="A3610" s="145" t="n">
        <v>22</v>
      </c>
      <c r="B3610" s="204">
        <f>EDATE($B3609,1)</f>
        <v/>
      </c>
      <c r="C3610" s="205">
        <f>EOMONTH($B3610,0)</f>
        <v/>
      </c>
      <c r="D3610" s="201">
        <f>$C3610-$B3610+1</f>
        <v/>
      </c>
      <c r="E3610" s="201">
        <f>MONTH($B3610)</f>
        <v/>
      </c>
      <c r="F3610" s="235">
        <f>($B3610+$C3610+1)/2</f>
        <v/>
      </c>
      <c r="G3610" s="201">
        <f>YEAR($B3610)*12+MONTH($B3610)-1</f>
        <v/>
      </c>
      <c r="H3610" s="207">
        <f>IF(OR(nr_SeasonOn="OFF",$D$3586=0,$E$3586=0),1,12*INDEX(se_block,$D$3586,$E3610)/$E$3586)</f>
        <v/>
      </c>
      <c r="I3610" s="208">
        <f>EXP(SUMPRODUCT((rl_eff&lt;$B3610)*(rl_key=$A$3586)*rl_ln1p))</f>
        <v/>
      </c>
      <c r="J3610" s="208">
        <f>EXP(SUMPRODUCT((rl_eff&lt;=$C3610)*(rl_key=$A$3586)*rl_ln1p))</f>
        <v/>
      </c>
      <c r="K3610" s="201">
        <f>COUNTIFS(rl_key,$A$3586,rl_eff,"&gt;="&amp;$B3610,rl_eff,"&lt;="&amp;$C3610)</f>
        <v/>
      </c>
      <c r="L3610" s="201">
        <f>SUMIFS(rl_daysafter,rl_key,$A$3586,rl_effmonth,$B3610,rl_first,1)</f>
        <v/>
      </c>
      <c r="M3610" s="209">
        <f>IF($K3610=0,0,MIN(1,$L3610/$D3610))</f>
        <v/>
      </c>
      <c r="N3610" s="208">
        <f>IF($K3610=0,$J3610,(1-$M3610)*$I3610+$M3610*$J3610)</f>
        <v/>
      </c>
      <c r="O3610" s="209">
        <f>IF($F3610&lt;$B$3587,$E$3587+$I$3587*($F3610-$A$3587),IF($F3610&lt;$C$3587,$F$3587+$J$3587*($F3610-$B$3587),$G$3587+$K$3587*($F3610-$C$3587)))</f>
        <v/>
      </c>
      <c r="P3610" s="208">
        <f>MIN(1,MAX(0,(nr_MEndPm1-$G3610+0.5)/$C$3586))-MIN(1,MAX(0,(nr_MStartPm1-1-$G3610+0.5)/$C$3586))</f>
        <v/>
      </c>
      <c r="Q3610" s="208">
        <f>MIN(1,MAX(0,(nr_MEndP-$G3610+0.5)/$C$3586))-MIN(1,MAX(0,(nr_MStartP-1-$G3610+0.5)/$C$3586))</f>
        <v/>
      </c>
      <c r="R3610" s="208">
        <f>MIN(1,MAX(0,(nr_MEndP1-$G3610+0.5)/$C$3586))-MIN(1,MAX(0,(nr_MStartP1-1-$G3610+0.5)/$C$3586))</f>
        <v/>
      </c>
      <c r="S3610" s="208">
        <f>IF($L$3586,$N3610*IF($O$3586=1,$O3610/$F$3586,1),"")</f>
        <v/>
      </c>
      <c r="T3610" s="208">
        <f>IF(NOT($L$3586),"",IF($G3610&lt;nr_MStartP,$S3610,$T3598*(1+IF($G3610&lt;nr_MStartP1,$M$3586,$N$3586))))</f>
        <v/>
      </c>
      <c r="U3610" s="208">
        <f>IF($L$3586,$T3610,$N3610)</f>
        <v/>
      </c>
    </row>
    <row r="3611">
      <c r="A3611" s="145" t="n">
        <v>23</v>
      </c>
      <c r="B3611" s="204">
        <f>EDATE($B3610,1)</f>
        <v/>
      </c>
      <c r="C3611" s="205">
        <f>EOMONTH($B3611,0)</f>
        <v/>
      </c>
      <c r="D3611" s="201">
        <f>$C3611-$B3611+1</f>
        <v/>
      </c>
      <c r="E3611" s="201">
        <f>MONTH($B3611)</f>
        <v/>
      </c>
      <c r="F3611" s="235">
        <f>($B3611+$C3611+1)/2</f>
        <v/>
      </c>
      <c r="G3611" s="201">
        <f>YEAR($B3611)*12+MONTH($B3611)-1</f>
        <v/>
      </c>
      <c r="H3611" s="207">
        <f>IF(OR(nr_SeasonOn="OFF",$D$3586=0,$E$3586=0),1,12*INDEX(se_block,$D$3586,$E3611)/$E$3586)</f>
        <v/>
      </c>
      <c r="I3611" s="208">
        <f>EXP(SUMPRODUCT((rl_eff&lt;$B3611)*(rl_key=$A$3586)*rl_ln1p))</f>
        <v/>
      </c>
      <c r="J3611" s="208">
        <f>EXP(SUMPRODUCT((rl_eff&lt;=$C3611)*(rl_key=$A$3586)*rl_ln1p))</f>
        <v/>
      </c>
      <c r="K3611" s="201">
        <f>COUNTIFS(rl_key,$A$3586,rl_eff,"&gt;="&amp;$B3611,rl_eff,"&lt;="&amp;$C3611)</f>
        <v/>
      </c>
      <c r="L3611" s="201">
        <f>SUMIFS(rl_daysafter,rl_key,$A$3586,rl_effmonth,$B3611,rl_first,1)</f>
        <v/>
      </c>
      <c r="M3611" s="209">
        <f>IF($K3611=0,0,MIN(1,$L3611/$D3611))</f>
        <v/>
      </c>
      <c r="N3611" s="208">
        <f>IF($K3611=0,$J3611,(1-$M3611)*$I3611+$M3611*$J3611)</f>
        <v/>
      </c>
      <c r="O3611" s="209">
        <f>IF($F3611&lt;$B$3587,$E$3587+$I$3587*($F3611-$A$3587),IF($F3611&lt;$C$3587,$F$3587+$J$3587*($F3611-$B$3587),$G$3587+$K$3587*($F3611-$C$3587)))</f>
        <v/>
      </c>
      <c r="P3611" s="208">
        <f>MIN(1,MAX(0,(nr_MEndPm1-$G3611+0.5)/$C$3586))-MIN(1,MAX(0,(nr_MStartPm1-1-$G3611+0.5)/$C$3586))</f>
        <v/>
      </c>
      <c r="Q3611" s="208">
        <f>MIN(1,MAX(0,(nr_MEndP-$G3611+0.5)/$C$3586))-MIN(1,MAX(0,(nr_MStartP-1-$G3611+0.5)/$C$3586))</f>
        <v/>
      </c>
      <c r="R3611" s="208">
        <f>MIN(1,MAX(0,(nr_MEndP1-$G3611+0.5)/$C$3586))-MIN(1,MAX(0,(nr_MStartP1-1-$G3611+0.5)/$C$3586))</f>
        <v/>
      </c>
      <c r="S3611" s="208">
        <f>IF($L$3586,$N3611*IF($O$3586=1,$O3611/$F$3586,1),"")</f>
        <v/>
      </c>
      <c r="T3611" s="208">
        <f>IF(NOT($L$3586),"",IF($G3611&lt;nr_MStartP,$S3611,$T3599*(1+IF($G3611&lt;nr_MStartP1,$M$3586,$N$3586))))</f>
        <v/>
      </c>
      <c r="U3611" s="208">
        <f>IF($L$3586,$T3611,$N3611)</f>
        <v/>
      </c>
    </row>
    <row r="3612">
      <c r="A3612" s="145" t="n">
        <v>24</v>
      </c>
      <c r="B3612" s="204">
        <f>EDATE($B3611,1)</f>
        <v/>
      </c>
      <c r="C3612" s="205">
        <f>EOMONTH($B3612,0)</f>
        <v/>
      </c>
      <c r="D3612" s="201">
        <f>$C3612-$B3612+1</f>
        <v/>
      </c>
      <c r="E3612" s="201">
        <f>MONTH($B3612)</f>
        <v/>
      </c>
      <c r="F3612" s="235">
        <f>($B3612+$C3612+1)/2</f>
        <v/>
      </c>
      <c r="G3612" s="201">
        <f>YEAR($B3612)*12+MONTH($B3612)-1</f>
        <v/>
      </c>
      <c r="H3612" s="207">
        <f>IF(OR(nr_SeasonOn="OFF",$D$3586=0,$E$3586=0),1,12*INDEX(se_block,$D$3586,$E3612)/$E$3586)</f>
        <v/>
      </c>
      <c r="I3612" s="208">
        <f>EXP(SUMPRODUCT((rl_eff&lt;$B3612)*(rl_key=$A$3586)*rl_ln1p))</f>
        <v/>
      </c>
      <c r="J3612" s="208">
        <f>EXP(SUMPRODUCT((rl_eff&lt;=$C3612)*(rl_key=$A$3586)*rl_ln1p))</f>
        <v/>
      </c>
      <c r="K3612" s="201">
        <f>COUNTIFS(rl_key,$A$3586,rl_eff,"&gt;="&amp;$B3612,rl_eff,"&lt;="&amp;$C3612)</f>
        <v/>
      </c>
      <c r="L3612" s="201">
        <f>SUMIFS(rl_daysafter,rl_key,$A$3586,rl_effmonth,$B3612,rl_first,1)</f>
        <v/>
      </c>
      <c r="M3612" s="209">
        <f>IF($K3612=0,0,MIN(1,$L3612/$D3612))</f>
        <v/>
      </c>
      <c r="N3612" s="208">
        <f>IF($K3612=0,$J3612,(1-$M3612)*$I3612+$M3612*$J3612)</f>
        <v/>
      </c>
      <c r="O3612" s="209">
        <f>IF($F3612&lt;$B$3587,$E$3587+$I$3587*($F3612-$A$3587),IF($F3612&lt;$C$3587,$F$3587+$J$3587*($F3612-$B$3587),$G$3587+$K$3587*($F3612-$C$3587)))</f>
        <v/>
      </c>
      <c r="P3612" s="208">
        <f>MIN(1,MAX(0,(nr_MEndPm1-$G3612+0.5)/$C$3586))-MIN(1,MAX(0,(nr_MStartPm1-1-$G3612+0.5)/$C$3586))</f>
        <v/>
      </c>
      <c r="Q3612" s="208">
        <f>MIN(1,MAX(0,(nr_MEndP-$G3612+0.5)/$C$3586))-MIN(1,MAX(0,(nr_MStartP-1-$G3612+0.5)/$C$3586))</f>
        <v/>
      </c>
      <c r="R3612" s="208">
        <f>MIN(1,MAX(0,(nr_MEndP1-$G3612+0.5)/$C$3586))-MIN(1,MAX(0,(nr_MStartP1-1-$G3612+0.5)/$C$3586))</f>
        <v/>
      </c>
      <c r="S3612" s="208">
        <f>IF($L$3586,$N3612*IF($O$3586=1,$O3612/$F$3586,1),"")</f>
        <v/>
      </c>
      <c r="T3612" s="208">
        <f>IF(NOT($L$3586),"",IF($G3612&lt;nr_MStartP,$S3612,$T3600*(1+IF($G3612&lt;nr_MStartP1,$M$3586,$N$3586))))</f>
        <v/>
      </c>
      <c r="U3612" s="208">
        <f>IF($L$3586,$T3612,$N3612)</f>
        <v/>
      </c>
    </row>
    <row r="3613">
      <c r="A3613" s="145" t="n">
        <v>25</v>
      </c>
      <c r="B3613" s="204">
        <f>EDATE($B3612,1)</f>
        <v/>
      </c>
      <c r="C3613" s="205">
        <f>EOMONTH($B3613,0)</f>
        <v/>
      </c>
      <c r="D3613" s="201">
        <f>$C3613-$B3613+1</f>
        <v/>
      </c>
      <c r="E3613" s="201">
        <f>MONTH($B3613)</f>
        <v/>
      </c>
      <c r="F3613" s="235">
        <f>($B3613+$C3613+1)/2</f>
        <v/>
      </c>
      <c r="G3613" s="201">
        <f>YEAR($B3613)*12+MONTH($B3613)-1</f>
        <v/>
      </c>
      <c r="H3613" s="207">
        <f>IF(OR(nr_SeasonOn="OFF",$D$3586=0,$E$3586=0),1,12*INDEX(se_block,$D$3586,$E3613)/$E$3586)</f>
        <v/>
      </c>
      <c r="I3613" s="208">
        <f>EXP(SUMPRODUCT((rl_eff&lt;$B3613)*(rl_key=$A$3586)*rl_ln1p))</f>
        <v/>
      </c>
      <c r="J3613" s="208">
        <f>EXP(SUMPRODUCT((rl_eff&lt;=$C3613)*(rl_key=$A$3586)*rl_ln1p))</f>
        <v/>
      </c>
      <c r="K3613" s="201">
        <f>COUNTIFS(rl_key,$A$3586,rl_eff,"&gt;="&amp;$B3613,rl_eff,"&lt;="&amp;$C3613)</f>
        <v/>
      </c>
      <c r="L3613" s="201">
        <f>SUMIFS(rl_daysafter,rl_key,$A$3586,rl_effmonth,$B3613,rl_first,1)</f>
        <v/>
      </c>
      <c r="M3613" s="209">
        <f>IF($K3613=0,0,MIN(1,$L3613/$D3613))</f>
        <v/>
      </c>
      <c r="N3613" s="208">
        <f>IF($K3613=0,$J3613,(1-$M3613)*$I3613+$M3613*$J3613)</f>
        <v/>
      </c>
      <c r="O3613" s="209">
        <f>IF($F3613&lt;$B$3587,$E$3587+$I$3587*($F3613-$A$3587),IF($F3613&lt;$C$3587,$F$3587+$J$3587*($F3613-$B$3587),$G$3587+$K$3587*($F3613-$C$3587)))</f>
        <v/>
      </c>
      <c r="P3613" s="208">
        <f>MIN(1,MAX(0,(nr_MEndPm1-$G3613+0.5)/$C$3586))-MIN(1,MAX(0,(nr_MStartPm1-1-$G3613+0.5)/$C$3586))</f>
        <v/>
      </c>
      <c r="Q3613" s="208">
        <f>MIN(1,MAX(0,(nr_MEndP-$G3613+0.5)/$C$3586))-MIN(1,MAX(0,(nr_MStartP-1-$G3613+0.5)/$C$3586))</f>
        <v/>
      </c>
      <c r="R3613" s="208">
        <f>MIN(1,MAX(0,(nr_MEndP1-$G3613+0.5)/$C$3586))-MIN(1,MAX(0,(nr_MStartP1-1-$G3613+0.5)/$C$3586))</f>
        <v/>
      </c>
      <c r="S3613" s="208">
        <f>IF($L$3586,$N3613*IF($O$3586=1,$O3613/$F$3586,1),"")</f>
        <v/>
      </c>
      <c r="T3613" s="208">
        <f>IF(NOT($L$3586),"",IF($G3613&lt;nr_MStartP,$S3613,$T3601*(1+IF($G3613&lt;nr_MStartP1,$M$3586,$N$3586))))</f>
        <v/>
      </c>
      <c r="U3613" s="208">
        <f>IF($L$3586,$T3613,$N3613)</f>
        <v/>
      </c>
    </row>
    <row r="3614">
      <c r="A3614" s="145" t="n">
        <v>26</v>
      </c>
      <c r="B3614" s="204">
        <f>EDATE($B3613,1)</f>
        <v/>
      </c>
      <c r="C3614" s="205">
        <f>EOMONTH($B3614,0)</f>
        <v/>
      </c>
      <c r="D3614" s="201">
        <f>$C3614-$B3614+1</f>
        <v/>
      </c>
      <c r="E3614" s="201">
        <f>MONTH($B3614)</f>
        <v/>
      </c>
      <c r="F3614" s="235">
        <f>($B3614+$C3614+1)/2</f>
        <v/>
      </c>
      <c r="G3614" s="201">
        <f>YEAR($B3614)*12+MONTH($B3614)-1</f>
        <v/>
      </c>
      <c r="H3614" s="207">
        <f>IF(OR(nr_SeasonOn="OFF",$D$3586=0,$E$3586=0),1,12*INDEX(se_block,$D$3586,$E3614)/$E$3586)</f>
        <v/>
      </c>
      <c r="I3614" s="208">
        <f>EXP(SUMPRODUCT((rl_eff&lt;$B3614)*(rl_key=$A$3586)*rl_ln1p))</f>
        <v/>
      </c>
      <c r="J3614" s="208">
        <f>EXP(SUMPRODUCT((rl_eff&lt;=$C3614)*(rl_key=$A$3586)*rl_ln1p))</f>
        <v/>
      </c>
      <c r="K3614" s="201">
        <f>COUNTIFS(rl_key,$A$3586,rl_eff,"&gt;="&amp;$B3614,rl_eff,"&lt;="&amp;$C3614)</f>
        <v/>
      </c>
      <c r="L3614" s="201">
        <f>SUMIFS(rl_daysafter,rl_key,$A$3586,rl_effmonth,$B3614,rl_first,1)</f>
        <v/>
      </c>
      <c r="M3614" s="209">
        <f>IF($K3614=0,0,MIN(1,$L3614/$D3614))</f>
        <v/>
      </c>
      <c r="N3614" s="208">
        <f>IF($K3614=0,$J3614,(1-$M3614)*$I3614+$M3614*$J3614)</f>
        <v/>
      </c>
      <c r="O3614" s="209">
        <f>IF($F3614&lt;$B$3587,$E$3587+$I$3587*($F3614-$A$3587),IF($F3614&lt;$C$3587,$F$3587+$J$3587*($F3614-$B$3587),$G$3587+$K$3587*($F3614-$C$3587)))</f>
        <v/>
      </c>
      <c r="P3614" s="208">
        <f>MIN(1,MAX(0,(nr_MEndPm1-$G3614+0.5)/$C$3586))-MIN(1,MAX(0,(nr_MStartPm1-1-$G3614+0.5)/$C$3586))</f>
        <v/>
      </c>
      <c r="Q3614" s="208">
        <f>MIN(1,MAX(0,(nr_MEndP-$G3614+0.5)/$C$3586))-MIN(1,MAX(0,(nr_MStartP-1-$G3614+0.5)/$C$3586))</f>
        <v/>
      </c>
      <c r="R3614" s="208">
        <f>MIN(1,MAX(0,(nr_MEndP1-$G3614+0.5)/$C$3586))-MIN(1,MAX(0,(nr_MStartP1-1-$G3614+0.5)/$C$3586))</f>
        <v/>
      </c>
      <c r="S3614" s="208">
        <f>IF($L$3586,$N3614*IF($O$3586=1,$O3614/$F$3586,1),"")</f>
        <v/>
      </c>
      <c r="T3614" s="208">
        <f>IF(NOT($L$3586),"",IF($G3614&lt;nr_MStartP,$S3614,$T3602*(1+IF($G3614&lt;nr_MStartP1,$M$3586,$N$3586))))</f>
        <v/>
      </c>
      <c r="U3614" s="208">
        <f>IF($L$3586,$T3614,$N3614)</f>
        <v/>
      </c>
    </row>
    <row r="3615">
      <c r="A3615" s="145" t="n">
        <v>27</v>
      </c>
      <c r="B3615" s="204">
        <f>EDATE($B3614,1)</f>
        <v/>
      </c>
      <c r="C3615" s="205">
        <f>EOMONTH($B3615,0)</f>
        <v/>
      </c>
      <c r="D3615" s="201">
        <f>$C3615-$B3615+1</f>
        <v/>
      </c>
      <c r="E3615" s="201">
        <f>MONTH($B3615)</f>
        <v/>
      </c>
      <c r="F3615" s="235">
        <f>($B3615+$C3615+1)/2</f>
        <v/>
      </c>
      <c r="G3615" s="201">
        <f>YEAR($B3615)*12+MONTH($B3615)-1</f>
        <v/>
      </c>
      <c r="H3615" s="207">
        <f>IF(OR(nr_SeasonOn="OFF",$D$3586=0,$E$3586=0),1,12*INDEX(se_block,$D$3586,$E3615)/$E$3586)</f>
        <v/>
      </c>
      <c r="I3615" s="208">
        <f>EXP(SUMPRODUCT((rl_eff&lt;$B3615)*(rl_key=$A$3586)*rl_ln1p))</f>
        <v/>
      </c>
      <c r="J3615" s="208">
        <f>EXP(SUMPRODUCT((rl_eff&lt;=$C3615)*(rl_key=$A$3586)*rl_ln1p))</f>
        <v/>
      </c>
      <c r="K3615" s="201">
        <f>COUNTIFS(rl_key,$A$3586,rl_eff,"&gt;="&amp;$B3615,rl_eff,"&lt;="&amp;$C3615)</f>
        <v/>
      </c>
      <c r="L3615" s="201">
        <f>SUMIFS(rl_daysafter,rl_key,$A$3586,rl_effmonth,$B3615,rl_first,1)</f>
        <v/>
      </c>
      <c r="M3615" s="209">
        <f>IF($K3615=0,0,MIN(1,$L3615/$D3615))</f>
        <v/>
      </c>
      <c r="N3615" s="208">
        <f>IF($K3615=0,$J3615,(1-$M3615)*$I3615+$M3615*$J3615)</f>
        <v/>
      </c>
      <c r="O3615" s="209">
        <f>IF($F3615&lt;$B$3587,$E$3587+$I$3587*($F3615-$A$3587),IF($F3615&lt;$C$3587,$F$3587+$J$3587*($F3615-$B$3587),$G$3587+$K$3587*($F3615-$C$3587)))</f>
        <v/>
      </c>
      <c r="P3615" s="208">
        <f>MIN(1,MAX(0,(nr_MEndPm1-$G3615+0.5)/$C$3586))-MIN(1,MAX(0,(nr_MStartPm1-1-$G3615+0.5)/$C$3586))</f>
        <v/>
      </c>
      <c r="Q3615" s="208">
        <f>MIN(1,MAX(0,(nr_MEndP-$G3615+0.5)/$C$3586))-MIN(1,MAX(0,(nr_MStartP-1-$G3615+0.5)/$C$3586))</f>
        <v/>
      </c>
      <c r="R3615" s="208">
        <f>MIN(1,MAX(0,(nr_MEndP1-$G3615+0.5)/$C$3586))-MIN(1,MAX(0,(nr_MStartP1-1-$G3615+0.5)/$C$3586))</f>
        <v/>
      </c>
      <c r="S3615" s="208">
        <f>IF($L$3586,$N3615*IF($O$3586=1,$O3615/$F$3586,1),"")</f>
        <v/>
      </c>
      <c r="T3615" s="208">
        <f>IF(NOT($L$3586),"",IF($G3615&lt;nr_MStartP,$S3615,$T3603*(1+IF($G3615&lt;nr_MStartP1,$M$3586,$N$3586))))</f>
        <v/>
      </c>
      <c r="U3615" s="208">
        <f>IF($L$3586,$T3615,$N3615)</f>
        <v/>
      </c>
    </row>
    <row r="3616">
      <c r="A3616" s="145" t="n">
        <v>28</v>
      </c>
      <c r="B3616" s="204">
        <f>EDATE($B3615,1)</f>
        <v/>
      </c>
      <c r="C3616" s="205">
        <f>EOMONTH($B3616,0)</f>
        <v/>
      </c>
      <c r="D3616" s="201">
        <f>$C3616-$B3616+1</f>
        <v/>
      </c>
      <c r="E3616" s="201">
        <f>MONTH($B3616)</f>
        <v/>
      </c>
      <c r="F3616" s="235">
        <f>($B3616+$C3616+1)/2</f>
        <v/>
      </c>
      <c r="G3616" s="201">
        <f>YEAR($B3616)*12+MONTH($B3616)-1</f>
        <v/>
      </c>
      <c r="H3616" s="207">
        <f>IF(OR(nr_SeasonOn="OFF",$D$3586=0,$E$3586=0),1,12*INDEX(se_block,$D$3586,$E3616)/$E$3586)</f>
        <v/>
      </c>
      <c r="I3616" s="208">
        <f>EXP(SUMPRODUCT((rl_eff&lt;$B3616)*(rl_key=$A$3586)*rl_ln1p))</f>
        <v/>
      </c>
      <c r="J3616" s="208">
        <f>EXP(SUMPRODUCT((rl_eff&lt;=$C3616)*(rl_key=$A$3586)*rl_ln1p))</f>
        <v/>
      </c>
      <c r="K3616" s="201">
        <f>COUNTIFS(rl_key,$A$3586,rl_eff,"&gt;="&amp;$B3616,rl_eff,"&lt;="&amp;$C3616)</f>
        <v/>
      </c>
      <c r="L3616" s="201">
        <f>SUMIFS(rl_daysafter,rl_key,$A$3586,rl_effmonth,$B3616,rl_first,1)</f>
        <v/>
      </c>
      <c r="M3616" s="209">
        <f>IF($K3616=0,0,MIN(1,$L3616/$D3616))</f>
        <v/>
      </c>
      <c r="N3616" s="208">
        <f>IF($K3616=0,$J3616,(1-$M3616)*$I3616+$M3616*$J3616)</f>
        <v/>
      </c>
      <c r="O3616" s="209">
        <f>IF($F3616&lt;$B$3587,$E$3587+$I$3587*($F3616-$A$3587),IF($F3616&lt;$C$3587,$F$3587+$J$3587*($F3616-$B$3587),$G$3587+$K$3587*($F3616-$C$3587)))</f>
        <v/>
      </c>
      <c r="P3616" s="208">
        <f>MIN(1,MAX(0,(nr_MEndPm1-$G3616+0.5)/$C$3586))-MIN(1,MAX(0,(nr_MStartPm1-1-$G3616+0.5)/$C$3586))</f>
        <v/>
      </c>
      <c r="Q3616" s="208">
        <f>MIN(1,MAX(0,(nr_MEndP-$G3616+0.5)/$C$3586))-MIN(1,MAX(0,(nr_MStartP-1-$G3616+0.5)/$C$3586))</f>
        <v/>
      </c>
      <c r="R3616" s="208">
        <f>MIN(1,MAX(0,(nr_MEndP1-$G3616+0.5)/$C$3586))-MIN(1,MAX(0,(nr_MStartP1-1-$G3616+0.5)/$C$3586))</f>
        <v/>
      </c>
      <c r="S3616" s="208">
        <f>IF($L$3586,$N3616*IF($O$3586=1,$O3616/$F$3586,1),"")</f>
        <v/>
      </c>
      <c r="T3616" s="208">
        <f>IF(NOT($L$3586),"",IF($G3616&lt;nr_MStartP,$S3616,$T3604*(1+IF($G3616&lt;nr_MStartP1,$M$3586,$N$3586))))</f>
        <v/>
      </c>
      <c r="U3616" s="208">
        <f>IF($L$3586,$T3616,$N3616)</f>
        <v/>
      </c>
    </row>
    <row r="3617">
      <c r="A3617" s="145" t="n">
        <v>29</v>
      </c>
      <c r="B3617" s="204">
        <f>EDATE($B3616,1)</f>
        <v/>
      </c>
      <c r="C3617" s="205">
        <f>EOMONTH($B3617,0)</f>
        <v/>
      </c>
      <c r="D3617" s="201">
        <f>$C3617-$B3617+1</f>
        <v/>
      </c>
      <c r="E3617" s="201">
        <f>MONTH($B3617)</f>
        <v/>
      </c>
      <c r="F3617" s="235">
        <f>($B3617+$C3617+1)/2</f>
        <v/>
      </c>
      <c r="G3617" s="201">
        <f>YEAR($B3617)*12+MONTH($B3617)-1</f>
        <v/>
      </c>
      <c r="H3617" s="207">
        <f>IF(OR(nr_SeasonOn="OFF",$D$3586=0,$E$3586=0),1,12*INDEX(se_block,$D$3586,$E3617)/$E$3586)</f>
        <v/>
      </c>
      <c r="I3617" s="208">
        <f>EXP(SUMPRODUCT((rl_eff&lt;$B3617)*(rl_key=$A$3586)*rl_ln1p))</f>
        <v/>
      </c>
      <c r="J3617" s="208">
        <f>EXP(SUMPRODUCT((rl_eff&lt;=$C3617)*(rl_key=$A$3586)*rl_ln1p))</f>
        <v/>
      </c>
      <c r="K3617" s="201">
        <f>COUNTIFS(rl_key,$A$3586,rl_eff,"&gt;="&amp;$B3617,rl_eff,"&lt;="&amp;$C3617)</f>
        <v/>
      </c>
      <c r="L3617" s="201">
        <f>SUMIFS(rl_daysafter,rl_key,$A$3586,rl_effmonth,$B3617,rl_first,1)</f>
        <v/>
      </c>
      <c r="M3617" s="209">
        <f>IF($K3617=0,0,MIN(1,$L3617/$D3617))</f>
        <v/>
      </c>
      <c r="N3617" s="208">
        <f>IF($K3617=0,$J3617,(1-$M3617)*$I3617+$M3617*$J3617)</f>
        <v/>
      </c>
      <c r="O3617" s="209">
        <f>IF($F3617&lt;$B$3587,$E$3587+$I$3587*($F3617-$A$3587),IF($F3617&lt;$C$3587,$F$3587+$J$3587*($F3617-$B$3587),$G$3587+$K$3587*($F3617-$C$3587)))</f>
        <v/>
      </c>
      <c r="P3617" s="208">
        <f>MIN(1,MAX(0,(nr_MEndPm1-$G3617+0.5)/$C$3586))-MIN(1,MAX(0,(nr_MStartPm1-1-$G3617+0.5)/$C$3586))</f>
        <v/>
      </c>
      <c r="Q3617" s="208">
        <f>MIN(1,MAX(0,(nr_MEndP-$G3617+0.5)/$C$3586))-MIN(1,MAX(0,(nr_MStartP-1-$G3617+0.5)/$C$3586))</f>
        <v/>
      </c>
      <c r="R3617" s="208">
        <f>MIN(1,MAX(0,(nr_MEndP1-$G3617+0.5)/$C$3586))-MIN(1,MAX(0,(nr_MStartP1-1-$G3617+0.5)/$C$3586))</f>
        <v/>
      </c>
      <c r="S3617" s="208">
        <f>IF($L$3586,$N3617*IF($O$3586=1,$O3617/$F$3586,1),"")</f>
        <v/>
      </c>
      <c r="T3617" s="208">
        <f>IF(NOT($L$3586),"",IF($G3617&lt;nr_MStartP,$S3617,$T3605*(1+IF($G3617&lt;nr_MStartP1,$M$3586,$N$3586))))</f>
        <v/>
      </c>
      <c r="U3617" s="208">
        <f>IF($L$3586,$T3617,$N3617)</f>
        <v/>
      </c>
    </row>
    <row r="3618">
      <c r="A3618" s="145" t="n">
        <v>30</v>
      </c>
      <c r="B3618" s="204">
        <f>EDATE($B3617,1)</f>
        <v/>
      </c>
      <c r="C3618" s="205">
        <f>EOMONTH($B3618,0)</f>
        <v/>
      </c>
      <c r="D3618" s="201">
        <f>$C3618-$B3618+1</f>
        <v/>
      </c>
      <c r="E3618" s="201">
        <f>MONTH($B3618)</f>
        <v/>
      </c>
      <c r="F3618" s="235">
        <f>($B3618+$C3618+1)/2</f>
        <v/>
      </c>
      <c r="G3618" s="201">
        <f>YEAR($B3618)*12+MONTH($B3618)-1</f>
        <v/>
      </c>
      <c r="H3618" s="207">
        <f>IF(OR(nr_SeasonOn="OFF",$D$3586=0,$E$3586=0),1,12*INDEX(se_block,$D$3586,$E3618)/$E$3586)</f>
        <v/>
      </c>
      <c r="I3618" s="208">
        <f>EXP(SUMPRODUCT((rl_eff&lt;$B3618)*(rl_key=$A$3586)*rl_ln1p))</f>
        <v/>
      </c>
      <c r="J3618" s="208">
        <f>EXP(SUMPRODUCT((rl_eff&lt;=$C3618)*(rl_key=$A$3586)*rl_ln1p))</f>
        <v/>
      </c>
      <c r="K3618" s="201">
        <f>COUNTIFS(rl_key,$A$3586,rl_eff,"&gt;="&amp;$B3618,rl_eff,"&lt;="&amp;$C3618)</f>
        <v/>
      </c>
      <c r="L3618" s="201">
        <f>SUMIFS(rl_daysafter,rl_key,$A$3586,rl_effmonth,$B3618,rl_first,1)</f>
        <v/>
      </c>
      <c r="M3618" s="209">
        <f>IF($K3618=0,0,MIN(1,$L3618/$D3618))</f>
        <v/>
      </c>
      <c r="N3618" s="208">
        <f>IF($K3618=0,$J3618,(1-$M3618)*$I3618+$M3618*$J3618)</f>
        <v/>
      </c>
      <c r="O3618" s="209">
        <f>IF($F3618&lt;$B$3587,$E$3587+$I$3587*($F3618-$A$3587),IF($F3618&lt;$C$3587,$F$3587+$J$3587*($F3618-$B$3587),$G$3587+$K$3587*($F3618-$C$3587)))</f>
        <v/>
      </c>
      <c r="P3618" s="208">
        <f>MIN(1,MAX(0,(nr_MEndPm1-$G3618+0.5)/$C$3586))-MIN(1,MAX(0,(nr_MStartPm1-1-$G3618+0.5)/$C$3586))</f>
        <v/>
      </c>
      <c r="Q3618" s="208">
        <f>MIN(1,MAX(0,(nr_MEndP-$G3618+0.5)/$C$3586))-MIN(1,MAX(0,(nr_MStartP-1-$G3618+0.5)/$C$3586))</f>
        <v/>
      </c>
      <c r="R3618" s="208">
        <f>MIN(1,MAX(0,(nr_MEndP1-$G3618+0.5)/$C$3586))-MIN(1,MAX(0,(nr_MStartP1-1-$G3618+0.5)/$C$3586))</f>
        <v/>
      </c>
      <c r="S3618" s="208">
        <f>IF($L$3586,$N3618*IF($O$3586=1,$O3618/$F$3586,1),"")</f>
        <v/>
      </c>
      <c r="T3618" s="208">
        <f>IF(NOT($L$3586),"",IF($G3618&lt;nr_MStartP,$S3618,$T3606*(1+IF($G3618&lt;nr_MStartP1,$M$3586,$N$3586))))</f>
        <v/>
      </c>
      <c r="U3618" s="208">
        <f>IF($L$3586,$T3618,$N3618)</f>
        <v/>
      </c>
    </row>
    <row r="3619">
      <c r="A3619" s="145" t="n">
        <v>31</v>
      </c>
      <c r="B3619" s="204">
        <f>EDATE($B3618,1)</f>
        <v/>
      </c>
      <c r="C3619" s="205">
        <f>EOMONTH($B3619,0)</f>
        <v/>
      </c>
      <c r="D3619" s="201">
        <f>$C3619-$B3619+1</f>
        <v/>
      </c>
      <c r="E3619" s="201">
        <f>MONTH($B3619)</f>
        <v/>
      </c>
      <c r="F3619" s="235">
        <f>($B3619+$C3619+1)/2</f>
        <v/>
      </c>
      <c r="G3619" s="201">
        <f>YEAR($B3619)*12+MONTH($B3619)-1</f>
        <v/>
      </c>
      <c r="H3619" s="207">
        <f>IF(OR(nr_SeasonOn="OFF",$D$3586=0,$E$3586=0),1,12*INDEX(se_block,$D$3586,$E3619)/$E$3586)</f>
        <v/>
      </c>
      <c r="I3619" s="208">
        <f>EXP(SUMPRODUCT((rl_eff&lt;$B3619)*(rl_key=$A$3586)*rl_ln1p))</f>
        <v/>
      </c>
      <c r="J3619" s="208">
        <f>EXP(SUMPRODUCT((rl_eff&lt;=$C3619)*(rl_key=$A$3586)*rl_ln1p))</f>
        <v/>
      </c>
      <c r="K3619" s="201">
        <f>COUNTIFS(rl_key,$A$3586,rl_eff,"&gt;="&amp;$B3619,rl_eff,"&lt;="&amp;$C3619)</f>
        <v/>
      </c>
      <c r="L3619" s="201">
        <f>SUMIFS(rl_daysafter,rl_key,$A$3586,rl_effmonth,$B3619,rl_first,1)</f>
        <v/>
      </c>
      <c r="M3619" s="209">
        <f>IF($K3619=0,0,MIN(1,$L3619/$D3619))</f>
        <v/>
      </c>
      <c r="N3619" s="208">
        <f>IF($K3619=0,$J3619,(1-$M3619)*$I3619+$M3619*$J3619)</f>
        <v/>
      </c>
      <c r="O3619" s="209">
        <f>IF($F3619&lt;$B$3587,$E$3587+$I$3587*($F3619-$A$3587),IF($F3619&lt;$C$3587,$F$3587+$J$3587*($F3619-$B$3587),$G$3587+$K$3587*($F3619-$C$3587)))</f>
        <v/>
      </c>
      <c r="P3619" s="208">
        <f>MIN(1,MAX(0,(nr_MEndPm1-$G3619+0.5)/$C$3586))-MIN(1,MAX(0,(nr_MStartPm1-1-$G3619+0.5)/$C$3586))</f>
        <v/>
      </c>
      <c r="Q3619" s="208">
        <f>MIN(1,MAX(0,(nr_MEndP-$G3619+0.5)/$C$3586))-MIN(1,MAX(0,(nr_MStartP-1-$G3619+0.5)/$C$3586))</f>
        <v/>
      </c>
      <c r="R3619" s="208">
        <f>MIN(1,MAX(0,(nr_MEndP1-$G3619+0.5)/$C$3586))-MIN(1,MAX(0,(nr_MStartP1-1-$G3619+0.5)/$C$3586))</f>
        <v/>
      </c>
      <c r="S3619" s="208">
        <f>IF($L$3586,$N3619*IF($O$3586=1,$O3619/$F$3586,1),"")</f>
        <v/>
      </c>
      <c r="T3619" s="208">
        <f>IF(NOT($L$3586),"",IF($G3619&lt;nr_MStartP,$S3619,$T3607*(1+IF($G3619&lt;nr_MStartP1,$M$3586,$N$3586))))</f>
        <v/>
      </c>
      <c r="U3619" s="208">
        <f>IF($L$3586,$T3619,$N3619)</f>
        <v/>
      </c>
    </row>
    <row r="3620">
      <c r="A3620" s="145" t="n">
        <v>32</v>
      </c>
      <c r="B3620" s="204">
        <f>EDATE($B3619,1)</f>
        <v/>
      </c>
      <c r="C3620" s="205">
        <f>EOMONTH($B3620,0)</f>
        <v/>
      </c>
      <c r="D3620" s="201">
        <f>$C3620-$B3620+1</f>
        <v/>
      </c>
      <c r="E3620" s="201">
        <f>MONTH($B3620)</f>
        <v/>
      </c>
      <c r="F3620" s="235">
        <f>($B3620+$C3620+1)/2</f>
        <v/>
      </c>
      <c r="G3620" s="201">
        <f>YEAR($B3620)*12+MONTH($B3620)-1</f>
        <v/>
      </c>
      <c r="H3620" s="207">
        <f>IF(OR(nr_SeasonOn="OFF",$D$3586=0,$E$3586=0),1,12*INDEX(se_block,$D$3586,$E3620)/$E$3586)</f>
        <v/>
      </c>
      <c r="I3620" s="208">
        <f>EXP(SUMPRODUCT((rl_eff&lt;$B3620)*(rl_key=$A$3586)*rl_ln1p))</f>
        <v/>
      </c>
      <c r="J3620" s="208">
        <f>EXP(SUMPRODUCT((rl_eff&lt;=$C3620)*(rl_key=$A$3586)*rl_ln1p))</f>
        <v/>
      </c>
      <c r="K3620" s="201">
        <f>COUNTIFS(rl_key,$A$3586,rl_eff,"&gt;="&amp;$B3620,rl_eff,"&lt;="&amp;$C3620)</f>
        <v/>
      </c>
      <c r="L3620" s="201">
        <f>SUMIFS(rl_daysafter,rl_key,$A$3586,rl_effmonth,$B3620,rl_first,1)</f>
        <v/>
      </c>
      <c r="M3620" s="209">
        <f>IF($K3620=0,0,MIN(1,$L3620/$D3620))</f>
        <v/>
      </c>
      <c r="N3620" s="208">
        <f>IF($K3620=0,$J3620,(1-$M3620)*$I3620+$M3620*$J3620)</f>
        <v/>
      </c>
      <c r="O3620" s="209">
        <f>IF($F3620&lt;$B$3587,$E$3587+$I$3587*($F3620-$A$3587),IF($F3620&lt;$C$3587,$F$3587+$J$3587*($F3620-$B$3587),$G$3587+$K$3587*($F3620-$C$3587)))</f>
        <v/>
      </c>
      <c r="P3620" s="208">
        <f>MIN(1,MAX(0,(nr_MEndPm1-$G3620+0.5)/$C$3586))-MIN(1,MAX(0,(nr_MStartPm1-1-$G3620+0.5)/$C$3586))</f>
        <v/>
      </c>
      <c r="Q3620" s="208">
        <f>MIN(1,MAX(0,(nr_MEndP-$G3620+0.5)/$C$3586))-MIN(1,MAX(0,(nr_MStartP-1-$G3620+0.5)/$C$3586))</f>
        <v/>
      </c>
      <c r="R3620" s="208">
        <f>MIN(1,MAX(0,(nr_MEndP1-$G3620+0.5)/$C$3586))-MIN(1,MAX(0,(nr_MStartP1-1-$G3620+0.5)/$C$3586))</f>
        <v/>
      </c>
      <c r="S3620" s="208">
        <f>IF($L$3586,$N3620*IF($O$3586=1,$O3620/$F$3586,1),"")</f>
        <v/>
      </c>
      <c r="T3620" s="208">
        <f>IF(NOT($L$3586),"",IF($G3620&lt;nr_MStartP,$S3620,$T3608*(1+IF($G3620&lt;nr_MStartP1,$M$3586,$N$3586))))</f>
        <v/>
      </c>
      <c r="U3620" s="208">
        <f>IF($L$3586,$T3620,$N3620)</f>
        <v/>
      </c>
    </row>
    <row r="3621">
      <c r="A3621" s="145" t="n">
        <v>33</v>
      </c>
      <c r="B3621" s="204">
        <f>EDATE($B3620,1)</f>
        <v/>
      </c>
      <c r="C3621" s="205">
        <f>EOMONTH($B3621,0)</f>
        <v/>
      </c>
      <c r="D3621" s="201">
        <f>$C3621-$B3621+1</f>
        <v/>
      </c>
      <c r="E3621" s="201">
        <f>MONTH($B3621)</f>
        <v/>
      </c>
      <c r="F3621" s="235">
        <f>($B3621+$C3621+1)/2</f>
        <v/>
      </c>
      <c r="G3621" s="201">
        <f>YEAR($B3621)*12+MONTH($B3621)-1</f>
        <v/>
      </c>
      <c r="H3621" s="207">
        <f>IF(OR(nr_SeasonOn="OFF",$D$3586=0,$E$3586=0),1,12*INDEX(se_block,$D$3586,$E3621)/$E$3586)</f>
        <v/>
      </c>
      <c r="I3621" s="208">
        <f>EXP(SUMPRODUCT((rl_eff&lt;$B3621)*(rl_key=$A$3586)*rl_ln1p))</f>
        <v/>
      </c>
      <c r="J3621" s="208">
        <f>EXP(SUMPRODUCT((rl_eff&lt;=$C3621)*(rl_key=$A$3586)*rl_ln1p))</f>
        <v/>
      </c>
      <c r="K3621" s="201">
        <f>COUNTIFS(rl_key,$A$3586,rl_eff,"&gt;="&amp;$B3621,rl_eff,"&lt;="&amp;$C3621)</f>
        <v/>
      </c>
      <c r="L3621" s="201">
        <f>SUMIFS(rl_daysafter,rl_key,$A$3586,rl_effmonth,$B3621,rl_first,1)</f>
        <v/>
      </c>
      <c r="M3621" s="209">
        <f>IF($K3621=0,0,MIN(1,$L3621/$D3621))</f>
        <v/>
      </c>
      <c r="N3621" s="208">
        <f>IF($K3621=0,$J3621,(1-$M3621)*$I3621+$M3621*$J3621)</f>
        <v/>
      </c>
      <c r="O3621" s="209">
        <f>IF($F3621&lt;$B$3587,$E$3587+$I$3587*($F3621-$A$3587),IF($F3621&lt;$C$3587,$F$3587+$J$3587*($F3621-$B$3587),$G$3587+$K$3587*($F3621-$C$3587)))</f>
        <v/>
      </c>
      <c r="P3621" s="208">
        <f>MIN(1,MAX(0,(nr_MEndPm1-$G3621+0.5)/$C$3586))-MIN(1,MAX(0,(nr_MStartPm1-1-$G3621+0.5)/$C$3586))</f>
        <v/>
      </c>
      <c r="Q3621" s="208">
        <f>MIN(1,MAX(0,(nr_MEndP-$G3621+0.5)/$C$3586))-MIN(1,MAX(0,(nr_MStartP-1-$G3621+0.5)/$C$3586))</f>
        <v/>
      </c>
      <c r="R3621" s="208">
        <f>MIN(1,MAX(0,(nr_MEndP1-$G3621+0.5)/$C$3586))-MIN(1,MAX(0,(nr_MStartP1-1-$G3621+0.5)/$C$3586))</f>
        <v/>
      </c>
      <c r="S3621" s="208">
        <f>IF($L$3586,$N3621*IF($O$3586=1,$O3621/$F$3586,1),"")</f>
        <v/>
      </c>
      <c r="T3621" s="208">
        <f>IF(NOT($L$3586),"",IF($G3621&lt;nr_MStartP,$S3621,$T3609*(1+IF($G3621&lt;nr_MStartP1,$M$3586,$N$3586))))</f>
        <v/>
      </c>
      <c r="U3621" s="208">
        <f>IF($L$3586,$T3621,$N3621)</f>
        <v/>
      </c>
    </row>
    <row r="3622">
      <c r="A3622" s="145" t="n">
        <v>34</v>
      </c>
      <c r="B3622" s="204">
        <f>EDATE($B3621,1)</f>
        <v/>
      </c>
      <c r="C3622" s="205">
        <f>EOMONTH($B3622,0)</f>
        <v/>
      </c>
      <c r="D3622" s="201">
        <f>$C3622-$B3622+1</f>
        <v/>
      </c>
      <c r="E3622" s="201">
        <f>MONTH($B3622)</f>
        <v/>
      </c>
      <c r="F3622" s="235">
        <f>($B3622+$C3622+1)/2</f>
        <v/>
      </c>
      <c r="G3622" s="201">
        <f>YEAR($B3622)*12+MONTH($B3622)-1</f>
        <v/>
      </c>
      <c r="H3622" s="207">
        <f>IF(OR(nr_SeasonOn="OFF",$D$3586=0,$E$3586=0),1,12*INDEX(se_block,$D$3586,$E3622)/$E$3586)</f>
        <v/>
      </c>
      <c r="I3622" s="208">
        <f>EXP(SUMPRODUCT((rl_eff&lt;$B3622)*(rl_key=$A$3586)*rl_ln1p))</f>
        <v/>
      </c>
      <c r="J3622" s="208">
        <f>EXP(SUMPRODUCT((rl_eff&lt;=$C3622)*(rl_key=$A$3586)*rl_ln1p))</f>
        <v/>
      </c>
      <c r="K3622" s="201">
        <f>COUNTIFS(rl_key,$A$3586,rl_eff,"&gt;="&amp;$B3622,rl_eff,"&lt;="&amp;$C3622)</f>
        <v/>
      </c>
      <c r="L3622" s="201">
        <f>SUMIFS(rl_daysafter,rl_key,$A$3586,rl_effmonth,$B3622,rl_first,1)</f>
        <v/>
      </c>
      <c r="M3622" s="209">
        <f>IF($K3622=0,0,MIN(1,$L3622/$D3622))</f>
        <v/>
      </c>
      <c r="N3622" s="208">
        <f>IF($K3622=0,$J3622,(1-$M3622)*$I3622+$M3622*$J3622)</f>
        <v/>
      </c>
      <c r="O3622" s="209">
        <f>IF($F3622&lt;$B$3587,$E$3587+$I$3587*($F3622-$A$3587),IF($F3622&lt;$C$3587,$F$3587+$J$3587*($F3622-$B$3587),$G$3587+$K$3587*($F3622-$C$3587)))</f>
        <v/>
      </c>
      <c r="P3622" s="208">
        <f>MIN(1,MAX(0,(nr_MEndPm1-$G3622+0.5)/$C$3586))-MIN(1,MAX(0,(nr_MStartPm1-1-$G3622+0.5)/$C$3586))</f>
        <v/>
      </c>
      <c r="Q3622" s="208">
        <f>MIN(1,MAX(0,(nr_MEndP-$G3622+0.5)/$C$3586))-MIN(1,MAX(0,(nr_MStartP-1-$G3622+0.5)/$C$3586))</f>
        <v/>
      </c>
      <c r="R3622" s="208">
        <f>MIN(1,MAX(0,(nr_MEndP1-$G3622+0.5)/$C$3586))-MIN(1,MAX(0,(nr_MStartP1-1-$G3622+0.5)/$C$3586))</f>
        <v/>
      </c>
      <c r="S3622" s="208">
        <f>IF($L$3586,$N3622*IF($O$3586=1,$O3622/$F$3586,1),"")</f>
        <v/>
      </c>
      <c r="T3622" s="208">
        <f>IF(NOT($L$3586),"",IF($G3622&lt;nr_MStartP,$S3622,$T3610*(1+IF($G3622&lt;nr_MStartP1,$M$3586,$N$3586))))</f>
        <v/>
      </c>
      <c r="U3622" s="208">
        <f>IF($L$3586,$T3622,$N3622)</f>
        <v/>
      </c>
    </row>
    <row r="3623">
      <c r="A3623" s="145" t="n">
        <v>35</v>
      </c>
      <c r="B3623" s="204">
        <f>EDATE($B3622,1)</f>
        <v/>
      </c>
      <c r="C3623" s="205">
        <f>EOMONTH($B3623,0)</f>
        <v/>
      </c>
      <c r="D3623" s="201">
        <f>$C3623-$B3623+1</f>
        <v/>
      </c>
      <c r="E3623" s="201">
        <f>MONTH($B3623)</f>
        <v/>
      </c>
      <c r="F3623" s="235">
        <f>($B3623+$C3623+1)/2</f>
        <v/>
      </c>
      <c r="G3623" s="201">
        <f>YEAR($B3623)*12+MONTH($B3623)-1</f>
        <v/>
      </c>
      <c r="H3623" s="207">
        <f>IF(OR(nr_SeasonOn="OFF",$D$3586=0,$E$3586=0),1,12*INDEX(se_block,$D$3586,$E3623)/$E$3586)</f>
        <v/>
      </c>
      <c r="I3623" s="208">
        <f>EXP(SUMPRODUCT((rl_eff&lt;$B3623)*(rl_key=$A$3586)*rl_ln1p))</f>
        <v/>
      </c>
      <c r="J3623" s="208">
        <f>EXP(SUMPRODUCT((rl_eff&lt;=$C3623)*(rl_key=$A$3586)*rl_ln1p))</f>
        <v/>
      </c>
      <c r="K3623" s="201">
        <f>COUNTIFS(rl_key,$A$3586,rl_eff,"&gt;="&amp;$B3623,rl_eff,"&lt;="&amp;$C3623)</f>
        <v/>
      </c>
      <c r="L3623" s="201">
        <f>SUMIFS(rl_daysafter,rl_key,$A$3586,rl_effmonth,$B3623,rl_first,1)</f>
        <v/>
      </c>
      <c r="M3623" s="209">
        <f>IF($K3623=0,0,MIN(1,$L3623/$D3623))</f>
        <v/>
      </c>
      <c r="N3623" s="208">
        <f>IF($K3623=0,$J3623,(1-$M3623)*$I3623+$M3623*$J3623)</f>
        <v/>
      </c>
      <c r="O3623" s="209">
        <f>IF($F3623&lt;$B$3587,$E$3587+$I$3587*($F3623-$A$3587),IF($F3623&lt;$C$3587,$F$3587+$J$3587*($F3623-$B$3587),$G$3587+$K$3587*($F3623-$C$3587)))</f>
        <v/>
      </c>
      <c r="P3623" s="208">
        <f>MIN(1,MAX(0,(nr_MEndPm1-$G3623+0.5)/$C$3586))-MIN(1,MAX(0,(nr_MStartPm1-1-$G3623+0.5)/$C$3586))</f>
        <v/>
      </c>
      <c r="Q3623" s="208">
        <f>MIN(1,MAX(0,(nr_MEndP-$G3623+0.5)/$C$3586))-MIN(1,MAX(0,(nr_MStartP-1-$G3623+0.5)/$C$3586))</f>
        <v/>
      </c>
      <c r="R3623" s="208">
        <f>MIN(1,MAX(0,(nr_MEndP1-$G3623+0.5)/$C$3586))-MIN(1,MAX(0,(nr_MStartP1-1-$G3623+0.5)/$C$3586))</f>
        <v/>
      </c>
      <c r="S3623" s="208">
        <f>IF($L$3586,$N3623*IF($O$3586=1,$O3623/$F$3586,1),"")</f>
        <v/>
      </c>
      <c r="T3623" s="208">
        <f>IF(NOT($L$3586),"",IF($G3623&lt;nr_MStartP,$S3623,$T3611*(1+IF($G3623&lt;nr_MStartP1,$M$3586,$N$3586))))</f>
        <v/>
      </c>
      <c r="U3623" s="208">
        <f>IF($L$3586,$T3623,$N3623)</f>
        <v/>
      </c>
    </row>
    <row r="3624">
      <c r="A3624" s="145" t="n">
        <v>36</v>
      </c>
      <c r="B3624" s="204">
        <f>EDATE($B3623,1)</f>
        <v/>
      </c>
      <c r="C3624" s="205">
        <f>EOMONTH($B3624,0)</f>
        <v/>
      </c>
      <c r="D3624" s="201">
        <f>$C3624-$B3624+1</f>
        <v/>
      </c>
      <c r="E3624" s="201">
        <f>MONTH($B3624)</f>
        <v/>
      </c>
      <c r="F3624" s="235">
        <f>($B3624+$C3624+1)/2</f>
        <v/>
      </c>
      <c r="G3624" s="201">
        <f>YEAR($B3624)*12+MONTH($B3624)-1</f>
        <v/>
      </c>
      <c r="H3624" s="207">
        <f>IF(OR(nr_SeasonOn="OFF",$D$3586=0,$E$3586=0),1,12*INDEX(se_block,$D$3586,$E3624)/$E$3586)</f>
        <v/>
      </c>
      <c r="I3624" s="208">
        <f>EXP(SUMPRODUCT((rl_eff&lt;$B3624)*(rl_key=$A$3586)*rl_ln1p))</f>
        <v/>
      </c>
      <c r="J3624" s="208">
        <f>EXP(SUMPRODUCT((rl_eff&lt;=$C3624)*(rl_key=$A$3586)*rl_ln1p))</f>
        <v/>
      </c>
      <c r="K3624" s="201">
        <f>COUNTIFS(rl_key,$A$3586,rl_eff,"&gt;="&amp;$B3624,rl_eff,"&lt;="&amp;$C3624)</f>
        <v/>
      </c>
      <c r="L3624" s="201">
        <f>SUMIFS(rl_daysafter,rl_key,$A$3586,rl_effmonth,$B3624,rl_first,1)</f>
        <v/>
      </c>
      <c r="M3624" s="209">
        <f>IF($K3624=0,0,MIN(1,$L3624/$D3624))</f>
        <v/>
      </c>
      <c r="N3624" s="208">
        <f>IF($K3624=0,$J3624,(1-$M3624)*$I3624+$M3624*$J3624)</f>
        <v/>
      </c>
      <c r="O3624" s="209">
        <f>IF($F3624&lt;$B$3587,$E$3587+$I$3587*($F3624-$A$3587),IF($F3624&lt;$C$3587,$F$3587+$J$3587*($F3624-$B$3587),$G$3587+$K$3587*($F3624-$C$3587)))</f>
        <v/>
      </c>
      <c r="P3624" s="208">
        <f>MIN(1,MAX(0,(nr_MEndPm1-$G3624+0.5)/$C$3586))-MIN(1,MAX(0,(nr_MStartPm1-1-$G3624+0.5)/$C$3586))</f>
        <v/>
      </c>
      <c r="Q3624" s="208">
        <f>MIN(1,MAX(0,(nr_MEndP-$G3624+0.5)/$C$3586))-MIN(1,MAX(0,(nr_MStartP-1-$G3624+0.5)/$C$3586))</f>
        <v/>
      </c>
      <c r="R3624" s="208">
        <f>MIN(1,MAX(0,(nr_MEndP1-$G3624+0.5)/$C$3586))-MIN(1,MAX(0,(nr_MStartP1-1-$G3624+0.5)/$C$3586))</f>
        <v/>
      </c>
      <c r="S3624" s="208">
        <f>IF($L$3586,$N3624*IF($O$3586=1,$O3624/$F$3586,1),"")</f>
        <v/>
      </c>
      <c r="T3624" s="208">
        <f>IF(NOT($L$3586),"",IF($G3624&lt;nr_MStartP,$S3624,$T3612*(1+IF($G3624&lt;nr_MStartP1,$M$3586,$N$3586))))</f>
        <v/>
      </c>
      <c r="U3624" s="208">
        <f>IF($L$3586,$T3624,$N3624)</f>
        <v/>
      </c>
    </row>
    <row r="3625">
      <c r="A3625" s="145" t="n">
        <v>37</v>
      </c>
      <c r="B3625" s="204">
        <f>EDATE($B3624,1)</f>
        <v/>
      </c>
      <c r="C3625" s="205">
        <f>EOMONTH($B3625,0)</f>
        <v/>
      </c>
      <c r="D3625" s="201">
        <f>$C3625-$B3625+1</f>
        <v/>
      </c>
      <c r="E3625" s="201">
        <f>MONTH($B3625)</f>
        <v/>
      </c>
      <c r="F3625" s="235">
        <f>($B3625+$C3625+1)/2</f>
        <v/>
      </c>
      <c r="G3625" s="201">
        <f>YEAR($B3625)*12+MONTH($B3625)-1</f>
        <v/>
      </c>
      <c r="H3625" s="207">
        <f>IF(OR(nr_SeasonOn="OFF",$D$3586=0,$E$3586=0),1,12*INDEX(se_block,$D$3586,$E3625)/$E$3586)</f>
        <v/>
      </c>
      <c r="I3625" s="208">
        <f>EXP(SUMPRODUCT((rl_eff&lt;$B3625)*(rl_key=$A$3586)*rl_ln1p))</f>
        <v/>
      </c>
      <c r="J3625" s="208">
        <f>EXP(SUMPRODUCT((rl_eff&lt;=$C3625)*(rl_key=$A$3586)*rl_ln1p))</f>
        <v/>
      </c>
      <c r="K3625" s="201">
        <f>COUNTIFS(rl_key,$A$3586,rl_eff,"&gt;="&amp;$B3625,rl_eff,"&lt;="&amp;$C3625)</f>
        <v/>
      </c>
      <c r="L3625" s="201">
        <f>SUMIFS(rl_daysafter,rl_key,$A$3586,rl_effmonth,$B3625,rl_first,1)</f>
        <v/>
      </c>
      <c r="M3625" s="209">
        <f>IF($K3625=0,0,MIN(1,$L3625/$D3625))</f>
        <v/>
      </c>
      <c r="N3625" s="208">
        <f>IF($K3625=0,$J3625,(1-$M3625)*$I3625+$M3625*$J3625)</f>
        <v/>
      </c>
      <c r="O3625" s="209">
        <f>IF($F3625&lt;$B$3587,$E$3587+$I$3587*($F3625-$A$3587),IF($F3625&lt;$C$3587,$F$3587+$J$3587*($F3625-$B$3587),$G$3587+$K$3587*($F3625-$C$3587)))</f>
        <v/>
      </c>
      <c r="P3625" s="208">
        <f>MIN(1,MAX(0,(nr_MEndPm1-$G3625+0.5)/$C$3586))-MIN(1,MAX(0,(nr_MStartPm1-1-$G3625+0.5)/$C$3586))</f>
        <v/>
      </c>
      <c r="Q3625" s="208">
        <f>MIN(1,MAX(0,(nr_MEndP-$G3625+0.5)/$C$3586))-MIN(1,MAX(0,(nr_MStartP-1-$G3625+0.5)/$C$3586))</f>
        <v/>
      </c>
      <c r="R3625" s="208">
        <f>MIN(1,MAX(0,(nr_MEndP1-$G3625+0.5)/$C$3586))-MIN(1,MAX(0,(nr_MStartP1-1-$G3625+0.5)/$C$3586))</f>
        <v/>
      </c>
      <c r="S3625" s="208">
        <f>IF($L$3586,$N3625*IF($O$3586=1,$O3625/$F$3586,1),"")</f>
        <v/>
      </c>
      <c r="T3625" s="208">
        <f>IF(NOT($L$3586),"",IF($G3625&lt;nr_MStartP,$S3625,$T3613*(1+IF($G3625&lt;nr_MStartP1,$M$3586,$N$3586))))</f>
        <v/>
      </c>
      <c r="U3625" s="208">
        <f>IF($L$3586,$T3625,$N3625)</f>
        <v/>
      </c>
    </row>
    <row r="3626">
      <c r="A3626" s="145" t="n">
        <v>38</v>
      </c>
      <c r="B3626" s="204">
        <f>EDATE($B3625,1)</f>
        <v/>
      </c>
      <c r="C3626" s="205">
        <f>EOMONTH($B3626,0)</f>
        <v/>
      </c>
      <c r="D3626" s="201">
        <f>$C3626-$B3626+1</f>
        <v/>
      </c>
      <c r="E3626" s="201">
        <f>MONTH($B3626)</f>
        <v/>
      </c>
      <c r="F3626" s="235">
        <f>($B3626+$C3626+1)/2</f>
        <v/>
      </c>
      <c r="G3626" s="201">
        <f>YEAR($B3626)*12+MONTH($B3626)-1</f>
        <v/>
      </c>
      <c r="H3626" s="207">
        <f>IF(OR(nr_SeasonOn="OFF",$D$3586=0,$E$3586=0),1,12*INDEX(se_block,$D$3586,$E3626)/$E$3586)</f>
        <v/>
      </c>
      <c r="I3626" s="208">
        <f>EXP(SUMPRODUCT((rl_eff&lt;$B3626)*(rl_key=$A$3586)*rl_ln1p))</f>
        <v/>
      </c>
      <c r="J3626" s="208">
        <f>EXP(SUMPRODUCT((rl_eff&lt;=$C3626)*(rl_key=$A$3586)*rl_ln1p))</f>
        <v/>
      </c>
      <c r="K3626" s="201">
        <f>COUNTIFS(rl_key,$A$3586,rl_eff,"&gt;="&amp;$B3626,rl_eff,"&lt;="&amp;$C3626)</f>
        <v/>
      </c>
      <c r="L3626" s="201">
        <f>SUMIFS(rl_daysafter,rl_key,$A$3586,rl_effmonth,$B3626,rl_first,1)</f>
        <v/>
      </c>
      <c r="M3626" s="209">
        <f>IF($K3626=0,0,MIN(1,$L3626/$D3626))</f>
        <v/>
      </c>
      <c r="N3626" s="208">
        <f>IF($K3626=0,$J3626,(1-$M3626)*$I3626+$M3626*$J3626)</f>
        <v/>
      </c>
      <c r="O3626" s="209">
        <f>IF($F3626&lt;$B$3587,$E$3587+$I$3587*($F3626-$A$3587),IF($F3626&lt;$C$3587,$F$3587+$J$3587*($F3626-$B$3587),$G$3587+$K$3587*($F3626-$C$3587)))</f>
        <v/>
      </c>
      <c r="P3626" s="208">
        <f>MIN(1,MAX(0,(nr_MEndPm1-$G3626+0.5)/$C$3586))-MIN(1,MAX(0,(nr_MStartPm1-1-$G3626+0.5)/$C$3586))</f>
        <v/>
      </c>
      <c r="Q3626" s="208">
        <f>MIN(1,MAX(0,(nr_MEndP-$G3626+0.5)/$C$3586))-MIN(1,MAX(0,(nr_MStartP-1-$G3626+0.5)/$C$3586))</f>
        <v/>
      </c>
      <c r="R3626" s="208">
        <f>MIN(1,MAX(0,(nr_MEndP1-$G3626+0.5)/$C$3586))-MIN(1,MAX(0,(nr_MStartP1-1-$G3626+0.5)/$C$3586))</f>
        <v/>
      </c>
      <c r="S3626" s="208">
        <f>IF($L$3586,$N3626*IF($O$3586=1,$O3626/$F$3586,1),"")</f>
        <v/>
      </c>
      <c r="T3626" s="208">
        <f>IF(NOT($L$3586),"",IF($G3626&lt;nr_MStartP,$S3626,$T3614*(1+IF($G3626&lt;nr_MStartP1,$M$3586,$N$3586))))</f>
        <v/>
      </c>
      <c r="U3626" s="208">
        <f>IF($L$3586,$T3626,$N3626)</f>
        <v/>
      </c>
    </row>
    <row r="3627">
      <c r="A3627" s="145" t="n">
        <v>39</v>
      </c>
      <c r="B3627" s="204">
        <f>EDATE($B3626,1)</f>
        <v/>
      </c>
      <c r="C3627" s="205">
        <f>EOMONTH($B3627,0)</f>
        <v/>
      </c>
      <c r="D3627" s="201">
        <f>$C3627-$B3627+1</f>
        <v/>
      </c>
      <c r="E3627" s="201">
        <f>MONTH($B3627)</f>
        <v/>
      </c>
      <c r="F3627" s="235">
        <f>($B3627+$C3627+1)/2</f>
        <v/>
      </c>
      <c r="G3627" s="201">
        <f>YEAR($B3627)*12+MONTH($B3627)-1</f>
        <v/>
      </c>
      <c r="H3627" s="207">
        <f>IF(OR(nr_SeasonOn="OFF",$D$3586=0,$E$3586=0),1,12*INDEX(se_block,$D$3586,$E3627)/$E$3586)</f>
        <v/>
      </c>
      <c r="I3627" s="208">
        <f>EXP(SUMPRODUCT((rl_eff&lt;$B3627)*(rl_key=$A$3586)*rl_ln1p))</f>
        <v/>
      </c>
      <c r="J3627" s="208">
        <f>EXP(SUMPRODUCT((rl_eff&lt;=$C3627)*(rl_key=$A$3586)*rl_ln1p))</f>
        <v/>
      </c>
      <c r="K3627" s="201">
        <f>COUNTIFS(rl_key,$A$3586,rl_eff,"&gt;="&amp;$B3627,rl_eff,"&lt;="&amp;$C3627)</f>
        <v/>
      </c>
      <c r="L3627" s="201">
        <f>SUMIFS(rl_daysafter,rl_key,$A$3586,rl_effmonth,$B3627,rl_first,1)</f>
        <v/>
      </c>
      <c r="M3627" s="209">
        <f>IF($K3627=0,0,MIN(1,$L3627/$D3627))</f>
        <v/>
      </c>
      <c r="N3627" s="208">
        <f>IF($K3627=0,$J3627,(1-$M3627)*$I3627+$M3627*$J3627)</f>
        <v/>
      </c>
      <c r="O3627" s="209">
        <f>IF($F3627&lt;$B$3587,$E$3587+$I$3587*($F3627-$A$3587),IF($F3627&lt;$C$3587,$F$3587+$J$3587*($F3627-$B$3587),$G$3587+$K$3587*($F3627-$C$3587)))</f>
        <v/>
      </c>
      <c r="P3627" s="208">
        <f>MIN(1,MAX(0,(nr_MEndPm1-$G3627+0.5)/$C$3586))-MIN(1,MAX(0,(nr_MStartPm1-1-$G3627+0.5)/$C$3586))</f>
        <v/>
      </c>
      <c r="Q3627" s="208">
        <f>MIN(1,MAX(0,(nr_MEndP-$G3627+0.5)/$C$3586))-MIN(1,MAX(0,(nr_MStartP-1-$G3627+0.5)/$C$3586))</f>
        <v/>
      </c>
      <c r="R3627" s="208">
        <f>MIN(1,MAX(0,(nr_MEndP1-$G3627+0.5)/$C$3586))-MIN(1,MAX(0,(nr_MStartP1-1-$G3627+0.5)/$C$3586))</f>
        <v/>
      </c>
      <c r="S3627" s="208">
        <f>IF($L$3586,$N3627*IF($O$3586=1,$O3627/$F$3586,1),"")</f>
        <v/>
      </c>
      <c r="T3627" s="208">
        <f>IF(NOT($L$3586),"",IF($G3627&lt;nr_MStartP,$S3627,$T3615*(1+IF($G3627&lt;nr_MStartP1,$M$3586,$N$3586))))</f>
        <v/>
      </c>
      <c r="U3627" s="208">
        <f>IF($L$3586,$T3627,$N3627)</f>
        <v/>
      </c>
    </row>
    <row r="3628">
      <c r="A3628" s="145" t="n">
        <v>40</v>
      </c>
      <c r="B3628" s="204">
        <f>EDATE($B3627,1)</f>
        <v/>
      </c>
      <c r="C3628" s="205">
        <f>EOMONTH($B3628,0)</f>
        <v/>
      </c>
      <c r="D3628" s="201">
        <f>$C3628-$B3628+1</f>
        <v/>
      </c>
      <c r="E3628" s="201">
        <f>MONTH($B3628)</f>
        <v/>
      </c>
      <c r="F3628" s="235">
        <f>($B3628+$C3628+1)/2</f>
        <v/>
      </c>
      <c r="G3628" s="201">
        <f>YEAR($B3628)*12+MONTH($B3628)-1</f>
        <v/>
      </c>
      <c r="H3628" s="207">
        <f>IF(OR(nr_SeasonOn="OFF",$D$3586=0,$E$3586=0),1,12*INDEX(se_block,$D$3586,$E3628)/$E$3586)</f>
        <v/>
      </c>
      <c r="I3628" s="208">
        <f>EXP(SUMPRODUCT((rl_eff&lt;$B3628)*(rl_key=$A$3586)*rl_ln1p))</f>
        <v/>
      </c>
      <c r="J3628" s="208">
        <f>EXP(SUMPRODUCT((rl_eff&lt;=$C3628)*(rl_key=$A$3586)*rl_ln1p))</f>
        <v/>
      </c>
      <c r="K3628" s="201">
        <f>COUNTIFS(rl_key,$A$3586,rl_eff,"&gt;="&amp;$B3628,rl_eff,"&lt;="&amp;$C3628)</f>
        <v/>
      </c>
      <c r="L3628" s="201">
        <f>SUMIFS(rl_daysafter,rl_key,$A$3586,rl_effmonth,$B3628,rl_first,1)</f>
        <v/>
      </c>
      <c r="M3628" s="209">
        <f>IF($K3628=0,0,MIN(1,$L3628/$D3628))</f>
        <v/>
      </c>
      <c r="N3628" s="208">
        <f>IF($K3628=0,$J3628,(1-$M3628)*$I3628+$M3628*$J3628)</f>
        <v/>
      </c>
      <c r="O3628" s="209">
        <f>IF($F3628&lt;$B$3587,$E$3587+$I$3587*($F3628-$A$3587),IF($F3628&lt;$C$3587,$F$3587+$J$3587*($F3628-$B$3587),$G$3587+$K$3587*($F3628-$C$3587)))</f>
        <v/>
      </c>
      <c r="P3628" s="208">
        <f>MIN(1,MAX(0,(nr_MEndPm1-$G3628+0.5)/$C$3586))-MIN(1,MAX(0,(nr_MStartPm1-1-$G3628+0.5)/$C$3586))</f>
        <v/>
      </c>
      <c r="Q3628" s="208">
        <f>MIN(1,MAX(0,(nr_MEndP-$G3628+0.5)/$C$3586))-MIN(1,MAX(0,(nr_MStartP-1-$G3628+0.5)/$C$3586))</f>
        <v/>
      </c>
      <c r="R3628" s="208">
        <f>MIN(1,MAX(0,(nr_MEndP1-$G3628+0.5)/$C$3586))-MIN(1,MAX(0,(nr_MStartP1-1-$G3628+0.5)/$C$3586))</f>
        <v/>
      </c>
      <c r="S3628" s="208">
        <f>IF($L$3586,$N3628*IF($O$3586=1,$O3628/$F$3586,1),"")</f>
        <v/>
      </c>
      <c r="T3628" s="208">
        <f>IF(NOT($L$3586),"",IF($G3628&lt;nr_MStartP,$S3628,$T3616*(1+IF($G3628&lt;nr_MStartP1,$M$3586,$N$3586))))</f>
        <v/>
      </c>
      <c r="U3628" s="208">
        <f>IF($L$3586,$T3628,$N3628)</f>
        <v/>
      </c>
    </row>
    <row r="3629">
      <c r="A3629" s="145" t="n">
        <v>41</v>
      </c>
      <c r="B3629" s="204">
        <f>EDATE($B3628,1)</f>
        <v/>
      </c>
      <c r="C3629" s="205">
        <f>EOMONTH($B3629,0)</f>
        <v/>
      </c>
      <c r="D3629" s="201">
        <f>$C3629-$B3629+1</f>
        <v/>
      </c>
      <c r="E3629" s="201">
        <f>MONTH($B3629)</f>
        <v/>
      </c>
      <c r="F3629" s="235">
        <f>($B3629+$C3629+1)/2</f>
        <v/>
      </c>
      <c r="G3629" s="201">
        <f>YEAR($B3629)*12+MONTH($B3629)-1</f>
        <v/>
      </c>
      <c r="H3629" s="207">
        <f>IF(OR(nr_SeasonOn="OFF",$D$3586=0,$E$3586=0),1,12*INDEX(se_block,$D$3586,$E3629)/$E$3586)</f>
        <v/>
      </c>
      <c r="I3629" s="208">
        <f>EXP(SUMPRODUCT((rl_eff&lt;$B3629)*(rl_key=$A$3586)*rl_ln1p))</f>
        <v/>
      </c>
      <c r="J3629" s="208">
        <f>EXP(SUMPRODUCT((rl_eff&lt;=$C3629)*(rl_key=$A$3586)*rl_ln1p))</f>
        <v/>
      </c>
      <c r="K3629" s="201">
        <f>COUNTIFS(rl_key,$A$3586,rl_eff,"&gt;="&amp;$B3629,rl_eff,"&lt;="&amp;$C3629)</f>
        <v/>
      </c>
      <c r="L3629" s="201">
        <f>SUMIFS(rl_daysafter,rl_key,$A$3586,rl_effmonth,$B3629,rl_first,1)</f>
        <v/>
      </c>
      <c r="M3629" s="209">
        <f>IF($K3629=0,0,MIN(1,$L3629/$D3629))</f>
        <v/>
      </c>
      <c r="N3629" s="208">
        <f>IF($K3629=0,$J3629,(1-$M3629)*$I3629+$M3629*$J3629)</f>
        <v/>
      </c>
      <c r="O3629" s="209">
        <f>IF($F3629&lt;$B$3587,$E$3587+$I$3587*($F3629-$A$3587),IF($F3629&lt;$C$3587,$F$3587+$J$3587*($F3629-$B$3587),$G$3587+$K$3587*($F3629-$C$3587)))</f>
        <v/>
      </c>
      <c r="P3629" s="208">
        <f>MIN(1,MAX(0,(nr_MEndPm1-$G3629+0.5)/$C$3586))-MIN(1,MAX(0,(nr_MStartPm1-1-$G3629+0.5)/$C$3586))</f>
        <v/>
      </c>
      <c r="Q3629" s="208">
        <f>MIN(1,MAX(0,(nr_MEndP-$G3629+0.5)/$C$3586))-MIN(1,MAX(0,(nr_MStartP-1-$G3629+0.5)/$C$3586))</f>
        <v/>
      </c>
      <c r="R3629" s="208">
        <f>MIN(1,MAX(0,(nr_MEndP1-$G3629+0.5)/$C$3586))-MIN(1,MAX(0,(nr_MStartP1-1-$G3629+0.5)/$C$3586))</f>
        <v/>
      </c>
      <c r="S3629" s="208">
        <f>IF($L$3586,$N3629*IF($O$3586=1,$O3629/$F$3586,1),"")</f>
        <v/>
      </c>
      <c r="T3629" s="208">
        <f>IF(NOT($L$3586),"",IF($G3629&lt;nr_MStartP,$S3629,$T3617*(1+IF($G3629&lt;nr_MStartP1,$M$3586,$N$3586))))</f>
        <v/>
      </c>
      <c r="U3629" s="208">
        <f>IF($L$3586,$T3629,$N3629)</f>
        <v/>
      </c>
    </row>
    <row r="3630">
      <c r="A3630" s="145" t="n">
        <v>42</v>
      </c>
      <c r="B3630" s="204">
        <f>EDATE($B3629,1)</f>
        <v/>
      </c>
      <c r="C3630" s="205">
        <f>EOMONTH($B3630,0)</f>
        <v/>
      </c>
      <c r="D3630" s="201">
        <f>$C3630-$B3630+1</f>
        <v/>
      </c>
      <c r="E3630" s="201">
        <f>MONTH($B3630)</f>
        <v/>
      </c>
      <c r="F3630" s="235">
        <f>($B3630+$C3630+1)/2</f>
        <v/>
      </c>
      <c r="G3630" s="201">
        <f>YEAR($B3630)*12+MONTH($B3630)-1</f>
        <v/>
      </c>
      <c r="H3630" s="207">
        <f>IF(OR(nr_SeasonOn="OFF",$D$3586=0,$E$3586=0),1,12*INDEX(se_block,$D$3586,$E3630)/$E$3586)</f>
        <v/>
      </c>
      <c r="I3630" s="208">
        <f>EXP(SUMPRODUCT((rl_eff&lt;$B3630)*(rl_key=$A$3586)*rl_ln1p))</f>
        <v/>
      </c>
      <c r="J3630" s="208">
        <f>EXP(SUMPRODUCT((rl_eff&lt;=$C3630)*(rl_key=$A$3586)*rl_ln1p))</f>
        <v/>
      </c>
      <c r="K3630" s="201">
        <f>COUNTIFS(rl_key,$A$3586,rl_eff,"&gt;="&amp;$B3630,rl_eff,"&lt;="&amp;$C3630)</f>
        <v/>
      </c>
      <c r="L3630" s="201">
        <f>SUMIFS(rl_daysafter,rl_key,$A$3586,rl_effmonth,$B3630,rl_first,1)</f>
        <v/>
      </c>
      <c r="M3630" s="209">
        <f>IF($K3630=0,0,MIN(1,$L3630/$D3630))</f>
        <v/>
      </c>
      <c r="N3630" s="208">
        <f>IF($K3630=0,$J3630,(1-$M3630)*$I3630+$M3630*$J3630)</f>
        <v/>
      </c>
      <c r="O3630" s="209">
        <f>IF($F3630&lt;$B$3587,$E$3587+$I$3587*($F3630-$A$3587),IF($F3630&lt;$C$3587,$F$3587+$J$3587*($F3630-$B$3587),$G$3587+$K$3587*($F3630-$C$3587)))</f>
        <v/>
      </c>
      <c r="P3630" s="208">
        <f>MIN(1,MAX(0,(nr_MEndPm1-$G3630+0.5)/$C$3586))-MIN(1,MAX(0,(nr_MStartPm1-1-$G3630+0.5)/$C$3586))</f>
        <v/>
      </c>
      <c r="Q3630" s="208">
        <f>MIN(1,MAX(0,(nr_MEndP-$G3630+0.5)/$C$3586))-MIN(1,MAX(0,(nr_MStartP-1-$G3630+0.5)/$C$3586))</f>
        <v/>
      </c>
      <c r="R3630" s="208">
        <f>MIN(1,MAX(0,(nr_MEndP1-$G3630+0.5)/$C$3586))-MIN(1,MAX(0,(nr_MStartP1-1-$G3630+0.5)/$C$3586))</f>
        <v/>
      </c>
      <c r="S3630" s="208">
        <f>IF($L$3586,$N3630*IF($O$3586=1,$O3630/$F$3586,1),"")</f>
        <v/>
      </c>
      <c r="T3630" s="208">
        <f>IF(NOT($L$3586),"",IF($G3630&lt;nr_MStartP,$S3630,$T3618*(1+IF($G3630&lt;nr_MStartP1,$M$3586,$N$3586))))</f>
        <v/>
      </c>
      <c r="U3630" s="208">
        <f>IF($L$3586,$T3630,$N3630)</f>
        <v/>
      </c>
    </row>
    <row r="3631">
      <c r="A3631" s="145" t="n">
        <v>43</v>
      </c>
      <c r="B3631" s="204">
        <f>EDATE($B3630,1)</f>
        <v/>
      </c>
      <c r="C3631" s="205">
        <f>EOMONTH($B3631,0)</f>
        <v/>
      </c>
      <c r="D3631" s="201">
        <f>$C3631-$B3631+1</f>
        <v/>
      </c>
      <c r="E3631" s="201">
        <f>MONTH($B3631)</f>
        <v/>
      </c>
      <c r="F3631" s="235">
        <f>($B3631+$C3631+1)/2</f>
        <v/>
      </c>
      <c r="G3631" s="201">
        <f>YEAR($B3631)*12+MONTH($B3631)-1</f>
        <v/>
      </c>
      <c r="H3631" s="207">
        <f>IF(OR(nr_SeasonOn="OFF",$D$3586=0,$E$3586=0),1,12*INDEX(se_block,$D$3586,$E3631)/$E$3586)</f>
        <v/>
      </c>
      <c r="I3631" s="208">
        <f>EXP(SUMPRODUCT((rl_eff&lt;$B3631)*(rl_key=$A$3586)*rl_ln1p))</f>
        <v/>
      </c>
      <c r="J3631" s="208">
        <f>EXP(SUMPRODUCT((rl_eff&lt;=$C3631)*(rl_key=$A$3586)*rl_ln1p))</f>
        <v/>
      </c>
      <c r="K3631" s="201">
        <f>COUNTIFS(rl_key,$A$3586,rl_eff,"&gt;="&amp;$B3631,rl_eff,"&lt;="&amp;$C3631)</f>
        <v/>
      </c>
      <c r="L3631" s="201">
        <f>SUMIFS(rl_daysafter,rl_key,$A$3586,rl_effmonth,$B3631,rl_first,1)</f>
        <v/>
      </c>
      <c r="M3631" s="209">
        <f>IF($K3631=0,0,MIN(1,$L3631/$D3631))</f>
        <v/>
      </c>
      <c r="N3631" s="208">
        <f>IF($K3631=0,$J3631,(1-$M3631)*$I3631+$M3631*$J3631)</f>
        <v/>
      </c>
      <c r="O3631" s="209">
        <f>IF($F3631&lt;$B$3587,$E$3587+$I$3587*($F3631-$A$3587),IF($F3631&lt;$C$3587,$F$3587+$J$3587*($F3631-$B$3587),$G$3587+$K$3587*($F3631-$C$3587)))</f>
        <v/>
      </c>
      <c r="P3631" s="208">
        <f>MIN(1,MAX(0,(nr_MEndPm1-$G3631+0.5)/$C$3586))-MIN(1,MAX(0,(nr_MStartPm1-1-$G3631+0.5)/$C$3586))</f>
        <v/>
      </c>
      <c r="Q3631" s="208">
        <f>MIN(1,MAX(0,(nr_MEndP-$G3631+0.5)/$C$3586))-MIN(1,MAX(0,(nr_MStartP-1-$G3631+0.5)/$C$3586))</f>
        <v/>
      </c>
      <c r="R3631" s="208">
        <f>MIN(1,MAX(0,(nr_MEndP1-$G3631+0.5)/$C$3586))-MIN(1,MAX(0,(nr_MStartP1-1-$G3631+0.5)/$C$3586))</f>
        <v/>
      </c>
      <c r="S3631" s="208">
        <f>IF($L$3586,$N3631*IF($O$3586=1,$O3631/$F$3586,1),"")</f>
        <v/>
      </c>
      <c r="T3631" s="208">
        <f>IF(NOT($L$3586),"",IF($G3631&lt;nr_MStartP,$S3631,$T3619*(1+IF($G3631&lt;nr_MStartP1,$M$3586,$N$3586))))</f>
        <v/>
      </c>
      <c r="U3631" s="208">
        <f>IF($L$3586,$T3631,$N3631)</f>
        <v/>
      </c>
    </row>
    <row r="3632">
      <c r="A3632" s="145" t="n">
        <v>44</v>
      </c>
      <c r="B3632" s="204">
        <f>EDATE($B3631,1)</f>
        <v/>
      </c>
      <c r="C3632" s="205">
        <f>EOMONTH($B3632,0)</f>
        <v/>
      </c>
      <c r="D3632" s="201">
        <f>$C3632-$B3632+1</f>
        <v/>
      </c>
      <c r="E3632" s="201">
        <f>MONTH($B3632)</f>
        <v/>
      </c>
      <c r="F3632" s="235">
        <f>($B3632+$C3632+1)/2</f>
        <v/>
      </c>
      <c r="G3632" s="201">
        <f>YEAR($B3632)*12+MONTH($B3632)-1</f>
        <v/>
      </c>
      <c r="H3632" s="207">
        <f>IF(OR(nr_SeasonOn="OFF",$D$3586=0,$E$3586=0),1,12*INDEX(se_block,$D$3586,$E3632)/$E$3586)</f>
        <v/>
      </c>
      <c r="I3632" s="208">
        <f>EXP(SUMPRODUCT((rl_eff&lt;$B3632)*(rl_key=$A$3586)*rl_ln1p))</f>
        <v/>
      </c>
      <c r="J3632" s="208">
        <f>EXP(SUMPRODUCT((rl_eff&lt;=$C3632)*(rl_key=$A$3586)*rl_ln1p))</f>
        <v/>
      </c>
      <c r="K3632" s="201">
        <f>COUNTIFS(rl_key,$A$3586,rl_eff,"&gt;="&amp;$B3632,rl_eff,"&lt;="&amp;$C3632)</f>
        <v/>
      </c>
      <c r="L3632" s="201">
        <f>SUMIFS(rl_daysafter,rl_key,$A$3586,rl_effmonth,$B3632,rl_first,1)</f>
        <v/>
      </c>
      <c r="M3632" s="209">
        <f>IF($K3632=0,0,MIN(1,$L3632/$D3632))</f>
        <v/>
      </c>
      <c r="N3632" s="208">
        <f>IF($K3632=0,$J3632,(1-$M3632)*$I3632+$M3632*$J3632)</f>
        <v/>
      </c>
      <c r="O3632" s="209">
        <f>IF($F3632&lt;$B$3587,$E$3587+$I$3587*($F3632-$A$3587),IF($F3632&lt;$C$3587,$F$3587+$J$3587*($F3632-$B$3587),$G$3587+$K$3587*($F3632-$C$3587)))</f>
        <v/>
      </c>
      <c r="P3632" s="208">
        <f>MIN(1,MAX(0,(nr_MEndPm1-$G3632+0.5)/$C$3586))-MIN(1,MAX(0,(nr_MStartPm1-1-$G3632+0.5)/$C$3586))</f>
        <v/>
      </c>
      <c r="Q3632" s="208">
        <f>MIN(1,MAX(0,(nr_MEndP-$G3632+0.5)/$C$3586))-MIN(1,MAX(0,(nr_MStartP-1-$G3632+0.5)/$C$3586))</f>
        <v/>
      </c>
      <c r="R3632" s="208">
        <f>MIN(1,MAX(0,(nr_MEndP1-$G3632+0.5)/$C$3586))-MIN(1,MAX(0,(nr_MStartP1-1-$G3632+0.5)/$C$3586))</f>
        <v/>
      </c>
      <c r="S3632" s="208">
        <f>IF($L$3586,$N3632*IF($O$3586=1,$O3632/$F$3586,1),"")</f>
        <v/>
      </c>
      <c r="T3632" s="208">
        <f>IF(NOT($L$3586),"",IF($G3632&lt;nr_MStartP,$S3632,$T3620*(1+IF($G3632&lt;nr_MStartP1,$M$3586,$N$3586))))</f>
        <v/>
      </c>
      <c r="U3632" s="208">
        <f>IF($L$3586,$T3632,$N3632)</f>
        <v/>
      </c>
    </row>
    <row r="3633">
      <c r="A3633" s="145" t="n">
        <v>45</v>
      </c>
      <c r="B3633" s="204">
        <f>EDATE($B3632,1)</f>
        <v/>
      </c>
      <c r="C3633" s="205">
        <f>EOMONTH($B3633,0)</f>
        <v/>
      </c>
      <c r="D3633" s="201">
        <f>$C3633-$B3633+1</f>
        <v/>
      </c>
      <c r="E3633" s="201">
        <f>MONTH($B3633)</f>
        <v/>
      </c>
      <c r="F3633" s="235">
        <f>($B3633+$C3633+1)/2</f>
        <v/>
      </c>
      <c r="G3633" s="201">
        <f>YEAR($B3633)*12+MONTH($B3633)-1</f>
        <v/>
      </c>
      <c r="H3633" s="207">
        <f>IF(OR(nr_SeasonOn="OFF",$D$3586=0,$E$3586=0),1,12*INDEX(se_block,$D$3586,$E3633)/$E$3586)</f>
        <v/>
      </c>
      <c r="I3633" s="208">
        <f>EXP(SUMPRODUCT((rl_eff&lt;$B3633)*(rl_key=$A$3586)*rl_ln1p))</f>
        <v/>
      </c>
      <c r="J3633" s="208">
        <f>EXP(SUMPRODUCT((rl_eff&lt;=$C3633)*(rl_key=$A$3586)*rl_ln1p))</f>
        <v/>
      </c>
      <c r="K3633" s="201">
        <f>COUNTIFS(rl_key,$A$3586,rl_eff,"&gt;="&amp;$B3633,rl_eff,"&lt;="&amp;$C3633)</f>
        <v/>
      </c>
      <c r="L3633" s="201">
        <f>SUMIFS(rl_daysafter,rl_key,$A$3586,rl_effmonth,$B3633,rl_first,1)</f>
        <v/>
      </c>
      <c r="M3633" s="209">
        <f>IF($K3633=0,0,MIN(1,$L3633/$D3633))</f>
        <v/>
      </c>
      <c r="N3633" s="208">
        <f>IF($K3633=0,$J3633,(1-$M3633)*$I3633+$M3633*$J3633)</f>
        <v/>
      </c>
      <c r="O3633" s="209">
        <f>IF($F3633&lt;$B$3587,$E$3587+$I$3587*($F3633-$A$3587),IF($F3633&lt;$C$3587,$F$3587+$J$3587*($F3633-$B$3587),$G$3587+$K$3587*($F3633-$C$3587)))</f>
        <v/>
      </c>
      <c r="P3633" s="208">
        <f>MIN(1,MAX(0,(nr_MEndPm1-$G3633+0.5)/$C$3586))-MIN(1,MAX(0,(nr_MStartPm1-1-$G3633+0.5)/$C$3586))</f>
        <v/>
      </c>
      <c r="Q3633" s="208">
        <f>MIN(1,MAX(0,(nr_MEndP-$G3633+0.5)/$C$3586))-MIN(1,MAX(0,(nr_MStartP-1-$G3633+0.5)/$C$3586))</f>
        <v/>
      </c>
      <c r="R3633" s="208">
        <f>MIN(1,MAX(0,(nr_MEndP1-$G3633+0.5)/$C$3586))-MIN(1,MAX(0,(nr_MStartP1-1-$G3633+0.5)/$C$3586))</f>
        <v/>
      </c>
      <c r="S3633" s="208">
        <f>IF($L$3586,$N3633*IF($O$3586=1,$O3633/$F$3586,1),"")</f>
        <v/>
      </c>
      <c r="T3633" s="208">
        <f>IF(NOT($L$3586),"",IF($G3633&lt;nr_MStartP,$S3633,$T3621*(1+IF($G3633&lt;nr_MStartP1,$M$3586,$N$3586))))</f>
        <v/>
      </c>
      <c r="U3633" s="208">
        <f>IF($L$3586,$T3633,$N3633)</f>
        <v/>
      </c>
    </row>
    <row r="3634">
      <c r="A3634" s="145" t="n">
        <v>46</v>
      </c>
      <c r="B3634" s="204">
        <f>EDATE($B3633,1)</f>
        <v/>
      </c>
      <c r="C3634" s="205">
        <f>EOMONTH($B3634,0)</f>
        <v/>
      </c>
      <c r="D3634" s="201">
        <f>$C3634-$B3634+1</f>
        <v/>
      </c>
      <c r="E3634" s="201">
        <f>MONTH($B3634)</f>
        <v/>
      </c>
      <c r="F3634" s="235">
        <f>($B3634+$C3634+1)/2</f>
        <v/>
      </c>
      <c r="G3634" s="201">
        <f>YEAR($B3634)*12+MONTH($B3634)-1</f>
        <v/>
      </c>
      <c r="H3634" s="207">
        <f>IF(OR(nr_SeasonOn="OFF",$D$3586=0,$E$3586=0),1,12*INDEX(se_block,$D$3586,$E3634)/$E$3586)</f>
        <v/>
      </c>
      <c r="I3634" s="208">
        <f>EXP(SUMPRODUCT((rl_eff&lt;$B3634)*(rl_key=$A$3586)*rl_ln1p))</f>
        <v/>
      </c>
      <c r="J3634" s="208">
        <f>EXP(SUMPRODUCT((rl_eff&lt;=$C3634)*(rl_key=$A$3586)*rl_ln1p))</f>
        <v/>
      </c>
      <c r="K3634" s="201">
        <f>COUNTIFS(rl_key,$A$3586,rl_eff,"&gt;="&amp;$B3634,rl_eff,"&lt;="&amp;$C3634)</f>
        <v/>
      </c>
      <c r="L3634" s="201">
        <f>SUMIFS(rl_daysafter,rl_key,$A$3586,rl_effmonth,$B3634,rl_first,1)</f>
        <v/>
      </c>
      <c r="M3634" s="209">
        <f>IF($K3634=0,0,MIN(1,$L3634/$D3634))</f>
        <v/>
      </c>
      <c r="N3634" s="208">
        <f>IF($K3634=0,$J3634,(1-$M3634)*$I3634+$M3634*$J3634)</f>
        <v/>
      </c>
      <c r="O3634" s="209">
        <f>IF($F3634&lt;$B$3587,$E$3587+$I$3587*($F3634-$A$3587),IF($F3634&lt;$C$3587,$F$3587+$J$3587*($F3634-$B$3587),$G$3587+$K$3587*($F3634-$C$3587)))</f>
        <v/>
      </c>
      <c r="P3634" s="208">
        <f>MIN(1,MAX(0,(nr_MEndPm1-$G3634+0.5)/$C$3586))-MIN(1,MAX(0,(nr_MStartPm1-1-$G3634+0.5)/$C$3586))</f>
        <v/>
      </c>
      <c r="Q3634" s="208">
        <f>MIN(1,MAX(0,(nr_MEndP-$G3634+0.5)/$C$3586))-MIN(1,MAX(0,(nr_MStartP-1-$G3634+0.5)/$C$3586))</f>
        <v/>
      </c>
      <c r="R3634" s="208">
        <f>MIN(1,MAX(0,(nr_MEndP1-$G3634+0.5)/$C$3586))-MIN(1,MAX(0,(nr_MStartP1-1-$G3634+0.5)/$C$3586))</f>
        <v/>
      </c>
      <c r="S3634" s="208">
        <f>IF($L$3586,$N3634*IF($O$3586=1,$O3634/$F$3586,1),"")</f>
        <v/>
      </c>
      <c r="T3634" s="208">
        <f>IF(NOT($L$3586),"",IF($G3634&lt;nr_MStartP,$S3634,$T3622*(1+IF($G3634&lt;nr_MStartP1,$M$3586,$N$3586))))</f>
        <v/>
      </c>
      <c r="U3634" s="208">
        <f>IF($L$3586,$T3634,$N3634)</f>
        <v/>
      </c>
    </row>
    <row r="3635">
      <c r="A3635" s="145" t="n">
        <v>47</v>
      </c>
      <c r="B3635" s="204">
        <f>EDATE($B3634,1)</f>
        <v/>
      </c>
      <c r="C3635" s="205">
        <f>EOMONTH($B3635,0)</f>
        <v/>
      </c>
      <c r="D3635" s="201">
        <f>$C3635-$B3635+1</f>
        <v/>
      </c>
      <c r="E3635" s="201">
        <f>MONTH($B3635)</f>
        <v/>
      </c>
      <c r="F3635" s="235">
        <f>($B3635+$C3635+1)/2</f>
        <v/>
      </c>
      <c r="G3635" s="201">
        <f>YEAR($B3635)*12+MONTH($B3635)-1</f>
        <v/>
      </c>
      <c r="H3635" s="207">
        <f>IF(OR(nr_SeasonOn="OFF",$D$3586=0,$E$3586=0),1,12*INDEX(se_block,$D$3586,$E3635)/$E$3586)</f>
        <v/>
      </c>
      <c r="I3635" s="208">
        <f>EXP(SUMPRODUCT((rl_eff&lt;$B3635)*(rl_key=$A$3586)*rl_ln1p))</f>
        <v/>
      </c>
      <c r="J3635" s="208">
        <f>EXP(SUMPRODUCT((rl_eff&lt;=$C3635)*(rl_key=$A$3586)*rl_ln1p))</f>
        <v/>
      </c>
      <c r="K3635" s="201">
        <f>COUNTIFS(rl_key,$A$3586,rl_eff,"&gt;="&amp;$B3635,rl_eff,"&lt;="&amp;$C3635)</f>
        <v/>
      </c>
      <c r="L3635" s="201">
        <f>SUMIFS(rl_daysafter,rl_key,$A$3586,rl_effmonth,$B3635,rl_first,1)</f>
        <v/>
      </c>
      <c r="M3635" s="209">
        <f>IF($K3635=0,0,MIN(1,$L3635/$D3635))</f>
        <v/>
      </c>
      <c r="N3635" s="208">
        <f>IF($K3635=0,$J3635,(1-$M3635)*$I3635+$M3635*$J3635)</f>
        <v/>
      </c>
      <c r="O3635" s="209">
        <f>IF($F3635&lt;$B$3587,$E$3587+$I$3587*($F3635-$A$3587),IF($F3635&lt;$C$3587,$F$3587+$J$3587*($F3635-$B$3587),$G$3587+$K$3587*($F3635-$C$3587)))</f>
        <v/>
      </c>
      <c r="P3635" s="208">
        <f>MIN(1,MAX(0,(nr_MEndPm1-$G3635+0.5)/$C$3586))-MIN(1,MAX(0,(nr_MStartPm1-1-$G3635+0.5)/$C$3586))</f>
        <v/>
      </c>
      <c r="Q3635" s="208">
        <f>MIN(1,MAX(0,(nr_MEndP-$G3635+0.5)/$C$3586))-MIN(1,MAX(0,(nr_MStartP-1-$G3635+0.5)/$C$3586))</f>
        <v/>
      </c>
      <c r="R3635" s="208">
        <f>MIN(1,MAX(0,(nr_MEndP1-$G3635+0.5)/$C$3586))-MIN(1,MAX(0,(nr_MStartP1-1-$G3635+0.5)/$C$3586))</f>
        <v/>
      </c>
      <c r="S3635" s="208">
        <f>IF($L$3586,$N3635*IF($O$3586=1,$O3635/$F$3586,1),"")</f>
        <v/>
      </c>
      <c r="T3635" s="208">
        <f>IF(NOT($L$3586),"",IF($G3635&lt;nr_MStartP,$S3635,$T3623*(1+IF($G3635&lt;nr_MStartP1,$M$3586,$N$3586))))</f>
        <v/>
      </c>
      <c r="U3635" s="208">
        <f>IF($L$3586,$T3635,$N3635)</f>
        <v/>
      </c>
    </row>
    <row r="3636">
      <c r="A3636" s="145" t="n">
        <v>48</v>
      </c>
      <c r="B3636" s="204">
        <f>EDATE($B3635,1)</f>
        <v/>
      </c>
      <c r="C3636" s="205">
        <f>EOMONTH($B3636,0)</f>
        <v/>
      </c>
      <c r="D3636" s="201">
        <f>$C3636-$B3636+1</f>
        <v/>
      </c>
      <c r="E3636" s="201">
        <f>MONTH($B3636)</f>
        <v/>
      </c>
      <c r="F3636" s="235">
        <f>($B3636+$C3636+1)/2</f>
        <v/>
      </c>
      <c r="G3636" s="201">
        <f>YEAR($B3636)*12+MONTH($B3636)-1</f>
        <v/>
      </c>
      <c r="H3636" s="207">
        <f>IF(OR(nr_SeasonOn="OFF",$D$3586=0,$E$3586=0),1,12*INDEX(se_block,$D$3586,$E3636)/$E$3586)</f>
        <v/>
      </c>
      <c r="I3636" s="208">
        <f>EXP(SUMPRODUCT((rl_eff&lt;$B3636)*(rl_key=$A$3586)*rl_ln1p))</f>
        <v/>
      </c>
      <c r="J3636" s="208">
        <f>EXP(SUMPRODUCT((rl_eff&lt;=$C3636)*(rl_key=$A$3586)*rl_ln1p))</f>
        <v/>
      </c>
      <c r="K3636" s="201">
        <f>COUNTIFS(rl_key,$A$3586,rl_eff,"&gt;="&amp;$B3636,rl_eff,"&lt;="&amp;$C3636)</f>
        <v/>
      </c>
      <c r="L3636" s="201">
        <f>SUMIFS(rl_daysafter,rl_key,$A$3586,rl_effmonth,$B3636,rl_first,1)</f>
        <v/>
      </c>
      <c r="M3636" s="209">
        <f>IF($K3636=0,0,MIN(1,$L3636/$D3636))</f>
        <v/>
      </c>
      <c r="N3636" s="208">
        <f>IF($K3636=0,$J3636,(1-$M3636)*$I3636+$M3636*$J3636)</f>
        <v/>
      </c>
      <c r="O3636" s="209">
        <f>IF($F3636&lt;$B$3587,$E$3587+$I$3587*($F3636-$A$3587),IF($F3636&lt;$C$3587,$F$3587+$J$3587*($F3636-$B$3587),$G$3587+$K$3587*($F3636-$C$3587)))</f>
        <v/>
      </c>
      <c r="P3636" s="208">
        <f>MIN(1,MAX(0,(nr_MEndPm1-$G3636+0.5)/$C$3586))-MIN(1,MAX(0,(nr_MStartPm1-1-$G3636+0.5)/$C$3586))</f>
        <v/>
      </c>
      <c r="Q3636" s="208">
        <f>MIN(1,MAX(0,(nr_MEndP-$G3636+0.5)/$C$3586))-MIN(1,MAX(0,(nr_MStartP-1-$G3636+0.5)/$C$3586))</f>
        <v/>
      </c>
      <c r="R3636" s="208">
        <f>MIN(1,MAX(0,(nr_MEndP1-$G3636+0.5)/$C$3586))-MIN(1,MAX(0,(nr_MStartP1-1-$G3636+0.5)/$C$3586))</f>
        <v/>
      </c>
      <c r="S3636" s="208">
        <f>IF($L$3586,$N3636*IF($O$3586=1,$O3636/$F$3586,1),"")</f>
        <v/>
      </c>
      <c r="T3636" s="208">
        <f>IF(NOT($L$3586),"",IF($G3636&lt;nr_MStartP,$S3636,$T3624*(1+IF($G3636&lt;nr_MStartP1,$M$3586,$N$3586))))</f>
        <v/>
      </c>
      <c r="U3636" s="208">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184">
        <f>SUMPRODUCT($H$3589:$H$3636,$Q$3589:$Q$3636,$O$3589:$O$3636)/SUMPRODUCT($H$3589:$H$3636,$Q$3589:$Q$3636)</f>
        <v/>
      </c>
      <c r="G3637" s="184">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184">
        <f>IF(N(INDEX(lr_mind,67))=0,1,INDEX(lr_mind,67))</f>
        <v/>
      </c>
      <c r="G3640" s="184">
        <f>IF(N(INDEX(lr_m0,67))=0,1,INDEX(lr_m0,67))</f>
        <v/>
      </c>
      <c r="H3640" s="73">
        <f>IF(N(INDEX(lr_m0asof,67))=0,DATE(nr_PlanYear-1,10,1),INDEX(lr_m0asof,67))</f>
        <v/>
      </c>
      <c r="I3640" s="184">
        <f>IF(N(INDEX(lr_m1,67))=0,1,INDEX(lr_m1,67))</f>
        <v/>
      </c>
      <c r="J3640" s="184">
        <f>INDEX(lr_mprior,67)</f>
        <v/>
      </c>
      <c r="K3640" s="184">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145" t="n">
        <v>1</v>
      </c>
      <c r="B3643" s="204">
        <f>DATE(nr_PlanYear-2,1,1)</f>
        <v/>
      </c>
      <c r="C3643" s="205">
        <f>EOMONTH($B3643,0)</f>
        <v/>
      </c>
      <c r="D3643" s="201">
        <f>$C3643-$B3643+1</f>
        <v/>
      </c>
      <c r="E3643" s="201">
        <f>MONTH($B3643)</f>
        <v/>
      </c>
      <c r="F3643" s="235">
        <f>($B3643+$C3643+1)/2</f>
        <v/>
      </c>
      <c r="G3643" s="201">
        <f>YEAR($B3643)*12+MONTH($B3643)-1</f>
        <v/>
      </c>
      <c r="H3643" s="207">
        <f>IF(OR(nr_SeasonOn="OFF",$D$3640=0,$E$3640=0),1,12*INDEX(se_block,$D$3640,$E3643)/$E$3640)</f>
        <v/>
      </c>
      <c r="I3643" s="208">
        <f>EXP(SUMPRODUCT((rl_eff&lt;$B3643)*(rl_key=$A$3640)*rl_ln1p))</f>
        <v/>
      </c>
      <c r="J3643" s="208">
        <f>EXP(SUMPRODUCT((rl_eff&lt;=$C3643)*(rl_key=$A$3640)*rl_ln1p))</f>
        <v/>
      </c>
      <c r="K3643" s="201">
        <f>COUNTIFS(rl_key,$A$3640,rl_eff,"&gt;="&amp;$B3643,rl_eff,"&lt;="&amp;$C3643)</f>
        <v/>
      </c>
      <c r="L3643" s="201">
        <f>SUMIFS(rl_daysafter,rl_key,$A$3640,rl_effmonth,$B3643,rl_first,1)</f>
        <v/>
      </c>
      <c r="M3643" s="209">
        <f>IF($K3643=0,0,MIN(1,$L3643/$D3643))</f>
        <v/>
      </c>
      <c r="N3643" s="208">
        <f>IF($K3643=0,$J3643,(1-$M3643)*$I3643+$M3643*$J3643)</f>
        <v/>
      </c>
      <c r="O3643" s="209">
        <f>IF($F3643&lt;$B$3641,$E$3641+$I$3641*($F3643-$A$3641),IF($F3643&lt;$C$3641,$F$3641+$J$3641*($F3643-$B$3641),$G$3641+$K$3641*($F3643-$C$3641)))</f>
        <v/>
      </c>
      <c r="P3643" s="208">
        <f>MIN(1,MAX(0,(nr_MEndPm1-$G3643+0.5)/$C$3640))-MIN(1,MAX(0,(nr_MStartPm1-1-$G3643+0.5)/$C$3640))</f>
        <v/>
      </c>
      <c r="Q3643" s="208">
        <f>MIN(1,MAX(0,(nr_MEndP-$G3643+0.5)/$C$3640))-MIN(1,MAX(0,(nr_MStartP-1-$G3643+0.5)/$C$3640))</f>
        <v/>
      </c>
      <c r="R3643" s="208">
        <f>MIN(1,MAX(0,(nr_MEndP1-$G3643+0.5)/$C$3640))-MIN(1,MAX(0,(nr_MStartP1-1-$G3643+0.5)/$C$3640))</f>
        <v/>
      </c>
      <c r="S3643" s="208">
        <f>IF($L$3640,$N3643*IF($O$3640=1,$O3643/$F$3640,1),"")</f>
        <v/>
      </c>
      <c r="T3643" s="208">
        <f>IF(NOT($L$3640),"",IF($G3643&lt;nr_MStartP,$S3643,$T3631*(1+IF($G3643&lt;nr_MStartP1,$M$3640,$N$3640))))</f>
        <v/>
      </c>
      <c r="U3643" s="208">
        <f>IF($L$3640,$T3643,$N3643)</f>
        <v/>
      </c>
    </row>
    <row r="3644">
      <c r="A3644" s="145" t="n">
        <v>2</v>
      </c>
      <c r="B3644" s="204">
        <f>EDATE($B3643,1)</f>
        <v/>
      </c>
      <c r="C3644" s="205">
        <f>EOMONTH($B3644,0)</f>
        <v/>
      </c>
      <c r="D3644" s="201">
        <f>$C3644-$B3644+1</f>
        <v/>
      </c>
      <c r="E3644" s="201">
        <f>MONTH($B3644)</f>
        <v/>
      </c>
      <c r="F3644" s="235">
        <f>($B3644+$C3644+1)/2</f>
        <v/>
      </c>
      <c r="G3644" s="201">
        <f>YEAR($B3644)*12+MONTH($B3644)-1</f>
        <v/>
      </c>
      <c r="H3644" s="207">
        <f>IF(OR(nr_SeasonOn="OFF",$D$3640=0,$E$3640=0),1,12*INDEX(se_block,$D$3640,$E3644)/$E$3640)</f>
        <v/>
      </c>
      <c r="I3644" s="208">
        <f>EXP(SUMPRODUCT((rl_eff&lt;$B3644)*(rl_key=$A$3640)*rl_ln1p))</f>
        <v/>
      </c>
      <c r="J3644" s="208">
        <f>EXP(SUMPRODUCT((rl_eff&lt;=$C3644)*(rl_key=$A$3640)*rl_ln1p))</f>
        <v/>
      </c>
      <c r="K3644" s="201">
        <f>COUNTIFS(rl_key,$A$3640,rl_eff,"&gt;="&amp;$B3644,rl_eff,"&lt;="&amp;$C3644)</f>
        <v/>
      </c>
      <c r="L3644" s="201">
        <f>SUMIFS(rl_daysafter,rl_key,$A$3640,rl_effmonth,$B3644,rl_first,1)</f>
        <v/>
      </c>
      <c r="M3644" s="209">
        <f>IF($K3644=0,0,MIN(1,$L3644/$D3644))</f>
        <v/>
      </c>
      <c r="N3644" s="208">
        <f>IF($K3644=0,$J3644,(1-$M3644)*$I3644+$M3644*$J3644)</f>
        <v/>
      </c>
      <c r="O3644" s="209">
        <f>IF($F3644&lt;$B$3641,$E$3641+$I$3641*($F3644-$A$3641),IF($F3644&lt;$C$3641,$F$3641+$J$3641*($F3644-$B$3641),$G$3641+$K$3641*($F3644-$C$3641)))</f>
        <v/>
      </c>
      <c r="P3644" s="208">
        <f>MIN(1,MAX(0,(nr_MEndPm1-$G3644+0.5)/$C$3640))-MIN(1,MAX(0,(nr_MStartPm1-1-$G3644+0.5)/$C$3640))</f>
        <v/>
      </c>
      <c r="Q3644" s="208">
        <f>MIN(1,MAX(0,(nr_MEndP-$G3644+0.5)/$C$3640))-MIN(1,MAX(0,(nr_MStartP-1-$G3644+0.5)/$C$3640))</f>
        <v/>
      </c>
      <c r="R3644" s="208">
        <f>MIN(1,MAX(0,(nr_MEndP1-$G3644+0.5)/$C$3640))-MIN(1,MAX(0,(nr_MStartP1-1-$G3644+0.5)/$C$3640))</f>
        <v/>
      </c>
      <c r="S3644" s="208">
        <f>IF($L$3640,$N3644*IF($O$3640=1,$O3644/$F$3640,1),"")</f>
        <v/>
      </c>
      <c r="T3644" s="208">
        <f>IF(NOT($L$3640),"",IF($G3644&lt;nr_MStartP,$S3644,$T3632*(1+IF($G3644&lt;nr_MStartP1,$M$3640,$N$3640))))</f>
        <v/>
      </c>
      <c r="U3644" s="208">
        <f>IF($L$3640,$T3644,$N3644)</f>
        <v/>
      </c>
    </row>
    <row r="3645">
      <c r="A3645" s="145" t="n">
        <v>3</v>
      </c>
      <c r="B3645" s="204">
        <f>EDATE($B3644,1)</f>
        <v/>
      </c>
      <c r="C3645" s="205">
        <f>EOMONTH($B3645,0)</f>
        <v/>
      </c>
      <c r="D3645" s="201">
        <f>$C3645-$B3645+1</f>
        <v/>
      </c>
      <c r="E3645" s="201">
        <f>MONTH($B3645)</f>
        <v/>
      </c>
      <c r="F3645" s="235">
        <f>($B3645+$C3645+1)/2</f>
        <v/>
      </c>
      <c r="G3645" s="201">
        <f>YEAR($B3645)*12+MONTH($B3645)-1</f>
        <v/>
      </c>
      <c r="H3645" s="207">
        <f>IF(OR(nr_SeasonOn="OFF",$D$3640=0,$E$3640=0),1,12*INDEX(se_block,$D$3640,$E3645)/$E$3640)</f>
        <v/>
      </c>
      <c r="I3645" s="208">
        <f>EXP(SUMPRODUCT((rl_eff&lt;$B3645)*(rl_key=$A$3640)*rl_ln1p))</f>
        <v/>
      </c>
      <c r="J3645" s="208">
        <f>EXP(SUMPRODUCT((rl_eff&lt;=$C3645)*(rl_key=$A$3640)*rl_ln1p))</f>
        <v/>
      </c>
      <c r="K3645" s="201">
        <f>COUNTIFS(rl_key,$A$3640,rl_eff,"&gt;="&amp;$B3645,rl_eff,"&lt;="&amp;$C3645)</f>
        <v/>
      </c>
      <c r="L3645" s="201">
        <f>SUMIFS(rl_daysafter,rl_key,$A$3640,rl_effmonth,$B3645,rl_first,1)</f>
        <v/>
      </c>
      <c r="M3645" s="209">
        <f>IF($K3645=0,0,MIN(1,$L3645/$D3645))</f>
        <v/>
      </c>
      <c r="N3645" s="208">
        <f>IF($K3645=0,$J3645,(1-$M3645)*$I3645+$M3645*$J3645)</f>
        <v/>
      </c>
      <c r="O3645" s="209">
        <f>IF($F3645&lt;$B$3641,$E$3641+$I$3641*($F3645-$A$3641),IF($F3645&lt;$C$3641,$F$3641+$J$3641*($F3645-$B$3641),$G$3641+$K$3641*($F3645-$C$3641)))</f>
        <v/>
      </c>
      <c r="P3645" s="208">
        <f>MIN(1,MAX(0,(nr_MEndPm1-$G3645+0.5)/$C$3640))-MIN(1,MAX(0,(nr_MStartPm1-1-$G3645+0.5)/$C$3640))</f>
        <v/>
      </c>
      <c r="Q3645" s="208">
        <f>MIN(1,MAX(0,(nr_MEndP-$G3645+0.5)/$C$3640))-MIN(1,MAX(0,(nr_MStartP-1-$G3645+0.5)/$C$3640))</f>
        <v/>
      </c>
      <c r="R3645" s="208">
        <f>MIN(1,MAX(0,(nr_MEndP1-$G3645+0.5)/$C$3640))-MIN(1,MAX(0,(nr_MStartP1-1-$G3645+0.5)/$C$3640))</f>
        <v/>
      </c>
      <c r="S3645" s="208">
        <f>IF($L$3640,$N3645*IF($O$3640=1,$O3645/$F$3640,1),"")</f>
        <v/>
      </c>
      <c r="T3645" s="208">
        <f>IF(NOT($L$3640),"",IF($G3645&lt;nr_MStartP,$S3645,$T3633*(1+IF($G3645&lt;nr_MStartP1,$M$3640,$N$3640))))</f>
        <v/>
      </c>
      <c r="U3645" s="208">
        <f>IF($L$3640,$T3645,$N3645)</f>
        <v/>
      </c>
    </row>
    <row r="3646">
      <c r="A3646" s="145" t="n">
        <v>4</v>
      </c>
      <c r="B3646" s="204">
        <f>EDATE($B3645,1)</f>
        <v/>
      </c>
      <c r="C3646" s="205">
        <f>EOMONTH($B3646,0)</f>
        <v/>
      </c>
      <c r="D3646" s="201">
        <f>$C3646-$B3646+1</f>
        <v/>
      </c>
      <c r="E3646" s="201">
        <f>MONTH($B3646)</f>
        <v/>
      </c>
      <c r="F3646" s="235">
        <f>($B3646+$C3646+1)/2</f>
        <v/>
      </c>
      <c r="G3646" s="201">
        <f>YEAR($B3646)*12+MONTH($B3646)-1</f>
        <v/>
      </c>
      <c r="H3646" s="207">
        <f>IF(OR(nr_SeasonOn="OFF",$D$3640=0,$E$3640=0),1,12*INDEX(se_block,$D$3640,$E3646)/$E$3640)</f>
        <v/>
      </c>
      <c r="I3646" s="208">
        <f>EXP(SUMPRODUCT((rl_eff&lt;$B3646)*(rl_key=$A$3640)*rl_ln1p))</f>
        <v/>
      </c>
      <c r="J3646" s="208">
        <f>EXP(SUMPRODUCT((rl_eff&lt;=$C3646)*(rl_key=$A$3640)*rl_ln1p))</f>
        <v/>
      </c>
      <c r="K3646" s="201">
        <f>COUNTIFS(rl_key,$A$3640,rl_eff,"&gt;="&amp;$B3646,rl_eff,"&lt;="&amp;$C3646)</f>
        <v/>
      </c>
      <c r="L3646" s="201">
        <f>SUMIFS(rl_daysafter,rl_key,$A$3640,rl_effmonth,$B3646,rl_first,1)</f>
        <v/>
      </c>
      <c r="M3646" s="209">
        <f>IF($K3646=0,0,MIN(1,$L3646/$D3646))</f>
        <v/>
      </c>
      <c r="N3646" s="208">
        <f>IF($K3646=0,$J3646,(1-$M3646)*$I3646+$M3646*$J3646)</f>
        <v/>
      </c>
      <c r="O3646" s="209">
        <f>IF($F3646&lt;$B$3641,$E$3641+$I$3641*($F3646-$A$3641),IF($F3646&lt;$C$3641,$F$3641+$J$3641*($F3646-$B$3641),$G$3641+$K$3641*($F3646-$C$3641)))</f>
        <v/>
      </c>
      <c r="P3646" s="208">
        <f>MIN(1,MAX(0,(nr_MEndPm1-$G3646+0.5)/$C$3640))-MIN(1,MAX(0,(nr_MStartPm1-1-$G3646+0.5)/$C$3640))</f>
        <v/>
      </c>
      <c r="Q3646" s="208">
        <f>MIN(1,MAX(0,(nr_MEndP-$G3646+0.5)/$C$3640))-MIN(1,MAX(0,(nr_MStartP-1-$G3646+0.5)/$C$3640))</f>
        <v/>
      </c>
      <c r="R3646" s="208">
        <f>MIN(1,MAX(0,(nr_MEndP1-$G3646+0.5)/$C$3640))-MIN(1,MAX(0,(nr_MStartP1-1-$G3646+0.5)/$C$3640))</f>
        <v/>
      </c>
      <c r="S3646" s="208">
        <f>IF($L$3640,$N3646*IF($O$3640=1,$O3646/$F$3640,1),"")</f>
        <v/>
      </c>
      <c r="T3646" s="208">
        <f>IF(NOT($L$3640),"",IF($G3646&lt;nr_MStartP,$S3646,$T3634*(1+IF($G3646&lt;nr_MStartP1,$M$3640,$N$3640))))</f>
        <v/>
      </c>
      <c r="U3646" s="208">
        <f>IF($L$3640,$T3646,$N3646)</f>
        <v/>
      </c>
    </row>
    <row r="3647">
      <c r="A3647" s="145" t="n">
        <v>5</v>
      </c>
      <c r="B3647" s="204">
        <f>EDATE($B3646,1)</f>
        <v/>
      </c>
      <c r="C3647" s="205">
        <f>EOMONTH($B3647,0)</f>
        <v/>
      </c>
      <c r="D3647" s="201">
        <f>$C3647-$B3647+1</f>
        <v/>
      </c>
      <c r="E3647" s="201">
        <f>MONTH($B3647)</f>
        <v/>
      </c>
      <c r="F3647" s="235">
        <f>($B3647+$C3647+1)/2</f>
        <v/>
      </c>
      <c r="G3647" s="201">
        <f>YEAR($B3647)*12+MONTH($B3647)-1</f>
        <v/>
      </c>
      <c r="H3647" s="207">
        <f>IF(OR(nr_SeasonOn="OFF",$D$3640=0,$E$3640=0),1,12*INDEX(se_block,$D$3640,$E3647)/$E$3640)</f>
        <v/>
      </c>
      <c r="I3647" s="208">
        <f>EXP(SUMPRODUCT((rl_eff&lt;$B3647)*(rl_key=$A$3640)*rl_ln1p))</f>
        <v/>
      </c>
      <c r="J3647" s="208">
        <f>EXP(SUMPRODUCT((rl_eff&lt;=$C3647)*(rl_key=$A$3640)*rl_ln1p))</f>
        <v/>
      </c>
      <c r="K3647" s="201">
        <f>COUNTIFS(rl_key,$A$3640,rl_eff,"&gt;="&amp;$B3647,rl_eff,"&lt;="&amp;$C3647)</f>
        <v/>
      </c>
      <c r="L3647" s="201">
        <f>SUMIFS(rl_daysafter,rl_key,$A$3640,rl_effmonth,$B3647,rl_first,1)</f>
        <v/>
      </c>
      <c r="M3647" s="209">
        <f>IF($K3647=0,0,MIN(1,$L3647/$D3647))</f>
        <v/>
      </c>
      <c r="N3647" s="208">
        <f>IF($K3647=0,$J3647,(1-$M3647)*$I3647+$M3647*$J3647)</f>
        <v/>
      </c>
      <c r="O3647" s="209">
        <f>IF($F3647&lt;$B$3641,$E$3641+$I$3641*($F3647-$A$3641),IF($F3647&lt;$C$3641,$F$3641+$J$3641*($F3647-$B$3641),$G$3641+$K$3641*($F3647-$C$3641)))</f>
        <v/>
      </c>
      <c r="P3647" s="208">
        <f>MIN(1,MAX(0,(nr_MEndPm1-$G3647+0.5)/$C$3640))-MIN(1,MAX(0,(nr_MStartPm1-1-$G3647+0.5)/$C$3640))</f>
        <v/>
      </c>
      <c r="Q3647" s="208">
        <f>MIN(1,MAX(0,(nr_MEndP-$G3647+0.5)/$C$3640))-MIN(1,MAX(0,(nr_MStartP-1-$G3647+0.5)/$C$3640))</f>
        <v/>
      </c>
      <c r="R3647" s="208">
        <f>MIN(1,MAX(0,(nr_MEndP1-$G3647+0.5)/$C$3640))-MIN(1,MAX(0,(nr_MStartP1-1-$G3647+0.5)/$C$3640))</f>
        <v/>
      </c>
      <c r="S3647" s="208">
        <f>IF($L$3640,$N3647*IF($O$3640=1,$O3647/$F$3640,1),"")</f>
        <v/>
      </c>
      <c r="T3647" s="208">
        <f>IF(NOT($L$3640),"",IF($G3647&lt;nr_MStartP,$S3647,$T3635*(1+IF($G3647&lt;nr_MStartP1,$M$3640,$N$3640))))</f>
        <v/>
      </c>
      <c r="U3647" s="208">
        <f>IF($L$3640,$T3647,$N3647)</f>
        <v/>
      </c>
    </row>
    <row r="3648">
      <c r="A3648" s="145" t="n">
        <v>6</v>
      </c>
      <c r="B3648" s="204">
        <f>EDATE($B3647,1)</f>
        <v/>
      </c>
      <c r="C3648" s="205">
        <f>EOMONTH($B3648,0)</f>
        <v/>
      </c>
      <c r="D3648" s="201">
        <f>$C3648-$B3648+1</f>
        <v/>
      </c>
      <c r="E3648" s="201">
        <f>MONTH($B3648)</f>
        <v/>
      </c>
      <c r="F3648" s="235">
        <f>($B3648+$C3648+1)/2</f>
        <v/>
      </c>
      <c r="G3648" s="201">
        <f>YEAR($B3648)*12+MONTH($B3648)-1</f>
        <v/>
      </c>
      <c r="H3648" s="207">
        <f>IF(OR(nr_SeasonOn="OFF",$D$3640=0,$E$3640=0),1,12*INDEX(se_block,$D$3640,$E3648)/$E$3640)</f>
        <v/>
      </c>
      <c r="I3648" s="208">
        <f>EXP(SUMPRODUCT((rl_eff&lt;$B3648)*(rl_key=$A$3640)*rl_ln1p))</f>
        <v/>
      </c>
      <c r="J3648" s="208">
        <f>EXP(SUMPRODUCT((rl_eff&lt;=$C3648)*(rl_key=$A$3640)*rl_ln1p))</f>
        <v/>
      </c>
      <c r="K3648" s="201">
        <f>COUNTIFS(rl_key,$A$3640,rl_eff,"&gt;="&amp;$B3648,rl_eff,"&lt;="&amp;$C3648)</f>
        <v/>
      </c>
      <c r="L3648" s="201">
        <f>SUMIFS(rl_daysafter,rl_key,$A$3640,rl_effmonth,$B3648,rl_first,1)</f>
        <v/>
      </c>
      <c r="M3648" s="209">
        <f>IF($K3648=0,0,MIN(1,$L3648/$D3648))</f>
        <v/>
      </c>
      <c r="N3648" s="208">
        <f>IF($K3648=0,$J3648,(1-$M3648)*$I3648+$M3648*$J3648)</f>
        <v/>
      </c>
      <c r="O3648" s="209">
        <f>IF($F3648&lt;$B$3641,$E$3641+$I$3641*($F3648-$A$3641),IF($F3648&lt;$C$3641,$F$3641+$J$3641*($F3648-$B$3641),$G$3641+$K$3641*($F3648-$C$3641)))</f>
        <v/>
      </c>
      <c r="P3648" s="208">
        <f>MIN(1,MAX(0,(nr_MEndPm1-$G3648+0.5)/$C$3640))-MIN(1,MAX(0,(nr_MStartPm1-1-$G3648+0.5)/$C$3640))</f>
        <v/>
      </c>
      <c r="Q3648" s="208">
        <f>MIN(1,MAX(0,(nr_MEndP-$G3648+0.5)/$C$3640))-MIN(1,MAX(0,(nr_MStartP-1-$G3648+0.5)/$C$3640))</f>
        <v/>
      </c>
      <c r="R3648" s="208">
        <f>MIN(1,MAX(0,(nr_MEndP1-$G3648+0.5)/$C$3640))-MIN(1,MAX(0,(nr_MStartP1-1-$G3648+0.5)/$C$3640))</f>
        <v/>
      </c>
      <c r="S3648" s="208">
        <f>IF($L$3640,$N3648*IF($O$3640=1,$O3648/$F$3640,1),"")</f>
        <v/>
      </c>
      <c r="T3648" s="208">
        <f>IF(NOT($L$3640),"",IF($G3648&lt;nr_MStartP,$S3648,$T3636*(1+IF($G3648&lt;nr_MStartP1,$M$3640,$N$3640))))</f>
        <v/>
      </c>
      <c r="U3648" s="208">
        <f>IF($L$3640,$T3648,$N3648)</f>
        <v/>
      </c>
    </row>
    <row r="3649">
      <c r="A3649" s="145" t="n">
        <v>7</v>
      </c>
      <c r="B3649" s="204">
        <f>EDATE($B3648,1)</f>
        <v/>
      </c>
      <c r="C3649" s="205">
        <f>EOMONTH($B3649,0)</f>
        <v/>
      </c>
      <c r="D3649" s="201">
        <f>$C3649-$B3649+1</f>
        <v/>
      </c>
      <c r="E3649" s="201">
        <f>MONTH($B3649)</f>
        <v/>
      </c>
      <c r="F3649" s="235">
        <f>($B3649+$C3649+1)/2</f>
        <v/>
      </c>
      <c r="G3649" s="201">
        <f>YEAR($B3649)*12+MONTH($B3649)-1</f>
        <v/>
      </c>
      <c r="H3649" s="207">
        <f>IF(OR(nr_SeasonOn="OFF",$D$3640=0,$E$3640=0),1,12*INDEX(se_block,$D$3640,$E3649)/$E$3640)</f>
        <v/>
      </c>
      <c r="I3649" s="208">
        <f>EXP(SUMPRODUCT((rl_eff&lt;$B3649)*(rl_key=$A$3640)*rl_ln1p))</f>
        <v/>
      </c>
      <c r="J3649" s="208">
        <f>EXP(SUMPRODUCT((rl_eff&lt;=$C3649)*(rl_key=$A$3640)*rl_ln1p))</f>
        <v/>
      </c>
      <c r="K3649" s="201">
        <f>COUNTIFS(rl_key,$A$3640,rl_eff,"&gt;="&amp;$B3649,rl_eff,"&lt;="&amp;$C3649)</f>
        <v/>
      </c>
      <c r="L3649" s="201">
        <f>SUMIFS(rl_daysafter,rl_key,$A$3640,rl_effmonth,$B3649,rl_first,1)</f>
        <v/>
      </c>
      <c r="M3649" s="209">
        <f>IF($K3649=0,0,MIN(1,$L3649/$D3649))</f>
        <v/>
      </c>
      <c r="N3649" s="208">
        <f>IF($K3649=0,$J3649,(1-$M3649)*$I3649+$M3649*$J3649)</f>
        <v/>
      </c>
      <c r="O3649" s="209">
        <f>IF($F3649&lt;$B$3641,$E$3641+$I$3641*($F3649-$A$3641),IF($F3649&lt;$C$3641,$F$3641+$J$3641*($F3649-$B$3641),$G$3641+$K$3641*($F3649-$C$3641)))</f>
        <v/>
      </c>
      <c r="P3649" s="208">
        <f>MIN(1,MAX(0,(nr_MEndPm1-$G3649+0.5)/$C$3640))-MIN(1,MAX(0,(nr_MStartPm1-1-$G3649+0.5)/$C$3640))</f>
        <v/>
      </c>
      <c r="Q3649" s="208">
        <f>MIN(1,MAX(0,(nr_MEndP-$G3649+0.5)/$C$3640))-MIN(1,MAX(0,(nr_MStartP-1-$G3649+0.5)/$C$3640))</f>
        <v/>
      </c>
      <c r="R3649" s="208">
        <f>MIN(1,MAX(0,(nr_MEndP1-$G3649+0.5)/$C$3640))-MIN(1,MAX(0,(nr_MStartP1-1-$G3649+0.5)/$C$3640))</f>
        <v/>
      </c>
      <c r="S3649" s="208">
        <f>IF($L$3640,$N3649*IF($O$3640=1,$O3649/$F$3640,1),"")</f>
        <v/>
      </c>
      <c r="T3649" s="208">
        <f>IF(NOT($L$3640),"",IF($G3649&lt;nr_MStartP,$S3649,$T3637*(1+IF($G3649&lt;nr_MStartP1,$M$3640,$N$3640))))</f>
        <v/>
      </c>
      <c r="U3649" s="208">
        <f>IF($L$3640,$T3649,$N3649)</f>
        <v/>
      </c>
    </row>
    <row r="3650">
      <c r="A3650" s="145" t="n">
        <v>8</v>
      </c>
      <c r="B3650" s="204">
        <f>EDATE($B3649,1)</f>
        <v/>
      </c>
      <c r="C3650" s="205">
        <f>EOMONTH($B3650,0)</f>
        <v/>
      </c>
      <c r="D3650" s="201">
        <f>$C3650-$B3650+1</f>
        <v/>
      </c>
      <c r="E3650" s="201">
        <f>MONTH($B3650)</f>
        <v/>
      </c>
      <c r="F3650" s="235">
        <f>($B3650+$C3650+1)/2</f>
        <v/>
      </c>
      <c r="G3650" s="201">
        <f>YEAR($B3650)*12+MONTH($B3650)-1</f>
        <v/>
      </c>
      <c r="H3650" s="207">
        <f>IF(OR(nr_SeasonOn="OFF",$D$3640=0,$E$3640=0),1,12*INDEX(se_block,$D$3640,$E3650)/$E$3640)</f>
        <v/>
      </c>
      <c r="I3650" s="208">
        <f>EXP(SUMPRODUCT((rl_eff&lt;$B3650)*(rl_key=$A$3640)*rl_ln1p))</f>
        <v/>
      </c>
      <c r="J3650" s="208">
        <f>EXP(SUMPRODUCT((rl_eff&lt;=$C3650)*(rl_key=$A$3640)*rl_ln1p))</f>
        <v/>
      </c>
      <c r="K3650" s="201">
        <f>COUNTIFS(rl_key,$A$3640,rl_eff,"&gt;="&amp;$B3650,rl_eff,"&lt;="&amp;$C3650)</f>
        <v/>
      </c>
      <c r="L3650" s="201">
        <f>SUMIFS(rl_daysafter,rl_key,$A$3640,rl_effmonth,$B3650,rl_first,1)</f>
        <v/>
      </c>
      <c r="M3650" s="209">
        <f>IF($K3650=0,0,MIN(1,$L3650/$D3650))</f>
        <v/>
      </c>
      <c r="N3650" s="208">
        <f>IF($K3650=0,$J3650,(1-$M3650)*$I3650+$M3650*$J3650)</f>
        <v/>
      </c>
      <c r="O3650" s="209">
        <f>IF($F3650&lt;$B$3641,$E$3641+$I$3641*($F3650-$A$3641),IF($F3650&lt;$C$3641,$F$3641+$J$3641*($F3650-$B$3641),$G$3641+$K$3641*($F3650-$C$3641)))</f>
        <v/>
      </c>
      <c r="P3650" s="208">
        <f>MIN(1,MAX(0,(nr_MEndPm1-$G3650+0.5)/$C$3640))-MIN(1,MAX(0,(nr_MStartPm1-1-$G3650+0.5)/$C$3640))</f>
        <v/>
      </c>
      <c r="Q3650" s="208">
        <f>MIN(1,MAX(0,(nr_MEndP-$G3650+0.5)/$C$3640))-MIN(1,MAX(0,(nr_MStartP-1-$G3650+0.5)/$C$3640))</f>
        <v/>
      </c>
      <c r="R3650" s="208">
        <f>MIN(1,MAX(0,(nr_MEndP1-$G3650+0.5)/$C$3640))-MIN(1,MAX(0,(nr_MStartP1-1-$G3650+0.5)/$C$3640))</f>
        <v/>
      </c>
      <c r="S3650" s="208">
        <f>IF($L$3640,$N3650*IF($O$3640=1,$O3650/$F$3640,1),"")</f>
        <v/>
      </c>
      <c r="T3650" s="208">
        <f>IF(NOT($L$3640),"",IF($G3650&lt;nr_MStartP,$S3650,$T3638*(1+IF($G3650&lt;nr_MStartP1,$M$3640,$N$3640))))</f>
        <v/>
      </c>
      <c r="U3650" s="208">
        <f>IF($L$3640,$T3650,$N3650)</f>
        <v/>
      </c>
    </row>
    <row r="3651">
      <c r="A3651" s="145" t="n">
        <v>9</v>
      </c>
      <c r="B3651" s="204">
        <f>EDATE($B3650,1)</f>
        <v/>
      </c>
      <c r="C3651" s="205">
        <f>EOMONTH($B3651,0)</f>
        <v/>
      </c>
      <c r="D3651" s="201">
        <f>$C3651-$B3651+1</f>
        <v/>
      </c>
      <c r="E3651" s="201">
        <f>MONTH($B3651)</f>
        <v/>
      </c>
      <c r="F3651" s="235">
        <f>($B3651+$C3651+1)/2</f>
        <v/>
      </c>
      <c r="G3651" s="201">
        <f>YEAR($B3651)*12+MONTH($B3651)-1</f>
        <v/>
      </c>
      <c r="H3651" s="207">
        <f>IF(OR(nr_SeasonOn="OFF",$D$3640=0,$E$3640=0),1,12*INDEX(se_block,$D$3640,$E3651)/$E$3640)</f>
        <v/>
      </c>
      <c r="I3651" s="208">
        <f>EXP(SUMPRODUCT((rl_eff&lt;$B3651)*(rl_key=$A$3640)*rl_ln1p))</f>
        <v/>
      </c>
      <c r="J3651" s="208">
        <f>EXP(SUMPRODUCT((rl_eff&lt;=$C3651)*(rl_key=$A$3640)*rl_ln1p))</f>
        <v/>
      </c>
      <c r="K3651" s="201">
        <f>COUNTIFS(rl_key,$A$3640,rl_eff,"&gt;="&amp;$B3651,rl_eff,"&lt;="&amp;$C3651)</f>
        <v/>
      </c>
      <c r="L3651" s="201">
        <f>SUMIFS(rl_daysafter,rl_key,$A$3640,rl_effmonth,$B3651,rl_first,1)</f>
        <v/>
      </c>
      <c r="M3651" s="209">
        <f>IF($K3651=0,0,MIN(1,$L3651/$D3651))</f>
        <v/>
      </c>
      <c r="N3651" s="208">
        <f>IF($K3651=0,$J3651,(1-$M3651)*$I3651+$M3651*$J3651)</f>
        <v/>
      </c>
      <c r="O3651" s="209">
        <f>IF($F3651&lt;$B$3641,$E$3641+$I$3641*($F3651-$A$3641),IF($F3651&lt;$C$3641,$F$3641+$J$3641*($F3651-$B$3641),$G$3641+$K$3641*($F3651-$C$3641)))</f>
        <v/>
      </c>
      <c r="P3651" s="208">
        <f>MIN(1,MAX(0,(nr_MEndPm1-$G3651+0.5)/$C$3640))-MIN(1,MAX(0,(nr_MStartPm1-1-$G3651+0.5)/$C$3640))</f>
        <v/>
      </c>
      <c r="Q3651" s="208">
        <f>MIN(1,MAX(0,(nr_MEndP-$G3651+0.5)/$C$3640))-MIN(1,MAX(0,(nr_MStartP-1-$G3651+0.5)/$C$3640))</f>
        <v/>
      </c>
      <c r="R3651" s="208">
        <f>MIN(1,MAX(0,(nr_MEndP1-$G3651+0.5)/$C$3640))-MIN(1,MAX(0,(nr_MStartP1-1-$G3651+0.5)/$C$3640))</f>
        <v/>
      </c>
      <c r="S3651" s="208">
        <f>IF($L$3640,$N3651*IF($O$3640=1,$O3651/$F$3640,1),"")</f>
        <v/>
      </c>
      <c r="T3651" s="208">
        <f>IF(NOT($L$3640),"",IF($G3651&lt;nr_MStartP,$S3651,$T3639*(1+IF($G3651&lt;nr_MStartP1,$M$3640,$N$3640))))</f>
        <v/>
      </c>
      <c r="U3651" s="208">
        <f>IF($L$3640,$T3651,$N3651)</f>
        <v/>
      </c>
    </row>
    <row r="3652">
      <c r="A3652" s="145" t="n">
        <v>10</v>
      </c>
      <c r="B3652" s="204">
        <f>EDATE($B3651,1)</f>
        <v/>
      </c>
      <c r="C3652" s="205">
        <f>EOMONTH($B3652,0)</f>
        <v/>
      </c>
      <c r="D3652" s="201">
        <f>$C3652-$B3652+1</f>
        <v/>
      </c>
      <c r="E3652" s="201">
        <f>MONTH($B3652)</f>
        <v/>
      </c>
      <c r="F3652" s="235">
        <f>($B3652+$C3652+1)/2</f>
        <v/>
      </c>
      <c r="G3652" s="201">
        <f>YEAR($B3652)*12+MONTH($B3652)-1</f>
        <v/>
      </c>
      <c r="H3652" s="207">
        <f>IF(OR(nr_SeasonOn="OFF",$D$3640=0,$E$3640=0),1,12*INDEX(se_block,$D$3640,$E3652)/$E$3640)</f>
        <v/>
      </c>
      <c r="I3652" s="208">
        <f>EXP(SUMPRODUCT((rl_eff&lt;$B3652)*(rl_key=$A$3640)*rl_ln1p))</f>
        <v/>
      </c>
      <c r="J3652" s="208">
        <f>EXP(SUMPRODUCT((rl_eff&lt;=$C3652)*(rl_key=$A$3640)*rl_ln1p))</f>
        <v/>
      </c>
      <c r="K3652" s="201">
        <f>COUNTIFS(rl_key,$A$3640,rl_eff,"&gt;="&amp;$B3652,rl_eff,"&lt;="&amp;$C3652)</f>
        <v/>
      </c>
      <c r="L3652" s="201">
        <f>SUMIFS(rl_daysafter,rl_key,$A$3640,rl_effmonth,$B3652,rl_first,1)</f>
        <v/>
      </c>
      <c r="M3652" s="209">
        <f>IF($K3652=0,0,MIN(1,$L3652/$D3652))</f>
        <v/>
      </c>
      <c r="N3652" s="208">
        <f>IF($K3652=0,$J3652,(1-$M3652)*$I3652+$M3652*$J3652)</f>
        <v/>
      </c>
      <c r="O3652" s="209">
        <f>IF($F3652&lt;$B$3641,$E$3641+$I$3641*($F3652-$A$3641),IF($F3652&lt;$C$3641,$F$3641+$J$3641*($F3652-$B$3641),$G$3641+$K$3641*($F3652-$C$3641)))</f>
        <v/>
      </c>
      <c r="P3652" s="208">
        <f>MIN(1,MAX(0,(nr_MEndPm1-$G3652+0.5)/$C$3640))-MIN(1,MAX(0,(nr_MStartPm1-1-$G3652+0.5)/$C$3640))</f>
        <v/>
      </c>
      <c r="Q3652" s="208">
        <f>MIN(1,MAX(0,(nr_MEndP-$G3652+0.5)/$C$3640))-MIN(1,MAX(0,(nr_MStartP-1-$G3652+0.5)/$C$3640))</f>
        <v/>
      </c>
      <c r="R3652" s="208">
        <f>MIN(1,MAX(0,(nr_MEndP1-$G3652+0.5)/$C$3640))-MIN(1,MAX(0,(nr_MStartP1-1-$G3652+0.5)/$C$3640))</f>
        <v/>
      </c>
      <c r="S3652" s="208">
        <f>IF($L$3640,$N3652*IF($O$3640=1,$O3652/$F$3640,1),"")</f>
        <v/>
      </c>
      <c r="T3652" s="208">
        <f>IF(NOT($L$3640),"",IF($G3652&lt;nr_MStartP,$S3652,$T3640*(1+IF($G3652&lt;nr_MStartP1,$M$3640,$N$3640))))</f>
        <v/>
      </c>
      <c r="U3652" s="208">
        <f>IF($L$3640,$T3652,$N3652)</f>
        <v/>
      </c>
    </row>
    <row r="3653">
      <c r="A3653" s="145" t="n">
        <v>11</v>
      </c>
      <c r="B3653" s="204">
        <f>EDATE($B3652,1)</f>
        <v/>
      </c>
      <c r="C3653" s="205">
        <f>EOMONTH($B3653,0)</f>
        <v/>
      </c>
      <c r="D3653" s="201">
        <f>$C3653-$B3653+1</f>
        <v/>
      </c>
      <c r="E3653" s="201">
        <f>MONTH($B3653)</f>
        <v/>
      </c>
      <c r="F3653" s="235">
        <f>($B3653+$C3653+1)/2</f>
        <v/>
      </c>
      <c r="G3653" s="201">
        <f>YEAR($B3653)*12+MONTH($B3653)-1</f>
        <v/>
      </c>
      <c r="H3653" s="207">
        <f>IF(OR(nr_SeasonOn="OFF",$D$3640=0,$E$3640=0),1,12*INDEX(se_block,$D$3640,$E3653)/$E$3640)</f>
        <v/>
      </c>
      <c r="I3653" s="208">
        <f>EXP(SUMPRODUCT((rl_eff&lt;$B3653)*(rl_key=$A$3640)*rl_ln1p))</f>
        <v/>
      </c>
      <c r="J3653" s="208">
        <f>EXP(SUMPRODUCT((rl_eff&lt;=$C3653)*(rl_key=$A$3640)*rl_ln1p))</f>
        <v/>
      </c>
      <c r="K3653" s="201">
        <f>COUNTIFS(rl_key,$A$3640,rl_eff,"&gt;="&amp;$B3653,rl_eff,"&lt;="&amp;$C3653)</f>
        <v/>
      </c>
      <c r="L3653" s="201">
        <f>SUMIFS(rl_daysafter,rl_key,$A$3640,rl_effmonth,$B3653,rl_first,1)</f>
        <v/>
      </c>
      <c r="M3653" s="209">
        <f>IF($K3653=0,0,MIN(1,$L3653/$D3653))</f>
        <v/>
      </c>
      <c r="N3653" s="208">
        <f>IF($K3653=0,$J3653,(1-$M3653)*$I3653+$M3653*$J3653)</f>
        <v/>
      </c>
      <c r="O3653" s="209">
        <f>IF($F3653&lt;$B$3641,$E$3641+$I$3641*($F3653-$A$3641),IF($F3653&lt;$C$3641,$F$3641+$J$3641*($F3653-$B$3641),$G$3641+$K$3641*($F3653-$C$3641)))</f>
        <v/>
      </c>
      <c r="P3653" s="208">
        <f>MIN(1,MAX(0,(nr_MEndPm1-$G3653+0.5)/$C$3640))-MIN(1,MAX(0,(nr_MStartPm1-1-$G3653+0.5)/$C$3640))</f>
        <v/>
      </c>
      <c r="Q3653" s="208">
        <f>MIN(1,MAX(0,(nr_MEndP-$G3653+0.5)/$C$3640))-MIN(1,MAX(0,(nr_MStartP-1-$G3653+0.5)/$C$3640))</f>
        <v/>
      </c>
      <c r="R3653" s="208">
        <f>MIN(1,MAX(0,(nr_MEndP1-$G3653+0.5)/$C$3640))-MIN(1,MAX(0,(nr_MStartP1-1-$G3653+0.5)/$C$3640))</f>
        <v/>
      </c>
      <c r="S3653" s="208">
        <f>IF($L$3640,$N3653*IF($O$3640=1,$O3653/$F$3640,1),"")</f>
        <v/>
      </c>
      <c r="T3653" s="208">
        <f>IF(NOT($L$3640),"",IF($G3653&lt;nr_MStartP,$S3653,$T3641*(1+IF($G3653&lt;nr_MStartP1,$M$3640,$N$3640))))</f>
        <v/>
      </c>
      <c r="U3653" s="208">
        <f>IF($L$3640,$T3653,$N3653)</f>
        <v/>
      </c>
    </row>
    <row r="3654">
      <c r="A3654" s="145" t="n">
        <v>12</v>
      </c>
      <c r="B3654" s="204">
        <f>EDATE($B3653,1)</f>
        <v/>
      </c>
      <c r="C3654" s="205">
        <f>EOMONTH($B3654,0)</f>
        <v/>
      </c>
      <c r="D3654" s="201">
        <f>$C3654-$B3654+1</f>
        <v/>
      </c>
      <c r="E3654" s="201">
        <f>MONTH($B3654)</f>
        <v/>
      </c>
      <c r="F3654" s="235">
        <f>($B3654+$C3654+1)/2</f>
        <v/>
      </c>
      <c r="G3654" s="201">
        <f>YEAR($B3654)*12+MONTH($B3654)-1</f>
        <v/>
      </c>
      <c r="H3654" s="207">
        <f>IF(OR(nr_SeasonOn="OFF",$D$3640=0,$E$3640=0),1,12*INDEX(se_block,$D$3640,$E3654)/$E$3640)</f>
        <v/>
      </c>
      <c r="I3654" s="208">
        <f>EXP(SUMPRODUCT((rl_eff&lt;$B3654)*(rl_key=$A$3640)*rl_ln1p))</f>
        <v/>
      </c>
      <c r="J3654" s="208">
        <f>EXP(SUMPRODUCT((rl_eff&lt;=$C3654)*(rl_key=$A$3640)*rl_ln1p))</f>
        <v/>
      </c>
      <c r="K3654" s="201">
        <f>COUNTIFS(rl_key,$A$3640,rl_eff,"&gt;="&amp;$B3654,rl_eff,"&lt;="&amp;$C3654)</f>
        <v/>
      </c>
      <c r="L3654" s="201">
        <f>SUMIFS(rl_daysafter,rl_key,$A$3640,rl_effmonth,$B3654,rl_first,1)</f>
        <v/>
      </c>
      <c r="M3654" s="209">
        <f>IF($K3654=0,0,MIN(1,$L3654/$D3654))</f>
        <v/>
      </c>
      <c r="N3654" s="208">
        <f>IF($K3654=0,$J3654,(1-$M3654)*$I3654+$M3654*$J3654)</f>
        <v/>
      </c>
      <c r="O3654" s="209">
        <f>IF($F3654&lt;$B$3641,$E$3641+$I$3641*($F3654-$A$3641),IF($F3654&lt;$C$3641,$F$3641+$J$3641*($F3654-$B$3641),$G$3641+$K$3641*($F3654-$C$3641)))</f>
        <v/>
      </c>
      <c r="P3654" s="208">
        <f>MIN(1,MAX(0,(nr_MEndPm1-$G3654+0.5)/$C$3640))-MIN(1,MAX(0,(nr_MStartPm1-1-$G3654+0.5)/$C$3640))</f>
        <v/>
      </c>
      <c r="Q3654" s="208">
        <f>MIN(1,MAX(0,(nr_MEndP-$G3654+0.5)/$C$3640))-MIN(1,MAX(0,(nr_MStartP-1-$G3654+0.5)/$C$3640))</f>
        <v/>
      </c>
      <c r="R3654" s="208">
        <f>MIN(1,MAX(0,(nr_MEndP1-$G3654+0.5)/$C$3640))-MIN(1,MAX(0,(nr_MStartP1-1-$G3654+0.5)/$C$3640))</f>
        <v/>
      </c>
      <c r="S3654" s="208">
        <f>IF($L$3640,$N3654*IF($O$3640=1,$O3654/$F$3640,1),"")</f>
        <v/>
      </c>
      <c r="T3654" s="208">
        <f>IF(NOT($L$3640),"",IF($G3654&lt;nr_MStartP,$S3654,$T3642*(1+IF($G3654&lt;nr_MStartP1,$M$3640,$N$3640))))</f>
        <v/>
      </c>
      <c r="U3654" s="208">
        <f>IF($L$3640,$T3654,$N3654)</f>
        <v/>
      </c>
    </row>
    <row r="3655">
      <c r="A3655" s="145" t="n">
        <v>13</v>
      </c>
      <c r="B3655" s="204">
        <f>EDATE($B3654,1)</f>
        <v/>
      </c>
      <c r="C3655" s="205">
        <f>EOMONTH($B3655,0)</f>
        <v/>
      </c>
      <c r="D3655" s="201">
        <f>$C3655-$B3655+1</f>
        <v/>
      </c>
      <c r="E3655" s="201">
        <f>MONTH($B3655)</f>
        <v/>
      </c>
      <c r="F3655" s="235">
        <f>($B3655+$C3655+1)/2</f>
        <v/>
      </c>
      <c r="G3655" s="201">
        <f>YEAR($B3655)*12+MONTH($B3655)-1</f>
        <v/>
      </c>
      <c r="H3655" s="207">
        <f>IF(OR(nr_SeasonOn="OFF",$D$3640=0,$E$3640=0),1,12*INDEX(se_block,$D$3640,$E3655)/$E$3640)</f>
        <v/>
      </c>
      <c r="I3655" s="208">
        <f>EXP(SUMPRODUCT((rl_eff&lt;$B3655)*(rl_key=$A$3640)*rl_ln1p))</f>
        <v/>
      </c>
      <c r="J3655" s="208">
        <f>EXP(SUMPRODUCT((rl_eff&lt;=$C3655)*(rl_key=$A$3640)*rl_ln1p))</f>
        <v/>
      </c>
      <c r="K3655" s="201">
        <f>COUNTIFS(rl_key,$A$3640,rl_eff,"&gt;="&amp;$B3655,rl_eff,"&lt;="&amp;$C3655)</f>
        <v/>
      </c>
      <c r="L3655" s="201">
        <f>SUMIFS(rl_daysafter,rl_key,$A$3640,rl_effmonth,$B3655,rl_first,1)</f>
        <v/>
      </c>
      <c r="M3655" s="209">
        <f>IF($K3655=0,0,MIN(1,$L3655/$D3655))</f>
        <v/>
      </c>
      <c r="N3655" s="208">
        <f>IF($K3655=0,$J3655,(1-$M3655)*$I3655+$M3655*$J3655)</f>
        <v/>
      </c>
      <c r="O3655" s="209">
        <f>IF($F3655&lt;$B$3641,$E$3641+$I$3641*($F3655-$A$3641),IF($F3655&lt;$C$3641,$F$3641+$J$3641*($F3655-$B$3641),$G$3641+$K$3641*($F3655-$C$3641)))</f>
        <v/>
      </c>
      <c r="P3655" s="208">
        <f>MIN(1,MAX(0,(nr_MEndPm1-$G3655+0.5)/$C$3640))-MIN(1,MAX(0,(nr_MStartPm1-1-$G3655+0.5)/$C$3640))</f>
        <v/>
      </c>
      <c r="Q3655" s="208">
        <f>MIN(1,MAX(0,(nr_MEndP-$G3655+0.5)/$C$3640))-MIN(1,MAX(0,(nr_MStartP-1-$G3655+0.5)/$C$3640))</f>
        <v/>
      </c>
      <c r="R3655" s="208">
        <f>MIN(1,MAX(0,(nr_MEndP1-$G3655+0.5)/$C$3640))-MIN(1,MAX(0,(nr_MStartP1-1-$G3655+0.5)/$C$3640))</f>
        <v/>
      </c>
      <c r="S3655" s="208">
        <f>IF($L$3640,$N3655*IF($O$3640=1,$O3655/$F$3640,1),"")</f>
        <v/>
      </c>
      <c r="T3655" s="208">
        <f>IF(NOT($L$3640),"",IF($G3655&lt;nr_MStartP,$S3655,$T3643*(1+IF($G3655&lt;nr_MStartP1,$M$3640,$N$3640))))</f>
        <v/>
      </c>
      <c r="U3655" s="208">
        <f>IF($L$3640,$T3655,$N3655)</f>
        <v/>
      </c>
    </row>
    <row r="3656">
      <c r="A3656" s="145" t="n">
        <v>14</v>
      </c>
      <c r="B3656" s="204">
        <f>EDATE($B3655,1)</f>
        <v/>
      </c>
      <c r="C3656" s="205">
        <f>EOMONTH($B3656,0)</f>
        <v/>
      </c>
      <c r="D3656" s="201">
        <f>$C3656-$B3656+1</f>
        <v/>
      </c>
      <c r="E3656" s="201">
        <f>MONTH($B3656)</f>
        <v/>
      </c>
      <c r="F3656" s="235">
        <f>($B3656+$C3656+1)/2</f>
        <v/>
      </c>
      <c r="G3656" s="201">
        <f>YEAR($B3656)*12+MONTH($B3656)-1</f>
        <v/>
      </c>
      <c r="H3656" s="207">
        <f>IF(OR(nr_SeasonOn="OFF",$D$3640=0,$E$3640=0),1,12*INDEX(se_block,$D$3640,$E3656)/$E$3640)</f>
        <v/>
      </c>
      <c r="I3656" s="208">
        <f>EXP(SUMPRODUCT((rl_eff&lt;$B3656)*(rl_key=$A$3640)*rl_ln1p))</f>
        <v/>
      </c>
      <c r="J3656" s="208">
        <f>EXP(SUMPRODUCT((rl_eff&lt;=$C3656)*(rl_key=$A$3640)*rl_ln1p))</f>
        <v/>
      </c>
      <c r="K3656" s="201">
        <f>COUNTIFS(rl_key,$A$3640,rl_eff,"&gt;="&amp;$B3656,rl_eff,"&lt;="&amp;$C3656)</f>
        <v/>
      </c>
      <c r="L3656" s="201">
        <f>SUMIFS(rl_daysafter,rl_key,$A$3640,rl_effmonth,$B3656,rl_first,1)</f>
        <v/>
      </c>
      <c r="M3656" s="209">
        <f>IF($K3656=0,0,MIN(1,$L3656/$D3656))</f>
        <v/>
      </c>
      <c r="N3656" s="208">
        <f>IF($K3656=0,$J3656,(1-$M3656)*$I3656+$M3656*$J3656)</f>
        <v/>
      </c>
      <c r="O3656" s="209">
        <f>IF($F3656&lt;$B$3641,$E$3641+$I$3641*($F3656-$A$3641),IF($F3656&lt;$C$3641,$F$3641+$J$3641*($F3656-$B$3641),$G$3641+$K$3641*($F3656-$C$3641)))</f>
        <v/>
      </c>
      <c r="P3656" s="208">
        <f>MIN(1,MAX(0,(nr_MEndPm1-$G3656+0.5)/$C$3640))-MIN(1,MAX(0,(nr_MStartPm1-1-$G3656+0.5)/$C$3640))</f>
        <v/>
      </c>
      <c r="Q3656" s="208">
        <f>MIN(1,MAX(0,(nr_MEndP-$G3656+0.5)/$C$3640))-MIN(1,MAX(0,(nr_MStartP-1-$G3656+0.5)/$C$3640))</f>
        <v/>
      </c>
      <c r="R3656" s="208">
        <f>MIN(1,MAX(0,(nr_MEndP1-$G3656+0.5)/$C$3640))-MIN(1,MAX(0,(nr_MStartP1-1-$G3656+0.5)/$C$3640))</f>
        <v/>
      </c>
      <c r="S3656" s="208">
        <f>IF($L$3640,$N3656*IF($O$3640=1,$O3656/$F$3640,1),"")</f>
        <v/>
      </c>
      <c r="T3656" s="208">
        <f>IF(NOT($L$3640),"",IF($G3656&lt;nr_MStartP,$S3656,$T3644*(1+IF($G3656&lt;nr_MStartP1,$M$3640,$N$3640))))</f>
        <v/>
      </c>
      <c r="U3656" s="208">
        <f>IF($L$3640,$T3656,$N3656)</f>
        <v/>
      </c>
    </row>
    <row r="3657">
      <c r="A3657" s="145" t="n">
        <v>15</v>
      </c>
      <c r="B3657" s="204">
        <f>EDATE($B3656,1)</f>
        <v/>
      </c>
      <c r="C3657" s="205">
        <f>EOMONTH($B3657,0)</f>
        <v/>
      </c>
      <c r="D3657" s="201">
        <f>$C3657-$B3657+1</f>
        <v/>
      </c>
      <c r="E3657" s="201">
        <f>MONTH($B3657)</f>
        <v/>
      </c>
      <c r="F3657" s="235">
        <f>($B3657+$C3657+1)/2</f>
        <v/>
      </c>
      <c r="G3657" s="201">
        <f>YEAR($B3657)*12+MONTH($B3657)-1</f>
        <v/>
      </c>
      <c r="H3657" s="207">
        <f>IF(OR(nr_SeasonOn="OFF",$D$3640=0,$E$3640=0),1,12*INDEX(se_block,$D$3640,$E3657)/$E$3640)</f>
        <v/>
      </c>
      <c r="I3657" s="208">
        <f>EXP(SUMPRODUCT((rl_eff&lt;$B3657)*(rl_key=$A$3640)*rl_ln1p))</f>
        <v/>
      </c>
      <c r="J3657" s="208">
        <f>EXP(SUMPRODUCT((rl_eff&lt;=$C3657)*(rl_key=$A$3640)*rl_ln1p))</f>
        <v/>
      </c>
      <c r="K3657" s="201">
        <f>COUNTIFS(rl_key,$A$3640,rl_eff,"&gt;="&amp;$B3657,rl_eff,"&lt;="&amp;$C3657)</f>
        <v/>
      </c>
      <c r="L3657" s="201">
        <f>SUMIFS(rl_daysafter,rl_key,$A$3640,rl_effmonth,$B3657,rl_first,1)</f>
        <v/>
      </c>
      <c r="M3657" s="209">
        <f>IF($K3657=0,0,MIN(1,$L3657/$D3657))</f>
        <v/>
      </c>
      <c r="N3657" s="208">
        <f>IF($K3657=0,$J3657,(1-$M3657)*$I3657+$M3657*$J3657)</f>
        <v/>
      </c>
      <c r="O3657" s="209">
        <f>IF($F3657&lt;$B$3641,$E$3641+$I$3641*($F3657-$A$3641),IF($F3657&lt;$C$3641,$F$3641+$J$3641*($F3657-$B$3641),$G$3641+$K$3641*($F3657-$C$3641)))</f>
        <v/>
      </c>
      <c r="P3657" s="208">
        <f>MIN(1,MAX(0,(nr_MEndPm1-$G3657+0.5)/$C$3640))-MIN(1,MAX(0,(nr_MStartPm1-1-$G3657+0.5)/$C$3640))</f>
        <v/>
      </c>
      <c r="Q3657" s="208">
        <f>MIN(1,MAX(0,(nr_MEndP-$G3657+0.5)/$C$3640))-MIN(1,MAX(0,(nr_MStartP-1-$G3657+0.5)/$C$3640))</f>
        <v/>
      </c>
      <c r="R3657" s="208">
        <f>MIN(1,MAX(0,(nr_MEndP1-$G3657+0.5)/$C$3640))-MIN(1,MAX(0,(nr_MStartP1-1-$G3657+0.5)/$C$3640))</f>
        <v/>
      </c>
      <c r="S3657" s="208">
        <f>IF($L$3640,$N3657*IF($O$3640=1,$O3657/$F$3640,1),"")</f>
        <v/>
      </c>
      <c r="T3657" s="208">
        <f>IF(NOT($L$3640),"",IF($G3657&lt;nr_MStartP,$S3657,$T3645*(1+IF($G3657&lt;nr_MStartP1,$M$3640,$N$3640))))</f>
        <v/>
      </c>
      <c r="U3657" s="208">
        <f>IF($L$3640,$T3657,$N3657)</f>
        <v/>
      </c>
    </row>
    <row r="3658">
      <c r="A3658" s="145" t="n">
        <v>16</v>
      </c>
      <c r="B3658" s="204">
        <f>EDATE($B3657,1)</f>
        <v/>
      </c>
      <c r="C3658" s="205">
        <f>EOMONTH($B3658,0)</f>
        <v/>
      </c>
      <c r="D3658" s="201">
        <f>$C3658-$B3658+1</f>
        <v/>
      </c>
      <c r="E3658" s="201">
        <f>MONTH($B3658)</f>
        <v/>
      </c>
      <c r="F3658" s="235">
        <f>($B3658+$C3658+1)/2</f>
        <v/>
      </c>
      <c r="G3658" s="201">
        <f>YEAR($B3658)*12+MONTH($B3658)-1</f>
        <v/>
      </c>
      <c r="H3658" s="207">
        <f>IF(OR(nr_SeasonOn="OFF",$D$3640=0,$E$3640=0),1,12*INDEX(se_block,$D$3640,$E3658)/$E$3640)</f>
        <v/>
      </c>
      <c r="I3658" s="208">
        <f>EXP(SUMPRODUCT((rl_eff&lt;$B3658)*(rl_key=$A$3640)*rl_ln1p))</f>
        <v/>
      </c>
      <c r="J3658" s="208">
        <f>EXP(SUMPRODUCT((rl_eff&lt;=$C3658)*(rl_key=$A$3640)*rl_ln1p))</f>
        <v/>
      </c>
      <c r="K3658" s="201">
        <f>COUNTIFS(rl_key,$A$3640,rl_eff,"&gt;="&amp;$B3658,rl_eff,"&lt;="&amp;$C3658)</f>
        <v/>
      </c>
      <c r="L3658" s="201">
        <f>SUMIFS(rl_daysafter,rl_key,$A$3640,rl_effmonth,$B3658,rl_first,1)</f>
        <v/>
      </c>
      <c r="M3658" s="209">
        <f>IF($K3658=0,0,MIN(1,$L3658/$D3658))</f>
        <v/>
      </c>
      <c r="N3658" s="208">
        <f>IF($K3658=0,$J3658,(1-$M3658)*$I3658+$M3658*$J3658)</f>
        <v/>
      </c>
      <c r="O3658" s="209">
        <f>IF($F3658&lt;$B$3641,$E$3641+$I$3641*($F3658-$A$3641),IF($F3658&lt;$C$3641,$F$3641+$J$3641*($F3658-$B$3641),$G$3641+$K$3641*($F3658-$C$3641)))</f>
        <v/>
      </c>
      <c r="P3658" s="208">
        <f>MIN(1,MAX(0,(nr_MEndPm1-$G3658+0.5)/$C$3640))-MIN(1,MAX(0,(nr_MStartPm1-1-$G3658+0.5)/$C$3640))</f>
        <v/>
      </c>
      <c r="Q3658" s="208">
        <f>MIN(1,MAX(0,(nr_MEndP-$G3658+0.5)/$C$3640))-MIN(1,MAX(0,(nr_MStartP-1-$G3658+0.5)/$C$3640))</f>
        <v/>
      </c>
      <c r="R3658" s="208">
        <f>MIN(1,MAX(0,(nr_MEndP1-$G3658+0.5)/$C$3640))-MIN(1,MAX(0,(nr_MStartP1-1-$G3658+0.5)/$C$3640))</f>
        <v/>
      </c>
      <c r="S3658" s="208">
        <f>IF($L$3640,$N3658*IF($O$3640=1,$O3658/$F$3640,1),"")</f>
        <v/>
      </c>
      <c r="T3658" s="208">
        <f>IF(NOT($L$3640),"",IF($G3658&lt;nr_MStartP,$S3658,$T3646*(1+IF($G3658&lt;nr_MStartP1,$M$3640,$N$3640))))</f>
        <v/>
      </c>
      <c r="U3658" s="208">
        <f>IF($L$3640,$T3658,$N3658)</f>
        <v/>
      </c>
    </row>
    <row r="3659">
      <c r="A3659" s="145" t="n">
        <v>17</v>
      </c>
      <c r="B3659" s="204">
        <f>EDATE($B3658,1)</f>
        <v/>
      </c>
      <c r="C3659" s="205">
        <f>EOMONTH($B3659,0)</f>
        <v/>
      </c>
      <c r="D3659" s="201">
        <f>$C3659-$B3659+1</f>
        <v/>
      </c>
      <c r="E3659" s="201">
        <f>MONTH($B3659)</f>
        <v/>
      </c>
      <c r="F3659" s="235">
        <f>($B3659+$C3659+1)/2</f>
        <v/>
      </c>
      <c r="G3659" s="201">
        <f>YEAR($B3659)*12+MONTH($B3659)-1</f>
        <v/>
      </c>
      <c r="H3659" s="207">
        <f>IF(OR(nr_SeasonOn="OFF",$D$3640=0,$E$3640=0),1,12*INDEX(se_block,$D$3640,$E3659)/$E$3640)</f>
        <v/>
      </c>
      <c r="I3659" s="208">
        <f>EXP(SUMPRODUCT((rl_eff&lt;$B3659)*(rl_key=$A$3640)*rl_ln1p))</f>
        <v/>
      </c>
      <c r="J3659" s="208">
        <f>EXP(SUMPRODUCT((rl_eff&lt;=$C3659)*(rl_key=$A$3640)*rl_ln1p))</f>
        <v/>
      </c>
      <c r="K3659" s="201">
        <f>COUNTIFS(rl_key,$A$3640,rl_eff,"&gt;="&amp;$B3659,rl_eff,"&lt;="&amp;$C3659)</f>
        <v/>
      </c>
      <c r="L3659" s="201">
        <f>SUMIFS(rl_daysafter,rl_key,$A$3640,rl_effmonth,$B3659,rl_first,1)</f>
        <v/>
      </c>
      <c r="M3659" s="209">
        <f>IF($K3659=0,0,MIN(1,$L3659/$D3659))</f>
        <v/>
      </c>
      <c r="N3659" s="208">
        <f>IF($K3659=0,$J3659,(1-$M3659)*$I3659+$M3659*$J3659)</f>
        <v/>
      </c>
      <c r="O3659" s="209">
        <f>IF($F3659&lt;$B$3641,$E$3641+$I$3641*($F3659-$A$3641),IF($F3659&lt;$C$3641,$F$3641+$J$3641*($F3659-$B$3641),$G$3641+$K$3641*($F3659-$C$3641)))</f>
        <v/>
      </c>
      <c r="P3659" s="208">
        <f>MIN(1,MAX(0,(nr_MEndPm1-$G3659+0.5)/$C$3640))-MIN(1,MAX(0,(nr_MStartPm1-1-$G3659+0.5)/$C$3640))</f>
        <v/>
      </c>
      <c r="Q3659" s="208">
        <f>MIN(1,MAX(0,(nr_MEndP-$G3659+0.5)/$C$3640))-MIN(1,MAX(0,(nr_MStartP-1-$G3659+0.5)/$C$3640))</f>
        <v/>
      </c>
      <c r="R3659" s="208">
        <f>MIN(1,MAX(0,(nr_MEndP1-$G3659+0.5)/$C$3640))-MIN(1,MAX(0,(nr_MStartP1-1-$G3659+0.5)/$C$3640))</f>
        <v/>
      </c>
      <c r="S3659" s="208">
        <f>IF($L$3640,$N3659*IF($O$3640=1,$O3659/$F$3640,1),"")</f>
        <v/>
      </c>
      <c r="T3659" s="208">
        <f>IF(NOT($L$3640),"",IF($G3659&lt;nr_MStartP,$S3659,$T3647*(1+IF($G3659&lt;nr_MStartP1,$M$3640,$N$3640))))</f>
        <v/>
      </c>
      <c r="U3659" s="208">
        <f>IF($L$3640,$T3659,$N3659)</f>
        <v/>
      </c>
    </row>
    <row r="3660">
      <c r="A3660" s="145" t="n">
        <v>18</v>
      </c>
      <c r="B3660" s="204">
        <f>EDATE($B3659,1)</f>
        <v/>
      </c>
      <c r="C3660" s="205">
        <f>EOMONTH($B3660,0)</f>
        <v/>
      </c>
      <c r="D3660" s="201">
        <f>$C3660-$B3660+1</f>
        <v/>
      </c>
      <c r="E3660" s="201">
        <f>MONTH($B3660)</f>
        <v/>
      </c>
      <c r="F3660" s="235">
        <f>($B3660+$C3660+1)/2</f>
        <v/>
      </c>
      <c r="G3660" s="201">
        <f>YEAR($B3660)*12+MONTH($B3660)-1</f>
        <v/>
      </c>
      <c r="H3660" s="207">
        <f>IF(OR(nr_SeasonOn="OFF",$D$3640=0,$E$3640=0),1,12*INDEX(se_block,$D$3640,$E3660)/$E$3640)</f>
        <v/>
      </c>
      <c r="I3660" s="208">
        <f>EXP(SUMPRODUCT((rl_eff&lt;$B3660)*(rl_key=$A$3640)*rl_ln1p))</f>
        <v/>
      </c>
      <c r="J3660" s="208">
        <f>EXP(SUMPRODUCT((rl_eff&lt;=$C3660)*(rl_key=$A$3640)*rl_ln1p))</f>
        <v/>
      </c>
      <c r="K3660" s="201">
        <f>COUNTIFS(rl_key,$A$3640,rl_eff,"&gt;="&amp;$B3660,rl_eff,"&lt;="&amp;$C3660)</f>
        <v/>
      </c>
      <c r="L3660" s="201">
        <f>SUMIFS(rl_daysafter,rl_key,$A$3640,rl_effmonth,$B3660,rl_first,1)</f>
        <v/>
      </c>
      <c r="M3660" s="209">
        <f>IF($K3660=0,0,MIN(1,$L3660/$D3660))</f>
        <v/>
      </c>
      <c r="N3660" s="208">
        <f>IF($K3660=0,$J3660,(1-$M3660)*$I3660+$M3660*$J3660)</f>
        <v/>
      </c>
      <c r="O3660" s="209">
        <f>IF($F3660&lt;$B$3641,$E$3641+$I$3641*($F3660-$A$3641),IF($F3660&lt;$C$3641,$F$3641+$J$3641*($F3660-$B$3641),$G$3641+$K$3641*($F3660-$C$3641)))</f>
        <v/>
      </c>
      <c r="P3660" s="208">
        <f>MIN(1,MAX(0,(nr_MEndPm1-$G3660+0.5)/$C$3640))-MIN(1,MAX(0,(nr_MStartPm1-1-$G3660+0.5)/$C$3640))</f>
        <v/>
      </c>
      <c r="Q3660" s="208">
        <f>MIN(1,MAX(0,(nr_MEndP-$G3660+0.5)/$C$3640))-MIN(1,MAX(0,(nr_MStartP-1-$G3660+0.5)/$C$3640))</f>
        <v/>
      </c>
      <c r="R3660" s="208">
        <f>MIN(1,MAX(0,(nr_MEndP1-$G3660+0.5)/$C$3640))-MIN(1,MAX(0,(nr_MStartP1-1-$G3660+0.5)/$C$3640))</f>
        <v/>
      </c>
      <c r="S3660" s="208">
        <f>IF($L$3640,$N3660*IF($O$3640=1,$O3660/$F$3640,1),"")</f>
        <v/>
      </c>
      <c r="T3660" s="208">
        <f>IF(NOT($L$3640),"",IF($G3660&lt;nr_MStartP,$S3660,$T3648*(1+IF($G3660&lt;nr_MStartP1,$M$3640,$N$3640))))</f>
        <v/>
      </c>
      <c r="U3660" s="208">
        <f>IF($L$3640,$T3660,$N3660)</f>
        <v/>
      </c>
    </row>
    <row r="3661">
      <c r="A3661" s="145" t="n">
        <v>19</v>
      </c>
      <c r="B3661" s="204">
        <f>EDATE($B3660,1)</f>
        <v/>
      </c>
      <c r="C3661" s="205">
        <f>EOMONTH($B3661,0)</f>
        <v/>
      </c>
      <c r="D3661" s="201">
        <f>$C3661-$B3661+1</f>
        <v/>
      </c>
      <c r="E3661" s="201">
        <f>MONTH($B3661)</f>
        <v/>
      </c>
      <c r="F3661" s="235">
        <f>($B3661+$C3661+1)/2</f>
        <v/>
      </c>
      <c r="G3661" s="201">
        <f>YEAR($B3661)*12+MONTH($B3661)-1</f>
        <v/>
      </c>
      <c r="H3661" s="207">
        <f>IF(OR(nr_SeasonOn="OFF",$D$3640=0,$E$3640=0),1,12*INDEX(se_block,$D$3640,$E3661)/$E$3640)</f>
        <v/>
      </c>
      <c r="I3661" s="208">
        <f>EXP(SUMPRODUCT((rl_eff&lt;$B3661)*(rl_key=$A$3640)*rl_ln1p))</f>
        <v/>
      </c>
      <c r="J3661" s="208">
        <f>EXP(SUMPRODUCT((rl_eff&lt;=$C3661)*(rl_key=$A$3640)*rl_ln1p))</f>
        <v/>
      </c>
      <c r="K3661" s="201">
        <f>COUNTIFS(rl_key,$A$3640,rl_eff,"&gt;="&amp;$B3661,rl_eff,"&lt;="&amp;$C3661)</f>
        <v/>
      </c>
      <c r="L3661" s="201">
        <f>SUMIFS(rl_daysafter,rl_key,$A$3640,rl_effmonth,$B3661,rl_first,1)</f>
        <v/>
      </c>
      <c r="M3661" s="209">
        <f>IF($K3661=0,0,MIN(1,$L3661/$D3661))</f>
        <v/>
      </c>
      <c r="N3661" s="208">
        <f>IF($K3661=0,$J3661,(1-$M3661)*$I3661+$M3661*$J3661)</f>
        <v/>
      </c>
      <c r="O3661" s="209">
        <f>IF($F3661&lt;$B$3641,$E$3641+$I$3641*($F3661-$A$3641),IF($F3661&lt;$C$3641,$F$3641+$J$3641*($F3661-$B$3641),$G$3641+$K$3641*($F3661-$C$3641)))</f>
        <v/>
      </c>
      <c r="P3661" s="208">
        <f>MIN(1,MAX(0,(nr_MEndPm1-$G3661+0.5)/$C$3640))-MIN(1,MAX(0,(nr_MStartPm1-1-$G3661+0.5)/$C$3640))</f>
        <v/>
      </c>
      <c r="Q3661" s="208">
        <f>MIN(1,MAX(0,(nr_MEndP-$G3661+0.5)/$C$3640))-MIN(1,MAX(0,(nr_MStartP-1-$G3661+0.5)/$C$3640))</f>
        <v/>
      </c>
      <c r="R3661" s="208">
        <f>MIN(1,MAX(0,(nr_MEndP1-$G3661+0.5)/$C$3640))-MIN(1,MAX(0,(nr_MStartP1-1-$G3661+0.5)/$C$3640))</f>
        <v/>
      </c>
      <c r="S3661" s="208">
        <f>IF($L$3640,$N3661*IF($O$3640=1,$O3661/$F$3640,1),"")</f>
        <v/>
      </c>
      <c r="T3661" s="208">
        <f>IF(NOT($L$3640),"",IF($G3661&lt;nr_MStartP,$S3661,$T3649*(1+IF($G3661&lt;nr_MStartP1,$M$3640,$N$3640))))</f>
        <v/>
      </c>
      <c r="U3661" s="208">
        <f>IF($L$3640,$T3661,$N3661)</f>
        <v/>
      </c>
    </row>
    <row r="3662">
      <c r="A3662" s="145" t="n">
        <v>20</v>
      </c>
      <c r="B3662" s="204">
        <f>EDATE($B3661,1)</f>
        <v/>
      </c>
      <c r="C3662" s="205">
        <f>EOMONTH($B3662,0)</f>
        <v/>
      </c>
      <c r="D3662" s="201">
        <f>$C3662-$B3662+1</f>
        <v/>
      </c>
      <c r="E3662" s="201">
        <f>MONTH($B3662)</f>
        <v/>
      </c>
      <c r="F3662" s="235">
        <f>($B3662+$C3662+1)/2</f>
        <v/>
      </c>
      <c r="G3662" s="201">
        <f>YEAR($B3662)*12+MONTH($B3662)-1</f>
        <v/>
      </c>
      <c r="H3662" s="207">
        <f>IF(OR(nr_SeasonOn="OFF",$D$3640=0,$E$3640=0),1,12*INDEX(se_block,$D$3640,$E3662)/$E$3640)</f>
        <v/>
      </c>
      <c r="I3662" s="208">
        <f>EXP(SUMPRODUCT((rl_eff&lt;$B3662)*(rl_key=$A$3640)*rl_ln1p))</f>
        <v/>
      </c>
      <c r="J3662" s="208">
        <f>EXP(SUMPRODUCT((rl_eff&lt;=$C3662)*(rl_key=$A$3640)*rl_ln1p))</f>
        <v/>
      </c>
      <c r="K3662" s="201">
        <f>COUNTIFS(rl_key,$A$3640,rl_eff,"&gt;="&amp;$B3662,rl_eff,"&lt;="&amp;$C3662)</f>
        <v/>
      </c>
      <c r="L3662" s="201">
        <f>SUMIFS(rl_daysafter,rl_key,$A$3640,rl_effmonth,$B3662,rl_first,1)</f>
        <v/>
      </c>
      <c r="M3662" s="209">
        <f>IF($K3662=0,0,MIN(1,$L3662/$D3662))</f>
        <v/>
      </c>
      <c r="N3662" s="208">
        <f>IF($K3662=0,$J3662,(1-$M3662)*$I3662+$M3662*$J3662)</f>
        <v/>
      </c>
      <c r="O3662" s="209">
        <f>IF($F3662&lt;$B$3641,$E$3641+$I$3641*($F3662-$A$3641),IF($F3662&lt;$C$3641,$F$3641+$J$3641*($F3662-$B$3641),$G$3641+$K$3641*($F3662-$C$3641)))</f>
        <v/>
      </c>
      <c r="P3662" s="208">
        <f>MIN(1,MAX(0,(nr_MEndPm1-$G3662+0.5)/$C$3640))-MIN(1,MAX(0,(nr_MStartPm1-1-$G3662+0.5)/$C$3640))</f>
        <v/>
      </c>
      <c r="Q3662" s="208">
        <f>MIN(1,MAX(0,(nr_MEndP-$G3662+0.5)/$C$3640))-MIN(1,MAX(0,(nr_MStartP-1-$G3662+0.5)/$C$3640))</f>
        <v/>
      </c>
      <c r="R3662" s="208">
        <f>MIN(1,MAX(0,(nr_MEndP1-$G3662+0.5)/$C$3640))-MIN(1,MAX(0,(nr_MStartP1-1-$G3662+0.5)/$C$3640))</f>
        <v/>
      </c>
      <c r="S3662" s="208">
        <f>IF($L$3640,$N3662*IF($O$3640=1,$O3662/$F$3640,1),"")</f>
        <v/>
      </c>
      <c r="T3662" s="208">
        <f>IF(NOT($L$3640),"",IF($G3662&lt;nr_MStartP,$S3662,$T3650*(1+IF($G3662&lt;nr_MStartP1,$M$3640,$N$3640))))</f>
        <v/>
      </c>
      <c r="U3662" s="208">
        <f>IF($L$3640,$T3662,$N3662)</f>
        <v/>
      </c>
    </row>
    <row r="3663">
      <c r="A3663" s="145" t="n">
        <v>21</v>
      </c>
      <c r="B3663" s="204">
        <f>EDATE($B3662,1)</f>
        <v/>
      </c>
      <c r="C3663" s="205">
        <f>EOMONTH($B3663,0)</f>
        <v/>
      </c>
      <c r="D3663" s="201">
        <f>$C3663-$B3663+1</f>
        <v/>
      </c>
      <c r="E3663" s="201">
        <f>MONTH($B3663)</f>
        <v/>
      </c>
      <c r="F3663" s="235">
        <f>($B3663+$C3663+1)/2</f>
        <v/>
      </c>
      <c r="G3663" s="201">
        <f>YEAR($B3663)*12+MONTH($B3663)-1</f>
        <v/>
      </c>
      <c r="H3663" s="207">
        <f>IF(OR(nr_SeasonOn="OFF",$D$3640=0,$E$3640=0),1,12*INDEX(se_block,$D$3640,$E3663)/$E$3640)</f>
        <v/>
      </c>
      <c r="I3663" s="208">
        <f>EXP(SUMPRODUCT((rl_eff&lt;$B3663)*(rl_key=$A$3640)*rl_ln1p))</f>
        <v/>
      </c>
      <c r="J3663" s="208">
        <f>EXP(SUMPRODUCT((rl_eff&lt;=$C3663)*(rl_key=$A$3640)*rl_ln1p))</f>
        <v/>
      </c>
      <c r="K3663" s="201">
        <f>COUNTIFS(rl_key,$A$3640,rl_eff,"&gt;="&amp;$B3663,rl_eff,"&lt;="&amp;$C3663)</f>
        <v/>
      </c>
      <c r="L3663" s="201">
        <f>SUMIFS(rl_daysafter,rl_key,$A$3640,rl_effmonth,$B3663,rl_first,1)</f>
        <v/>
      </c>
      <c r="M3663" s="209">
        <f>IF($K3663=0,0,MIN(1,$L3663/$D3663))</f>
        <v/>
      </c>
      <c r="N3663" s="208">
        <f>IF($K3663=0,$J3663,(1-$M3663)*$I3663+$M3663*$J3663)</f>
        <v/>
      </c>
      <c r="O3663" s="209">
        <f>IF($F3663&lt;$B$3641,$E$3641+$I$3641*($F3663-$A$3641),IF($F3663&lt;$C$3641,$F$3641+$J$3641*($F3663-$B$3641),$G$3641+$K$3641*($F3663-$C$3641)))</f>
        <v/>
      </c>
      <c r="P3663" s="208">
        <f>MIN(1,MAX(0,(nr_MEndPm1-$G3663+0.5)/$C$3640))-MIN(1,MAX(0,(nr_MStartPm1-1-$G3663+0.5)/$C$3640))</f>
        <v/>
      </c>
      <c r="Q3663" s="208">
        <f>MIN(1,MAX(0,(nr_MEndP-$G3663+0.5)/$C$3640))-MIN(1,MAX(0,(nr_MStartP-1-$G3663+0.5)/$C$3640))</f>
        <v/>
      </c>
      <c r="R3663" s="208">
        <f>MIN(1,MAX(0,(nr_MEndP1-$G3663+0.5)/$C$3640))-MIN(1,MAX(0,(nr_MStartP1-1-$G3663+0.5)/$C$3640))</f>
        <v/>
      </c>
      <c r="S3663" s="208">
        <f>IF($L$3640,$N3663*IF($O$3640=1,$O3663/$F$3640,1),"")</f>
        <v/>
      </c>
      <c r="T3663" s="208">
        <f>IF(NOT($L$3640),"",IF($G3663&lt;nr_MStartP,$S3663,$T3651*(1+IF($G3663&lt;nr_MStartP1,$M$3640,$N$3640))))</f>
        <v/>
      </c>
      <c r="U3663" s="208">
        <f>IF($L$3640,$T3663,$N3663)</f>
        <v/>
      </c>
    </row>
    <row r="3664">
      <c r="A3664" s="145" t="n">
        <v>22</v>
      </c>
      <c r="B3664" s="204">
        <f>EDATE($B3663,1)</f>
        <v/>
      </c>
      <c r="C3664" s="205">
        <f>EOMONTH($B3664,0)</f>
        <v/>
      </c>
      <c r="D3664" s="201">
        <f>$C3664-$B3664+1</f>
        <v/>
      </c>
      <c r="E3664" s="201">
        <f>MONTH($B3664)</f>
        <v/>
      </c>
      <c r="F3664" s="235">
        <f>($B3664+$C3664+1)/2</f>
        <v/>
      </c>
      <c r="G3664" s="201">
        <f>YEAR($B3664)*12+MONTH($B3664)-1</f>
        <v/>
      </c>
      <c r="H3664" s="207">
        <f>IF(OR(nr_SeasonOn="OFF",$D$3640=0,$E$3640=0),1,12*INDEX(se_block,$D$3640,$E3664)/$E$3640)</f>
        <v/>
      </c>
      <c r="I3664" s="208">
        <f>EXP(SUMPRODUCT((rl_eff&lt;$B3664)*(rl_key=$A$3640)*rl_ln1p))</f>
        <v/>
      </c>
      <c r="J3664" s="208">
        <f>EXP(SUMPRODUCT((rl_eff&lt;=$C3664)*(rl_key=$A$3640)*rl_ln1p))</f>
        <v/>
      </c>
      <c r="K3664" s="201">
        <f>COUNTIFS(rl_key,$A$3640,rl_eff,"&gt;="&amp;$B3664,rl_eff,"&lt;="&amp;$C3664)</f>
        <v/>
      </c>
      <c r="L3664" s="201">
        <f>SUMIFS(rl_daysafter,rl_key,$A$3640,rl_effmonth,$B3664,rl_first,1)</f>
        <v/>
      </c>
      <c r="M3664" s="209">
        <f>IF($K3664=0,0,MIN(1,$L3664/$D3664))</f>
        <v/>
      </c>
      <c r="N3664" s="208">
        <f>IF($K3664=0,$J3664,(1-$M3664)*$I3664+$M3664*$J3664)</f>
        <v/>
      </c>
      <c r="O3664" s="209">
        <f>IF($F3664&lt;$B$3641,$E$3641+$I$3641*($F3664-$A$3641),IF($F3664&lt;$C$3641,$F$3641+$J$3641*($F3664-$B$3641),$G$3641+$K$3641*($F3664-$C$3641)))</f>
        <v/>
      </c>
      <c r="P3664" s="208">
        <f>MIN(1,MAX(0,(nr_MEndPm1-$G3664+0.5)/$C$3640))-MIN(1,MAX(0,(nr_MStartPm1-1-$G3664+0.5)/$C$3640))</f>
        <v/>
      </c>
      <c r="Q3664" s="208">
        <f>MIN(1,MAX(0,(nr_MEndP-$G3664+0.5)/$C$3640))-MIN(1,MAX(0,(nr_MStartP-1-$G3664+0.5)/$C$3640))</f>
        <v/>
      </c>
      <c r="R3664" s="208">
        <f>MIN(1,MAX(0,(nr_MEndP1-$G3664+0.5)/$C$3640))-MIN(1,MAX(0,(nr_MStartP1-1-$G3664+0.5)/$C$3640))</f>
        <v/>
      </c>
      <c r="S3664" s="208">
        <f>IF($L$3640,$N3664*IF($O$3640=1,$O3664/$F$3640,1),"")</f>
        <v/>
      </c>
      <c r="T3664" s="208">
        <f>IF(NOT($L$3640),"",IF($G3664&lt;nr_MStartP,$S3664,$T3652*(1+IF($G3664&lt;nr_MStartP1,$M$3640,$N$3640))))</f>
        <v/>
      </c>
      <c r="U3664" s="208">
        <f>IF($L$3640,$T3664,$N3664)</f>
        <v/>
      </c>
    </row>
    <row r="3665">
      <c r="A3665" s="145" t="n">
        <v>23</v>
      </c>
      <c r="B3665" s="204">
        <f>EDATE($B3664,1)</f>
        <v/>
      </c>
      <c r="C3665" s="205">
        <f>EOMONTH($B3665,0)</f>
        <v/>
      </c>
      <c r="D3665" s="201">
        <f>$C3665-$B3665+1</f>
        <v/>
      </c>
      <c r="E3665" s="201">
        <f>MONTH($B3665)</f>
        <v/>
      </c>
      <c r="F3665" s="235">
        <f>($B3665+$C3665+1)/2</f>
        <v/>
      </c>
      <c r="G3665" s="201">
        <f>YEAR($B3665)*12+MONTH($B3665)-1</f>
        <v/>
      </c>
      <c r="H3665" s="207">
        <f>IF(OR(nr_SeasonOn="OFF",$D$3640=0,$E$3640=0),1,12*INDEX(se_block,$D$3640,$E3665)/$E$3640)</f>
        <v/>
      </c>
      <c r="I3665" s="208">
        <f>EXP(SUMPRODUCT((rl_eff&lt;$B3665)*(rl_key=$A$3640)*rl_ln1p))</f>
        <v/>
      </c>
      <c r="J3665" s="208">
        <f>EXP(SUMPRODUCT((rl_eff&lt;=$C3665)*(rl_key=$A$3640)*rl_ln1p))</f>
        <v/>
      </c>
      <c r="K3665" s="201">
        <f>COUNTIFS(rl_key,$A$3640,rl_eff,"&gt;="&amp;$B3665,rl_eff,"&lt;="&amp;$C3665)</f>
        <v/>
      </c>
      <c r="L3665" s="201">
        <f>SUMIFS(rl_daysafter,rl_key,$A$3640,rl_effmonth,$B3665,rl_first,1)</f>
        <v/>
      </c>
      <c r="M3665" s="209">
        <f>IF($K3665=0,0,MIN(1,$L3665/$D3665))</f>
        <v/>
      </c>
      <c r="N3665" s="208">
        <f>IF($K3665=0,$J3665,(1-$M3665)*$I3665+$M3665*$J3665)</f>
        <v/>
      </c>
      <c r="O3665" s="209">
        <f>IF($F3665&lt;$B$3641,$E$3641+$I$3641*($F3665-$A$3641),IF($F3665&lt;$C$3641,$F$3641+$J$3641*($F3665-$B$3641),$G$3641+$K$3641*($F3665-$C$3641)))</f>
        <v/>
      </c>
      <c r="P3665" s="208">
        <f>MIN(1,MAX(0,(nr_MEndPm1-$G3665+0.5)/$C$3640))-MIN(1,MAX(0,(nr_MStartPm1-1-$G3665+0.5)/$C$3640))</f>
        <v/>
      </c>
      <c r="Q3665" s="208">
        <f>MIN(1,MAX(0,(nr_MEndP-$G3665+0.5)/$C$3640))-MIN(1,MAX(0,(nr_MStartP-1-$G3665+0.5)/$C$3640))</f>
        <v/>
      </c>
      <c r="R3665" s="208">
        <f>MIN(1,MAX(0,(nr_MEndP1-$G3665+0.5)/$C$3640))-MIN(1,MAX(0,(nr_MStartP1-1-$G3665+0.5)/$C$3640))</f>
        <v/>
      </c>
      <c r="S3665" s="208">
        <f>IF($L$3640,$N3665*IF($O$3640=1,$O3665/$F$3640,1),"")</f>
        <v/>
      </c>
      <c r="T3665" s="208">
        <f>IF(NOT($L$3640),"",IF($G3665&lt;nr_MStartP,$S3665,$T3653*(1+IF($G3665&lt;nr_MStartP1,$M$3640,$N$3640))))</f>
        <v/>
      </c>
      <c r="U3665" s="208">
        <f>IF($L$3640,$T3665,$N3665)</f>
        <v/>
      </c>
    </row>
    <row r="3666">
      <c r="A3666" s="145" t="n">
        <v>24</v>
      </c>
      <c r="B3666" s="204">
        <f>EDATE($B3665,1)</f>
        <v/>
      </c>
      <c r="C3666" s="205">
        <f>EOMONTH($B3666,0)</f>
        <v/>
      </c>
      <c r="D3666" s="201">
        <f>$C3666-$B3666+1</f>
        <v/>
      </c>
      <c r="E3666" s="201">
        <f>MONTH($B3666)</f>
        <v/>
      </c>
      <c r="F3666" s="235">
        <f>($B3666+$C3666+1)/2</f>
        <v/>
      </c>
      <c r="G3666" s="201">
        <f>YEAR($B3666)*12+MONTH($B3666)-1</f>
        <v/>
      </c>
      <c r="H3666" s="207">
        <f>IF(OR(nr_SeasonOn="OFF",$D$3640=0,$E$3640=0),1,12*INDEX(se_block,$D$3640,$E3666)/$E$3640)</f>
        <v/>
      </c>
      <c r="I3666" s="208">
        <f>EXP(SUMPRODUCT((rl_eff&lt;$B3666)*(rl_key=$A$3640)*rl_ln1p))</f>
        <v/>
      </c>
      <c r="J3666" s="208">
        <f>EXP(SUMPRODUCT((rl_eff&lt;=$C3666)*(rl_key=$A$3640)*rl_ln1p))</f>
        <v/>
      </c>
      <c r="K3666" s="201">
        <f>COUNTIFS(rl_key,$A$3640,rl_eff,"&gt;="&amp;$B3666,rl_eff,"&lt;="&amp;$C3666)</f>
        <v/>
      </c>
      <c r="L3666" s="201">
        <f>SUMIFS(rl_daysafter,rl_key,$A$3640,rl_effmonth,$B3666,rl_first,1)</f>
        <v/>
      </c>
      <c r="M3666" s="209">
        <f>IF($K3666=0,0,MIN(1,$L3666/$D3666))</f>
        <v/>
      </c>
      <c r="N3666" s="208">
        <f>IF($K3666=0,$J3666,(1-$M3666)*$I3666+$M3666*$J3666)</f>
        <v/>
      </c>
      <c r="O3666" s="209">
        <f>IF($F3666&lt;$B$3641,$E$3641+$I$3641*($F3666-$A$3641),IF($F3666&lt;$C$3641,$F$3641+$J$3641*($F3666-$B$3641),$G$3641+$K$3641*($F3666-$C$3641)))</f>
        <v/>
      </c>
      <c r="P3666" s="208">
        <f>MIN(1,MAX(0,(nr_MEndPm1-$G3666+0.5)/$C$3640))-MIN(1,MAX(0,(nr_MStartPm1-1-$G3666+0.5)/$C$3640))</f>
        <v/>
      </c>
      <c r="Q3666" s="208">
        <f>MIN(1,MAX(0,(nr_MEndP-$G3666+0.5)/$C$3640))-MIN(1,MAX(0,(nr_MStartP-1-$G3666+0.5)/$C$3640))</f>
        <v/>
      </c>
      <c r="R3666" s="208">
        <f>MIN(1,MAX(0,(nr_MEndP1-$G3666+0.5)/$C$3640))-MIN(1,MAX(0,(nr_MStartP1-1-$G3666+0.5)/$C$3640))</f>
        <v/>
      </c>
      <c r="S3666" s="208">
        <f>IF($L$3640,$N3666*IF($O$3640=1,$O3666/$F$3640,1),"")</f>
        <v/>
      </c>
      <c r="T3666" s="208">
        <f>IF(NOT($L$3640),"",IF($G3666&lt;nr_MStartP,$S3666,$T3654*(1+IF($G3666&lt;nr_MStartP1,$M$3640,$N$3640))))</f>
        <v/>
      </c>
      <c r="U3666" s="208">
        <f>IF($L$3640,$T3666,$N3666)</f>
        <v/>
      </c>
    </row>
    <row r="3667">
      <c r="A3667" s="145" t="n">
        <v>25</v>
      </c>
      <c r="B3667" s="204">
        <f>EDATE($B3666,1)</f>
        <v/>
      </c>
      <c r="C3667" s="205">
        <f>EOMONTH($B3667,0)</f>
        <v/>
      </c>
      <c r="D3667" s="201">
        <f>$C3667-$B3667+1</f>
        <v/>
      </c>
      <c r="E3667" s="201">
        <f>MONTH($B3667)</f>
        <v/>
      </c>
      <c r="F3667" s="235">
        <f>($B3667+$C3667+1)/2</f>
        <v/>
      </c>
      <c r="G3667" s="201">
        <f>YEAR($B3667)*12+MONTH($B3667)-1</f>
        <v/>
      </c>
      <c r="H3667" s="207">
        <f>IF(OR(nr_SeasonOn="OFF",$D$3640=0,$E$3640=0),1,12*INDEX(se_block,$D$3640,$E3667)/$E$3640)</f>
        <v/>
      </c>
      <c r="I3667" s="208">
        <f>EXP(SUMPRODUCT((rl_eff&lt;$B3667)*(rl_key=$A$3640)*rl_ln1p))</f>
        <v/>
      </c>
      <c r="J3667" s="208">
        <f>EXP(SUMPRODUCT((rl_eff&lt;=$C3667)*(rl_key=$A$3640)*rl_ln1p))</f>
        <v/>
      </c>
      <c r="K3667" s="201">
        <f>COUNTIFS(rl_key,$A$3640,rl_eff,"&gt;="&amp;$B3667,rl_eff,"&lt;="&amp;$C3667)</f>
        <v/>
      </c>
      <c r="L3667" s="201">
        <f>SUMIFS(rl_daysafter,rl_key,$A$3640,rl_effmonth,$B3667,rl_first,1)</f>
        <v/>
      </c>
      <c r="M3667" s="209">
        <f>IF($K3667=0,0,MIN(1,$L3667/$D3667))</f>
        <v/>
      </c>
      <c r="N3667" s="208">
        <f>IF($K3667=0,$J3667,(1-$M3667)*$I3667+$M3667*$J3667)</f>
        <v/>
      </c>
      <c r="O3667" s="209">
        <f>IF($F3667&lt;$B$3641,$E$3641+$I$3641*($F3667-$A$3641),IF($F3667&lt;$C$3641,$F$3641+$J$3641*($F3667-$B$3641),$G$3641+$K$3641*($F3667-$C$3641)))</f>
        <v/>
      </c>
      <c r="P3667" s="208">
        <f>MIN(1,MAX(0,(nr_MEndPm1-$G3667+0.5)/$C$3640))-MIN(1,MAX(0,(nr_MStartPm1-1-$G3667+0.5)/$C$3640))</f>
        <v/>
      </c>
      <c r="Q3667" s="208">
        <f>MIN(1,MAX(0,(nr_MEndP-$G3667+0.5)/$C$3640))-MIN(1,MAX(0,(nr_MStartP-1-$G3667+0.5)/$C$3640))</f>
        <v/>
      </c>
      <c r="R3667" s="208">
        <f>MIN(1,MAX(0,(nr_MEndP1-$G3667+0.5)/$C$3640))-MIN(1,MAX(0,(nr_MStartP1-1-$G3667+0.5)/$C$3640))</f>
        <v/>
      </c>
      <c r="S3667" s="208">
        <f>IF($L$3640,$N3667*IF($O$3640=1,$O3667/$F$3640,1),"")</f>
        <v/>
      </c>
      <c r="T3667" s="208">
        <f>IF(NOT($L$3640),"",IF($G3667&lt;nr_MStartP,$S3667,$T3655*(1+IF($G3667&lt;nr_MStartP1,$M$3640,$N$3640))))</f>
        <v/>
      </c>
      <c r="U3667" s="208">
        <f>IF($L$3640,$T3667,$N3667)</f>
        <v/>
      </c>
    </row>
    <row r="3668">
      <c r="A3668" s="145" t="n">
        <v>26</v>
      </c>
      <c r="B3668" s="204">
        <f>EDATE($B3667,1)</f>
        <v/>
      </c>
      <c r="C3668" s="205">
        <f>EOMONTH($B3668,0)</f>
        <v/>
      </c>
      <c r="D3668" s="201">
        <f>$C3668-$B3668+1</f>
        <v/>
      </c>
      <c r="E3668" s="201">
        <f>MONTH($B3668)</f>
        <v/>
      </c>
      <c r="F3668" s="235">
        <f>($B3668+$C3668+1)/2</f>
        <v/>
      </c>
      <c r="G3668" s="201">
        <f>YEAR($B3668)*12+MONTH($B3668)-1</f>
        <v/>
      </c>
      <c r="H3668" s="207">
        <f>IF(OR(nr_SeasonOn="OFF",$D$3640=0,$E$3640=0),1,12*INDEX(se_block,$D$3640,$E3668)/$E$3640)</f>
        <v/>
      </c>
      <c r="I3668" s="208">
        <f>EXP(SUMPRODUCT((rl_eff&lt;$B3668)*(rl_key=$A$3640)*rl_ln1p))</f>
        <v/>
      </c>
      <c r="J3668" s="208">
        <f>EXP(SUMPRODUCT((rl_eff&lt;=$C3668)*(rl_key=$A$3640)*rl_ln1p))</f>
        <v/>
      </c>
      <c r="K3668" s="201">
        <f>COUNTIFS(rl_key,$A$3640,rl_eff,"&gt;="&amp;$B3668,rl_eff,"&lt;="&amp;$C3668)</f>
        <v/>
      </c>
      <c r="L3668" s="201">
        <f>SUMIFS(rl_daysafter,rl_key,$A$3640,rl_effmonth,$B3668,rl_first,1)</f>
        <v/>
      </c>
      <c r="M3668" s="209">
        <f>IF($K3668=0,0,MIN(1,$L3668/$D3668))</f>
        <v/>
      </c>
      <c r="N3668" s="208">
        <f>IF($K3668=0,$J3668,(1-$M3668)*$I3668+$M3668*$J3668)</f>
        <v/>
      </c>
      <c r="O3668" s="209">
        <f>IF($F3668&lt;$B$3641,$E$3641+$I$3641*($F3668-$A$3641),IF($F3668&lt;$C$3641,$F$3641+$J$3641*($F3668-$B$3641),$G$3641+$K$3641*($F3668-$C$3641)))</f>
        <v/>
      </c>
      <c r="P3668" s="208">
        <f>MIN(1,MAX(0,(nr_MEndPm1-$G3668+0.5)/$C$3640))-MIN(1,MAX(0,(nr_MStartPm1-1-$G3668+0.5)/$C$3640))</f>
        <v/>
      </c>
      <c r="Q3668" s="208">
        <f>MIN(1,MAX(0,(nr_MEndP-$G3668+0.5)/$C$3640))-MIN(1,MAX(0,(nr_MStartP-1-$G3668+0.5)/$C$3640))</f>
        <v/>
      </c>
      <c r="R3668" s="208">
        <f>MIN(1,MAX(0,(nr_MEndP1-$G3668+0.5)/$C$3640))-MIN(1,MAX(0,(nr_MStartP1-1-$G3668+0.5)/$C$3640))</f>
        <v/>
      </c>
      <c r="S3668" s="208">
        <f>IF($L$3640,$N3668*IF($O$3640=1,$O3668/$F$3640,1),"")</f>
        <v/>
      </c>
      <c r="T3668" s="208">
        <f>IF(NOT($L$3640),"",IF($G3668&lt;nr_MStartP,$S3668,$T3656*(1+IF($G3668&lt;nr_MStartP1,$M$3640,$N$3640))))</f>
        <v/>
      </c>
      <c r="U3668" s="208">
        <f>IF($L$3640,$T3668,$N3668)</f>
        <v/>
      </c>
    </row>
    <row r="3669">
      <c r="A3669" s="145" t="n">
        <v>27</v>
      </c>
      <c r="B3669" s="204">
        <f>EDATE($B3668,1)</f>
        <v/>
      </c>
      <c r="C3669" s="205">
        <f>EOMONTH($B3669,0)</f>
        <v/>
      </c>
      <c r="D3669" s="201">
        <f>$C3669-$B3669+1</f>
        <v/>
      </c>
      <c r="E3669" s="201">
        <f>MONTH($B3669)</f>
        <v/>
      </c>
      <c r="F3669" s="235">
        <f>($B3669+$C3669+1)/2</f>
        <v/>
      </c>
      <c r="G3669" s="201">
        <f>YEAR($B3669)*12+MONTH($B3669)-1</f>
        <v/>
      </c>
      <c r="H3669" s="207">
        <f>IF(OR(nr_SeasonOn="OFF",$D$3640=0,$E$3640=0),1,12*INDEX(se_block,$D$3640,$E3669)/$E$3640)</f>
        <v/>
      </c>
      <c r="I3669" s="208">
        <f>EXP(SUMPRODUCT((rl_eff&lt;$B3669)*(rl_key=$A$3640)*rl_ln1p))</f>
        <v/>
      </c>
      <c r="J3669" s="208">
        <f>EXP(SUMPRODUCT((rl_eff&lt;=$C3669)*(rl_key=$A$3640)*rl_ln1p))</f>
        <v/>
      </c>
      <c r="K3669" s="201">
        <f>COUNTIFS(rl_key,$A$3640,rl_eff,"&gt;="&amp;$B3669,rl_eff,"&lt;="&amp;$C3669)</f>
        <v/>
      </c>
      <c r="L3669" s="201">
        <f>SUMIFS(rl_daysafter,rl_key,$A$3640,rl_effmonth,$B3669,rl_first,1)</f>
        <v/>
      </c>
      <c r="M3669" s="209">
        <f>IF($K3669=0,0,MIN(1,$L3669/$D3669))</f>
        <v/>
      </c>
      <c r="N3669" s="208">
        <f>IF($K3669=0,$J3669,(1-$M3669)*$I3669+$M3669*$J3669)</f>
        <v/>
      </c>
      <c r="O3669" s="209">
        <f>IF($F3669&lt;$B$3641,$E$3641+$I$3641*($F3669-$A$3641),IF($F3669&lt;$C$3641,$F$3641+$J$3641*($F3669-$B$3641),$G$3641+$K$3641*($F3669-$C$3641)))</f>
        <v/>
      </c>
      <c r="P3669" s="208">
        <f>MIN(1,MAX(0,(nr_MEndPm1-$G3669+0.5)/$C$3640))-MIN(1,MAX(0,(nr_MStartPm1-1-$G3669+0.5)/$C$3640))</f>
        <v/>
      </c>
      <c r="Q3669" s="208">
        <f>MIN(1,MAX(0,(nr_MEndP-$G3669+0.5)/$C$3640))-MIN(1,MAX(0,(nr_MStartP-1-$G3669+0.5)/$C$3640))</f>
        <v/>
      </c>
      <c r="R3669" s="208">
        <f>MIN(1,MAX(0,(nr_MEndP1-$G3669+0.5)/$C$3640))-MIN(1,MAX(0,(nr_MStartP1-1-$G3669+0.5)/$C$3640))</f>
        <v/>
      </c>
      <c r="S3669" s="208">
        <f>IF($L$3640,$N3669*IF($O$3640=1,$O3669/$F$3640,1),"")</f>
        <v/>
      </c>
      <c r="T3669" s="208">
        <f>IF(NOT($L$3640),"",IF($G3669&lt;nr_MStartP,$S3669,$T3657*(1+IF($G3669&lt;nr_MStartP1,$M$3640,$N$3640))))</f>
        <v/>
      </c>
      <c r="U3669" s="208">
        <f>IF($L$3640,$T3669,$N3669)</f>
        <v/>
      </c>
    </row>
    <row r="3670">
      <c r="A3670" s="145" t="n">
        <v>28</v>
      </c>
      <c r="B3670" s="204">
        <f>EDATE($B3669,1)</f>
        <v/>
      </c>
      <c r="C3670" s="205">
        <f>EOMONTH($B3670,0)</f>
        <v/>
      </c>
      <c r="D3670" s="201">
        <f>$C3670-$B3670+1</f>
        <v/>
      </c>
      <c r="E3670" s="201">
        <f>MONTH($B3670)</f>
        <v/>
      </c>
      <c r="F3670" s="235">
        <f>($B3670+$C3670+1)/2</f>
        <v/>
      </c>
      <c r="G3670" s="201">
        <f>YEAR($B3670)*12+MONTH($B3670)-1</f>
        <v/>
      </c>
      <c r="H3670" s="207">
        <f>IF(OR(nr_SeasonOn="OFF",$D$3640=0,$E$3640=0),1,12*INDEX(se_block,$D$3640,$E3670)/$E$3640)</f>
        <v/>
      </c>
      <c r="I3670" s="208">
        <f>EXP(SUMPRODUCT((rl_eff&lt;$B3670)*(rl_key=$A$3640)*rl_ln1p))</f>
        <v/>
      </c>
      <c r="J3670" s="208">
        <f>EXP(SUMPRODUCT((rl_eff&lt;=$C3670)*(rl_key=$A$3640)*rl_ln1p))</f>
        <v/>
      </c>
      <c r="K3670" s="201">
        <f>COUNTIFS(rl_key,$A$3640,rl_eff,"&gt;="&amp;$B3670,rl_eff,"&lt;="&amp;$C3670)</f>
        <v/>
      </c>
      <c r="L3670" s="201">
        <f>SUMIFS(rl_daysafter,rl_key,$A$3640,rl_effmonth,$B3670,rl_first,1)</f>
        <v/>
      </c>
      <c r="M3670" s="209">
        <f>IF($K3670=0,0,MIN(1,$L3670/$D3670))</f>
        <v/>
      </c>
      <c r="N3670" s="208">
        <f>IF($K3670=0,$J3670,(1-$M3670)*$I3670+$M3670*$J3670)</f>
        <v/>
      </c>
      <c r="O3670" s="209">
        <f>IF($F3670&lt;$B$3641,$E$3641+$I$3641*($F3670-$A$3641),IF($F3670&lt;$C$3641,$F$3641+$J$3641*($F3670-$B$3641),$G$3641+$K$3641*($F3670-$C$3641)))</f>
        <v/>
      </c>
      <c r="P3670" s="208">
        <f>MIN(1,MAX(0,(nr_MEndPm1-$G3670+0.5)/$C$3640))-MIN(1,MAX(0,(nr_MStartPm1-1-$G3670+0.5)/$C$3640))</f>
        <v/>
      </c>
      <c r="Q3670" s="208">
        <f>MIN(1,MAX(0,(nr_MEndP-$G3670+0.5)/$C$3640))-MIN(1,MAX(0,(nr_MStartP-1-$G3670+0.5)/$C$3640))</f>
        <v/>
      </c>
      <c r="R3670" s="208">
        <f>MIN(1,MAX(0,(nr_MEndP1-$G3670+0.5)/$C$3640))-MIN(1,MAX(0,(nr_MStartP1-1-$G3670+0.5)/$C$3640))</f>
        <v/>
      </c>
      <c r="S3670" s="208">
        <f>IF($L$3640,$N3670*IF($O$3640=1,$O3670/$F$3640,1),"")</f>
        <v/>
      </c>
      <c r="T3670" s="208">
        <f>IF(NOT($L$3640),"",IF($G3670&lt;nr_MStartP,$S3670,$T3658*(1+IF($G3670&lt;nr_MStartP1,$M$3640,$N$3640))))</f>
        <v/>
      </c>
      <c r="U3670" s="208">
        <f>IF($L$3640,$T3670,$N3670)</f>
        <v/>
      </c>
    </row>
    <row r="3671">
      <c r="A3671" s="145" t="n">
        <v>29</v>
      </c>
      <c r="B3671" s="204">
        <f>EDATE($B3670,1)</f>
        <v/>
      </c>
      <c r="C3671" s="205">
        <f>EOMONTH($B3671,0)</f>
        <v/>
      </c>
      <c r="D3671" s="201">
        <f>$C3671-$B3671+1</f>
        <v/>
      </c>
      <c r="E3671" s="201">
        <f>MONTH($B3671)</f>
        <v/>
      </c>
      <c r="F3671" s="235">
        <f>($B3671+$C3671+1)/2</f>
        <v/>
      </c>
      <c r="G3671" s="201">
        <f>YEAR($B3671)*12+MONTH($B3671)-1</f>
        <v/>
      </c>
      <c r="H3671" s="207">
        <f>IF(OR(nr_SeasonOn="OFF",$D$3640=0,$E$3640=0),1,12*INDEX(se_block,$D$3640,$E3671)/$E$3640)</f>
        <v/>
      </c>
      <c r="I3671" s="208">
        <f>EXP(SUMPRODUCT((rl_eff&lt;$B3671)*(rl_key=$A$3640)*rl_ln1p))</f>
        <v/>
      </c>
      <c r="J3671" s="208">
        <f>EXP(SUMPRODUCT((rl_eff&lt;=$C3671)*(rl_key=$A$3640)*rl_ln1p))</f>
        <v/>
      </c>
      <c r="K3671" s="201">
        <f>COUNTIFS(rl_key,$A$3640,rl_eff,"&gt;="&amp;$B3671,rl_eff,"&lt;="&amp;$C3671)</f>
        <v/>
      </c>
      <c r="L3671" s="201">
        <f>SUMIFS(rl_daysafter,rl_key,$A$3640,rl_effmonth,$B3671,rl_first,1)</f>
        <v/>
      </c>
      <c r="M3671" s="209">
        <f>IF($K3671=0,0,MIN(1,$L3671/$D3671))</f>
        <v/>
      </c>
      <c r="N3671" s="208">
        <f>IF($K3671=0,$J3671,(1-$M3671)*$I3671+$M3671*$J3671)</f>
        <v/>
      </c>
      <c r="O3671" s="209">
        <f>IF($F3671&lt;$B$3641,$E$3641+$I$3641*($F3671-$A$3641),IF($F3671&lt;$C$3641,$F$3641+$J$3641*($F3671-$B$3641),$G$3641+$K$3641*($F3671-$C$3641)))</f>
        <v/>
      </c>
      <c r="P3671" s="208">
        <f>MIN(1,MAX(0,(nr_MEndPm1-$G3671+0.5)/$C$3640))-MIN(1,MAX(0,(nr_MStartPm1-1-$G3671+0.5)/$C$3640))</f>
        <v/>
      </c>
      <c r="Q3671" s="208">
        <f>MIN(1,MAX(0,(nr_MEndP-$G3671+0.5)/$C$3640))-MIN(1,MAX(0,(nr_MStartP-1-$G3671+0.5)/$C$3640))</f>
        <v/>
      </c>
      <c r="R3671" s="208">
        <f>MIN(1,MAX(0,(nr_MEndP1-$G3671+0.5)/$C$3640))-MIN(1,MAX(0,(nr_MStartP1-1-$G3671+0.5)/$C$3640))</f>
        <v/>
      </c>
      <c r="S3671" s="208">
        <f>IF($L$3640,$N3671*IF($O$3640=1,$O3671/$F$3640,1),"")</f>
        <v/>
      </c>
      <c r="T3671" s="208">
        <f>IF(NOT($L$3640),"",IF($G3671&lt;nr_MStartP,$S3671,$T3659*(1+IF($G3671&lt;nr_MStartP1,$M$3640,$N$3640))))</f>
        <v/>
      </c>
      <c r="U3671" s="208">
        <f>IF($L$3640,$T3671,$N3671)</f>
        <v/>
      </c>
    </row>
    <row r="3672">
      <c r="A3672" s="145" t="n">
        <v>30</v>
      </c>
      <c r="B3672" s="204">
        <f>EDATE($B3671,1)</f>
        <v/>
      </c>
      <c r="C3672" s="205">
        <f>EOMONTH($B3672,0)</f>
        <v/>
      </c>
      <c r="D3672" s="201">
        <f>$C3672-$B3672+1</f>
        <v/>
      </c>
      <c r="E3672" s="201">
        <f>MONTH($B3672)</f>
        <v/>
      </c>
      <c r="F3672" s="235">
        <f>($B3672+$C3672+1)/2</f>
        <v/>
      </c>
      <c r="G3672" s="201">
        <f>YEAR($B3672)*12+MONTH($B3672)-1</f>
        <v/>
      </c>
      <c r="H3672" s="207">
        <f>IF(OR(nr_SeasonOn="OFF",$D$3640=0,$E$3640=0),1,12*INDEX(se_block,$D$3640,$E3672)/$E$3640)</f>
        <v/>
      </c>
      <c r="I3672" s="208">
        <f>EXP(SUMPRODUCT((rl_eff&lt;$B3672)*(rl_key=$A$3640)*rl_ln1p))</f>
        <v/>
      </c>
      <c r="J3672" s="208">
        <f>EXP(SUMPRODUCT((rl_eff&lt;=$C3672)*(rl_key=$A$3640)*rl_ln1p))</f>
        <v/>
      </c>
      <c r="K3672" s="201">
        <f>COUNTIFS(rl_key,$A$3640,rl_eff,"&gt;="&amp;$B3672,rl_eff,"&lt;="&amp;$C3672)</f>
        <v/>
      </c>
      <c r="L3672" s="201">
        <f>SUMIFS(rl_daysafter,rl_key,$A$3640,rl_effmonth,$B3672,rl_first,1)</f>
        <v/>
      </c>
      <c r="M3672" s="209">
        <f>IF($K3672=0,0,MIN(1,$L3672/$D3672))</f>
        <v/>
      </c>
      <c r="N3672" s="208">
        <f>IF($K3672=0,$J3672,(1-$M3672)*$I3672+$M3672*$J3672)</f>
        <v/>
      </c>
      <c r="O3672" s="209">
        <f>IF($F3672&lt;$B$3641,$E$3641+$I$3641*($F3672-$A$3641),IF($F3672&lt;$C$3641,$F$3641+$J$3641*($F3672-$B$3641),$G$3641+$K$3641*($F3672-$C$3641)))</f>
        <v/>
      </c>
      <c r="P3672" s="208">
        <f>MIN(1,MAX(0,(nr_MEndPm1-$G3672+0.5)/$C$3640))-MIN(1,MAX(0,(nr_MStartPm1-1-$G3672+0.5)/$C$3640))</f>
        <v/>
      </c>
      <c r="Q3672" s="208">
        <f>MIN(1,MAX(0,(nr_MEndP-$G3672+0.5)/$C$3640))-MIN(1,MAX(0,(nr_MStartP-1-$G3672+0.5)/$C$3640))</f>
        <v/>
      </c>
      <c r="R3672" s="208">
        <f>MIN(1,MAX(0,(nr_MEndP1-$G3672+0.5)/$C$3640))-MIN(1,MAX(0,(nr_MStartP1-1-$G3672+0.5)/$C$3640))</f>
        <v/>
      </c>
      <c r="S3672" s="208">
        <f>IF($L$3640,$N3672*IF($O$3640=1,$O3672/$F$3640,1),"")</f>
        <v/>
      </c>
      <c r="T3672" s="208">
        <f>IF(NOT($L$3640),"",IF($G3672&lt;nr_MStartP,$S3672,$T3660*(1+IF($G3672&lt;nr_MStartP1,$M$3640,$N$3640))))</f>
        <v/>
      </c>
      <c r="U3672" s="208">
        <f>IF($L$3640,$T3672,$N3672)</f>
        <v/>
      </c>
    </row>
    <row r="3673">
      <c r="A3673" s="145" t="n">
        <v>31</v>
      </c>
      <c r="B3673" s="204">
        <f>EDATE($B3672,1)</f>
        <v/>
      </c>
      <c r="C3673" s="205">
        <f>EOMONTH($B3673,0)</f>
        <v/>
      </c>
      <c r="D3673" s="201">
        <f>$C3673-$B3673+1</f>
        <v/>
      </c>
      <c r="E3673" s="201">
        <f>MONTH($B3673)</f>
        <v/>
      </c>
      <c r="F3673" s="235">
        <f>($B3673+$C3673+1)/2</f>
        <v/>
      </c>
      <c r="G3673" s="201">
        <f>YEAR($B3673)*12+MONTH($B3673)-1</f>
        <v/>
      </c>
      <c r="H3673" s="207">
        <f>IF(OR(nr_SeasonOn="OFF",$D$3640=0,$E$3640=0),1,12*INDEX(se_block,$D$3640,$E3673)/$E$3640)</f>
        <v/>
      </c>
      <c r="I3673" s="208">
        <f>EXP(SUMPRODUCT((rl_eff&lt;$B3673)*(rl_key=$A$3640)*rl_ln1p))</f>
        <v/>
      </c>
      <c r="J3673" s="208">
        <f>EXP(SUMPRODUCT((rl_eff&lt;=$C3673)*(rl_key=$A$3640)*rl_ln1p))</f>
        <v/>
      </c>
      <c r="K3673" s="201">
        <f>COUNTIFS(rl_key,$A$3640,rl_eff,"&gt;="&amp;$B3673,rl_eff,"&lt;="&amp;$C3673)</f>
        <v/>
      </c>
      <c r="L3673" s="201">
        <f>SUMIFS(rl_daysafter,rl_key,$A$3640,rl_effmonth,$B3673,rl_first,1)</f>
        <v/>
      </c>
      <c r="M3673" s="209">
        <f>IF($K3673=0,0,MIN(1,$L3673/$D3673))</f>
        <v/>
      </c>
      <c r="N3673" s="208">
        <f>IF($K3673=0,$J3673,(1-$M3673)*$I3673+$M3673*$J3673)</f>
        <v/>
      </c>
      <c r="O3673" s="209">
        <f>IF($F3673&lt;$B$3641,$E$3641+$I$3641*($F3673-$A$3641),IF($F3673&lt;$C$3641,$F$3641+$J$3641*($F3673-$B$3641),$G$3641+$K$3641*($F3673-$C$3641)))</f>
        <v/>
      </c>
      <c r="P3673" s="208">
        <f>MIN(1,MAX(0,(nr_MEndPm1-$G3673+0.5)/$C$3640))-MIN(1,MAX(0,(nr_MStartPm1-1-$G3673+0.5)/$C$3640))</f>
        <v/>
      </c>
      <c r="Q3673" s="208">
        <f>MIN(1,MAX(0,(nr_MEndP-$G3673+0.5)/$C$3640))-MIN(1,MAX(0,(nr_MStartP-1-$G3673+0.5)/$C$3640))</f>
        <v/>
      </c>
      <c r="R3673" s="208">
        <f>MIN(1,MAX(0,(nr_MEndP1-$G3673+0.5)/$C$3640))-MIN(1,MAX(0,(nr_MStartP1-1-$G3673+0.5)/$C$3640))</f>
        <v/>
      </c>
      <c r="S3673" s="208">
        <f>IF($L$3640,$N3673*IF($O$3640=1,$O3673/$F$3640,1),"")</f>
        <v/>
      </c>
      <c r="T3673" s="208">
        <f>IF(NOT($L$3640),"",IF($G3673&lt;nr_MStartP,$S3673,$T3661*(1+IF($G3673&lt;nr_MStartP1,$M$3640,$N$3640))))</f>
        <v/>
      </c>
      <c r="U3673" s="208">
        <f>IF($L$3640,$T3673,$N3673)</f>
        <v/>
      </c>
    </row>
    <row r="3674">
      <c r="A3674" s="145" t="n">
        <v>32</v>
      </c>
      <c r="B3674" s="204">
        <f>EDATE($B3673,1)</f>
        <v/>
      </c>
      <c r="C3674" s="205">
        <f>EOMONTH($B3674,0)</f>
        <v/>
      </c>
      <c r="D3674" s="201">
        <f>$C3674-$B3674+1</f>
        <v/>
      </c>
      <c r="E3674" s="201">
        <f>MONTH($B3674)</f>
        <v/>
      </c>
      <c r="F3674" s="235">
        <f>($B3674+$C3674+1)/2</f>
        <v/>
      </c>
      <c r="G3674" s="201">
        <f>YEAR($B3674)*12+MONTH($B3674)-1</f>
        <v/>
      </c>
      <c r="H3674" s="207">
        <f>IF(OR(nr_SeasonOn="OFF",$D$3640=0,$E$3640=0),1,12*INDEX(se_block,$D$3640,$E3674)/$E$3640)</f>
        <v/>
      </c>
      <c r="I3674" s="208">
        <f>EXP(SUMPRODUCT((rl_eff&lt;$B3674)*(rl_key=$A$3640)*rl_ln1p))</f>
        <v/>
      </c>
      <c r="J3674" s="208">
        <f>EXP(SUMPRODUCT((rl_eff&lt;=$C3674)*(rl_key=$A$3640)*rl_ln1p))</f>
        <v/>
      </c>
      <c r="K3674" s="201">
        <f>COUNTIFS(rl_key,$A$3640,rl_eff,"&gt;="&amp;$B3674,rl_eff,"&lt;="&amp;$C3674)</f>
        <v/>
      </c>
      <c r="L3674" s="201">
        <f>SUMIFS(rl_daysafter,rl_key,$A$3640,rl_effmonth,$B3674,rl_first,1)</f>
        <v/>
      </c>
      <c r="M3674" s="209">
        <f>IF($K3674=0,0,MIN(1,$L3674/$D3674))</f>
        <v/>
      </c>
      <c r="N3674" s="208">
        <f>IF($K3674=0,$J3674,(1-$M3674)*$I3674+$M3674*$J3674)</f>
        <v/>
      </c>
      <c r="O3674" s="209">
        <f>IF($F3674&lt;$B$3641,$E$3641+$I$3641*($F3674-$A$3641),IF($F3674&lt;$C$3641,$F$3641+$J$3641*($F3674-$B$3641),$G$3641+$K$3641*($F3674-$C$3641)))</f>
        <v/>
      </c>
      <c r="P3674" s="208">
        <f>MIN(1,MAX(0,(nr_MEndPm1-$G3674+0.5)/$C$3640))-MIN(1,MAX(0,(nr_MStartPm1-1-$G3674+0.5)/$C$3640))</f>
        <v/>
      </c>
      <c r="Q3674" s="208">
        <f>MIN(1,MAX(0,(nr_MEndP-$G3674+0.5)/$C$3640))-MIN(1,MAX(0,(nr_MStartP-1-$G3674+0.5)/$C$3640))</f>
        <v/>
      </c>
      <c r="R3674" s="208">
        <f>MIN(1,MAX(0,(nr_MEndP1-$G3674+0.5)/$C$3640))-MIN(1,MAX(0,(nr_MStartP1-1-$G3674+0.5)/$C$3640))</f>
        <v/>
      </c>
      <c r="S3674" s="208">
        <f>IF($L$3640,$N3674*IF($O$3640=1,$O3674/$F$3640,1),"")</f>
        <v/>
      </c>
      <c r="T3674" s="208">
        <f>IF(NOT($L$3640),"",IF($G3674&lt;nr_MStartP,$S3674,$T3662*(1+IF($G3674&lt;nr_MStartP1,$M$3640,$N$3640))))</f>
        <v/>
      </c>
      <c r="U3674" s="208">
        <f>IF($L$3640,$T3674,$N3674)</f>
        <v/>
      </c>
    </row>
    <row r="3675">
      <c r="A3675" s="145" t="n">
        <v>33</v>
      </c>
      <c r="B3675" s="204">
        <f>EDATE($B3674,1)</f>
        <v/>
      </c>
      <c r="C3675" s="205">
        <f>EOMONTH($B3675,0)</f>
        <v/>
      </c>
      <c r="D3675" s="201">
        <f>$C3675-$B3675+1</f>
        <v/>
      </c>
      <c r="E3675" s="201">
        <f>MONTH($B3675)</f>
        <v/>
      </c>
      <c r="F3675" s="235">
        <f>($B3675+$C3675+1)/2</f>
        <v/>
      </c>
      <c r="G3675" s="201">
        <f>YEAR($B3675)*12+MONTH($B3675)-1</f>
        <v/>
      </c>
      <c r="H3675" s="207">
        <f>IF(OR(nr_SeasonOn="OFF",$D$3640=0,$E$3640=0),1,12*INDEX(se_block,$D$3640,$E3675)/$E$3640)</f>
        <v/>
      </c>
      <c r="I3675" s="208">
        <f>EXP(SUMPRODUCT((rl_eff&lt;$B3675)*(rl_key=$A$3640)*rl_ln1p))</f>
        <v/>
      </c>
      <c r="J3675" s="208">
        <f>EXP(SUMPRODUCT((rl_eff&lt;=$C3675)*(rl_key=$A$3640)*rl_ln1p))</f>
        <v/>
      </c>
      <c r="K3675" s="201">
        <f>COUNTIFS(rl_key,$A$3640,rl_eff,"&gt;="&amp;$B3675,rl_eff,"&lt;="&amp;$C3675)</f>
        <v/>
      </c>
      <c r="L3675" s="201">
        <f>SUMIFS(rl_daysafter,rl_key,$A$3640,rl_effmonth,$B3675,rl_first,1)</f>
        <v/>
      </c>
      <c r="M3675" s="209">
        <f>IF($K3675=0,0,MIN(1,$L3675/$D3675))</f>
        <v/>
      </c>
      <c r="N3675" s="208">
        <f>IF($K3675=0,$J3675,(1-$M3675)*$I3675+$M3675*$J3675)</f>
        <v/>
      </c>
      <c r="O3675" s="209">
        <f>IF($F3675&lt;$B$3641,$E$3641+$I$3641*($F3675-$A$3641),IF($F3675&lt;$C$3641,$F$3641+$J$3641*($F3675-$B$3641),$G$3641+$K$3641*($F3675-$C$3641)))</f>
        <v/>
      </c>
      <c r="P3675" s="208">
        <f>MIN(1,MAX(0,(nr_MEndPm1-$G3675+0.5)/$C$3640))-MIN(1,MAX(0,(nr_MStartPm1-1-$G3675+0.5)/$C$3640))</f>
        <v/>
      </c>
      <c r="Q3675" s="208">
        <f>MIN(1,MAX(0,(nr_MEndP-$G3675+0.5)/$C$3640))-MIN(1,MAX(0,(nr_MStartP-1-$G3675+0.5)/$C$3640))</f>
        <v/>
      </c>
      <c r="R3675" s="208">
        <f>MIN(1,MAX(0,(nr_MEndP1-$G3675+0.5)/$C$3640))-MIN(1,MAX(0,(nr_MStartP1-1-$G3675+0.5)/$C$3640))</f>
        <v/>
      </c>
      <c r="S3675" s="208">
        <f>IF($L$3640,$N3675*IF($O$3640=1,$O3675/$F$3640,1),"")</f>
        <v/>
      </c>
      <c r="T3675" s="208">
        <f>IF(NOT($L$3640),"",IF($G3675&lt;nr_MStartP,$S3675,$T3663*(1+IF($G3675&lt;nr_MStartP1,$M$3640,$N$3640))))</f>
        <v/>
      </c>
      <c r="U3675" s="208">
        <f>IF($L$3640,$T3675,$N3675)</f>
        <v/>
      </c>
    </row>
    <row r="3676">
      <c r="A3676" s="145" t="n">
        <v>34</v>
      </c>
      <c r="B3676" s="204">
        <f>EDATE($B3675,1)</f>
        <v/>
      </c>
      <c r="C3676" s="205">
        <f>EOMONTH($B3676,0)</f>
        <v/>
      </c>
      <c r="D3676" s="201">
        <f>$C3676-$B3676+1</f>
        <v/>
      </c>
      <c r="E3676" s="201">
        <f>MONTH($B3676)</f>
        <v/>
      </c>
      <c r="F3676" s="235">
        <f>($B3676+$C3676+1)/2</f>
        <v/>
      </c>
      <c r="G3676" s="201">
        <f>YEAR($B3676)*12+MONTH($B3676)-1</f>
        <v/>
      </c>
      <c r="H3676" s="207">
        <f>IF(OR(nr_SeasonOn="OFF",$D$3640=0,$E$3640=0),1,12*INDEX(se_block,$D$3640,$E3676)/$E$3640)</f>
        <v/>
      </c>
      <c r="I3676" s="208">
        <f>EXP(SUMPRODUCT((rl_eff&lt;$B3676)*(rl_key=$A$3640)*rl_ln1p))</f>
        <v/>
      </c>
      <c r="J3676" s="208">
        <f>EXP(SUMPRODUCT((rl_eff&lt;=$C3676)*(rl_key=$A$3640)*rl_ln1p))</f>
        <v/>
      </c>
      <c r="K3676" s="201">
        <f>COUNTIFS(rl_key,$A$3640,rl_eff,"&gt;="&amp;$B3676,rl_eff,"&lt;="&amp;$C3676)</f>
        <v/>
      </c>
      <c r="L3676" s="201">
        <f>SUMIFS(rl_daysafter,rl_key,$A$3640,rl_effmonth,$B3676,rl_first,1)</f>
        <v/>
      </c>
      <c r="M3676" s="209">
        <f>IF($K3676=0,0,MIN(1,$L3676/$D3676))</f>
        <v/>
      </c>
      <c r="N3676" s="208">
        <f>IF($K3676=0,$J3676,(1-$M3676)*$I3676+$M3676*$J3676)</f>
        <v/>
      </c>
      <c r="O3676" s="209">
        <f>IF($F3676&lt;$B$3641,$E$3641+$I$3641*($F3676-$A$3641),IF($F3676&lt;$C$3641,$F$3641+$J$3641*($F3676-$B$3641),$G$3641+$K$3641*($F3676-$C$3641)))</f>
        <v/>
      </c>
      <c r="P3676" s="208">
        <f>MIN(1,MAX(0,(nr_MEndPm1-$G3676+0.5)/$C$3640))-MIN(1,MAX(0,(nr_MStartPm1-1-$G3676+0.5)/$C$3640))</f>
        <v/>
      </c>
      <c r="Q3676" s="208">
        <f>MIN(1,MAX(0,(nr_MEndP-$G3676+0.5)/$C$3640))-MIN(1,MAX(0,(nr_MStartP-1-$G3676+0.5)/$C$3640))</f>
        <v/>
      </c>
      <c r="R3676" s="208">
        <f>MIN(1,MAX(0,(nr_MEndP1-$G3676+0.5)/$C$3640))-MIN(1,MAX(0,(nr_MStartP1-1-$G3676+0.5)/$C$3640))</f>
        <v/>
      </c>
      <c r="S3676" s="208">
        <f>IF($L$3640,$N3676*IF($O$3640=1,$O3676/$F$3640,1),"")</f>
        <v/>
      </c>
      <c r="T3676" s="208">
        <f>IF(NOT($L$3640),"",IF($G3676&lt;nr_MStartP,$S3676,$T3664*(1+IF($G3676&lt;nr_MStartP1,$M$3640,$N$3640))))</f>
        <v/>
      </c>
      <c r="U3676" s="208">
        <f>IF($L$3640,$T3676,$N3676)</f>
        <v/>
      </c>
    </row>
    <row r="3677">
      <c r="A3677" s="145" t="n">
        <v>35</v>
      </c>
      <c r="B3677" s="204">
        <f>EDATE($B3676,1)</f>
        <v/>
      </c>
      <c r="C3677" s="205">
        <f>EOMONTH($B3677,0)</f>
        <v/>
      </c>
      <c r="D3677" s="201">
        <f>$C3677-$B3677+1</f>
        <v/>
      </c>
      <c r="E3677" s="201">
        <f>MONTH($B3677)</f>
        <v/>
      </c>
      <c r="F3677" s="235">
        <f>($B3677+$C3677+1)/2</f>
        <v/>
      </c>
      <c r="G3677" s="201">
        <f>YEAR($B3677)*12+MONTH($B3677)-1</f>
        <v/>
      </c>
      <c r="H3677" s="207">
        <f>IF(OR(nr_SeasonOn="OFF",$D$3640=0,$E$3640=0),1,12*INDEX(se_block,$D$3640,$E3677)/$E$3640)</f>
        <v/>
      </c>
      <c r="I3677" s="208">
        <f>EXP(SUMPRODUCT((rl_eff&lt;$B3677)*(rl_key=$A$3640)*rl_ln1p))</f>
        <v/>
      </c>
      <c r="J3677" s="208">
        <f>EXP(SUMPRODUCT((rl_eff&lt;=$C3677)*(rl_key=$A$3640)*rl_ln1p))</f>
        <v/>
      </c>
      <c r="K3677" s="201">
        <f>COUNTIFS(rl_key,$A$3640,rl_eff,"&gt;="&amp;$B3677,rl_eff,"&lt;="&amp;$C3677)</f>
        <v/>
      </c>
      <c r="L3677" s="201">
        <f>SUMIFS(rl_daysafter,rl_key,$A$3640,rl_effmonth,$B3677,rl_first,1)</f>
        <v/>
      </c>
      <c r="M3677" s="209">
        <f>IF($K3677=0,0,MIN(1,$L3677/$D3677))</f>
        <v/>
      </c>
      <c r="N3677" s="208">
        <f>IF($K3677=0,$J3677,(1-$M3677)*$I3677+$M3677*$J3677)</f>
        <v/>
      </c>
      <c r="O3677" s="209">
        <f>IF($F3677&lt;$B$3641,$E$3641+$I$3641*($F3677-$A$3641),IF($F3677&lt;$C$3641,$F$3641+$J$3641*($F3677-$B$3641),$G$3641+$K$3641*($F3677-$C$3641)))</f>
        <v/>
      </c>
      <c r="P3677" s="208">
        <f>MIN(1,MAX(0,(nr_MEndPm1-$G3677+0.5)/$C$3640))-MIN(1,MAX(0,(nr_MStartPm1-1-$G3677+0.5)/$C$3640))</f>
        <v/>
      </c>
      <c r="Q3677" s="208">
        <f>MIN(1,MAX(0,(nr_MEndP-$G3677+0.5)/$C$3640))-MIN(1,MAX(0,(nr_MStartP-1-$G3677+0.5)/$C$3640))</f>
        <v/>
      </c>
      <c r="R3677" s="208">
        <f>MIN(1,MAX(0,(nr_MEndP1-$G3677+0.5)/$C$3640))-MIN(1,MAX(0,(nr_MStartP1-1-$G3677+0.5)/$C$3640))</f>
        <v/>
      </c>
      <c r="S3677" s="208">
        <f>IF($L$3640,$N3677*IF($O$3640=1,$O3677/$F$3640,1),"")</f>
        <v/>
      </c>
      <c r="T3677" s="208">
        <f>IF(NOT($L$3640),"",IF($G3677&lt;nr_MStartP,$S3677,$T3665*(1+IF($G3677&lt;nr_MStartP1,$M$3640,$N$3640))))</f>
        <v/>
      </c>
      <c r="U3677" s="208">
        <f>IF($L$3640,$T3677,$N3677)</f>
        <v/>
      </c>
    </row>
    <row r="3678">
      <c r="A3678" s="145" t="n">
        <v>36</v>
      </c>
      <c r="B3678" s="204">
        <f>EDATE($B3677,1)</f>
        <v/>
      </c>
      <c r="C3678" s="205">
        <f>EOMONTH($B3678,0)</f>
        <v/>
      </c>
      <c r="D3678" s="201">
        <f>$C3678-$B3678+1</f>
        <v/>
      </c>
      <c r="E3678" s="201">
        <f>MONTH($B3678)</f>
        <v/>
      </c>
      <c r="F3678" s="235">
        <f>($B3678+$C3678+1)/2</f>
        <v/>
      </c>
      <c r="G3678" s="201">
        <f>YEAR($B3678)*12+MONTH($B3678)-1</f>
        <v/>
      </c>
      <c r="H3678" s="207">
        <f>IF(OR(nr_SeasonOn="OFF",$D$3640=0,$E$3640=0),1,12*INDEX(se_block,$D$3640,$E3678)/$E$3640)</f>
        <v/>
      </c>
      <c r="I3678" s="208">
        <f>EXP(SUMPRODUCT((rl_eff&lt;$B3678)*(rl_key=$A$3640)*rl_ln1p))</f>
        <v/>
      </c>
      <c r="J3678" s="208">
        <f>EXP(SUMPRODUCT((rl_eff&lt;=$C3678)*(rl_key=$A$3640)*rl_ln1p))</f>
        <v/>
      </c>
      <c r="K3678" s="201">
        <f>COUNTIFS(rl_key,$A$3640,rl_eff,"&gt;="&amp;$B3678,rl_eff,"&lt;="&amp;$C3678)</f>
        <v/>
      </c>
      <c r="L3678" s="201">
        <f>SUMIFS(rl_daysafter,rl_key,$A$3640,rl_effmonth,$B3678,rl_first,1)</f>
        <v/>
      </c>
      <c r="M3678" s="209">
        <f>IF($K3678=0,0,MIN(1,$L3678/$D3678))</f>
        <v/>
      </c>
      <c r="N3678" s="208">
        <f>IF($K3678=0,$J3678,(1-$M3678)*$I3678+$M3678*$J3678)</f>
        <v/>
      </c>
      <c r="O3678" s="209">
        <f>IF($F3678&lt;$B$3641,$E$3641+$I$3641*($F3678-$A$3641),IF($F3678&lt;$C$3641,$F$3641+$J$3641*($F3678-$B$3641),$G$3641+$K$3641*($F3678-$C$3641)))</f>
        <v/>
      </c>
      <c r="P3678" s="208">
        <f>MIN(1,MAX(0,(nr_MEndPm1-$G3678+0.5)/$C$3640))-MIN(1,MAX(0,(nr_MStartPm1-1-$G3678+0.5)/$C$3640))</f>
        <v/>
      </c>
      <c r="Q3678" s="208">
        <f>MIN(1,MAX(0,(nr_MEndP-$G3678+0.5)/$C$3640))-MIN(1,MAX(0,(nr_MStartP-1-$G3678+0.5)/$C$3640))</f>
        <v/>
      </c>
      <c r="R3678" s="208">
        <f>MIN(1,MAX(0,(nr_MEndP1-$G3678+0.5)/$C$3640))-MIN(1,MAX(0,(nr_MStartP1-1-$G3678+0.5)/$C$3640))</f>
        <v/>
      </c>
      <c r="S3678" s="208">
        <f>IF($L$3640,$N3678*IF($O$3640=1,$O3678/$F$3640,1),"")</f>
        <v/>
      </c>
      <c r="T3678" s="208">
        <f>IF(NOT($L$3640),"",IF($G3678&lt;nr_MStartP,$S3678,$T3666*(1+IF($G3678&lt;nr_MStartP1,$M$3640,$N$3640))))</f>
        <v/>
      </c>
      <c r="U3678" s="208">
        <f>IF($L$3640,$T3678,$N3678)</f>
        <v/>
      </c>
    </row>
    <row r="3679">
      <c r="A3679" s="145" t="n">
        <v>37</v>
      </c>
      <c r="B3679" s="204">
        <f>EDATE($B3678,1)</f>
        <v/>
      </c>
      <c r="C3679" s="205">
        <f>EOMONTH($B3679,0)</f>
        <v/>
      </c>
      <c r="D3679" s="201">
        <f>$C3679-$B3679+1</f>
        <v/>
      </c>
      <c r="E3679" s="201">
        <f>MONTH($B3679)</f>
        <v/>
      </c>
      <c r="F3679" s="235">
        <f>($B3679+$C3679+1)/2</f>
        <v/>
      </c>
      <c r="G3679" s="201">
        <f>YEAR($B3679)*12+MONTH($B3679)-1</f>
        <v/>
      </c>
      <c r="H3679" s="207">
        <f>IF(OR(nr_SeasonOn="OFF",$D$3640=0,$E$3640=0),1,12*INDEX(se_block,$D$3640,$E3679)/$E$3640)</f>
        <v/>
      </c>
      <c r="I3679" s="208">
        <f>EXP(SUMPRODUCT((rl_eff&lt;$B3679)*(rl_key=$A$3640)*rl_ln1p))</f>
        <v/>
      </c>
      <c r="J3679" s="208">
        <f>EXP(SUMPRODUCT((rl_eff&lt;=$C3679)*(rl_key=$A$3640)*rl_ln1p))</f>
        <v/>
      </c>
      <c r="K3679" s="201">
        <f>COUNTIFS(rl_key,$A$3640,rl_eff,"&gt;="&amp;$B3679,rl_eff,"&lt;="&amp;$C3679)</f>
        <v/>
      </c>
      <c r="L3679" s="201">
        <f>SUMIFS(rl_daysafter,rl_key,$A$3640,rl_effmonth,$B3679,rl_first,1)</f>
        <v/>
      </c>
      <c r="M3679" s="209">
        <f>IF($K3679=0,0,MIN(1,$L3679/$D3679))</f>
        <v/>
      </c>
      <c r="N3679" s="208">
        <f>IF($K3679=0,$J3679,(1-$M3679)*$I3679+$M3679*$J3679)</f>
        <v/>
      </c>
      <c r="O3679" s="209">
        <f>IF($F3679&lt;$B$3641,$E$3641+$I$3641*($F3679-$A$3641),IF($F3679&lt;$C$3641,$F$3641+$J$3641*($F3679-$B$3641),$G$3641+$K$3641*($F3679-$C$3641)))</f>
        <v/>
      </c>
      <c r="P3679" s="208">
        <f>MIN(1,MAX(0,(nr_MEndPm1-$G3679+0.5)/$C$3640))-MIN(1,MAX(0,(nr_MStartPm1-1-$G3679+0.5)/$C$3640))</f>
        <v/>
      </c>
      <c r="Q3679" s="208">
        <f>MIN(1,MAX(0,(nr_MEndP-$G3679+0.5)/$C$3640))-MIN(1,MAX(0,(nr_MStartP-1-$G3679+0.5)/$C$3640))</f>
        <v/>
      </c>
      <c r="R3679" s="208">
        <f>MIN(1,MAX(0,(nr_MEndP1-$G3679+0.5)/$C$3640))-MIN(1,MAX(0,(nr_MStartP1-1-$G3679+0.5)/$C$3640))</f>
        <v/>
      </c>
      <c r="S3679" s="208">
        <f>IF($L$3640,$N3679*IF($O$3640=1,$O3679/$F$3640,1),"")</f>
        <v/>
      </c>
      <c r="T3679" s="208">
        <f>IF(NOT($L$3640),"",IF($G3679&lt;nr_MStartP,$S3679,$T3667*(1+IF($G3679&lt;nr_MStartP1,$M$3640,$N$3640))))</f>
        <v/>
      </c>
      <c r="U3679" s="208">
        <f>IF($L$3640,$T3679,$N3679)</f>
        <v/>
      </c>
    </row>
    <row r="3680">
      <c r="A3680" s="145" t="n">
        <v>38</v>
      </c>
      <c r="B3680" s="204">
        <f>EDATE($B3679,1)</f>
        <v/>
      </c>
      <c r="C3680" s="205">
        <f>EOMONTH($B3680,0)</f>
        <v/>
      </c>
      <c r="D3680" s="201">
        <f>$C3680-$B3680+1</f>
        <v/>
      </c>
      <c r="E3680" s="201">
        <f>MONTH($B3680)</f>
        <v/>
      </c>
      <c r="F3680" s="235">
        <f>($B3680+$C3680+1)/2</f>
        <v/>
      </c>
      <c r="G3680" s="201">
        <f>YEAR($B3680)*12+MONTH($B3680)-1</f>
        <v/>
      </c>
      <c r="H3680" s="207">
        <f>IF(OR(nr_SeasonOn="OFF",$D$3640=0,$E$3640=0),1,12*INDEX(se_block,$D$3640,$E3680)/$E$3640)</f>
        <v/>
      </c>
      <c r="I3680" s="208">
        <f>EXP(SUMPRODUCT((rl_eff&lt;$B3680)*(rl_key=$A$3640)*rl_ln1p))</f>
        <v/>
      </c>
      <c r="J3680" s="208">
        <f>EXP(SUMPRODUCT((rl_eff&lt;=$C3680)*(rl_key=$A$3640)*rl_ln1p))</f>
        <v/>
      </c>
      <c r="K3680" s="201">
        <f>COUNTIFS(rl_key,$A$3640,rl_eff,"&gt;="&amp;$B3680,rl_eff,"&lt;="&amp;$C3680)</f>
        <v/>
      </c>
      <c r="L3680" s="201">
        <f>SUMIFS(rl_daysafter,rl_key,$A$3640,rl_effmonth,$B3680,rl_first,1)</f>
        <v/>
      </c>
      <c r="M3680" s="209">
        <f>IF($K3680=0,0,MIN(1,$L3680/$D3680))</f>
        <v/>
      </c>
      <c r="N3680" s="208">
        <f>IF($K3680=0,$J3680,(1-$M3680)*$I3680+$M3680*$J3680)</f>
        <v/>
      </c>
      <c r="O3680" s="209">
        <f>IF($F3680&lt;$B$3641,$E$3641+$I$3641*($F3680-$A$3641),IF($F3680&lt;$C$3641,$F$3641+$J$3641*($F3680-$B$3641),$G$3641+$K$3641*($F3680-$C$3641)))</f>
        <v/>
      </c>
      <c r="P3680" s="208">
        <f>MIN(1,MAX(0,(nr_MEndPm1-$G3680+0.5)/$C$3640))-MIN(1,MAX(0,(nr_MStartPm1-1-$G3680+0.5)/$C$3640))</f>
        <v/>
      </c>
      <c r="Q3680" s="208">
        <f>MIN(1,MAX(0,(nr_MEndP-$G3680+0.5)/$C$3640))-MIN(1,MAX(0,(nr_MStartP-1-$G3680+0.5)/$C$3640))</f>
        <v/>
      </c>
      <c r="R3680" s="208">
        <f>MIN(1,MAX(0,(nr_MEndP1-$G3680+0.5)/$C$3640))-MIN(1,MAX(0,(nr_MStartP1-1-$G3680+0.5)/$C$3640))</f>
        <v/>
      </c>
      <c r="S3680" s="208">
        <f>IF($L$3640,$N3680*IF($O$3640=1,$O3680/$F$3640,1),"")</f>
        <v/>
      </c>
      <c r="T3680" s="208">
        <f>IF(NOT($L$3640),"",IF($G3680&lt;nr_MStartP,$S3680,$T3668*(1+IF($G3680&lt;nr_MStartP1,$M$3640,$N$3640))))</f>
        <v/>
      </c>
      <c r="U3680" s="208">
        <f>IF($L$3640,$T3680,$N3680)</f>
        <v/>
      </c>
    </row>
    <row r="3681">
      <c r="A3681" s="145" t="n">
        <v>39</v>
      </c>
      <c r="B3681" s="204">
        <f>EDATE($B3680,1)</f>
        <v/>
      </c>
      <c r="C3681" s="205">
        <f>EOMONTH($B3681,0)</f>
        <v/>
      </c>
      <c r="D3681" s="201">
        <f>$C3681-$B3681+1</f>
        <v/>
      </c>
      <c r="E3681" s="201">
        <f>MONTH($B3681)</f>
        <v/>
      </c>
      <c r="F3681" s="235">
        <f>($B3681+$C3681+1)/2</f>
        <v/>
      </c>
      <c r="G3681" s="201">
        <f>YEAR($B3681)*12+MONTH($B3681)-1</f>
        <v/>
      </c>
      <c r="H3681" s="207">
        <f>IF(OR(nr_SeasonOn="OFF",$D$3640=0,$E$3640=0),1,12*INDEX(se_block,$D$3640,$E3681)/$E$3640)</f>
        <v/>
      </c>
      <c r="I3681" s="208">
        <f>EXP(SUMPRODUCT((rl_eff&lt;$B3681)*(rl_key=$A$3640)*rl_ln1p))</f>
        <v/>
      </c>
      <c r="J3681" s="208">
        <f>EXP(SUMPRODUCT((rl_eff&lt;=$C3681)*(rl_key=$A$3640)*rl_ln1p))</f>
        <v/>
      </c>
      <c r="K3681" s="201">
        <f>COUNTIFS(rl_key,$A$3640,rl_eff,"&gt;="&amp;$B3681,rl_eff,"&lt;="&amp;$C3681)</f>
        <v/>
      </c>
      <c r="L3681" s="201">
        <f>SUMIFS(rl_daysafter,rl_key,$A$3640,rl_effmonth,$B3681,rl_first,1)</f>
        <v/>
      </c>
      <c r="M3681" s="209">
        <f>IF($K3681=0,0,MIN(1,$L3681/$D3681))</f>
        <v/>
      </c>
      <c r="N3681" s="208">
        <f>IF($K3681=0,$J3681,(1-$M3681)*$I3681+$M3681*$J3681)</f>
        <v/>
      </c>
      <c r="O3681" s="209">
        <f>IF($F3681&lt;$B$3641,$E$3641+$I$3641*($F3681-$A$3641),IF($F3681&lt;$C$3641,$F$3641+$J$3641*($F3681-$B$3641),$G$3641+$K$3641*($F3681-$C$3641)))</f>
        <v/>
      </c>
      <c r="P3681" s="208">
        <f>MIN(1,MAX(0,(nr_MEndPm1-$G3681+0.5)/$C$3640))-MIN(1,MAX(0,(nr_MStartPm1-1-$G3681+0.5)/$C$3640))</f>
        <v/>
      </c>
      <c r="Q3681" s="208">
        <f>MIN(1,MAX(0,(nr_MEndP-$G3681+0.5)/$C$3640))-MIN(1,MAX(0,(nr_MStartP-1-$G3681+0.5)/$C$3640))</f>
        <v/>
      </c>
      <c r="R3681" s="208">
        <f>MIN(1,MAX(0,(nr_MEndP1-$G3681+0.5)/$C$3640))-MIN(1,MAX(0,(nr_MStartP1-1-$G3681+0.5)/$C$3640))</f>
        <v/>
      </c>
      <c r="S3681" s="208">
        <f>IF($L$3640,$N3681*IF($O$3640=1,$O3681/$F$3640,1),"")</f>
        <v/>
      </c>
      <c r="T3681" s="208">
        <f>IF(NOT($L$3640),"",IF($G3681&lt;nr_MStartP,$S3681,$T3669*(1+IF($G3681&lt;nr_MStartP1,$M$3640,$N$3640))))</f>
        <v/>
      </c>
      <c r="U3681" s="208">
        <f>IF($L$3640,$T3681,$N3681)</f>
        <v/>
      </c>
    </row>
    <row r="3682">
      <c r="A3682" s="145" t="n">
        <v>40</v>
      </c>
      <c r="B3682" s="204">
        <f>EDATE($B3681,1)</f>
        <v/>
      </c>
      <c r="C3682" s="205">
        <f>EOMONTH($B3682,0)</f>
        <v/>
      </c>
      <c r="D3682" s="201">
        <f>$C3682-$B3682+1</f>
        <v/>
      </c>
      <c r="E3682" s="201">
        <f>MONTH($B3682)</f>
        <v/>
      </c>
      <c r="F3682" s="235">
        <f>($B3682+$C3682+1)/2</f>
        <v/>
      </c>
      <c r="G3682" s="201">
        <f>YEAR($B3682)*12+MONTH($B3682)-1</f>
        <v/>
      </c>
      <c r="H3682" s="207">
        <f>IF(OR(nr_SeasonOn="OFF",$D$3640=0,$E$3640=0),1,12*INDEX(se_block,$D$3640,$E3682)/$E$3640)</f>
        <v/>
      </c>
      <c r="I3682" s="208">
        <f>EXP(SUMPRODUCT((rl_eff&lt;$B3682)*(rl_key=$A$3640)*rl_ln1p))</f>
        <v/>
      </c>
      <c r="J3682" s="208">
        <f>EXP(SUMPRODUCT((rl_eff&lt;=$C3682)*(rl_key=$A$3640)*rl_ln1p))</f>
        <v/>
      </c>
      <c r="K3682" s="201">
        <f>COUNTIFS(rl_key,$A$3640,rl_eff,"&gt;="&amp;$B3682,rl_eff,"&lt;="&amp;$C3682)</f>
        <v/>
      </c>
      <c r="L3682" s="201">
        <f>SUMIFS(rl_daysafter,rl_key,$A$3640,rl_effmonth,$B3682,rl_first,1)</f>
        <v/>
      </c>
      <c r="M3682" s="209">
        <f>IF($K3682=0,0,MIN(1,$L3682/$D3682))</f>
        <v/>
      </c>
      <c r="N3682" s="208">
        <f>IF($K3682=0,$J3682,(1-$M3682)*$I3682+$M3682*$J3682)</f>
        <v/>
      </c>
      <c r="O3682" s="209">
        <f>IF($F3682&lt;$B$3641,$E$3641+$I$3641*($F3682-$A$3641),IF($F3682&lt;$C$3641,$F$3641+$J$3641*($F3682-$B$3641),$G$3641+$K$3641*($F3682-$C$3641)))</f>
        <v/>
      </c>
      <c r="P3682" s="208">
        <f>MIN(1,MAX(0,(nr_MEndPm1-$G3682+0.5)/$C$3640))-MIN(1,MAX(0,(nr_MStartPm1-1-$G3682+0.5)/$C$3640))</f>
        <v/>
      </c>
      <c r="Q3682" s="208">
        <f>MIN(1,MAX(0,(nr_MEndP-$G3682+0.5)/$C$3640))-MIN(1,MAX(0,(nr_MStartP-1-$G3682+0.5)/$C$3640))</f>
        <v/>
      </c>
      <c r="R3682" s="208">
        <f>MIN(1,MAX(0,(nr_MEndP1-$G3682+0.5)/$C$3640))-MIN(1,MAX(0,(nr_MStartP1-1-$G3682+0.5)/$C$3640))</f>
        <v/>
      </c>
      <c r="S3682" s="208">
        <f>IF($L$3640,$N3682*IF($O$3640=1,$O3682/$F$3640,1),"")</f>
        <v/>
      </c>
      <c r="T3682" s="208">
        <f>IF(NOT($L$3640),"",IF($G3682&lt;nr_MStartP,$S3682,$T3670*(1+IF($G3682&lt;nr_MStartP1,$M$3640,$N$3640))))</f>
        <v/>
      </c>
      <c r="U3682" s="208">
        <f>IF($L$3640,$T3682,$N3682)</f>
        <v/>
      </c>
    </row>
    <row r="3683">
      <c r="A3683" s="145" t="n">
        <v>41</v>
      </c>
      <c r="B3683" s="204">
        <f>EDATE($B3682,1)</f>
        <v/>
      </c>
      <c r="C3683" s="205">
        <f>EOMONTH($B3683,0)</f>
        <v/>
      </c>
      <c r="D3683" s="201">
        <f>$C3683-$B3683+1</f>
        <v/>
      </c>
      <c r="E3683" s="201">
        <f>MONTH($B3683)</f>
        <v/>
      </c>
      <c r="F3683" s="235">
        <f>($B3683+$C3683+1)/2</f>
        <v/>
      </c>
      <c r="G3683" s="201">
        <f>YEAR($B3683)*12+MONTH($B3683)-1</f>
        <v/>
      </c>
      <c r="H3683" s="207">
        <f>IF(OR(nr_SeasonOn="OFF",$D$3640=0,$E$3640=0),1,12*INDEX(se_block,$D$3640,$E3683)/$E$3640)</f>
        <v/>
      </c>
      <c r="I3683" s="208">
        <f>EXP(SUMPRODUCT((rl_eff&lt;$B3683)*(rl_key=$A$3640)*rl_ln1p))</f>
        <v/>
      </c>
      <c r="J3683" s="208">
        <f>EXP(SUMPRODUCT((rl_eff&lt;=$C3683)*(rl_key=$A$3640)*rl_ln1p))</f>
        <v/>
      </c>
      <c r="K3683" s="201">
        <f>COUNTIFS(rl_key,$A$3640,rl_eff,"&gt;="&amp;$B3683,rl_eff,"&lt;="&amp;$C3683)</f>
        <v/>
      </c>
      <c r="L3683" s="201">
        <f>SUMIFS(rl_daysafter,rl_key,$A$3640,rl_effmonth,$B3683,rl_first,1)</f>
        <v/>
      </c>
      <c r="M3683" s="209">
        <f>IF($K3683=0,0,MIN(1,$L3683/$D3683))</f>
        <v/>
      </c>
      <c r="N3683" s="208">
        <f>IF($K3683=0,$J3683,(1-$M3683)*$I3683+$M3683*$J3683)</f>
        <v/>
      </c>
      <c r="O3683" s="209">
        <f>IF($F3683&lt;$B$3641,$E$3641+$I$3641*($F3683-$A$3641),IF($F3683&lt;$C$3641,$F$3641+$J$3641*($F3683-$B$3641),$G$3641+$K$3641*($F3683-$C$3641)))</f>
        <v/>
      </c>
      <c r="P3683" s="208">
        <f>MIN(1,MAX(0,(nr_MEndPm1-$G3683+0.5)/$C$3640))-MIN(1,MAX(0,(nr_MStartPm1-1-$G3683+0.5)/$C$3640))</f>
        <v/>
      </c>
      <c r="Q3683" s="208">
        <f>MIN(1,MAX(0,(nr_MEndP-$G3683+0.5)/$C$3640))-MIN(1,MAX(0,(nr_MStartP-1-$G3683+0.5)/$C$3640))</f>
        <v/>
      </c>
      <c r="R3683" s="208">
        <f>MIN(1,MAX(0,(nr_MEndP1-$G3683+0.5)/$C$3640))-MIN(1,MAX(0,(nr_MStartP1-1-$G3683+0.5)/$C$3640))</f>
        <v/>
      </c>
      <c r="S3683" s="208">
        <f>IF($L$3640,$N3683*IF($O$3640=1,$O3683/$F$3640,1),"")</f>
        <v/>
      </c>
      <c r="T3683" s="208">
        <f>IF(NOT($L$3640),"",IF($G3683&lt;nr_MStartP,$S3683,$T3671*(1+IF($G3683&lt;nr_MStartP1,$M$3640,$N$3640))))</f>
        <v/>
      </c>
      <c r="U3683" s="208">
        <f>IF($L$3640,$T3683,$N3683)</f>
        <v/>
      </c>
    </row>
    <row r="3684">
      <c r="A3684" s="145" t="n">
        <v>42</v>
      </c>
      <c r="B3684" s="204">
        <f>EDATE($B3683,1)</f>
        <v/>
      </c>
      <c r="C3684" s="205">
        <f>EOMONTH($B3684,0)</f>
        <v/>
      </c>
      <c r="D3684" s="201">
        <f>$C3684-$B3684+1</f>
        <v/>
      </c>
      <c r="E3684" s="201">
        <f>MONTH($B3684)</f>
        <v/>
      </c>
      <c r="F3684" s="235">
        <f>($B3684+$C3684+1)/2</f>
        <v/>
      </c>
      <c r="G3684" s="201">
        <f>YEAR($B3684)*12+MONTH($B3684)-1</f>
        <v/>
      </c>
      <c r="H3684" s="207">
        <f>IF(OR(nr_SeasonOn="OFF",$D$3640=0,$E$3640=0),1,12*INDEX(se_block,$D$3640,$E3684)/$E$3640)</f>
        <v/>
      </c>
      <c r="I3684" s="208">
        <f>EXP(SUMPRODUCT((rl_eff&lt;$B3684)*(rl_key=$A$3640)*rl_ln1p))</f>
        <v/>
      </c>
      <c r="J3684" s="208">
        <f>EXP(SUMPRODUCT((rl_eff&lt;=$C3684)*(rl_key=$A$3640)*rl_ln1p))</f>
        <v/>
      </c>
      <c r="K3684" s="201">
        <f>COUNTIFS(rl_key,$A$3640,rl_eff,"&gt;="&amp;$B3684,rl_eff,"&lt;="&amp;$C3684)</f>
        <v/>
      </c>
      <c r="L3684" s="201">
        <f>SUMIFS(rl_daysafter,rl_key,$A$3640,rl_effmonth,$B3684,rl_first,1)</f>
        <v/>
      </c>
      <c r="M3684" s="209">
        <f>IF($K3684=0,0,MIN(1,$L3684/$D3684))</f>
        <v/>
      </c>
      <c r="N3684" s="208">
        <f>IF($K3684=0,$J3684,(1-$M3684)*$I3684+$M3684*$J3684)</f>
        <v/>
      </c>
      <c r="O3684" s="209">
        <f>IF($F3684&lt;$B$3641,$E$3641+$I$3641*($F3684-$A$3641),IF($F3684&lt;$C$3641,$F$3641+$J$3641*($F3684-$B$3641),$G$3641+$K$3641*($F3684-$C$3641)))</f>
        <v/>
      </c>
      <c r="P3684" s="208">
        <f>MIN(1,MAX(0,(nr_MEndPm1-$G3684+0.5)/$C$3640))-MIN(1,MAX(0,(nr_MStartPm1-1-$G3684+0.5)/$C$3640))</f>
        <v/>
      </c>
      <c r="Q3684" s="208">
        <f>MIN(1,MAX(0,(nr_MEndP-$G3684+0.5)/$C$3640))-MIN(1,MAX(0,(nr_MStartP-1-$G3684+0.5)/$C$3640))</f>
        <v/>
      </c>
      <c r="R3684" s="208">
        <f>MIN(1,MAX(0,(nr_MEndP1-$G3684+0.5)/$C$3640))-MIN(1,MAX(0,(nr_MStartP1-1-$G3684+0.5)/$C$3640))</f>
        <v/>
      </c>
      <c r="S3684" s="208">
        <f>IF($L$3640,$N3684*IF($O$3640=1,$O3684/$F$3640,1),"")</f>
        <v/>
      </c>
      <c r="T3684" s="208">
        <f>IF(NOT($L$3640),"",IF($G3684&lt;nr_MStartP,$S3684,$T3672*(1+IF($G3684&lt;nr_MStartP1,$M$3640,$N$3640))))</f>
        <v/>
      </c>
      <c r="U3684" s="208">
        <f>IF($L$3640,$T3684,$N3684)</f>
        <v/>
      </c>
    </row>
    <row r="3685">
      <c r="A3685" s="145" t="n">
        <v>43</v>
      </c>
      <c r="B3685" s="204">
        <f>EDATE($B3684,1)</f>
        <v/>
      </c>
      <c r="C3685" s="205">
        <f>EOMONTH($B3685,0)</f>
        <v/>
      </c>
      <c r="D3685" s="201">
        <f>$C3685-$B3685+1</f>
        <v/>
      </c>
      <c r="E3685" s="201">
        <f>MONTH($B3685)</f>
        <v/>
      </c>
      <c r="F3685" s="235">
        <f>($B3685+$C3685+1)/2</f>
        <v/>
      </c>
      <c r="G3685" s="201">
        <f>YEAR($B3685)*12+MONTH($B3685)-1</f>
        <v/>
      </c>
      <c r="H3685" s="207">
        <f>IF(OR(nr_SeasonOn="OFF",$D$3640=0,$E$3640=0),1,12*INDEX(se_block,$D$3640,$E3685)/$E$3640)</f>
        <v/>
      </c>
      <c r="I3685" s="208">
        <f>EXP(SUMPRODUCT((rl_eff&lt;$B3685)*(rl_key=$A$3640)*rl_ln1p))</f>
        <v/>
      </c>
      <c r="J3685" s="208">
        <f>EXP(SUMPRODUCT((rl_eff&lt;=$C3685)*(rl_key=$A$3640)*rl_ln1p))</f>
        <v/>
      </c>
      <c r="K3685" s="201">
        <f>COUNTIFS(rl_key,$A$3640,rl_eff,"&gt;="&amp;$B3685,rl_eff,"&lt;="&amp;$C3685)</f>
        <v/>
      </c>
      <c r="L3685" s="201">
        <f>SUMIFS(rl_daysafter,rl_key,$A$3640,rl_effmonth,$B3685,rl_first,1)</f>
        <v/>
      </c>
      <c r="M3685" s="209">
        <f>IF($K3685=0,0,MIN(1,$L3685/$D3685))</f>
        <v/>
      </c>
      <c r="N3685" s="208">
        <f>IF($K3685=0,$J3685,(1-$M3685)*$I3685+$M3685*$J3685)</f>
        <v/>
      </c>
      <c r="O3685" s="209">
        <f>IF($F3685&lt;$B$3641,$E$3641+$I$3641*($F3685-$A$3641),IF($F3685&lt;$C$3641,$F$3641+$J$3641*($F3685-$B$3641),$G$3641+$K$3641*($F3685-$C$3641)))</f>
        <v/>
      </c>
      <c r="P3685" s="208">
        <f>MIN(1,MAX(0,(nr_MEndPm1-$G3685+0.5)/$C$3640))-MIN(1,MAX(0,(nr_MStartPm1-1-$G3685+0.5)/$C$3640))</f>
        <v/>
      </c>
      <c r="Q3685" s="208">
        <f>MIN(1,MAX(0,(nr_MEndP-$G3685+0.5)/$C$3640))-MIN(1,MAX(0,(nr_MStartP-1-$G3685+0.5)/$C$3640))</f>
        <v/>
      </c>
      <c r="R3685" s="208">
        <f>MIN(1,MAX(0,(nr_MEndP1-$G3685+0.5)/$C$3640))-MIN(1,MAX(0,(nr_MStartP1-1-$G3685+0.5)/$C$3640))</f>
        <v/>
      </c>
      <c r="S3685" s="208">
        <f>IF($L$3640,$N3685*IF($O$3640=1,$O3685/$F$3640,1),"")</f>
        <v/>
      </c>
      <c r="T3685" s="208">
        <f>IF(NOT($L$3640),"",IF($G3685&lt;nr_MStartP,$S3685,$T3673*(1+IF($G3685&lt;nr_MStartP1,$M$3640,$N$3640))))</f>
        <v/>
      </c>
      <c r="U3685" s="208">
        <f>IF($L$3640,$T3685,$N3685)</f>
        <v/>
      </c>
    </row>
    <row r="3686">
      <c r="A3686" s="145" t="n">
        <v>44</v>
      </c>
      <c r="B3686" s="204">
        <f>EDATE($B3685,1)</f>
        <v/>
      </c>
      <c r="C3686" s="205">
        <f>EOMONTH($B3686,0)</f>
        <v/>
      </c>
      <c r="D3686" s="201">
        <f>$C3686-$B3686+1</f>
        <v/>
      </c>
      <c r="E3686" s="201">
        <f>MONTH($B3686)</f>
        <v/>
      </c>
      <c r="F3686" s="235">
        <f>($B3686+$C3686+1)/2</f>
        <v/>
      </c>
      <c r="G3686" s="201">
        <f>YEAR($B3686)*12+MONTH($B3686)-1</f>
        <v/>
      </c>
      <c r="H3686" s="207">
        <f>IF(OR(nr_SeasonOn="OFF",$D$3640=0,$E$3640=0),1,12*INDEX(se_block,$D$3640,$E3686)/$E$3640)</f>
        <v/>
      </c>
      <c r="I3686" s="208">
        <f>EXP(SUMPRODUCT((rl_eff&lt;$B3686)*(rl_key=$A$3640)*rl_ln1p))</f>
        <v/>
      </c>
      <c r="J3686" s="208">
        <f>EXP(SUMPRODUCT((rl_eff&lt;=$C3686)*(rl_key=$A$3640)*rl_ln1p))</f>
        <v/>
      </c>
      <c r="K3686" s="201">
        <f>COUNTIFS(rl_key,$A$3640,rl_eff,"&gt;="&amp;$B3686,rl_eff,"&lt;="&amp;$C3686)</f>
        <v/>
      </c>
      <c r="L3686" s="201">
        <f>SUMIFS(rl_daysafter,rl_key,$A$3640,rl_effmonth,$B3686,rl_first,1)</f>
        <v/>
      </c>
      <c r="M3686" s="209">
        <f>IF($K3686=0,0,MIN(1,$L3686/$D3686))</f>
        <v/>
      </c>
      <c r="N3686" s="208">
        <f>IF($K3686=0,$J3686,(1-$M3686)*$I3686+$M3686*$J3686)</f>
        <v/>
      </c>
      <c r="O3686" s="209">
        <f>IF($F3686&lt;$B$3641,$E$3641+$I$3641*($F3686-$A$3641),IF($F3686&lt;$C$3641,$F$3641+$J$3641*($F3686-$B$3641),$G$3641+$K$3641*($F3686-$C$3641)))</f>
        <v/>
      </c>
      <c r="P3686" s="208">
        <f>MIN(1,MAX(0,(nr_MEndPm1-$G3686+0.5)/$C$3640))-MIN(1,MAX(0,(nr_MStartPm1-1-$G3686+0.5)/$C$3640))</f>
        <v/>
      </c>
      <c r="Q3686" s="208">
        <f>MIN(1,MAX(0,(nr_MEndP-$G3686+0.5)/$C$3640))-MIN(1,MAX(0,(nr_MStartP-1-$G3686+0.5)/$C$3640))</f>
        <v/>
      </c>
      <c r="R3686" s="208">
        <f>MIN(1,MAX(0,(nr_MEndP1-$G3686+0.5)/$C$3640))-MIN(1,MAX(0,(nr_MStartP1-1-$G3686+0.5)/$C$3640))</f>
        <v/>
      </c>
      <c r="S3686" s="208">
        <f>IF($L$3640,$N3686*IF($O$3640=1,$O3686/$F$3640,1),"")</f>
        <v/>
      </c>
      <c r="T3686" s="208">
        <f>IF(NOT($L$3640),"",IF($G3686&lt;nr_MStartP,$S3686,$T3674*(1+IF($G3686&lt;nr_MStartP1,$M$3640,$N$3640))))</f>
        <v/>
      </c>
      <c r="U3686" s="208">
        <f>IF($L$3640,$T3686,$N3686)</f>
        <v/>
      </c>
    </row>
    <row r="3687">
      <c r="A3687" s="145" t="n">
        <v>45</v>
      </c>
      <c r="B3687" s="204">
        <f>EDATE($B3686,1)</f>
        <v/>
      </c>
      <c r="C3687" s="205">
        <f>EOMONTH($B3687,0)</f>
        <v/>
      </c>
      <c r="D3687" s="201">
        <f>$C3687-$B3687+1</f>
        <v/>
      </c>
      <c r="E3687" s="201">
        <f>MONTH($B3687)</f>
        <v/>
      </c>
      <c r="F3687" s="235">
        <f>($B3687+$C3687+1)/2</f>
        <v/>
      </c>
      <c r="G3687" s="201">
        <f>YEAR($B3687)*12+MONTH($B3687)-1</f>
        <v/>
      </c>
      <c r="H3687" s="207">
        <f>IF(OR(nr_SeasonOn="OFF",$D$3640=0,$E$3640=0),1,12*INDEX(se_block,$D$3640,$E3687)/$E$3640)</f>
        <v/>
      </c>
      <c r="I3687" s="208">
        <f>EXP(SUMPRODUCT((rl_eff&lt;$B3687)*(rl_key=$A$3640)*rl_ln1p))</f>
        <v/>
      </c>
      <c r="J3687" s="208">
        <f>EXP(SUMPRODUCT((rl_eff&lt;=$C3687)*(rl_key=$A$3640)*rl_ln1p))</f>
        <v/>
      </c>
      <c r="K3687" s="201">
        <f>COUNTIFS(rl_key,$A$3640,rl_eff,"&gt;="&amp;$B3687,rl_eff,"&lt;="&amp;$C3687)</f>
        <v/>
      </c>
      <c r="L3687" s="201">
        <f>SUMIFS(rl_daysafter,rl_key,$A$3640,rl_effmonth,$B3687,rl_first,1)</f>
        <v/>
      </c>
      <c r="M3687" s="209">
        <f>IF($K3687=0,0,MIN(1,$L3687/$D3687))</f>
        <v/>
      </c>
      <c r="N3687" s="208">
        <f>IF($K3687=0,$J3687,(1-$M3687)*$I3687+$M3687*$J3687)</f>
        <v/>
      </c>
      <c r="O3687" s="209">
        <f>IF($F3687&lt;$B$3641,$E$3641+$I$3641*($F3687-$A$3641),IF($F3687&lt;$C$3641,$F$3641+$J$3641*($F3687-$B$3641),$G$3641+$K$3641*($F3687-$C$3641)))</f>
        <v/>
      </c>
      <c r="P3687" s="208">
        <f>MIN(1,MAX(0,(nr_MEndPm1-$G3687+0.5)/$C$3640))-MIN(1,MAX(0,(nr_MStartPm1-1-$G3687+0.5)/$C$3640))</f>
        <v/>
      </c>
      <c r="Q3687" s="208">
        <f>MIN(1,MAX(0,(nr_MEndP-$G3687+0.5)/$C$3640))-MIN(1,MAX(0,(nr_MStartP-1-$G3687+0.5)/$C$3640))</f>
        <v/>
      </c>
      <c r="R3687" s="208">
        <f>MIN(1,MAX(0,(nr_MEndP1-$G3687+0.5)/$C$3640))-MIN(1,MAX(0,(nr_MStartP1-1-$G3687+0.5)/$C$3640))</f>
        <v/>
      </c>
      <c r="S3687" s="208">
        <f>IF($L$3640,$N3687*IF($O$3640=1,$O3687/$F$3640,1),"")</f>
        <v/>
      </c>
      <c r="T3687" s="208">
        <f>IF(NOT($L$3640),"",IF($G3687&lt;nr_MStartP,$S3687,$T3675*(1+IF($G3687&lt;nr_MStartP1,$M$3640,$N$3640))))</f>
        <v/>
      </c>
      <c r="U3687" s="208">
        <f>IF($L$3640,$T3687,$N3687)</f>
        <v/>
      </c>
    </row>
    <row r="3688">
      <c r="A3688" s="145" t="n">
        <v>46</v>
      </c>
      <c r="B3688" s="204">
        <f>EDATE($B3687,1)</f>
        <v/>
      </c>
      <c r="C3688" s="205">
        <f>EOMONTH($B3688,0)</f>
        <v/>
      </c>
      <c r="D3688" s="201">
        <f>$C3688-$B3688+1</f>
        <v/>
      </c>
      <c r="E3688" s="201">
        <f>MONTH($B3688)</f>
        <v/>
      </c>
      <c r="F3688" s="235">
        <f>($B3688+$C3688+1)/2</f>
        <v/>
      </c>
      <c r="G3688" s="201">
        <f>YEAR($B3688)*12+MONTH($B3688)-1</f>
        <v/>
      </c>
      <c r="H3688" s="207">
        <f>IF(OR(nr_SeasonOn="OFF",$D$3640=0,$E$3640=0),1,12*INDEX(se_block,$D$3640,$E3688)/$E$3640)</f>
        <v/>
      </c>
      <c r="I3688" s="208">
        <f>EXP(SUMPRODUCT((rl_eff&lt;$B3688)*(rl_key=$A$3640)*rl_ln1p))</f>
        <v/>
      </c>
      <c r="J3688" s="208">
        <f>EXP(SUMPRODUCT((rl_eff&lt;=$C3688)*(rl_key=$A$3640)*rl_ln1p))</f>
        <v/>
      </c>
      <c r="K3688" s="201">
        <f>COUNTIFS(rl_key,$A$3640,rl_eff,"&gt;="&amp;$B3688,rl_eff,"&lt;="&amp;$C3688)</f>
        <v/>
      </c>
      <c r="L3688" s="201">
        <f>SUMIFS(rl_daysafter,rl_key,$A$3640,rl_effmonth,$B3688,rl_first,1)</f>
        <v/>
      </c>
      <c r="M3688" s="209">
        <f>IF($K3688=0,0,MIN(1,$L3688/$D3688))</f>
        <v/>
      </c>
      <c r="N3688" s="208">
        <f>IF($K3688=0,$J3688,(1-$M3688)*$I3688+$M3688*$J3688)</f>
        <v/>
      </c>
      <c r="O3688" s="209">
        <f>IF($F3688&lt;$B$3641,$E$3641+$I$3641*($F3688-$A$3641),IF($F3688&lt;$C$3641,$F$3641+$J$3641*($F3688-$B$3641),$G$3641+$K$3641*($F3688-$C$3641)))</f>
        <v/>
      </c>
      <c r="P3688" s="208">
        <f>MIN(1,MAX(0,(nr_MEndPm1-$G3688+0.5)/$C$3640))-MIN(1,MAX(0,(nr_MStartPm1-1-$G3688+0.5)/$C$3640))</f>
        <v/>
      </c>
      <c r="Q3688" s="208">
        <f>MIN(1,MAX(0,(nr_MEndP-$G3688+0.5)/$C$3640))-MIN(1,MAX(0,(nr_MStartP-1-$G3688+0.5)/$C$3640))</f>
        <v/>
      </c>
      <c r="R3688" s="208">
        <f>MIN(1,MAX(0,(nr_MEndP1-$G3688+0.5)/$C$3640))-MIN(1,MAX(0,(nr_MStartP1-1-$G3688+0.5)/$C$3640))</f>
        <v/>
      </c>
      <c r="S3688" s="208">
        <f>IF($L$3640,$N3688*IF($O$3640=1,$O3688/$F$3640,1),"")</f>
        <v/>
      </c>
      <c r="T3688" s="208">
        <f>IF(NOT($L$3640),"",IF($G3688&lt;nr_MStartP,$S3688,$T3676*(1+IF($G3688&lt;nr_MStartP1,$M$3640,$N$3640))))</f>
        <v/>
      </c>
      <c r="U3688" s="208">
        <f>IF($L$3640,$T3688,$N3688)</f>
        <v/>
      </c>
    </row>
    <row r="3689">
      <c r="A3689" s="145" t="n">
        <v>47</v>
      </c>
      <c r="B3689" s="204">
        <f>EDATE($B3688,1)</f>
        <v/>
      </c>
      <c r="C3689" s="205">
        <f>EOMONTH($B3689,0)</f>
        <v/>
      </c>
      <c r="D3689" s="201">
        <f>$C3689-$B3689+1</f>
        <v/>
      </c>
      <c r="E3689" s="201">
        <f>MONTH($B3689)</f>
        <v/>
      </c>
      <c r="F3689" s="235">
        <f>($B3689+$C3689+1)/2</f>
        <v/>
      </c>
      <c r="G3689" s="201">
        <f>YEAR($B3689)*12+MONTH($B3689)-1</f>
        <v/>
      </c>
      <c r="H3689" s="207">
        <f>IF(OR(nr_SeasonOn="OFF",$D$3640=0,$E$3640=0),1,12*INDEX(se_block,$D$3640,$E3689)/$E$3640)</f>
        <v/>
      </c>
      <c r="I3689" s="208">
        <f>EXP(SUMPRODUCT((rl_eff&lt;$B3689)*(rl_key=$A$3640)*rl_ln1p))</f>
        <v/>
      </c>
      <c r="J3689" s="208">
        <f>EXP(SUMPRODUCT((rl_eff&lt;=$C3689)*(rl_key=$A$3640)*rl_ln1p))</f>
        <v/>
      </c>
      <c r="K3689" s="201">
        <f>COUNTIFS(rl_key,$A$3640,rl_eff,"&gt;="&amp;$B3689,rl_eff,"&lt;="&amp;$C3689)</f>
        <v/>
      </c>
      <c r="L3689" s="201">
        <f>SUMIFS(rl_daysafter,rl_key,$A$3640,rl_effmonth,$B3689,rl_first,1)</f>
        <v/>
      </c>
      <c r="M3689" s="209">
        <f>IF($K3689=0,0,MIN(1,$L3689/$D3689))</f>
        <v/>
      </c>
      <c r="N3689" s="208">
        <f>IF($K3689=0,$J3689,(1-$M3689)*$I3689+$M3689*$J3689)</f>
        <v/>
      </c>
      <c r="O3689" s="209">
        <f>IF($F3689&lt;$B$3641,$E$3641+$I$3641*($F3689-$A$3641),IF($F3689&lt;$C$3641,$F$3641+$J$3641*($F3689-$B$3641),$G$3641+$K$3641*($F3689-$C$3641)))</f>
        <v/>
      </c>
      <c r="P3689" s="208">
        <f>MIN(1,MAX(0,(nr_MEndPm1-$G3689+0.5)/$C$3640))-MIN(1,MAX(0,(nr_MStartPm1-1-$G3689+0.5)/$C$3640))</f>
        <v/>
      </c>
      <c r="Q3689" s="208">
        <f>MIN(1,MAX(0,(nr_MEndP-$G3689+0.5)/$C$3640))-MIN(1,MAX(0,(nr_MStartP-1-$G3689+0.5)/$C$3640))</f>
        <v/>
      </c>
      <c r="R3689" s="208">
        <f>MIN(1,MAX(0,(nr_MEndP1-$G3689+0.5)/$C$3640))-MIN(1,MAX(0,(nr_MStartP1-1-$G3689+0.5)/$C$3640))</f>
        <v/>
      </c>
      <c r="S3689" s="208">
        <f>IF($L$3640,$N3689*IF($O$3640=1,$O3689/$F$3640,1),"")</f>
        <v/>
      </c>
      <c r="T3689" s="208">
        <f>IF(NOT($L$3640),"",IF($G3689&lt;nr_MStartP,$S3689,$T3677*(1+IF($G3689&lt;nr_MStartP1,$M$3640,$N$3640))))</f>
        <v/>
      </c>
      <c r="U3689" s="208">
        <f>IF($L$3640,$T3689,$N3689)</f>
        <v/>
      </c>
    </row>
    <row r="3690">
      <c r="A3690" s="145" t="n">
        <v>48</v>
      </c>
      <c r="B3690" s="204">
        <f>EDATE($B3689,1)</f>
        <v/>
      </c>
      <c r="C3690" s="205">
        <f>EOMONTH($B3690,0)</f>
        <v/>
      </c>
      <c r="D3690" s="201">
        <f>$C3690-$B3690+1</f>
        <v/>
      </c>
      <c r="E3690" s="201">
        <f>MONTH($B3690)</f>
        <v/>
      </c>
      <c r="F3690" s="235">
        <f>($B3690+$C3690+1)/2</f>
        <v/>
      </c>
      <c r="G3690" s="201">
        <f>YEAR($B3690)*12+MONTH($B3690)-1</f>
        <v/>
      </c>
      <c r="H3690" s="207">
        <f>IF(OR(nr_SeasonOn="OFF",$D$3640=0,$E$3640=0),1,12*INDEX(se_block,$D$3640,$E3690)/$E$3640)</f>
        <v/>
      </c>
      <c r="I3690" s="208">
        <f>EXP(SUMPRODUCT((rl_eff&lt;$B3690)*(rl_key=$A$3640)*rl_ln1p))</f>
        <v/>
      </c>
      <c r="J3690" s="208">
        <f>EXP(SUMPRODUCT((rl_eff&lt;=$C3690)*(rl_key=$A$3640)*rl_ln1p))</f>
        <v/>
      </c>
      <c r="K3690" s="201">
        <f>COUNTIFS(rl_key,$A$3640,rl_eff,"&gt;="&amp;$B3690,rl_eff,"&lt;="&amp;$C3690)</f>
        <v/>
      </c>
      <c r="L3690" s="201">
        <f>SUMIFS(rl_daysafter,rl_key,$A$3640,rl_effmonth,$B3690,rl_first,1)</f>
        <v/>
      </c>
      <c r="M3690" s="209">
        <f>IF($K3690=0,0,MIN(1,$L3690/$D3690))</f>
        <v/>
      </c>
      <c r="N3690" s="208">
        <f>IF($K3690=0,$J3690,(1-$M3690)*$I3690+$M3690*$J3690)</f>
        <v/>
      </c>
      <c r="O3690" s="209">
        <f>IF($F3690&lt;$B$3641,$E$3641+$I$3641*($F3690-$A$3641),IF($F3690&lt;$C$3641,$F$3641+$J$3641*($F3690-$B$3641),$G$3641+$K$3641*($F3690-$C$3641)))</f>
        <v/>
      </c>
      <c r="P3690" s="208">
        <f>MIN(1,MAX(0,(nr_MEndPm1-$G3690+0.5)/$C$3640))-MIN(1,MAX(0,(nr_MStartPm1-1-$G3690+0.5)/$C$3640))</f>
        <v/>
      </c>
      <c r="Q3690" s="208">
        <f>MIN(1,MAX(0,(nr_MEndP-$G3690+0.5)/$C$3640))-MIN(1,MAX(0,(nr_MStartP-1-$G3690+0.5)/$C$3640))</f>
        <v/>
      </c>
      <c r="R3690" s="208">
        <f>MIN(1,MAX(0,(nr_MEndP1-$G3690+0.5)/$C$3640))-MIN(1,MAX(0,(nr_MStartP1-1-$G3690+0.5)/$C$3640))</f>
        <v/>
      </c>
      <c r="S3690" s="208">
        <f>IF($L$3640,$N3690*IF($O$3640=1,$O3690/$F$3640,1),"")</f>
        <v/>
      </c>
      <c r="T3690" s="208">
        <f>IF(NOT($L$3640),"",IF($G3690&lt;nr_MStartP,$S3690,$T3678*(1+IF($G3690&lt;nr_MStartP1,$M$3640,$N$3640))))</f>
        <v/>
      </c>
      <c r="U3690" s="208">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184">
        <f>SUMPRODUCT($H$3643:$H$3690,$Q$3643:$Q$3690,$O$3643:$O$3690)/SUMPRODUCT($H$3643:$H$3690,$Q$3643:$Q$3690)</f>
        <v/>
      </c>
      <c r="G3691" s="184">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184">
        <f>IF(N(INDEX(lr_mind,68))=0,1,INDEX(lr_mind,68))</f>
        <v/>
      </c>
      <c r="G3694" s="184">
        <f>IF(N(INDEX(lr_m0,68))=0,1,INDEX(lr_m0,68))</f>
        <v/>
      </c>
      <c r="H3694" s="73">
        <f>IF(N(INDEX(lr_m0asof,68))=0,DATE(nr_PlanYear-1,10,1),INDEX(lr_m0asof,68))</f>
        <v/>
      </c>
      <c r="I3694" s="184">
        <f>IF(N(INDEX(lr_m1,68))=0,1,INDEX(lr_m1,68))</f>
        <v/>
      </c>
      <c r="J3694" s="184">
        <f>INDEX(lr_mprior,68)</f>
        <v/>
      </c>
      <c r="K3694" s="184">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145" t="n">
        <v>1</v>
      </c>
      <c r="B3697" s="204">
        <f>DATE(nr_PlanYear-2,1,1)</f>
        <v/>
      </c>
      <c r="C3697" s="205">
        <f>EOMONTH($B3697,0)</f>
        <v/>
      </c>
      <c r="D3697" s="201">
        <f>$C3697-$B3697+1</f>
        <v/>
      </c>
      <c r="E3697" s="201">
        <f>MONTH($B3697)</f>
        <v/>
      </c>
      <c r="F3697" s="235">
        <f>($B3697+$C3697+1)/2</f>
        <v/>
      </c>
      <c r="G3697" s="201">
        <f>YEAR($B3697)*12+MONTH($B3697)-1</f>
        <v/>
      </c>
      <c r="H3697" s="207">
        <f>IF(OR(nr_SeasonOn="OFF",$D$3694=0,$E$3694=0),1,12*INDEX(se_block,$D$3694,$E3697)/$E$3694)</f>
        <v/>
      </c>
      <c r="I3697" s="208">
        <f>EXP(SUMPRODUCT((rl_eff&lt;$B3697)*(rl_key=$A$3694)*rl_ln1p))</f>
        <v/>
      </c>
      <c r="J3697" s="208">
        <f>EXP(SUMPRODUCT((rl_eff&lt;=$C3697)*(rl_key=$A$3694)*rl_ln1p))</f>
        <v/>
      </c>
      <c r="K3697" s="201">
        <f>COUNTIFS(rl_key,$A$3694,rl_eff,"&gt;="&amp;$B3697,rl_eff,"&lt;="&amp;$C3697)</f>
        <v/>
      </c>
      <c r="L3697" s="201">
        <f>SUMIFS(rl_daysafter,rl_key,$A$3694,rl_effmonth,$B3697,rl_first,1)</f>
        <v/>
      </c>
      <c r="M3697" s="209">
        <f>IF($K3697=0,0,MIN(1,$L3697/$D3697))</f>
        <v/>
      </c>
      <c r="N3697" s="208">
        <f>IF($K3697=0,$J3697,(1-$M3697)*$I3697+$M3697*$J3697)</f>
        <v/>
      </c>
      <c r="O3697" s="209">
        <f>IF($F3697&lt;$B$3695,$E$3695+$I$3695*($F3697-$A$3695),IF($F3697&lt;$C$3695,$F$3695+$J$3695*($F3697-$B$3695),$G$3695+$K$3695*($F3697-$C$3695)))</f>
        <v/>
      </c>
      <c r="P3697" s="208">
        <f>MIN(1,MAX(0,(nr_MEndPm1-$G3697+0.5)/$C$3694))-MIN(1,MAX(0,(nr_MStartPm1-1-$G3697+0.5)/$C$3694))</f>
        <v/>
      </c>
      <c r="Q3697" s="208">
        <f>MIN(1,MAX(0,(nr_MEndP-$G3697+0.5)/$C$3694))-MIN(1,MAX(0,(nr_MStartP-1-$G3697+0.5)/$C$3694))</f>
        <v/>
      </c>
      <c r="R3697" s="208">
        <f>MIN(1,MAX(0,(nr_MEndP1-$G3697+0.5)/$C$3694))-MIN(1,MAX(0,(nr_MStartP1-1-$G3697+0.5)/$C$3694))</f>
        <v/>
      </c>
      <c r="S3697" s="208">
        <f>IF($L$3694,$N3697*IF($O$3694=1,$O3697/$F$3694,1),"")</f>
        <v/>
      </c>
      <c r="T3697" s="208">
        <f>IF(NOT($L$3694),"",IF($G3697&lt;nr_MStartP,$S3697,$T3685*(1+IF($G3697&lt;nr_MStartP1,$M$3694,$N$3694))))</f>
        <v/>
      </c>
      <c r="U3697" s="208">
        <f>IF($L$3694,$T3697,$N3697)</f>
        <v/>
      </c>
    </row>
    <row r="3698">
      <c r="A3698" s="145" t="n">
        <v>2</v>
      </c>
      <c r="B3698" s="204">
        <f>EDATE($B3697,1)</f>
        <v/>
      </c>
      <c r="C3698" s="205">
        <f>EOMONTH($B3698,0)</f>
        <v/>
      </c>
      <c r="D3698" s="201">
        <f>$C3698-$B3698+1</f>
        <v/>
      </c>
      <c r="E3698" s="201">
        <f>MONTH($B3698)</f>
        <v/>
      </c>
      <c r="F3698" s="235">
        <f>($B3698+$C3698+1)/2</f>
        <v/>
      </c>
      <c r="G3698" s="201">
        <f>YEAR($B3698)*12+MONTH($B3698)-1</f>
        <v/>
      </c>
      <c r="H3698" s="207">
        <f>IF(OR(nr_SeasonOn="OFF",$D$3694=0,$E$3694=0),1,12*INDEX(se_block,$D$3694,$E3698)/$E$3694)</f>
        <v/>
      </c>
      <c r="I3698" s="208">
        <f>EXP(SUMPRODUCT((rl_eff&lt;$B3698)*(rl_key=$A$3694)*rl_ln1p))</f>
        <v/>
      </c>
      <c r="J3698" s="208">
        <f>EXP(SUMPRODUCT((rl_eff&lt;=$C3698)*(rl_key=$A$3694)*rl_ln1p))</f>
        <v/>
      </c>
      <c r="K3698" s="201">
        <f>COUNTIFS(rl_key,$A$3694,rl_eff,"&gt;="&amp;$B3698,rl_eff,"&lt;="&amp;$C3698)</f>
        <v/>
      </c>
      <c r="L3698" s="201">
        <f>SUMIFS(rl_daysafter,rl_key,$A$3694,rl_effmonth,$B3698,rl_first,1)</f>
        <v/>
      </c>
      <c r="M3698" s="209">
        <f>IF($K3698=0,0,MIN(1,$L3698/$D3698))</f>
        <v/>
      </c>
      <c r="N3698" s="208">
        <f>IF($K3698=0,$J3698,(1-$M3698)*$I3698+$M3698*$J3698)</f>
        <v/>
      </c>
      <c r="O3698" s="209">
        <f>IF($F3698&lt;$B$3695,$E$3695+$I$3695*($F3698-$A$3695),IF($F3698&lt;$C$3695,$F$3695+$J$3695*($F3698-$B$3695),$G$3695+$K$3695*($F3698-$C$3695)))</f>
        <v/>
      </c>
      <c r="P3698" s="208">
        <f>MIN(1,MAX(0,(nr_MEndPm1-$G3698+0.5)/$C$3694))-MIN(1,MAX(0,(nr_MStartPm1-1-$G3698+0.5)/$C$3694))</f>
        <v/>
      </c>
      <c r="Q3698" s="208">
        <f>MIN(1,MAX(0,(nr_MEndP-$G3698+0.5)/$C$3694))-MIN(1,MAX(0,(nr_MStartP-1-$G3698+0.5)/$C$3694))</f>
        <v/>
      </c>
      <c r="R3698" s="208">
        <f>MIN(1,MAX(0,(nr_MEndP1-$G3698+0.5)/$C$3694))-MIN(1,MAX(0,(nr_MStartP1-1-$G3698+0.5)/$C$3694))</f>
        <v/>
      </c>
      <c r="S3698" s="208">
        <f>IF($L$3694,$N3698*IF($O$3694=1,$O3698/$F$3694,1),"")</f>
        <v/>
      </c>
      <c r="T3698" s="208">
        <f>IF(NOT($L$3694),"",IF($G3698&lt;nr_MStartP,$S3698,$T3686*(1+IF($G3698&lt;nr_MStartP1,$M$3694,$N$3694))))</f>
        <v/>
      </c>
      <c r="U3698" s="208">
        <f>IF($L$3694,$T3698,$N3698)</f>
        <v/>
      </c>
    </row>
    <row r="3699">
      <c r="A3699" s="145" t="n">
        <v>3</v>
      </c>
      <c r="B3699" s="204">
        <f>EDATE($B3698,1)</f>
        <v/>
      </c>
      <c r="C3699" s="205">
        <f>EOMONTH($B3699,0)</f>
        <v/>
      </c>
      <c r="D3699" s="201">
        <f>$C3699-$B3699+1</f>
        <v/>
      </c>
      <c r="E3699" s="201">
        <f>MONTH($B3699)</f>
        <v/>
      </c>
      <c r="F3699" s="235">
        <f>($B3699+$C3699+1)/2</f>
        <v/>
      </c>
      <c r="G3699" s="201">
        <f>YEAR($B3699)*12+MONTH($B3699)-1</f>
        <v/>
      </c>
      <c r="H3699" s="207">
        <f>IF(OR(nr_SeasonOn="OFF",$D$3694=0,$E$3694=0),1,12*INDEX(se_block,$D$3694,$E3699)/$E$3694)</f>
        <v/>
      </c>
      <c r="I3699" s="208">
        <f>EXP(SUMPRODUCT((rl_eff&lt;$B3699)*(rl_key=$A$3694)*rl_ln1p))</f>
        <v/>
      </c>
      <c r="J3699" s="208">
        <f>EXP(SUMPRODUCT((rl_eff&lt;=$C3699)*(rl_key=$A$3694)*rl_ln1p))</f>
        <v/>
      </c>
      <c r="K3699" s="201">
        <f>COUNTIFS(rl_key,$A$3694,rl_eff,"&gt;="&amp;$B3699,rl_eff,"&lt;="&amp;$C3699)</f>
        <v/>
      </c>
      <c r="L3699" s="201">
        <f>SUMIFS(rl_daysafter,rl_key,$A$3694,rl_effmonth,$B3699,rl_first,1)</f>
        <v/>
      </c>
      <c r="M3699" s="209">
        <f>IF($K3699=0,0,MIN(1,$L3699/$D3699))</f>
        <v/>
      </c>
      <c r="N3699" s="208">
        <f>IF($K3699=0,$J3699,(1-$M3699)*$I3699+$M3699*$J3699)</f>
        <v/>
      </c>
      <c r="O3699" s="209">
        <f>IF($F3699&lt;$B$3695,$E$3695+$I$3695*($F3699-$A$3695),IF($F3699&lt;$C$3695,$F$3695+$J$3695*($F3699-$B$3695),$G$3695+$K$3695*($F3699-$C$3695)))</f>
        <v/>
      </c>
      <c r="P3699" s="208">
        <f>MIN(1,MAX(0,(nr_MEndPm1-$G3699+0.5)/$C$3694))-MIN(1,MAX(0,(nr_MStartPm1-1-$G3699+0.5)/$C$3694))</f>
        <v/>
      </c>
      <c r="Q3699" s="208">
        <f>MIN(1,MAX(0,(nr_MEndP-$G3699+0.5)/$C$3694))-MIN(1,MAX(0,(nr_MStartP-1-$G3699+0.5)/$C$3694))</f>
        <v/>
      </c>
      <c r="R3699" s="208">
        <f>MIN(1,MAX(0,(nr_MEndP1-$G3699+0.5)/$C$3694))-MIN(1,MAX(0,(nr_MStartP1-1-$G3699+0.5)/$C$3694))</f>
        <v/>
      </c>
      <c r="S3699" s="208">
        <f>IF($L$3694,$N3699*IF($O$3694=1,$O3699/$F$3694,1),"")</f>
        <v/>
      </c>
      <c r="T3699" s="208">
        <f>IF(NOT($L$3694),"",IF($G3699&lt;nr_MStartP,$S3699,$T3687*(1+IF($G3699&lt;nr_MStartP1,$M$3694,$N$3694))))</f>
        <v/>
      </c>
      <c r="U3699" s="208">
        <f>IF($L$3694,$T3699,$N3699)</f>
        <v/>
      </c>
    </row>
    <row r="3700">
      <c r="A3700" s="145" t="n">
        <v>4</v>
      </c>
      <c r="B3700" s="204">
        <f>EDATE($B3699,1)</f>
        <v/>
      </c>
      <c r="C3700" s="205">
        <f>EOMONTH($B3700,0)</f>
        <v/>
      </c>
      <c r="D3700" s="201">
        <f>$C3700-$B3700+1</f>
        <v/>
      </c>
      <c r="E3700" s="201">
        <f>MONTH($B3700)</f>
        <v/>
      </c>
      <c r="F3700" s="235">
        <f>($B3700+$C3700+1)/2</f>
        <v/>
      </c>
      <c r="G3700" s="201">
        <f>YEAR($B3700)*12+MONTH($B3700)-1</f>
        <v/>
      </c>
      <c r="H3700" s="207">
        <f>IF(OR(nr_SeasonOn="OFF",$D$3694=0,$E$3694=0),1,12*INDEX(se_block,$D$3694,$E3700)/$E$3694)</f>
        <v/>
      </c>
      <c r="I3700" s="208">
        <f>EXP(SUMPRODUCT((rl_eff&lt;$B3700)*(rl_key=$A$3694)*rl_ln1p))</f>
        <v/>
      </c>
      <c r="J3700" s="208">
        <f>EXP(SUMPRODUCT((rl_eff&lt;=$C3700)*(rl_key=$A$3694)*rl_ln1p))</f>
        <v/>
      </c>
      <c r="K3700" s="201">
        <f>COUNTIFS(rl_key,$A$3694,rl_eff,"&gt;="&amp;$B3700,rl_eff,"&lt;="&amp;$C3700)</f>
        <v/>
      </c>
      <c r="L3700" s="201">
        <f>SUMIFS(rl_daysafter,rl_key,$A$3694,rl_effmonth,$B3700,rl_first,1)</f>
        <v/>
      </c>
      <c r="M3700" s="209">
        <f>IF($K3700=0,0,MIN(1,$L3700/$D3700))</f>
        <v/>
      </c>
      <c r="N3700" s="208">
        <f>IF($K3700=0,$J3700,(1-$M3700)*$I3700+$M3700*$J3700)</f>
        <v/>
      </c>
      <c r="O3700" s="209">
        <f>IF($F3700&lt;$B$3695,$E$3695+$I$3695*($F3700-$A$3695),IF($F3700&lt;$C$3695,$F$3695+$J$3695*($F3700-$B$3695),$G$3695+$K$3695*($F3700-$C$3695)))</f>
        <v/>
      </c>
      <c r="P3700" s="208">
        <f>MIN(1,MAX(0,(nr_MEndPm1-$G3700+0.5)/$C$3694))-MIN(1,MAX(0,(nr_MStartPm1-1-$G3700+0.5)/$C$3694))</f>
        <v/>
      </c>
      <c r="Q3700" s="208">
        <f>MIN(1,MAX(0,(nr_MEndP-$G3700+0.5)/$C$3694))-MIN(1,MAX(0,(nr_MStartP-1-$G3700+0.5)/$C$3694))</f>
        <v/>
      </c>
      <c r="R3700" s="208">
        <f>MIN(1,MAX(0,(nr_MEndP1-$G3700+0.5)/$C$3694))-MIN(1,MAX(0,(nr_MStartP1-1-$G3700+0.5)/$C$3694))</f>
        <v/>
      </c>
      <c r="S3700" s="208">
        <f>IF($L$3694,$N3700*IF($O$3694=1,$O3700/$F$3694,1),"")</f>
        <v/>
      </c>
      <c r="T3700" s="208">
        <f>IF(NOT($L$3694),"",IF($G3700&lt;nr_MStartP,$S3700,$T3688*(1+IF($G3700&lt;nr_MStartP1,$M$3694,$N$3694))))</f>
        <v/>
      </c>
      <c r="U3700" s="208">
        <f>IF($L$3694,$T3700,$N3700)</f>
        <v/>
      </c>
    </row>
    <row r="3701">
      <c r="A3701" s="145" t="n">
        <v>5</v>
      </c>
      <c r="B3701" s="204">
        <f>EDATE($B3700,1)</f>
        <v/>
      </c>
      <c r="C3701" s="205">
        <f>EOMONTH($B3701,0)</f>
        <v/>
      </c>
      <c r="D3701" s="201">
        <f>$C3701-$B3701+1</f>
        <v/>
      </c>
      <c r="E3701" s="201">
        <f>MONTH($B3701)</f>
        <v/>
      </c>
      <c r="F3701" s="235">
        <f>($B3701+$C3701+1)/2</f>
        <v/>
      </c>
      <c r="G3701" s="201">
        <f>YEAR($B3701)*12+MONTH($B3701)-1</f>
        <v/>
      </c>
      <c r="H3701" s="207">
        <f>IF(OR(nr_SeasonOn="OFF",$D$3694=0,$E$3694=0),1,12*INDEX(se_block,$D$3694,$E3701)/$E$3694)</f>
        <v/>
      </c>
      <c r="I3701" s="208">
        <f>EXP(SUMPRODUCT((rl_eff&lt;$B3701)*(rl_key=$A$3694)*rl_ln1p))</f>
        <v/>
      </c>
      <c r="J3701" s="208">
        <f>EXP(SUMPRODUCT((rl_eff&lt;=$C3701)*(rl_key=$A$3694)*rl_ln1p))</f>
        <v/>
      </c>
      <c r="K3701" s="201">
        <f>COUNTIFS(rl_key,$A$3694,rl_eff,"&gt;="&amp;$B3701,rl_eff,"&lt;="&amp;$C3701)</f>
        <v/>
      </c>
      <c r="L3701" s="201">
        <f>SUMIFS(rl_daysafter,rl_key,$A$3694,rl_effmonth,$B3701,rl_first,1)</f>
        <v/>
      </c>
      <c r="M3701" s="209">
        <f>IF($K3701=0,0,MIN(1,$L3701/$D3701))</f>
        <v/>
      </c>
      <c r="N3701" s="208">
        <f>IF($K3701=0,$J3701,(1-$M3701)*$I3701+$M3701*$J3701)</f>
        <v/>
      </c>
      <c r="O3701" s="209">
        <f>IF($F3701&lt;$B$3695,$E$3695+$I$3695*($F3701-$A$3695),IF($F3701&lt;$C$3695,$F$3695+$J$3695*($F3701-$B$3695),$G$3695+$K$3695*($F3701-$C$3695)))</f>
        <v/>
      </c>
      <c r="P3701" s="208">
        <f>MIN(1,MAX(0,(nr_MEndPm1-$G3701+0.5)/$C$3694))-MIN(1,MAX(0,(nr_MStartPm1-1-$G3701+0.5)/$C$3694))</f>
        <v/>
      </c>
      <c r="Q3701" s="208">
        <f>MIN(1,MAX(0,(nr_MEndP-$G3701+0.5)/$C$3694))-MIN(1,MAX(0,(nr_MStartP-1-$G3701+0.5)/$C$3694))</f>
        <v/>
      </c>
      <c r="R3701" s="208">
        <f>MIN(1,MAX(0,(nr_MEndP1-$G3701+0.5)/$C$3694))-MIN(1,MAX(0,(nr_MStartP1-1-$G3701+0.5)/$C$3694))</f>
        <v/>
      </c>
      <c r="S3701" s="208">
        <f>IF($L$3694,$N3701*IF($O$3694=1,$O3701/$F$3694,1),"")</f>
        <v/>
      </c>
      <c r="T3701" s="208">
        <f>IF(NOT($L$3694),"",IF($G3701&lt;nr_MStartP,$S3701,$T3689*(1+IF($G3701&lt;nr_MStartP1,$M$3694,$N$3694))))</f>
        <v/>
      </c>
      <c r="U3701" s="208">
        <f>IF($L$3694,$T3701,$N3701)</f>
        <v/>
      </c>
    </row>
    <row r="3702">
      <c r="A3702" s="145" t="n">
        <v>6</v>
      </c>
      <c r="B3702" s="204">
        <f>EDATE($B3701,1)</f>
        <v/>
      </c>
      <c r="C3702" s="205">
        <f>EOMONTH($B3702,0)</f>
        <v/>
      </c>
      <c r="D3702" s="201">
        <f>$C3702-$B3702+1</f>
        <v/>
      </c>
      <c r="E3702" s="201">
        <f>MONTH($B3702)</f>
        <v/>
      </c>
      <c r="F3702" s="235">
        <f>($B3702+$C3702+1)/2</f>
        <v/>
      </c>
      <c r="G3702" s="201">
        <f>YEAR($B3702)*12+MONTH($B3702)-1</f>
        <v/>
      </c>
      <c r="H3702" s="207">
        <f>IF(OR(nr_SeasonOn="OFF",$D$3694=0,$E$3694=0),1,12*INDEX(se_block,$D$3694,$E3702)/$E$3694)</f>
        <v/>
      </c>
      <c r="I3702" s="208">
        <f>EXP(SUMPRODUCT((rl_eff&lt;$B3702)*(rl_key=$A$3694)*rl_ln1p))</f>
        <v/>
      </c>
      <c r="J3702" s="208">
        <f>EXP(SUMPRODUCT((rl_eff&lt;=$C3702)*(rl_key=$A$3694)*rl_ln1p))</f>
        <v/>
      </c>
      <c r="K3702" s="201">
        <f>COUNTIFS(rl_key,$A$3694,rl_eff,"&gt;="&amp;$B3702,rl_eff,"&lt;="&amp;$C3702)</f>
        <v/>
      </c>
      <c r="L3702" s="201">
        <f>SUMIFS(rl_daysafter,rl_key,$A$3694,rl_effmonth,$B3702,rl_first,1)</f>
        <v/>
      </c>
      <c r="M3702" s="209">
        <f>IF($K3702=0,0,MIN(1,$L3702/$D3702))</f>
        <v/>
      </c>
      <c r="N3702" s="208">
        <f>IF($K3702=0,$J3702,(1-$M3702)*$I3702+$M3702*$J3702)</f>
        <v/>
      </c>
      <c r="O3702" s="209">
        <f>IF($F3702&lt;$B$3695,$E$3695+$I$3695*($F3702-$A$3695),IF($F3702&lt;$C$3695,$F$3695+$J$3695*($F3702-$B$3695),$G$3695+$K$3695*($F3702-$C$3695)))</f>
        <v/>
      </c>
      <c r="P3702" s="208">
        <f>MIN(1,MAX(0,(nr_MEndPm1-$G3702+0.5)/$C$3694))-MIN(1,MAX(0,(nr_MStartPm1-1-$G3702+0.5)/$C$3694))</f>
        <v/>
      </c>
      <c r="Q3702" s="208">
        <f>MIN(1,MAX(0,(nr_MEndP-$G3702+0.5)/$C$3694))-MIN(1,MAX(0,(nr_MStartP-1-$G3702+0.5)/$C$3694))</f>
        <v/>
      </c>
      <c r="R3702" s="208">
        <f>MIN(1,MAX(0,(nr_MEndP1-$G3702+0.5)/$C$3694))-MIN(1,MAX(0,(nr_MStartP1-1-$G3702+0.5)/$C$3694))</f>
        <v/>
      </c>
      <c r="S3702" s="208">
        <f>IF($L$3694,$N3702*IF($O$3694=1,$O3702/$F$3694,1),"")</f>
        <v/>
      </c>
      <c r="T3702" s="208">
        <f>IF(NOT($L$3694),"",IF($G3702&lt;nr_MStartP,$S3702,$T3690*(1+IF($G3702&lt;nr_MStartP1,$M$3694,$N$3694))))</f>
        <v/>
      </c>
      <c r="U3702" s="208">
        <f>IF($L$3694,$T3702,$N3702)</f>
        <v/>
      </c>
    </row>
    <row r="3703">
      <c r="A3703" s="145" t="n">
        <v>7</v>
      </c>
      <c r="B3703" s="204">
        <f>EDATE($B3702,1)</f>
        <v/>
      </c>
      <c r="C3703" s="205">
        <f>EOMONTH($B3703,0)</f>
        <v/>
      </c>
      <c r="D3703" s="201">
        <f>$C3703-$B3703+1</f>
        <v/>
      </c>
      <c r="E3703" s="201">
        <f>MONTH($B3703)</f>
        <v/>
      </c>
      <c r="F3703" s="235">
        <f>($B3703+$C3703+1)/2</f>
        <v/>
      </c>
      <c r="G3703" s="201">
        <f>YEAR($B3703)*12+MONTH($B3703)-1</f>
        <v/>
      </c>
      <c r="H3703" s="207">
        <f>IF(OR(nr_SeasonOn="OFF",$D$3694=0,$E$3694=0),1,12*INDEX(se_block,$D$3694,$E3703)/$E$3694)</f>
        <v/>
      </c>
      <c r="I3703" s="208">
        <f>EXP(SUMPRODUCT((rl_eff&lt;$B3703)*(rl_key=$A$3694)*rl_ln1p))</f>
        <v/>
      </c>
      <c r="J3703" s="208">
        <f>EXP(SUMPRODUCT((rl_eff&lt;=$C3703)*(rl_key=$A$3694)*rl_ln1p))</f>
        <v/>
      </c>
      <c r="K3703" s="201">
        <f>COUNTIFS(rl_key,$A$3694,rl_eff,"&gt;="&amp;$B3703,rl_eff,"&lt;="&amp;$C3703)</f>
        <v/>
      </c>
      <c r="L3703" s="201">
        <f>SUMIFS(rl_daysafter,rl_key,$A$3694,rl_effmonth,$B3703,rl_first,1)</f>
        <v/>
      </c>
      <c r="M3703" s="209">
        <f>IF($K3703=0,0,MIN(1,$L3703/$D3703))</f>
        <v/>
      </c>
      <c r="N3703" s="208">
        <f>IF($K3703=0,$J3703,(1-$M3703)*$I3703+$M3703*$J3703)</f>
        <v/>
      </c>
      <c r="O3703" s="209">
        <f>IF($F3703&lt;$B$3695,$E$3695+$I$3695*($F3703-$A$3695),IF($F3703&lt;$C$3695,$F$3695+$J$3695*($F3703-$B$3695),$G$3695+$K$3695*($F3703-$C$3695)))</f>
        <v/>
      </c>
      <c r="P3703" s="208">
        <f>MIN(1,MAX(0,(nr_MEndPm1-$G3703+0.5)/$C$3694))-MIN(1,MAX(0,(nr_MStartPm1-1-$G3703+0.5)/$C$3694))</f>
        <v/>
      </c>
      <c r="Q3703" s="208">
        <f>MIN(1,MAX(0,(nr_MEndP-$G3703+0.5)/$C$3694))-MIN(1,MAX(0,(nr_MStartP-1-$G3703+0.5)/$C$3694))</f>
        <v/>
      </c>
      <c r="R3703" s="208">
        <f>MIN(1,MAX(0,(nr_MEndP1-$G3703+0.5)/$C$3694))-MIN(1,MAX(0,(nr_MStartP1-1-$G3703+0.5)/$C$3694))</f>
        <v/>
      </c>
      <c r="S3703" s="208">
        <f>IF($L$3694,$N3703*IF($O$3694=1,$O3703/$F$3694,1),"")</f>
        <v/>
      </c>
      <c r="T3703" s="208">
        <f>IF(NOT($L$3694),"",IF($G3703&lt;nr_MStartP,$S3703,$T3691*(1+IF($G3703&lt;nr_MStartP1,$M$3694,$N$3694))))</f>
        <v/>
      </c>
      <c r="U3703" s="208">
        <f>IF($L$3694,$T3703,$N3703)</f>
        <v/>
      </c>
    </row>
    <row r="3704">
      <c r="A3704" s="145" t="n">
        <v>8</v>
      </c>
      <c r="B3704" s="204">
        <f>EDATE($B3703,1)</f>
        <v/>
      </c>
      <c r="C3704" s="205">
        <f>EOMONTH($B3704,0)</f>
        <v/>
      </c>
      <c r="D3704" s="201">
        <f>$C3704-$B3704+1</f>
        <v/>
      </c>
      <c r="E3704" s="201">
        <f>MONTH($B3704)</f>
        <v/>
      </c>
      <c r="F3704" s="235">
        <f>($B3704+$C3704+1)/2</f>
        <v/>
      </c>
      <c r="G3704" s="201">
        <f>YEAR($B3704)*12+MONTH($B3704)-1</f>
        <v/>
      </c>
      <c r="H3704" s="207">
        <f>IF(OR(nr_SeasonOn="OFF",$D$3694=0,$E$3694=0),1,12*INDEX(se_block,$D$3694,$E3704)/$E$3694)</f>
        <v/>
      </c>
      <c r="I3704" s="208">
        <f>EXP(SUMPRODUCT((rl_eff&lt;$B3704)*(rl_key=$A$3694)*rl_ln1p))</f>
        <v/>
      </c>
      <c r="J3704" s="208">
        <f>EXP(SUMPRODUCT((rl_eff&lt;=$C3704)*(rl_key=$A$3694)*rl_ln1p))</f>
        <v/>
      </c>
      <c r="K3704" s="201">
        <f>COUNTIFS(rl_key,$A$3694,rl_eff,"&gt;="&amp;$B3704,rl_eff,"&lt;="&amp;$C3704)</f>
        <v/>
      </c>
      <c r="L3704" s="201">
        <f>SUMIFS(rl_daysafter,rl_key,$A$3694,rl_effmonth,$B3704,rl_first,1)</f>
        <v/>
      </c>
      <c r="M3704" s="209">
        <f>IF($K3704=0,0,MIN(1,$L3704/$D3704))</f>
        <v/>
      </c>
      <c r="N3704" s="208">
        <f>IF($K3704=0,$J3704,(1-$M3704)*$I3704+$M3704*$J3704)</f>
        <v/>
      </c>
      <c r="O3704" s="209">
        <f>IF($F3704&lt;$B$3695,$E$3695+$I$3695*($F3704-$A$3695),IF($F3704&lt;$C$3695,$F$3695+$J$3695*($F3704-$B$3695),$G$3695+$K$3695*($F3704-$C$3695)))</f>
        <v/>
      </c>
      <c r="P3704" s="208">
        <f>MIN(1,MAX(0,(nr_MEndPm1-$G3704+0.5)/$C$3694))-MIN(1,MAX(0,(nr_MStartPm1-1-$G3704+0.5)/$C$3694))</f>
        <v/>
      </c>
      <c r="Q3704" s="208">
        <f>MIN(1,MAX(0,(nr_MEndP-$G3704+0.5)/$C$3694))-MIN(1,MAX(0,(nr_MStartP-1-$G3704+0.5)/$C$3694))</f>
        <v/>
      </c>
      <c r="R3704" s="208">
        <f>MIN(1,MAX(0,(nr_MEndP1-$G3704+0.5)/$C$3694))-MIN(1,MAX(0,(nr_MStartP1-1-$G3704+0.5)/$C$3694))</f>
        <v/>
      </c>
      <c r="S3704" s="208">
        <f>IF($L$3694,$N3704*IF($O$3694=1,$O3704/$F$3694,1),"")</f>
        <v/>
      </c>
      <c r="T3704" s="208">
        <f>IF(NOT($L$3694),"",IF($G3704&lt;nr_MStartP,$S3704,$T3692*(1+IF($G3704&lt;nr_MStartP1,$M$3694,$N$3694))))</f>
        <v/>
      </c>
      <c r="U3704" s="208">
        <f>IF($L$3694,$T3704,$N3704)</f>
        <v/>
      </c>
    </row>
    <row r="3705">
      <c r="A3705" s="145" t="n">
        <v>9</v>
      </c>
      <c r="B3705" s="204">
        <f>EDATE($B3704,1)</f>
        <v/>
      </c>
      <c r="C3705" s="205">
        <f>EOMONTH($B3705,0)</f>
        <v/>
      </c>
      <c r="D3705" s="201">
        <f>$C3705-$B3705+1</f>
        <v/>
      </c>
      <c r="E3705" s="201">
        <f>MONTH($B3705)</f>
        <v/>
      </c>
      <c r="F3705" s="235">
        <f>($B3705+$C3705+1)/2</f>
        <v/>
      </c>
      <c r="G3705" s="201">
        <f>YEAR($B3705)*12+MONTH($B3705)-1</f>
        <v/>
      </c>
      <c r="H3705" s="207">
        <f>IF(OR(nr_SeasonOn="OFF",$D$3694=0,$E$3694=0),1,12*INDEX(se_block,$D$3694,$E3705)/$E$3694)</f>
        <v/>
      </c>
      <c r="I3705" s="208">
        <f>EXP(SUMPRODUCT((rl_eff&lt;$B3705)*(rl_key=$A$3694)*rl_ln1p))</f>
        <v/>
      </c>
      <c r="J3705" s="208">
        <f>EXP(SUMPRODUCT((rl_eff&lt;=$C3705)*(rl_key=$A$3694)*rl_ln1p))</f>
        <v/>
      </c>
      <c r="K3705" s="201">
        <f>COUNTIFS(rl_key,$A$3694,rl_eff,"&gt;="&amp;$B3705,rl_eff,"&lt;="&amp;$C3705)</f>
        <v/>
      </c>
      <c r="L3705" s="201">
        <f>SUMIFS(rl_daysafter,rl_key,$A$3694,rl_effmonth,$B3705,rl_first,1)</f>
        <v/>
      </c>
      <c r="M3705" s="209">
        <f>IF($K3705=0,0,MIN(1,$L3705/$D3705))</f>
        <v/>
      </c>
      <c r="N3705" s="208">
        <f>IF($K3705=0,$J3705,(1-$M3705)*$I3705+$M3705*$J3705)</f>
        <v/>
      </c>
      <c r="O3705" s="209">
        <f>IF($F3705&lt;$B$3695,$E$3695+$I$3695*($F3705-$A$3695),IF($F3705&lt;$C$3695,$F$3695+$J$3695*($F3705-$B$3695),$G$3695+$K$3695*($F3705-$C$3695)))</f>
        <v/>
      </c>
      <c r="P3705" s="208">
        <f>MIN(1,MAX(0,(nr_MEndPm1-$G3705+0.5)/$C$3694))-MIN(1,MAX(0,(nr_MStartPm1-1-$G3705+0.5)/$C$3694))</f>
        <v/>
      </c>
      <c r="Q3705" s="208">
        <f>MIN(1,MAX(0,(nr_MEndP-$G3705+0.5)/$C$3694))-MIN(1,MAX(0,(nr_MStartP-1-$G3705+0.5)/$C$3694))</f>
        <v/>
      </c>
      <c r="R3705" s="208">
        <f>MIN(1,MAX(0,(nr_MEndP1-$G3705+0.5)/$C$3694))-MIN(1,MAX(0,(nr_MStartP1-1-$G3705+0.5)/$C$3694))</f>
        <v/>
      </c>
      <c r="S3705" s="208">
        <f>IF($L$3694,$N3705*IF($O$3694=1,$O3705/$F$3694,1),"")</f>
        <v/>
      </c>
      <c r="T3705" s="208">
        <f>IF(NOT($L$3694),"",IF($G3705&lt;nr_MStartP,$S3705,$T3693*(1+IF($G3705&lt;nr_MStartP1,$M$3694,$N$3694))))</f>
        <v/>
      </c>
      <c r="U3705" s="208">
        <f>IF($L$3694,$T3705,$N3705)</f>
        <v/>
      </c>
    </row>
    <row r="3706">
      <c r="A3706" s="145" t="n">
        <v>10</v>
      </c>
      <c r="B3706" s="204">
        <f>EDATE($B3705,1)</f>
        <v/>
      </c>
      <c r="C3706" s="205">
        <f>EOMONTH($B3706,0)</f>
        <v/>
      </c>
      <c r="D3706" s="201">
        <f>$C3706-$B3706+1</f>
        <v/>
      </c>
      <c r="E3706" s="201">
        <f>MONTH($B3706)</f>
        <v/>
      </c>
      <c r="F3706" s="235">
        <f>($B3706+$C3706+1)/2</f>
        <v/>
      </c>
      <c r="G3706" s="201">
        <f>YEAR($B3706)*12+MONTH($B3706)-1</f>
        <v/>
      </c>
      <c r="H3706" s="207">
        <f>IF(OR(nr_SeasonOn="OFF",$D$3694=0,$E$3694=0),1,12*INDEX(se_block,$D$3694,$E3706)/$E$3694)</f>
        <v/>
      </c>
      <c r="I3706" s="208">
        <f>EXP(SUMPRODUCT((rl_eff&lt;$B3706)*(rl_key=$A$3694)*rl_ln1p))</f>
        <v/>
      </c>
      <c r="J3706" s="208">
        <f>EXP(SUMPRODUCT((rl_eff&lt;=$C3706)*(rl_key=$A$3694)*rl_ln1p))</f>
        <v/>
      </c>
      <c r="K3706" s="201">
        <f>COUNTIFS(rl_key,$A$3694,rl_eff,"&gt;="&amp;$B3706,rl_eff,"&lt;="&amp;$C3706)</f>
        <v/>
      </c>
      <c r="L3706" s="201">
        <f>SUMIFS(rl_daysafter,rl_key,$A$3694,rl_effmonth,$B3706,rl_first,1)</f>
        <v/>
      </c>
      <c r="M3706" s="209">
        <f>IF($K3706=0,0,MIN(1,$L3706/$D3706))</f>
        <v/>
      </c>
      <c r="N3706" s="208">
        <f>IF($K3706=0,$J3706,(1-$M3706)*$I3706+$M3706*$J3706)</f>
        <v/>
      </c>
      <c r="O3706" s="209">
        <f>IF($F3706&lt;$B$3695,$E$3695+$I$3695*($F3706-$A$3695),IF($F3706&lt;$C$3695,$F$3695+$J$3695*($F3706-$B$3695),$G$3695+$K$3695*($F3706-$C$3695)))</f>
        <v/>
      </c>
      <c r="P3706" s="208">
        <f>MIN(1,MAX(0,(nr_MEndPm1-$G3706+0.5)/$C$3694))-MIN(1,MAX(0,(nr_MStartPm1-1-$G3706+0.5)/$C$3694))</f>
        <v/>
      </c>
      <c r="Q3706" s="208">
        <f>MIN(1,MAX(0,(nr_MEndP-$G3706+0.5)/$C$3694))-MIN(1,MAX(0,(nr_MStartP-1-$G3706+0.5)/$C$3694))</f>
        <v/>
      </c>
      <c r="R3706" s="208">
        <f>MIN(1,MAX(0,(nr_MEndP1-$G3706+0.5)/$C$3694))-MIN(1,MAX(0,(nr_MStartP1-1-$G3706+0.5)/$C$3694))</f>
        <v/>
      </c>
      <c r="S3706" s="208">
        <f>IF($L$3694,$N3706*IF($O$3694=1,$O3706/$F$3694,1),"")</f>
        <v/>
      </c>
      <c r="T3706" s="208">
        <f>IF(NOT($L$3694),"",IF($G3706&lt;nr_MStartP,$S3706,$T3694*(1+IF($G3706&lt;nr_MStartP1,$M$3694,$N$3694))))</f>
        <v/>
      </c>
      <c r="U3706" s="208">
        <f>IF($L$3694,$T3706,$N3706)</f>
        <v/>
      </c>
    </row>
    <row r="3707">
      <c r="A3707" s="145" t="n">
        <v>11</v>
      </c>
      <c r="B3707" s="204">
        <f>EDATE($B3706,1)</f>
        <v/>
      </c>
      <c r="C3707" s="205">
        <f>EOMONTH($B3707,0)</f>
        <v/>
      </c>
      <c r="D3707" s="201">
        <f>$C3707-$B3707+1</f>
        <v/>
      </c>
      <c r="E3707" s="201">
        <f>MONTH($B3707)</f>
        <v/>
      </c>
      <c r="F3707" s="235">
        <f>($B3707+$C3707+1)/2</f>
        <v/>
      </c>
      <c r="G3707" s="201">
        <f>YEAR($B3707)*12+MONTH($B3707)-1</f>
        <v/>
      </c>
      <c r="H3707" s="207">
        <f>IF(OR(nr_SeasonOn="OFF",$D$3694=0,$E$3694=0),1,12*INDEX(se_block,$D$3694,$E3707)/$E$3694)</f>
        <v/>
      </c>
      <c r="I3707" s="208">
        <f>EXP(SUMPRODUCT((rl_eff&lt;$B3707)*(rl_key=$A$3694)*rl_ln1p))</f>
        <v/>
      </c>
      <c r="J3707" s="208">
        <f>EXP(SUMPRODUCT((rl_eff&lt;=$C3707)*(rl_key=$A$3694)*rl_ln1p))</f>
        <v/>
      </c>
      <c r="K3707" s="201">
        <f>COUNTIFS(rl_key,$A$3694,rl_eff,"&gt;="&amp;$B3707,rl_eff,"&lt;="&amp;$C3707)</f>
        <v/>
      </c>
      <c r="L3707" s="201">
        <f>SUMIFS(rl_daysafter,rl_key,$A$3694,rl_effmonth,$B3707,rl_first,1)</f>
        <v/>
      </c>
      <c r="M3707" s="209">
        <f>IF($K3707=0,0,MIN(1,$L3707/$D3707))</f>
        <v/>
      </c>
      <c r="N3707" s="208">
        <f>IF($K3707=0,$J3707,(1-$M3707)*$I3707+$M3707*$J3707)</f>
        <v/>
      </c>
      <c r="O3707" s="209">
        <f>IF($F3707&lt;$B$3695,$E$3695+$I$3695*($F3707-$A$3695),IF($F3707&lt;$C$3695,$F$3695+$J$3695*($F3707-$B$3695),$G$3695+$K$3695*($F3707-$C$3695)))</f>
        <v/>
      </c>
      <c r="P3707" s="208">
        <f>MIN(1,MAX(0,(nr_MEndPm1-$G3707+0.5)/$C$3694))-MIN(1,MAX(0,(nr_MStartPm1-1-$G3707+0.5)/$C$3694))</f>
        <v/>
      </c>
      <c r="Q3707" s="208">
        <f>MIN(1,MAX(0,(nr_MEndP-$G3707+0.5)/$C$3694))-MIN(1,MAX(0,(nr_MStartP-1-$G3707+0.5)/$C$3694))</f>
        <v/>
      </c>
      <c r="R3707" s="208">
        <f>MIN(1,MAX(0,(nr_MEndP1-$G3707+0.5)/$C$3694))-MIN(1,MAX(0,(nr_MStartP1-1-$G3707+0.5)/$C$3694))</f>
        <v/>
      </c>
      <c r="S3707" s="208">
        <f>IF($L$3694,$N3707*IF($O$3694=1,$O3707/$F$3694,1),"")</f>
        <v/>
      </c>
      <c r="T3707" s="208">
        <f>IF(NOT($L$3694),"",IF($G3707&lt;nr_MStartP,$S3707,$T3695*(1+IF($G3707&lt;nr_MStartP1,$M$3694,$N$3694))))</f>
        <v/>
      </c>
      <c r="U3707" s="208">
        <f>IF($L$3694,$T3707,$N3707)</f>
        <v/>
      </c>
    </row>
    <row r="3708">
      <c r="A3708" s="145" t="n">
        <v>12</v>
      </c>
      <c r="B3708" s="204">
        <f>EDATE($B3707,1)</f>
        <v/>
      </c>
      <c r="C3708" s="205">
        <f>EOMONTH($B3708,0)</f>
        <v/>
      </c>
      <c r="D3708" s="201">
        <f>$C3708-$B3708+1</f>
        <v/>
      </c>
      <c r="E3708" s="201">
        <f>MONTH($B3708)</f>
        <v/>
      </c>
      <c r="F3708" s="235">
        <f>($B3708+$C3708+1)/2</f>
        <v/>
      </c>
      <c r="G3708" s="201">
        <f>YEAR($B3708)*12+MONTH($B3708)-1</f>
        <v/>
      </c>
      <c r="H3708" s="207">
        <f>IF(OR(nr_SeasonOn="OFF",$D$3694=0,$E$3694=0),1,12*INDEX(se_block,$D$3694,$E3708)/$E$3694)</f>
        <v/>
      </c>
      <c r="I3708" s="208">
        <f>EXP(SUMPRODUCT((rl_eff&lt;$B3708)*(rl_key=$A$3694)*rl_ln1p))</f>
        <v/>
      </c>
      <c r="J3708" s="208">
        <f>EXP(SUMPRODUCT((rl_eff&lt;=$C3708)*(rl_key=$A$3694)*rl_ln1p))</f>
        <v/>
      </c>
      <c r="K3708" s="201">
        <f>COUNTIFS(rl_key,$A$3694,rl_eff,"&gt;="&amp;$B3708,rl_eff,"&lt;="&amp;$C3708)</f>
        <v/>
      </c>
      <c r="L3708" s="201">
        <f>SUMIFS(rl_daysafter,rl_key,$A$3694,rl_effmonth,$B3708,rl_first,1)</f>
        <v/>
      </c>
      <c r="M3708" s="209">
        <f>IF($K3708=0,0,MIN(1,$L3708/$D3708))</f>
        <v/>
      </c>
      <c r="N3708" s="208">
        <f>IF($K3708=0,$J3708,(1-$M3708)*$I3708+$M3708*$J3708)</f>
        <v/>
      </c>
      <c r="O3708" s="209">
        <f>IF($F3708&lt;$B$3695,$E$3695+$I$3695*($F3708-$A$3695),IF($F3708&lt;$C$3695,$F$3695+$J$3695*($F3708-$B$3695),$G$3695+$K$3695*($F3708-$C$3695)))</f>
        <v/>
      </c>
      <c r="P3708" s="208">
        <f>MIN(1,MAX(0,(nr_MEndPm1-$G3708+0.5)/$C$3694))-MIN(1,MAX(0,(nr_MStartPm1-1-$G3708+0.5)/$C$3694))</f>
        <v/>
      </c>
      <c r="Q3708" s="208">
        <f>MIN(1,MAX(0,(nr_MEndP-$G3708+0.5)/$C$3694))-MIN(1,MAX(0,(nr_MStartP-1-$G3708+0.5)/$C$3694))</f>
        <v/>
      </c>
      <c r="R3708" s="208">
        <f>MIN(1,MAX(0,(nr_MEndP1-$G3708+0.5)/$C$3694))-MIN(1,MAX(0,(nr_MStartP1-1-$G3708+0.5)/$C$3694))</f>
        <v/>
      </c>
      <c r="S3708" s="208">
        <f>IF($L$3694,$N3708*IF($O$3694=1,$O3708/$F$3694,1),"")</f>
        <v/>
      </c>
      <c r="T3708" s="208">
        <f>IF(NOT($L$3694),"",IF($G3708&lt;nr_MStartP,$S3708,$T3696*(1+IF($G3708&lt;nr_MStartP1,$M$3694,$N$3694))))</f>
        <v/>
      </c>
      <c r="U3708" s="208">
        <f>IF($L$3694,$T3708,$N3708)</f>
        <v/>
      </c>
    </row>
    <row r="3709">
      <c r="A3709" s="145" t="n">
        <v>13</v>
      </c>
      <c r="B3709" s="204">
        <f>EDATE($B3708,1)</f>
        <v/>
      </c>
      <c r="C3709" s="205">
        <f>EOMONTH($B3709,0)</f>
        <v/>
      </c>
      <c r="D3709" s="201">
        <f>$C3709-$B3709+1</f>
        <v/>
      </c>
      <c r="E3709" s="201">
        <f>MONTH($B3709)</f>
        <v/>
      </c>
      <c r="F3709" s="235">
        <f>($B3709+$C3709+1)/2</f>
        <v/>
      </c>
      <c r="G3709" s="201">
        <f>YEAR($B3709)*12+MONTH($B3709)-1</f>
        <v/>
      </c>
      <c r="H3709" s="207">
        <f>IF(OR(nr_SeasonOn="OFF",$D$3694=0,$E$3694=0),1,12*INDEX(se_block,$D$3694,$E3709)/$E$3694)</f>
        <v/>
      </c>
      <c r="I3709" s="208">
        <f>EXP(SUMPRODUCT((rl_eff&lt;$B3709)*(rl_key=$A$3694)*rl_ln1p))</f>
        <v/>
      </c>
      <c r="J3709" s="208">
        <f>EXP(SUMPRODUCT((rl_eff&lt;=$C3709)*(rl_key=$A$3694)*rl_ln1p))</f>
        <v/>
      </c>
      <c r="K3709" s="201">
        <f>COUNTIFS(rl_key,$A$3694,rl_eff,"&gt;="&amp;$B3709,rl_eff,"&lt;="&amp;$C3709)</f>
        <v/>
      </c>
      <c r="L3709" s="201">
        <f>SUMIFS(rl_daysafter,rl_key,$A$3694,rl_effmonth,$B3709,rl_first,1)</f>
        <v/>
      </c>
      <c r="M3709" s="209">
        <f>IF($K3709=0,0,MIN(1,$L3709/$D3709))</f>
        <v/>
      </c>
      <c r="N3709" s="208">
        <f>IF($K3709=0,$J3709,(1-$M3709)*$I3709+$M3709*$J3709)</f>
        <v/>
      </c>
      <c r="O3709" s="209">
        <f>IF($F3709&lt;$B$3695,$E$3695+$I$3695*($F3709-$A$3695),IF($F3709&lt;$C$3695,$F$3695+$J$3695*($F3709-$B$3695),$G$3695+$K$3695*($F3709-$C$3695)))</f>
        <v/>
      </c>
      <c r="P3709" s="208">
        <f>MIN(1,MAX(0,(nr_MEndPm1-$G3709+0.5)/$C$3694))-MIN(1,MAX(0,(nr_MStartPm1-1-$G3709+0.5)/$C$3694))</f>
        <v/>
      </c>
      <c r="Q3709" s="208">
        <f>MIN(1,MAX(0,(nr_MEndP-$G3709+0.5)/$C$3694))-MIN(1,MAX(0,(nr_MStartP-1-$G3709+0.5)/$C$3694))</f>
        <v/>
      </c>
      <c r="R3709" s="208">
        <f>MIN(1,MAX(0,(nr_MEndP1-$G3709+0.5)/$C$3694))-MIN(1,MAX(0,(nr_MStartP1-1-$G3709+0.5)/$C$3694))</f>
        <v/>
      </c>
      <c r="S3709" s="208">
        <f>IF($L$3694,$N3709*IF($O$3694=1,$O3709/$F$3694,1),"")</f>
        <v/>
      </c>
      <c r="T3709" s="208">
        <f>IF(NOT($L$3694),"",IF($G3709&lt;nr_MStartP,$S3709,$T3697*(1+IF($G3709&lt;nr_MStartP1,$M$3694,$N$3694))))</f>
        <v/>
      </c>
      <c r="U3709" s="208">
        <f>IF($L$3694,$T3709,$N3709)</f>
        <v/>
      </c>
    </row>
    <row r="3710">
      <c r="A3710" s="145" t="n">
        <v>14</v>
      </c>
      <c r="B3710" s="204">
        <f>EDATE($B3709,1)</f>
        <v/>
      </c>
      <c r="C3710" s="205">
        <f>EOMONTH($B3710,0)</f>
        <v/>
      </c>
      <c r="D3710" s="201">
        <f>$C3710-$B3710+1</f>
        <v/>
      </c>
      <c r="E3710" s="201">
        <f>MONTH($B3710)</f>
        <v/>
      </c>
      <c r="F3710" s="235">
        <f>($B3710+$C3710+1)/2</f>
        <v/>
      </c>
      <c r="G3710" s="201">
        <f>YEAR($B3710)*12+MONTH($B3710)-1</f>
        <v/>
      </c>
      <c r="H3710" s="207">
        <f>IF(OR(nr_SeasonOn="OFF",$D$3694=0,$E$3694=0),1,12*INDEX(se_block,$D$3694,$E3710)/$E$3694)</f>
        <v/>
      </c>
      <c r="I3710" s="208">
        <f>EXP(SUMPRODUCT((rl_eff&lt;$B3710)*(rl_key=$A$3694)*rl_ln1p))</f>
        <v/>
      </c>
      <c r="J3710" s="208">
        <f>EXP(SUMPRODUCT((rl_eff&lt;=$C3710)*(rl_key=$A$3694)*rl_ln1p))</f>
        <v/>
      </c>
      <c r="K3710" s="201">
        <f>COUNTIFS(rl_key,$A$3694,rl_eff,"&gt;="&amp;$B3710,rl_eff,"&lt;="&amp;$C3710)</f>
        <v/>
      </c>
      <c r="L3710" s="201">
        <f>SUMIFS(rl_daysafter,rl_key,$A$3694,rl_effmonth,$B3710,rl_first,1)</f>
        <v/>
      </c>
      <c r="M3710" s="209">
        <f>IF($K3710=0,0,MIN(1,$L3710/$D3710))</f>
        <v/>
      </c>
      <c r="N3710" s="208">
        <f>IF($K3710=0,$J3710,(1-$M3710)*$I3710+$M3710*$J3710)</f>
        <v/>
      </c>
      <c r="O3710" s="209">
        <f>IF($F3710&lt;$B$3695,$E$3695+$I$3695*($F3710-$A$3695),IF($F3710&lt;$C$3695,$F$3695+$J$3695*($F3710-$B$3695),$G$3695+$K$3695*($F3710-$C$3695)))</f>
        <v/>
      </c>
      <c r="P3710" s="208">
        <f>MIN(1,MAX(0,(nr_MEndPm1-$G3710+0.5)/$C$3694))-MIN(1,MAX(0,(nr_MStartPm1-1-$G3710+0.5)/$C$3694))</f>
        <v/>
      </c>
      <c r="Q3710" s="208">
        <f>MIN(1,MAX(0,(nr_MEndP-$G3710+0.5)/$C$3694))-MIN(1,MAX(0,(nr_MStartP-1-$G3710+0.5)/$C$3694))</f>
        <v/>
      </c>
      <c r="R3710" s="208">
        <f>MIN(1,MAX(0,(nr_MEndP1-$G3710+0.5)/$C$3694))-MIN(1,MAX(0,(nr_MStartP1-1-$G3710+0.5)/$C$3694))</f>
        <v/>
      </c>
      <c r="S3710" s="208">
        <f>IF($L$3694,$N3710*IF($O$3694=1,$O3710/$F$3694,1),"")</f>
        <v/>
      </c>
      <c r="T3710" s="208">
        <f>IF(NOT($L$3694),"",IF($G3710&lt;nr_MStartP,$S3710,$T3698*(1+IF($G3710&lt;nr_MStartP1,$M$3694,$N$3694))))</f>
        <v/>
      </c>
      <c r="U3710" s="208">
        <f>IF($L$3694,$T3710,$N3710)</f>
        <v/>
      </c>
    </row>
    <row r="3711">
      <c r="A3711" s="145" t="n">
        <v>15</v>
      </c>
      <c r="B3711" s="204">
        <f>EDATE($B3710,1)</f>
        <v/>
      </c>
      <c r="C3711" s="205">
        <f>EOMONTH($B3711,0)</f>
        <v/>
      </c>
      <c r="D3711" s="201">
        <f>$C3711-$B3711+1</f>
        <v/>
      </c>
      <c r="E3711" s="201">
        <f>MONTH($B3711)</f>
        <v/>
      </c>
      <c r="F3711" s="235">
        <f>($B3711+$C3711+1)/2</f>
        <v/>
      </c>
      <c r="G3711" s="201">
        <f>YEAR($B3711)*12+MONTH($B3711)-1</f>
        <v/>
      </c>
      <c r="H3711" s="207">
        <f>IF(OR(nr_SeasonOn="OFF",$D$3694=0,$E$3694=0),1,12*INDEX(se_block,$D$3694,$E3711)/$E$3694)</f>
        <v/>
      </c>
      <c r="I3711" s="208">
        <f>EXP(SUMPRODUCT((rl_eff&lt;$B3711)*(rl_key=$A$3694)*rl_ln1p))</f>
        <v/>
      </c>
      <c r="J3711" s="208">
        <f>EXP(SUMPRODUCT((rl_eff&lt;=$C3711)*(rl_key=$A$3694)*rl_ln1p))</f>
        <v/>
      </c>
      <c r="K3711" s="201">
        <f>COUNTIFS(rl_key,$A$3694,rl_eff,"&gt;="&amp;$B3711,rl_eff,"&lt;="&amp;$C3711)</f>
        <v/>
      </c>
      <c r="L3711" s="201">
        <f>SUMIFS(rl_daysafter,rl_key,$A$3694,rl_effmonth,$B3711,rl_first,1)</f>
        <v/>
      </c>
      <c r="M3711" s="209">
        <f>IF($K3711=0,0,MIN(1,$L3711/$D3711))</f>
        <v/>
      </c>
      <c r="N3711" s="208">
        <f>IF($K3711=0,$J3711,(1-$M3711)*$I3711+$M3711*$J3711)</f>
        <v/>
      </c>
      <c r="O3711" s="209">
        <f>IF($F3711&lt;$B$3695,$E$3695+$I$3695*($F3711-$A$3695),IF($F3711&lt;$C$3695,$F$3695+$J$3695*($F3711-$B$3695),$G$3695+$K$3695*($F3711-$C$3695)))</f>
        <v/>
      </c>
      <c r="P3711" s="208">
        <f>MIN(1,MAX(0,(nr_MEndPm1-$G3711+0.5)/$C$3694))-MIN(1,MAX(0,(nr_MStartPm1-1-$G3711+0.5)/$C$3694))</f>
        <v/>
      </c>
      <c r="Q3711" s="208">
        <f>MIN(1,MAX(0,(nr_MEndP-$G3711+0.5)/$C$3694))-MIN(1,MAX(0,(nr_MStartP-1-$G3711+0.5)/$C$3694))</f>
        <v/>
      </c>
      <c r="R3711" s="208">
        <f>MIN(1,MAX(0,(nr_MEndP1-$G3711+0.5)/$C$3694))-MIN(1,MAX(0,(nr_MStartP1-1-$G3711+0.5)/$C$3694))</f>
        <v/>
      </c>
      <c r="S3711" s="208">
        <f>IF($L$3694,$N3711*IF($O$3694=1,$O3711/$F$3694,1),"")</f>
        <v/>
      </c>
      <c r="T3711" s="208">
        <f>IF(NOT($L$3694),"",IF($G3711&lt;nr_MStartP,$S3711,$T3699*(1+IF($G3711&lt;nr_MStartP1,$M$3694,$N$3694))))</f>
        <v/>
      </c>
      <c r="U3711" s="208">
        <f>IF($L$3694,$T3711,$N3711)</f>
        <v/>
      </c>
    </row>
    <row r="3712">
      <c r="A3712" s="145" t="n">
        <v>16</v>
      </c>
      <c r="B3712" s="204">
        <f>EDATE($B3711,1)</f>
        <v/>
      </c>
      <c r="C3712" s="205">
        <f>EOMONTH($B3712,0)</f>
        <v/>
      </c>
      <c r="D3712" s="201">
        <f>$C3712-$B3712+1</f>
        <v/>
      </c>
      <c r="E3712" s="201">
        <f>MONTH($B3712)</f>
        <v/>
      </c>
      <c r="F3712" s="235">
        <f>($B3712+$C3712+1)/2</f>
        <v/>
      </c>
      <c r="G3712" s="201">
        <f>YEAR($B3712)*12+MONTH($B3712)-1</f>
        <v/>
      </c>
      <c r="H3712" s="207">
        <f>IF(OR(nr_SeasonOn="OFF",$D$3694=0,$E$3694=0),1,12*INDEX(se_block,$D$3694,$E3712)/$E$3694)</f>
        <v/>
      </c>
      <c r="I3712" s="208">
        <f>EXP(SUMPRODUCT((rl_eff&lt;$B3712)*(rl_key=$A$3694)*rl_ln1p))</f>
        <v/>
      </c>
      <c r="J3712" s="208">
        <f>EXP(SUMPRODUCT((rl_eff&lt;=$C3712)*(rl_key=$A$3694)*rl_ln1p))</f>
        <v/>
      </c>
      <c r="K3712" s="201">
        <f>COUNTIFS(rl_key,$A$3694,rl_eff,"&gt;="&amp;$B3712,rl_eff,"&lt;="&amp;$C3712)</f>
        <v/>
      </c>
      <c r="L3712" s="201">
        <f>SUMIFS(rl_daysafter,rl_key,$A$3694,rl_effmonth,$B3712,rl_first,1)</f>
        <v/>
      </c>
      <c r="M3712" s="209">
        <f>IF($K3712=0,0,MIN(1,$L3712/$D3712))</f>
        <v/>
      </c>
      <c r="N3712" s="208">
        <f>IF($K3712=0,$J3712,(1-$M3712)*$I3712+$M3712*$J3712)</f>
        <v/>
      </c>
      <c r="O3712" s="209">
        <f>IF($F3712&lt;$B$3695,$E$3695+$I$3695*($F3712-$A$3695),IF($F3712&lt;$C$3695,$F$3695+$J$3695*($F3712-$B$3695),$G$3695+$K$3695*($F3712-$C$3695)))</f>
        <v/>
      </c>
      <c r="P3712" s="208">
        <f>MIN(1,MAX(0,(nr_MEndPm1-$G3712+0.5)/$C$3694))-MIN(1,MAX(0,(nr_MStartPm1-1-$G3712+0.5)/$C$3694))</f>
        <v/>
      </c>
      <c r="Q3712" s="208">
        <f>MIN(1,MAX(0,(nr_MEndP-$G3712+0.5)/$C$3694))-MIN(1,MAX(0,(nr_MStartP-1-$G3712+0.5)/$C$3694))</f>
        <v/>
      </c>
      <c r="R3712" s="208">
        <f>MIN(1,MAX(0,(nr_MEndP1-$G3712+0.5)/$C$3694))-MIN(1,MAX(0,(nr_MStartP1-1-$G3712+0.5)/$C$3694))</f>
        <v/>
      </c>
      <c r="S3712" s="208">
        <f>IF($L$3694,$N3712*IF($O$3694=1,$O3712/$F$3694,1),"")</f>
        <v/>
      </c>
      <c r="T3712" s="208">
        <f>IF(NOT($L$3694),"",IF($G3712&lt;nr_MStartP,$S3712,$T3700*(1+IF($G3712&lt;nr_MStartP1,$M$3694,$N$3694))))</f>
        <v/>
      </c>
      <c r="U3712" s="208">
        <f>IF($L$3694,$T3712,$N3712)</f>
        <v/>
      </c>
    </row>
    <row r="3713">
      <c r="A3713" s="145" t="n">
        <v>17</v>
      </c>
      <c r="B3713" s="204">
        <f>EDATE($B3712,1)</f>
        <v/>
      </c>
      <c r="C3713" s="205">
        <f>EOMONTH($B3713,0)</f>
        <v/>
      </c>
      <c r="D3713" s="201">
        <f>$C3713-$B3713+1</f>
        <v/>
      </c>
      <c r="E3713" s="201">
        <f>MONTH($B3713)</f>
        <v/>
      </c>
      <c r="F3713" s="235">
        <f>($B3713+$C3713+1)/2</f>
        <v/>
      </c>
      <c r="G3713" s="201">
        <f>YEAR($B3713)*12+MONTH($B3713)-1</f>
        <v/>
      </c>
      <c r="H3713" s="207">
        <f>IF(OR(nr_SeasonOn="OFF",$D$3694=0,$E$3694=0),1,12*INDEX(se_block,$D$3694,$E3713)/$E$3694)</f>
        <v/>
      </c>
      <c r="I3713" s="208">
        <f>EXP(SUMPRODUCT((rl_eff&lt;$B3713)*(rl_key=$A$3694)*rl_ln1p))</f>
        <v/>
      </c>
      <c r="J3713" s="208">
        <f>EXP(SUMPRODUCT((rl_eff&lt;=$C3713)*(rl_key=$A$3694)*rl_ln1p))</f>
        <v/>
      </c>
      <c r="K3713" s="201">
        <f>COUNTIFS(rl_key,$A$3694,rl_eff,"&gt;="&amp;$B3713,rl_eff,"&lt;="&amp;$C3713)</f>
        <v/>
      </c>
      <c r="L3713" s="201">
        <f>SUMIFS(rl_daysafter,rl_key,$A$3694,rl_effmonth,$B3713,rl_first,1)</f>
        <v/>
      </c>
      <c r="M3713" s="209">
        <f>IF($K3713=0,0,MIN(1,$L3713/$D3713))</f>
        <v/>
      </c>
      <c r="N3713" s="208">
        <f>IF($K3713=0,$J3713,(1-$M3713)*$I3713+$M3713*$J3713)</f>
        <v/>
      </c>
      <c r="O3713" s="209">
        <f>IF($F3713&lt;$B$3695,$E$3695+$I$3695*($F3713-$A$3695),IF($F3713&lt;$C$3695,$F$3695+$J$3695*($F3713-$B$3695),$G$3695+$K$3695*($F3713-$C$3695)))</f>
        <v/>
      </c>
      <c r="P3713" s="208">
        <f>MIN(1,MAX(0,(nr_MEndPm1-$G3713+0.5)/$C$3694))-MIN(1,MAX(0,(nr_MStartPm1-1-$G3713+0.5)/$C$3694))</f>
        <v/>
      </c>
      <c r="Q3713" s="208">
        <f>MIN(1,MAX(0,(nr_MEndP-$G3713+0.5)/$C$3694))-MIN(1,MAX(0,(nr_MStartP-1-$G3713+0.5)/$C$3694))</f>
        <v/>
      </c>
      <c r="R3713" s="208">
        <f>MIN(1,MAX(0,(nr_MEndP1-$G3713+0.5)/$C$3694))-MIN(1,MAX(0,(nr_MStartP1-1-$G3713+0.5)/$C$3694))</f>
        <v/>
      </c>
      <c r="S3713" s="208">
        <f>IF($L$3694,$N3713*IF($O$3694=1,$O3713/$F$3694,1),"")</f>
        <v/>
      </c>
      <c r="T3713" s="208">
        <f>IF(NOT($L$3694),"",IF($G3713&lt;nr_MStartP,$S3713,$T3701*(1+IF($G3713&lt;nr_MStartP1,$M$3694,$N$3694))))</f>
        <v/>
      </c>
      <c r="U3713" s="208">
        <f>IF($L$3694,$T3713,$N3713)</f>
        <v/>
      </c>
    </row>
    <row r="3714">
      <c r="A3714" s="145" t="n">
        <v>18</v>
      </c>
      <c r="B3714" s="204">
        <f>EDATE($B3713,1)</f>
        <v/>
      </c>
      <c r="C3714" s="205">
        <f>EOMONTH($B3714,0)</f>
        <v/>
      </c>
      <c r="D3714" s="201">
        <f>$C3714-$B3714+1</f>
        <v/>
      </c>
      <c r="E3714" s="201">
        <f>MONTH($B3714)</f>
        <v/>
      </c>
      <c r="F3714" s="235">
        <f>($B3714+$C3714+1)/2</f>
        <v/>
      </c>
      <c r="G3714" s="201">
        <f>YEAR($B3714)*12+MONTH($B3714)-1</f>
        <v/>
      </c>
      <c r="H3714" s="207">
        <f>IF(OR(nr_SeasonOn="OFF",$D$3694=0,$E$3694=0),1,12*INDEX(se_block,$D$3694,$E3714)/$E$3694)</f>
        <v/>
      </c>
      <c r="I3714" s="208">
        <f>EXP(SUMPRODUCT((rl_eff&lt;$B3714)*(rl_key=$A$3694)*rl_ln1p))</f>
        <v/>
      </c>
      <c r="J3714" s="208">
        <f>EXP(SUMPRODUCT((rl_eff&lt;=$C3714)*(rl_key=$A$3694)*rl_ln1p))</f>
        <v/>
      </c>
      <c r="K3714" s="201">
        <f>COUNTIFS(rl_key,$A$3694,rl_eff,"&gt;="&amp;$B3714,rl_eff,"&lt;="&amp;$C3714)</f>
        <v/>
      </c>
      <c r="L3714" s="201">
        <f>SUMIFS(rl_daysafter,rl_key,$A$3694,rl_effmonth,$B3714,rl_first,1)</f>
        <v/>
      </c>
      <c r="M3714" s="209">
        <f>IF($K3714=0,0,MIN(1,$L3714/$D3714))</f>
        <v/>
      </c>
      <c r="N3714" s="208">
        <f>IF($K3714=0,$J3714,(1-$M3714)*$I3714+$M3714*$J3714)</f>
        <v/>
      </c>
      <c r="O3714" s="209">
        <f>IF($F3714&lt;$B$3695,$E$3695+$I$3695*($F3714-$A$3695),IF($F3714&lt;$C$3695,$F$3695+$J$3695*($F3714-$B$3695),$G$3695+$K$3695*($F3714-$C$3695)))</f>
        <v/>
      </c>
      <c r="P3714" s="208">
        <f>MIN(1,MAX(0,(nr_MEndPm1-$G3714+0.5)/$C$3694))-MIN(1,MAX(0,(nr_MStartPm1-1-$G3714+0.5)/$C$3694))</f>
        <v/>
      </c>
      <c r="Q3714" s="208">
        <f>MIN(1,MAX(0,(nr_MEndP-$G3714+0.5)/$C$3694))-MIN(1,MAX(0,(nr_MStartP-1-$G3714+0.5)/$C$3694))</f>
        <v/>
      </c>
      <c r="R3714" s="208">
        <f>MIN(1,MAX(0,(nr_MEndP1-$G3714+0.5)/$C$3694))-MIN(1,MAX(0,(nr_MStartP1-1-$G3714+0.5)/$C$3694))</f>
        <v/>
      </c>
      <c r="S3714" s="208">
        <f>IF($L$3694,$N3714*IF($O$3694=1,$O3714/$F$3694,1),"")</f>
        <v/>
      </c>
      <c r="T3714" s="208">
        <f>IF(NOT($L$3694),"",IF($G3714&lt;nr_MStartP,$S3714,$T3702*(1+IF($G3714&lt;nr_MStartP1,$M$3694,$N$3694))))</f>
        <v/>
      </c>
      <c r="U3714" s="208">
        <f>IF($L$3694,$T3714,$N3714)</f>
        <v/>
      </c>
    </row>
    <row r="3715">
      <c r="A3715" s="145" t="n">
        <v>19</v>
      </c>
      <c r="B3715" s="204">
        <f>EDATE($B3714,1)</f>
        <v/>
      </c>
      <c r="C3715" s="205">
        <f>EOMONTH($B3715,0)</f>
        <v/>
      </c>
      <c r="D3715" s="201">
        <f>$C3715-$B3715+1</f>
        <v/>
      </c>
      <c r="E3715" s="201">
        <f>MONTH($B3715)</f>
        <v/>
      </c>
      <c r="F3715" s="235">
        <f>($B3715+$C3715+1)/2</f>
        <v/>
      </c>
      <c r="G3715" s="201">
        <f>YEAR($B3715)*12+MONTH($B3715)-1</f>
        <v/>
      </c>
      <c r="H3715" s="207">
        <f>IF(OR(nr_SeasonOn="OFF",$D$3694=0,$E$3694=0),1,12*INDEX(se_block,$D$3694,$E3715)/$E$3694)</f>
        <v/>
      </c>
      <c r="I3715" s="208">
        <f>EXP(SUMPRODUCT((rl_eff&lt;$B3715)*(rl_key=$A$3694)*rl_ln1p))</f>
        <v/>
      </c>
      <c r="J3715" s="208">
        <f>EXP(SUMPRODUCT((rl_eff&lt;=$C3715)*(rl_key=$A$3694)*rl_ln1p))</f>
        <v/>
      </c>
      <c r="K3715" s="201">
        <f>COUNTIFS(rl_key,$A$3694,rl_eff,"&gt;="&amp;$B3715,rl_eff,"&lt;="&amp;$C3715)</f>
        <v/>
      </c>
      <c r="L3715" s="201">
        <f>SUMIFS(rl_daysafter,rl_key,$A$3694,rl_effmonth,$B3715,rl_first,1)</f>
        <v/>
      </c>
      <c r="M3715" s="209">
        <f>IF($K3715=0,0,MIN(1,$L3715/$D3715))</f>
        <v/>
      </c>
      <c r="N3715" s="208">
        <f>IF($K3715=0,$J3715,(1-$M3715)*$I3715+$M3715*$J3715)</f>
        <v/>
      </c>
      <c r="O3715" s="209">
        <f>IF($F3715&lt;$B$3695,$E$3695+$I$3695*($F3715-$A$3695),IF($F3715&lt;$C$3695,$F$3695+$J$3695*($F3715-$B$3695),$G$3695+$K$3695*($F3715-$C$3695)))</f>
        <v/>
      </c>
      <c r="P3715" s="208">
        <f>MIN(1,MAX(0,(nr_MEndPm1-$G3715+0.5)/$C$3694))-MIN(1,MAX(0,(nr_MStartPm1-1-$G3715+0.5)/$C$3694))</f>
        <v/>
      </c>
      <c r="Q3715" s="208">
        <f>MIN(1,MAX(0,(nr_MEndP-$G3715+0.5)/$C$3694))-MIN(1,MAX(0,(nr_MStartP-1-$G3715+0.5)/$C$3694))</f>
        <v/>
      </c>
      <c r="R3715" s="208">
        <f>MIN(1,MAX(0,(nr_MEndP1-$G3715+0.5)/$C$3694))-MIN(1,MAX(0,(nr_MStartP1-1-$G3715+0.5)/$C$3694))</f>
        <v/>
      </c>
      <c r="S3715" s="208">
        <f>IF($L$3694,$N3715*IF($O$3694=1,$O3715/$F$3694,1),"")</f>
        <v/>
      </c>
      <c r="T3715" s="208">
        <f>IF(NOT($L$3694),"",IF($G3715&lt;nr_MStartP,$S3715,$T3703*(1+IF($G3715&lt;nr_MStartP1,$M$3694,$N$3694))))</f>
        <v/>
      </c>
      <c r="U3715" s="208">
        <f>IF($L$3694,$T3715,$N3715)</f>
        <v/>
      </c>
    </row>
    <row r="3716">
      <c r="A3716" s="145" t="n">
        <v>20</v>
      </c>
      <c r="B3716" s="204">
        <f>EDATE($B3715,1)</f>
        <v/>
      </c>
      <c r="C3716" s="205">
        <f>EOMONTH($B3716,0)</f>
        <v/>
      </c>
      <c r="D3716" s="201">
        <f>$C3716-$B3716+1</f>
        <v/>
      </c>
      <c r="E3716" s="201">
        <f>MONTH($B3716)</f>
        <v/>
      </c>
      <c r="F3716" s="235">
        <f>($B3716+$C3716+1)/2</f>
        <v/>
      </c>
      <c r="G3716" s="201">
        <f>YEAR($B3716)*12+MONTH($B3716)-1</f>
        <v/>
      </c>
      <c r="H3716" s="207">
        <f>IF(OR(nr_SeasonOn="OFF",$D$3694=0,$E$3694=0),1,12*INDEX(se_block,$D$3694,$E3716)/$E$3694)</f>
        <v/>
      </c>
      <c r="I3716" s="208">
        <f>EXP(SUMPRODUCT((rl_eff&lt;$B3716)*(rl_key=$A$3694)*rl_ln1p))</f>
        <v/>
      </c>
      <c r="J3716" s="208">
        <f>EXP(SUMPRODUCT((rl_eff&lt;=$C3716)*(rl_key=$A$3694)*rl_ln1p))</f>
        <v/>
      </c>
      <c r="K3716" s="201">
        <f>COUNTIFS(rl_key,$A$3694,rl_eff,"&gt;="&amp;$B3716,rl_eff,"&lt;="&amp;$C3716)</f>
        <v/>
      </c>
      <c r="L3716" s="201">
        <f>SUMIFS(rl_daysafter,rl_key,$A$3694,rl_effmonth,$B3716,rl_first,1)</f>
        <v/>
      </c>
      <c r="M3716" s="209">
        <f>IF($K3716=0,0,MIN(1,$L3716/$D3716))</f>
        <v/>
      </c>
      <c r="N3716" s="208">
        <f>IF($K3716=0,$J3716,(1-$M3716)*$I3716+$M3716*$J3716)</f>
        <v/>
      </c>
      <c r="O3716" s="209">
        <f>IF($F3716&lt;$B$3695,$E$3695+$I$3695*($F3716-$A$3695),IF($F3716&lt;$C$3695,$F$3695+$J$3695*($F3716-$B$3695),$G$3695+$K$3695*($F3716-$C$3695)))</f>
        <v/>
      </c>
      <c r="P3716" s="208">
        <f>MIN(1,MAX(0,(nr_MEndPm1-$G3716+0.5)/$C$3694))-MIN(1,MAX(0,(nr_MStartPm1-1-$G3716+0.5)/$C$3694))</f>
        <v/>
      </c>
      <c r="Q3716" s="208">
        <f>MIN(1,MAX(0,(nr_MEndP-$G3716+0.5)/$C$3694))-MIN(1,MAX(0,(nr_MStartP-1-$G3716+0.5)/$C$3694))</f>
        <v/>
      </c>
      <c r="R3716" s="208">
        <f>MIN(1,MAX(0,(nr_MEndP1-$G3716+0.5)/$C$3694))-MIN(1,MAX(0,(nr_MStartP1-1-$G3716+0.5)/$C$3694))</f>
        <v/>
      </c>
      <c r="S3716" s="208">
        <f>IF($L$3694,$N3716*IF($O$3694=1,$O3716/$F$3694,1),"")</f>
        <v/>
      </c>
      <c r="T3716" s="208">
        <f>IF(NOT($L$3694),"",IF($G3716&lt;nr_MStartP,$S3716,$T3704*(1+IF($G3716&lt;nr_MStartP1,$M$3694,$N$3694))))</f>
        <v/>
      </c>
      <c r="U3716" s="208">
        <f>IF($L$3694,$T3716,$N3716)</f>
        <v/>
      </c>
    </row>
    <row r="3717">
      <c r="A3717" s="145" t="n">
        <v>21</v>
      </c>
      <c r="B3717" s="204">
        <f>EDATE($B3716,1)</f>
        <v/>
      </c>
      <c r="C3717" s="205">
        <f>EOMONTH($B3717,0)</f>
        <v/>
      </c>
      <c r="D3717" s="201">
        <f>$C3717-$B3717+1</f>
        <v/>
      </c>
      <c r="E3717" s="201">
        <f>MONTH($B3717)</f>
        <v/>
      </c>
      <c r="F3717" s="235">
        <f>($B3717+$C3717+1)/2</f>
        <v/>
      </c>
      <c r="G3717" s="201">
        <f>YEAR($B3717)*12+MONTH($B3717)-1</f>
        <v/>
      </c>
      <c r="H3717" s="207">
        <f>IF(OR(nr_SeasonOn="OFF",$D$3694=0,$E$3694=0),1,12*INDEX(se_block,$D$3694,$E3717)/$E$3694)</f>
        <v/>
      </c>
      <c r="I3717" s="208">
        <f>EXP(SUMPRODUCT((rl_eff&lt;$B3717)*(rl_key=$A$3694)*rl_ln1p))</f>
        <v/>
      </c>
      <c r="J3717" s="208">
        <f>EXP(SUMPRODUCT((rl_eff&lt;=$C3717)*(rl_key=$A$3694)*rl_ln1p))</f>
        <v/>
      </c>
      <c r="K3717" s="201">
        <f>COUNTIFS(rl_key,$A$3694,rl_eff,"&gt;="&amp;$B3717,rl_eff,"&lt;="&amp;$C3717)</f>
        <v/>
      </c>
      <c r="L3717" s="201">
        <f>SUMIFS(rl_daysafter,rl_key,$A$3694,rl_effmonth,$B3717,rl_first,1)</f>
        <v/>
      </c>
      <c r="M3717" s="209">
        <f>IF($K3717=0,0,MIN(1,$L3717/$D3717))</f>
        <v/>
      </c>
      <c r="N3717" s="208">
        <f>IF($K3717=0,$J3717,(1-$M3717)*$I3717+$M3717*$J3717)</f>
        <v/>
      </c>
      <c r="O3717" s="209">
        <f>IF($F3717&lt;$B$3695,$E$3695+$I$3695*($F3717-$A$3695),IF($F3717&lt;$C$3695,$F$3695+$J$3695*($F3717-$B$3695),$G$3695+$K$3695*($F3717-$C$3695)))</f>
        <v/>
      </c>
      <c r="P3717" s="208">
        <f>MIN(1,MAX(0,(nr_MEndPm1-$G3717+0.5)/$C$3694))-MIN(1,MAX(0,(nr_MStartPm1-1-$G3717+0.5)/$C$3694))</f>
        <v/>
      </c>
      <c r="Q3717" s="208">
        <f>MIN(1,MAX(0,(nr_MEndP-$G3717+0.5)/$C$3694))-MIN(1,MAX(0,(nr_MStartP-1-$G3717+0.5)/$C$3694))</f>
        <v/>
      </c>
      <c r="R3717" s="208">
        <f>MIN(1,MAX(0,(nr_MEndP1-$G3717+0.5)/$C$3694))-MIN(1,MAX(0,(nr_MStartP1-1-$G3717+0.5)/$C$3694))</f>
        <v/>
      </c>
      <c r="S3717" s="208">
        <f>IF($L$3694,$N3717*IF($O$3694=1,$O3717/$F$3694,1),"")</f>
        <v/>
      </c>
      <c r="T3717" s="208">
        <f>IF(NOT($L$3694),"",IF($G3717&lt;nr_MStartP,$S3717,$T3705*(1+IF($G3717&lt;nr_MStartP1,$M$3694,$N$3694))))</f>
        <v/>
      </c>
      <c r="U3717" s="208">
        <f>IF($L$3694,$T3717,$N3717)</f>
        <v/>
      </c>
    </row>
    <row r="3718">
      <c r="A3718" s="145" t="n">
        <v>22</v>
      </c>
      <c r="B3718" s="204">
        <f>EDATE($B3717,1)</f>
        <v/>
      </c>
      <c r="C3718" s="205">
        <f>EOMONTH($B3718,0)</f>
        <v/>
      </c>
      <c r="D3718" s="201">
        <f>$C3718-$B3718+1</f>
        <v/>
      </c>
      <c r="E3718" s="201">
        <f>MONTH($B3718)</f>
        <v/>
      </c>
      <c r="F3718" s="235">
        <f>($B3718+$C3718+1)/2</f>
        <v/>
      </c>
      <c r="G3718" s="201">
        <f>YEAR($B3718)*12+MONTH($B3718)-1</f>
        <v/>
      </c>
      <c r="H3718" s="207">
        <f>IF(OR(nr_SeasonOn="OFF",$D$3694=0,$E$3694=0),1,12*INDEX(se_block,$D$3694,$E3718)/$E$3694)</f>
        <v/>
      </c>
      <c r="I3718" s="208">
        <f>EXP(SUMPRODUCT((rl_eff&lt;$B3718)*(rl_key=$A$3694)*rl_ln1p))</f>
        <v/>
      </c>
      <c r="J3718" s="208">
        <f>EXP(SUMPRODUCT((rl_eff&lt;=$C3718)*(rl_key=$A$3694)*rl_ln1p))</f>
        <v/>
      </c>
      <c r="K3718" s="201">
        <f>COUNTIFS(rl_key,$A$3694,rl_eff,"&gt;="&amp;$B3718,rl_eff,"&lt;="&amp;$C3718)</f>
        <v/>
      </c>
      <c r="L3718" s="201">
        <f>SUMIFS(rl_daysafter,rl_key,$A$3694,rl_effmonth,$B3718,rl_first,1)</f>
        <v/>
      </c>
      <c r="M3718" s="209">
        <f>IF($K3718=0,0,MIN(1,$L3718/$D3718))</f>
        <v/>
      </c>
      <c r="N3718" s="208">
        <f>IF($K3718=0,$J3718,(1-$M3718)*$I3718+$M3718*$J3718)</f>
        <v/>
      </c>
      <c r="O3718" s="209">
        <f>IF($F3718&lt;$B$3695,$E$3695+$I$3695*($F3718-$A$3695),IF($F3718&lt;$C$3695,$F$3695+$J$3695*($F3718-$B$3695),$G$3695+$K$3695*($F3718-$C$3695)))</f>
        <v/>
      </c>
      <c r="P3718" s="208">
        <f>MIN(1,MAX(0,(nr_MEndPm1-$G3718+0.5)/$C$3694))-MIN(1,MAX(0,(nr_MStartPm1-1-$G3718+0.5)/$C$3694))</f>
        <v/>
      </c>
      <c r="Q3718" s="208">
        <f>MIN(1,MAX(0,(nr_MEndP-$G3718+0.5)/$C$3694))-MIN(1,MAX(0,(nr_MStartP-1-$G3718+0.5)/$C$3694))</f>
        <v/>
      </c>
      <c r="R3718" s="208">
        <f>MIN(1,MAX(0,(nr_MEndP1-$G3718+0.5)/$C$3694))-MIN(1,MAX(0,(nr_MStartP1-1-$G3718+0.5)/$C$3694))</f>
        <v/>
      </c>
      <c r="S3718" s="208">
        <f>IF($L$3694,$N3718*IF($O$3694=1,$O3718/$F$3694,1),"")</f>
        <v/>
      </c>
      <c r="T3718" s="208">
        <f>IF(NOT($L$3694),"",IF($G3718&lt;nr_MStartP,$S3718,$T3706*(1+IF($G3718&lt;nr_MStartP1,$M$3694,$N$3694))))</f>
        <v/>
      </c>
      <c r="U3718" s="208">
        <f>IF($L$3694,$T3718,$N3718)</f>
        <v/>
      </c>
    </row>
    <row r="3719">
      <c r="A3719" s="145" t="n">
        <v>23</v>
      </c>
      <c r="B3719" s="204">
        <f>EDATE($B3718,1)</f>
        <v/>
      </c>
      <c r="C3719" s="205">
        <f>EOMONTH($B3719,0)</f>
        <v/>
      </c>
      <c r="D3719" s="201">
        <f>$C3719-$B3719+1</f>
        <v/>
      </c>
      <c r="E3719" s="201">
        <f>MONTH($B3719)</f>
        <v/>
      </c>
      <c r="F3719" s="235">
        <f>($B3719+$C3719+1)/2</f>
        <v/>
      </c>
      <c r="G3719" s="201">
        <f>YEAR($B3719)*12+MONTH($B3719)-1</f>
        <v/>
      </c>
      <c r="H3719" s="207">
        <f>IF(OR(nr_SeasonOn="OFF",$D$3694=0,$E$3694=0),1,12*INDEX(se_block,$D$3694,$E3719)/$E$3694)</f>
        <v/>
      </c>
      <c r="I3719" s="208">
        <f>EXP(SUMPRODUCT((rl_eff&lt;$B3719)*(rl_key=$A$3694)*rl_ln1p))</f>
        <v/>
      </c>
      <c r="J3719" s="208">
        <f>EXP(SUMPRODUCT((rl_eff&lt;=$C3719)*(rl_key=$A$3694)*rl_ln1p))</f>
        <v/>
      </c>
      <c r="K3719" s="201">
        <f>COUNTIFS(rl_key,$A$3694,rl_eff,"&gt;="&amp;$B3719,rl_eff,"&lt;="&amp;$C3719)</f>
        <v/>
      </c>
      <c r="L3719" s="201">
        <f>SUMIFS(rl_daysafter,rl_key,$A$3694,rl_effmonth,$B3719,rl_first,1)</f>
        <v/>
      </c>
      <c r="M3719" s="209">
        <f>IF($K3719=0,0,MIN(1,$L3719/$D3719))</f>
        <v/>
      </c>
      <c r="N3719" s="208">
        <f>IF($K3719=0,$J3719,(1-$M3719)*$I3719+$M3719*$J3719)</f>
        <v/>
      </c>
      <c r="O3719" s="209">
        <f>IF($F3719&lt;$B$3695,$E$3695+$I$3695*($F3719-$A$3695),IF($F3719&lt;$C$3695,$F$3695+$J$3695*($F3719-$B$3695),$G$3695+$K$3695*($F3719-$C$3695)))</f>
        <v/>
      </c>
      <c r="P3719" s="208">
        <f>MIN(1,MAX(0,(nr_MEndPm1-$G3719+0.5)/$C$3694))-MIN(1,MAX(0,(nr_MStartPm1-1-$G3719+0.5)/$C$3694))</f>
        <v/>
      </c>
      <c r="Q3719" s="208">
        <f>MIN(1,MAX(0,(nr_MEndP-$G3719+0.5)/$C$3694))-MIN(1,MAX(0,(nr_MStartP-1-$G3719+0.5)/$C$3694))</f>
        <v/>
      </c>
      <c r="R3719" s="208">
        <f>MIN(1,MAX(0,(nr_MEndP1-$G3719+0.5)/$C$3694))-MIN(1,MAX(0,(nr_MStartP1-1-$G3719+0.5)/$C$3694))</f>
        <v/>
      </c>
      <c r="S3719" s="208">
        <f>IF($L$3694,$N3719*IF($O$3694=1,$O3719/$F$3694,1),"")</f>
        <v/>
      </c>
      <c r="T3719" s="208">
        <f>IF(NOT($L$3694),"",IF($G3719&lt;nr_MStartP,$S3719,$T3707*(1+IF($G3719&lt;nr_MStartP1,$M$3694,$N$3694))))</f>
        <v/>
      </c>
      <c r="U3719" s="208">
        <f>IF($L$3694,$T3719,$N3719)</f>
        <v/>
      </c>
    </row>
    <row r="3720">
      <c r="A3720" s="145" t="n">
        <v>24</v>
      </c>
      <c r="B3720" s="204">
        <f>EDATE($B3719,1)</f>
        <v/>
      </c>
      <c r="C3720" s="205">
        <f>EOMONTH($B3720,0)</f>
        <v/>
      </c>
      <c r="D3720" s="201">
        <f>$C3720-$B3720+1</f>
        <v/>
      </c>
      <c r="E3720" s="201">
        <f>MONTH($B3720)</f>
        <v/>
      </c>
      <c r="F3720" s="235">
        <f>($B3720+$C3720+1)/2</f>
        <v/>
      </c>
      <c r="G3720" s="201">
        <f>YEAR($B3720)*12+MONTH($B3720)-1</f>
        <v/>
      </c>
      <c r="H3720" s="207">
        <f>IF(OR(nr_SeasonOn="OFF",$D$3694=0,$E$3694=0),1,12*INDEX(se_block,$D$3694,$E3720)/$E$3694)</f>
        <v/>
      </c>
      <c r="I3720" s="208">
        <f>EXP(SUMPRODUCT((rl_eff&lt;$B3720)*(rl_key=$A$3694)*rl_ln1p))</f>
        <v/>
      </c>
      <c r="J3720" s="208">
        <f>EXP(SUMPRODUCT((rl_eff&lt;=$C3720)*(rl_key=$A$3694)*rl_ln1p))</f>
        <v/>
      </c>
      <c r="K3720" s="201">
        <f>COUNTIFS(rl_key,$A$3694,rl_eff,"&gt;="&amp;$B3720,rl_eff,"&lt;="&amp;$C3720)</f>
        <v/>
      </c>
      <c r="L3720" s="201">
        <f>SUMIFS(rl_daysafter,rl_key,$A$3694,rl_effmonth,$B3720,rl_first,1)</f>
        <v/>
      </c>
      <c r="M3720" s="209">
        <f>IF($K3720=0,0,MIN(1,$L3720/$D3720))</f>
        <v/>
      </c>
      <c r="N3720" s="208">
        <f>IF($K3720=0,$J3720,(1-$M3720)*$I3720+$M3720*$J3720)</f>
        <v/>
      </c>
      <c r="O3720" s="209">
        <f>IF($F3720&lt;$B$3695,$E$3695+$I$3695*($F3720-$A$3695),IF($F3720&lt;$C$3695,$F$3695+$J$3695*($F3720-$B$3695),$G$3695+$K$3695*($F3720-$C$3695)))</f>
        <v/>
      </c>
      <c r="P3720" s="208">
        <f>MIN(1,MAX(0,(nr_MEndPm1-$G3720+0.5)/$C$3694))-MIN(1,MAX(0,(nr_MStartPm1-1-$G3720+0.5)/$C$3694))</f>
        <v/>
      </c>
      <c r="Q3720" s="208">
        <f>MIN(1,MAX(0,(nr_MEndP-$G3720+0.5)/$C$3694))-MIN(1,MAX(0,(nr_MStartP-1-$G3720+0.5)/$C$3694))</f>
        <v/>
      </c>
      <c r="R3720" s="208">
        <f>MIN(1,MAX(0,(nr_MEndP1-$G3720+0.5)/$C$3694))-MIN(1,MAX(0,(nr_MStartP1-1-$G3720+0.5)/$C$3694))</f>
        <v/>
      </c>
      <c r="S3720" s="208">
        <f>IF($L$3694,$N3720*IF($O$3694=1,$O3720/$F$3694,1),"")</f>
        <v/>
      </c>
      <c r="T3720" s="208">
        <f>IF(NOT($L$3694),"",IF($G3720&lt;nr_MStartP,$S3720,$T3708*(1+IF($G3720&lt;nr_MStartP1,$M$3694,$N$3694))))</f>
        <v/>
      </c>
      <c r="U3720" s="208">
        <f>IF($L$3694,$T3720,$N3720)</f>
        <v/>
      </c>
    </row>
    <row r="3721">
      <c r="A3721" s="145" t="n">
        <v>25</v>
      </c>
      <c r="B3721" s="204">
        <f>EDATE($B3720,1)</f>
        <v/>
      </c>
      <c r="C3721" s="205">
        <f>EOMONTH($B3721,0)</f>
        <v/>
      </c>
      <c r="D3721" s="201">
        <f>$C3721-$B3721+1</f>
        <v/>
      </c>
      <c r="E3721" s="201">
        <f>MONTH($B3721)</f>
        <v/>
      </c>
      <c r="F3721" s="235">
        <f>($B3721+$C3721+1)/2</f>
        <v/>
      </c>
      <c r="G3721" s="201">
        <f>YEAR($B3721)*12+MONTH($B3721)-1</f>
        <v/>
      </c>
      <c r="H3721" s="207">
        <f>IF(OR(nr_SeasonOn="OFF",$D$3694=0,$E$3694=0),1,12*INDEX(se_block,$D$3694,$E3721)/$E$3694)</f>
        <v/>
      </c>
      <c r="I3721" s="208">
        <f>EXP(SUMPRODUCT((rl_eff&lt;$B3721)*(rl_key=$A$3694)*rl_ln1p))</f>
        <v/>
      </c>
      <c r="J3721" s="208">
        <f>EXP(SUMPRODUCT((rl_eff&lt;=$C3721)*(rl_key=$A$3694)*rl_ln1p))</f>
        <v/>
      </c>
      <c r="K3721" s="201">
        <f>COUNTIFS(rl_key,$A$3694,rl_eff,"&gt;="&amp;$B3721,rl_eff,"&lt;="&amp;$C3721)</f>
        <v/>
      </c>
      <c r="L3721" s="201">
        <f>SUMIFS(rl_daysafter,rl_key,$A$3694,rl_effmonth,$B3721,rl_first,1)</f>
        <v/>
      </c>
      <c r="M3721" s="209">
        <f>IF($K3721=0,0,MIN(1,$L3721/$D3721))</f>
        <v/>
      </c>
      <c r="N3721" s="208">
        <f>IF($K3721=0,$J3721,(1-$M3721)*$I3721+$M3721*$J3721)</f>
        <v/>
      </c>
      <c r="O3721" s="209">
        <f>IF($F3721&lt;$B$3695,$E$3695+$I$3695*($F3721-$A$3695),IF($F3721&lt;$C$3695,$F$3695+$J$3695*($F3721-$B$3695),$G$3695+$K$3695*($F3721-$C$3695)))</f>
        <v/>
      </c>
      <c r="P3721" s="208">
        <f>MIN(1,MAX(0,(nr_MEndPm1-$G3721+0.5)/$C$3694))-MIN(1,MAX(0,(nr_MStartPm1-1-$G3721+0.5)/$C$3694))</f>
        <v/>
      </c>
      <c r="Q3721" s="208">
        <f>MIN(1,MAX(0,(nr_MEndP-$G3721+0.5)/$C$3694))-MIN(1,MAX(0,(nr_MStartP-1-$G3721+0.5)/$C$3694))</f>
        <v/>
      </c>
      <c r="R3721" s="208">
        <f>MIN(1,MAX(0,(nr_MEndP1-$G3721+0.5)/$C$3694))-MIN(1,MAX(0,(nr_MStartP1-1-$G3721+0.5)/$C$3694))</f>
        <v/>
      </c>
      <c r="S3721" s="208">
        <f>IF($L$3694,$N3721*IF($O$3694=1,$O3721/$F$3694,1),"")</f>
        <v/>
      </c>
      <c r="T3721" s="208">
        <f>IF(NOT($L$3694),"",IF($G3721&lt;nr_MStartP,$S3721,$T3709*(1+IF($G3721&lt;nr_MStartP1,$M$3694,$N$3694))))</f>
        <v/>
      </c>
      <c r="U3721" s="208">
        <f>IF($L$3694,$T3721,$N3721)</f>
        <v/>
      </c>
    </row>
    <row r="3722">
      <c r="A3722" s="145" t="n">
        <v>26</v>
      </c>
      <c r="B3722" s="204">
        <f>EDATE($B3721,1)</f>
        <v/>
      </c>
      <c r="C3722" s="205">
        <f>EOMONTH($B3722,0)</f>
        <v/>
      </c>
      <c r="D3722" s="201">
        <f>$C3722-$B3722+1</f>
        <v/>
      </c>
      <c r="E3722" s="201">
        <f>MONTH($B3722)</f>
        <v/>
      </c>
      <c r="F3722" s="235">
        <f>($B3722+$C3722+1)/2</f>
        <v/>
      </c>
      <c r="G3722" s="201">
        <f>YEAR($B3722)*12+MONTH($B3722)-1</f>
        <v/>
      </c>
      <c r="H3722" s="207">
        <f>IF(OR(nr_SeasonOn="OFF",$D$3694=0,$E$3694=0),1,12*INDEX(se_block,$D$3694,$E3722)/$E$3694)</f>
        <v/>
      </c>
      <c r="I3722" s="208">
        <f>EXP(SUMPRODUCT((rl_eff&lt;$B3722)*(rl_key=$A$3694)*rl_ln1p))</f>
        <v/>
      </c>
      <c r="J3722" s="208">
        <f>EXP(SUMPRODUCT((rl_eff&lt;=$C3722)*(rl_key=$A$3694)*rl_ln1p))</f>
        <v/>
      </c>
      <c r="K3722" s="201">
        <f>COUNTIFS(rl_key,$A$3694,rl_eff,"&gt;="&amp;$B3722,rl_eff,"&lt;="&amp;$C3722)</f>
        <v/>
      </c>
      <c r="L3722" s="201">
        <f>SUMIFS(rl_daysafter,rl_key,$A$3694,rl_effmonth,$B3722,rl_first,1)</f>
        <v/>
      </c>
      <c r="M3722" s="209">
        <f>IF($K3722=0,0,MIN(1,$L3722/$D3722))</f>
        <v/>
      </c>
      <c r="N3722" s="208">
        <f>IF($K3722=0,$J3722,(1-$M3722)*$I3722+$M3722*$J3722)</f>
        <v/>
      </c>
      <c r="O3722" s="209">
        <f>IF($F3722&lt;$B$3695,$E$3695+$I$3695*($F3722-$A$3695),IF($F3722&lt;$C$3695,$F$3695+$J$3695*($F3722-$B$3695),$G$3695+$K$3695*($F3722-$C$3695)))</f>
        <v/>
      </c>
      <c r="P3722" s="208">
        <f>MIN(1,MAX(0,(nr_MEndPm1-$G3722+0.5)/$C$3694))-MIN(1,MAX(0,(nr_MStartPm1-1-$G3722+0.5)/$C$3694))</f>
        <v/>
      </c>
      <c r="Q3722" s="208">
        <f>MIN(1,MAX(0,(nr_MEndP-$G3722+0.5)/$C$3694))-MIN(1,MAX(0,(nr_MStartP-1-$G3722+0.5)/$C$3694))</f>
        <v/>
      </c>
      <c r="R3722" s="208">
        <f>MIN(1,MAX(0,(nr_MEndP1-$G3722+0.5)/$C$3694))-MIN(1,MAX(0,(nr_MStartP1-1-$G3722+0.5)/$C$3694))</f>
        <v/>
      </c>
      <c r="S3722" s="208">
        <f>IF($L$3694,$N3722*IF($O$3694=1,$O3722/$F$3694,1),"")</f>
        <v/>
      </c>
      <c r="T3722" s="208">
        <f>IF(NOT($L$3694),"",IF($G3722&lt;nr_MStartP,$S3722,$T3710*(1+IF($G3722&lt;nr_MStartP1,$M$3694,$N$3694))))</f>
        <v/>
      </c>
      <c r="U3722" s="208">
        <f>IF($L$3694,$T3722,$N3722)</f>
        <v/>
      </c>
    </row>
    <row r="3723">
      <c r="A3723" s="145" t="n">
        <v>27</v>
      </c>
      <c r="B3723" s="204">
        <f>EDATE($B3722,1)</f>
        <v/>
      </c>
      <c r="C3723" s="205">
        <f>EOMONTH($B3723,0)</f>
        <v/>
      </c>
      <c r="D3723" s="201">
        <f>$C3723-$B3723+1</f>
        <v/>
      </c>
      <c r="E3723" s="201">
        <f>MONTH($B3723)</f>
        <v/>
      </c>
      <c r="F3723" s="235">
        <f>($B3723+$C3723+1)/2</f>
        <v/>
      </c>
      <c r="G3723" s="201">
        <f>YEAR($B3723)*12+MONTH($B3723)-1</f>
        <v/>
      </c>
      <c r="H3723" s="207">
        <f>IF(OR(nr_SeasonOn="OFF",$D$3694=0,$E$3694=0),1,12*INDEX(se_block,$D$3694,$E3723)/$E$3694)</f>
        <v/>
      </c>
      <c r="I3723" s="208">
        <f>EXP(SUMPRODUCT((rl_eff&lt;$B3723)*(rl_key=$A$3694)*rl_ln1p))</f>
        <v/>
      </c>
      <c r="J3723" s="208">
        <f>EXP(SUMPRODUCT((rl_eff&lt;=$C3723)*(rl_key=$A$3694)*rl_ln1p))</f>
        <v/>
      </c>
      <c r="K3723" s="201">
        <f>COUNTIFS(rl_key,$A$3694,rl_eff,"&gt;="&amp;$B3723,rl_eff,"&lt;="&amp;$C3723)</f>
        <v/>
      </c>
      <c r="L3723" s="201">
        <f>SUMIFS(rl_daysafter,rl_key,$A$3694,rl_effmonth,$B3723,rl_first,1)</f>
        <v/>
      </c>
      <c r="M3723" s="209">
        <f>IF($K3723=0,0,MIN(1,$L3723/$D3723))</f>
        <v/>
      </c>
      <c r="N3723" s="208">
        <f>IF($K3723=0,$J3723,(1-$M3723)*$I3723+$M3723*$J3723)</f>
        <v/>
      </c>
      <c r="O3723" s="209">
        <f>IF($F3723&lt;$B$3695,$E$3695+$I$3695*($F3723-$A$3695),IF($F3723&lt;$C$3695,$F$3695+$J$3695*($F3723-$B$3695),$G$3695+$K$3695*($F3723-$C$3695)))</f>
        <v/>
      </c>
      <c r="P3723" s="208">
        <f>MIN(1,MAX(0,(nr_MEndPm1-$G3723+0.5)/$C$3694))-MIN(1,MAX(0,(nr_MStartPm1-1-$G3723+0.5)/$C$3694))</f>
        <v/>
      </c>
      <c r="Q3723" s="208">
        <f>MIN(1,MAX(0,(nr_MEndP-$G3723+0.5)/$C$3694))-MIN(1,MAX(0,(nr_MStartP-1-$G3723+0.5)/$C$3694))</f>
        <v/>
      </c>
      <c r="R3723" s="208">
        <f>MIN(1,MAX(0,(nr_MEndP1-$G3723+0.5)/$C$3694))-MIN(1,MAX(0,(nr_MStartP1-1-$G3723+0.5)/$C$3694))</f>
        <v/>
      </c>
      <c r="S3723" s="208">
        <f>IF($L$3694,$N3723*IF($O$3694=1,$O3723/$F$3694,1),"")</f>
        <v/>
      </c>
      <c r="T3723" s="208">
        <f>IF(NOT($L$3694),"",IF($G3723&lt;nr_MStartP,$S3723,$T3711*(1+IF($G3723&lt;nr_MStartP1,$M$3694,$N$3694))))</f>
        <v/>
      </c>
      <c r="U3723" s="208">
        <f>IF($L$3694,$T3723,$N3723)</f>
        <v/>
      </c>
    </row>
    <row r="3724">
      <c r="A3724" s="145" t="n">
        <v>28</v>
      </c>
      <c r="B3724" s="204">
        <f>EDATE($B3723,1)</f>
        <v/>
      </c>
      <c r="C3724" s="205">
        <f>EOMONTH($B3724,0)</f>
        <v/>
      </c>
      <c r="D3724" s="201">
        <f>$C3724-$B3724+1</f>
        <v/>
      </c>
      <c r="E3724" s="201">
        <f>MONTH($B3724)</f>
        <v/>
      </c>
      <c r="F3724" s="235">
        <f>($B3724+$C3724+1)/2</f>
        <v/>
      </c>
      <c r="G3724" s="201">
        <f>YEAR($B3724)*12+MONTH($B3724)-1</f>
        <v/>
      </c>
      <c r="H3724" s="207">
        <f>IF(OR(nr_SeasonOn="OFF",$D$3694=0,$E$3694=0),1,12*INDEX(se_block,$D$3694,$E3724)/$E$3694)</f>
        <v/>
      </c>
      <c r="I3724" s="208">
        <f>EXP(SUMPRODUCT((rl_eff&lt;$B3724)*(rl_key=$A$3694)*rl_ln1p))</f>
        <v/>
      </c>
      <c r="J3724" s="208">
        <f>EXP(SUMPRODUCT((rl_eff&lt;=$C3724)*(rl_key=$A$3694)*rl_ln1p))</f>
        <v/>
      </c>
      <c r="K3724" s="201">
        <f>COUNTIFS(rl_key,$A$3694,rl_eff,"&gt;="&amp;$B3724,rl_eff,"&lt;="&amp;$C3724)</f>
        <v/>
      </c>
      <c r="L3724" s="201">
        <f>SUMIFS(rl_daysafter,rl_key,$A$3694,rl_effmonth,$B3724,rl_first,1)</f>
        <v/>
      </c>
      <c r="M3724" s="209">
        <f>IF($K3724=0,0,MIN(1,$L3724/$D3724))</f>
        <v/>
      </c>
      <c r="N3724" s="208">
        <f>IF($K3724=0,$J3724,(1-$M3724)*$I3724+$M3724*$J3724)</f>
        <v/>
      </c>
      <c r="O3724" s="209">
        <f>IF($F3724&lt;$B$3695,$E$3695+$I$3695*($F3724-$A$3695),IF($F3724&lt;$C$3695,$F$3695+$J$3695*($F3724-$B$3695),$G$3695+$K$3695*($F3724-$C$3695)))</f>
        <v/>
      </c>
      <c r="P3724" s="208">
        <f>MIN(1,MAX(0,(nr_MEndPm1-$G3724+0.5)/$C$3694))-MIN(1,MAX(0,(nr_MStartPm1-1-$G3724+0.5)/$C$3694))</f>
        <v/>
      </c>
      <c r="Q3724" s="208">
        <f>MIN(1,MAX(0,(nr_MEndP-$G3724+0.5)/$C$3694))-MIN(1,MAX(0,(nr_MStartP-1-$G3724+0.5)/$C$3694))</f>
        <v/>
      </c>
      <c r="R3724" s="208">
        <f>MIN(1,MAX(0,(nr_MEndP1-$G3724+0.5)/$C$3694))-MIN(1,MAX(0,(nr_MStartP1-1-$G3724+0.5)/$C$3694))</f>
        <v/>
      </c>
      <c r="S3724" s="208">
        <f>IF($L$3694,$N3724*IF($O$3694=1,$O3724/$F$3694,1),"")</f>
        <v/>
      </c>
      <c r="T3724" s="208">
        <f>IF(NOT($L$3694),"",IF($G3724&lt;nr_MStartP,$S3724,$T3712*(1+IF($G3724&lt;nr_MStartP1,$M$3694,$N$3694))))</f>
        <v/>
      </c>
      <c r="U3724" s="208">
        <f>IF($L$3694,$T3724,$N3724)</f>
        <v/>
      </c>
    </row>
    <row r="3725">
      <c r="A3725" s="145" t="n">
        <v>29</v>
      </c>
      <c r="B3725" s="204">
        <f>EDATE($B3724,1)</f>
        <v/>
      </c>
      <c r="C3725" s="205">
        <f>EOMONTH($B3725,0)</f>
        <v/>
      </c>
      <c r="D3725" s="201">
        <f>$C3725-$B3725+1</f>
        <v/>
      </c>
      <c r="E3725" s="201">
        <f>MONTH($B3725)</f>
        <v/>
      </c>
      <c r="F3725" s="235">
        <f>($B3725+$C3725+1)/2</f>
        <v/>
      </c>
      <c r="G3725" s="201">
        <f>YEAR($B3725)*12+MONTH($B3725)-1</f>
        <v/>
      </c>
      <c r="H3725" s="207">
        <f>IF(OR(nr_SeasonOn="OFF",$D$3694=0,$E$3694=0),1,12*INDEX(se_block,$D$3694,$E3725)/$E$3694)</f>
        <v/>
      </c>
      <c r="I3725" s="208">
        <f>EXP(SUMPRODUCT((rl_eff&lt;$B3725)*(rl_key=$A$3694)*rl_ln1p))</f>
        <v/>
      </c>
      <c r="J3725" s="208">
        <f>EXP(SUMPRODUCT((rl_eff&lt;=$C3725)*(rl_key=$A$3694)*rl_ln1p))</f>
        <v/>
      </c>
      <c r="K3725" s="201">
        <f>COUNTIFS(rl_key,$A$3694,rl_eff,"&gt;="&amp;$B3725,rl_eff,"&lt;="&amp;$C3725)</f>
        <v/>
      </c>
      <c r="L3725" s="201">
        <f>SUMIFS(rl_daysafter,rl_key,$A$3694,rl_effmonth,$B3725,rl_first,1)</f>
        <v/>
      </c>
      <c r="M3725" s="209">
        <f>IF($K3725=0,0,MIN(1,$L3725/$D3725))</f>
        <v/>
      </c>
      <c r="N3725" s="208">
        <f>IF($K3725=0,$J3725,(1-$M3725)*$I3725+$M3725*$J3725)</f>
        <v/>
      </c>
      <c r="O3725" s="209">
        <f>IF($F3725&lt;$B$3695,$E$3695+$I$3695*($F3725-$A$3695),IF($F3725&lt;$C$3695,$F$3695+$J$3695*($F3725-$B$3695),$G$3695+$K$3695*($F3725-$C$3695)))</f>
        <v/>
      </c>
      <c r="P3725" s="208">
        <f>MIN(1,MAX(0,(nr_MEndPm1-$G3725+0.5)/$C$3694))-MIN(1,MAX(0,(nr_MStartPm1-1-$G3725+0.5)/$C$3694))</f>
        <v/>
      </c>
      <c r="Q3725" s="208">
        <f>MIN(1,MAX(0,(nr_MEndP-$G3725+0.5)/$C$3694))-MIN(1,MAX(0,(nr_MStartP-1-$G3725+0.5)/$C$3694))</f>
        <v/>
      </c>
      <c r="R3725" s="208">
        <f>MIN(1,MAX(0,(nr_MEndP1-$G3725+0.5)/$C$3694))-MIN(1,MAX(0,(nr_MStartP1-1-$G3725+0.5)/$C$3694))</f>
        <v/>
      </c>
      <c r="S3725" s="208">
        <f>IF($L$3694,$N3725*IF($O$3694=1,$O3725/$F$3694,1),"")</f>
        <v/>
      </c>
      <c r="T3725" s="208">
        <f>IF(NOT($L$3694),"",IF($G3725&lt;nr_MStartP,$S3725,$T3713*(1+IF($G3725&lt;nr_MStartP1,$M$3694,$N$3694))))</f>
        <v/>
      </c>
      <c r="U3725" s="208">
        <f>IF($L$3694,$T3725,$N3725)</f>
        <v/>
      </c>
    </row>
    <row r="3726">
      <c r="A3726" s="145" t="n">
        <v>30</v>
      </c>
      <c r="B3726" s="204">
        <f>EDATE($B3725,1)</f>
        <v/>
      </c>
      <c r="C3726" s="205">
        <f>EOMONTH($B3726,0)</f>
        <v/>
      </c>
      <c r="D3726" s="201">
        <f>$C3726-$B3726+1</f>
        <v/>
      </c>
      <c r="E3726" s="201">
        <f>MONTH($B3726)</f>
        <v/>
      </c>
      <c r="F3726" s="235">
        <f>($B3726+$C3726+1)/2</f>
        <v/>
      </c>
      <c r="G3726" s="201">
        <f>YEAR($B3726)*12+MONTH($B3726)-1</f>
        <v/>
      </c>
      <c r="H3726" s="207">
        <f>IF(OR(nr_SeasonOn="OFF",$D$3694=0,$E$3694=0),1,12*INDEX(se_block,$D$3694,$E3726)/$E$3694)</f>
        <v/>
      </c>
      <c r="I3726" s="208">
        <f>EXP(SUMPRODUCT((rl_eff&lt;$B3726)*(rl_key=$A$3694)*rl_ln1p))</f>
        <v/>
      </c>
      <c r="J3726" s="208">
        <f>EXP(SUMPRODUCT((rl_eff&lt;=$C3726)*(rl_key=$A$3694)*rl_ln1p))</f>
        <v/>
      </c>
      <c r="K3726" s="201">
        <f>COUNTIFS(rl_key,$A$3694,rl_eff,"&gt;="&amp;$B3726,rl_eff,"&lt;="&amp;$C3726)</f>
        <v/>
      </c>
      <c r="L3726" s="201">
        <f>SUMIFS(rl_daysafter,rl_key,$A$3694,rl_effmonth,$B3726,rl_first,1)</f>
        <v/>
      </c>
      <c r="M3726" s="209">
        <f>IF($K3726=0,0,MIN(1,$L3726/$D3726))</f>
        <v/>
      </c>
      <c r="N3726" s="208">
        <f>IF($K3726=0,$J3726,(1-$M3726)*$I3726+$M3726*$J3726)</f>
        <v/>
      </c>
      <c r="O3726" s="209">
        <f>IF($F3726&lt;$B$3695,$E$3695+$I$3695*($F3726-$A$3695),IF($F3726&lt;$C$3695,$F$3695+$J$3695*($F3726-$B$3695),$G$3695+$K$3695*($F3726-$C$3695)))</f>
        <v/>
      </c>
      <c r="P3726" s="208">
        <f>MIN(1,MAX(0,(nr_MEndPm1-$G3726+0.5)/$C$3694))-MIN(1,MAX(0,(nr_MStartPm1-1-$G3726+0.5)/$C$3694))</f>
        <v/>
      </c>
      <c r="Q3726" s="208">
        <f>MIN(1,MAX(0,(nr_MEndP-$G3726+0.5)/$C$3694))-MIN(1,MAX(0,(nr_MStartP-1-$G3726+0.5)/$C$3694))</f>
        <v/>
      </c>
      <c r="R3726" s="208">
        <f>MIN(1,MAX(0,(nr_MEndP1-$G3726+0.5)/$C$3694))-MIN(1,MAX(0,(nr_MStartP1-1-$G3726+0.5)/$C$3694))</f>
        <v/>
      </c>
      <c r="S3726" s="208">
        <f>IF($L$3694,$N3726*IF($O$3694=1,$O3726/$F$3694,1),"")</f>
        <v/>
      </c>
      <c r="T3726" s="208">
        <f>IF(NOT($L$3694),"",IF($G3726&lt;nr_MStartP,$S3726,$T3714*(1+IF($G3726&lt;nr_MStartP1,$M$3694,$N$3694))))</f>
        <v/>
      </c>
      <c r="U3726" s="208">
        <f>IF($L$3694,$T3726,$N3726)</f>
        <v/>
      </c>
    </row>
    <row r="3727">
      <c r="A3727" s="145" t="n">
        <v>31</v>
      </c>
      <c r="B3727" s="204">
        <f>EDATE($B3726,1)</f>
        <v/>
      </c>
      <c r="C3727" s="205">
        <f>EOMONTH($B3727,0)</f>
        <v/>
      </c>
      <c r="D3727" s="201">
        <f>$C3727-$B3727+1</f>
        <v/>
      </c>
      <c r="E3727" s="201">
        <f>MONTH($B3727)</f>
        <v/>
      </c>
      <c r="F3727" s="235">
        <f>($B3727+$C3727+1)/2</f>
        <v/>
      </c>
      <c r="G3727" s="201">
        <f>YEAR($B3727)*12+MONTH($B3727)-1</f>
        <v/>
      </c>
      <c r="H3727" s="207">
        <f>IF(OR(nr_SeasonOn="OFF",$D$3694=0,$E$3694=0),1,12*INDEX(se_block,$D$3694,$E3727)/$E$3694)</f>
        <v/>
      </c>
      <c r="I3727" s="208">
        <f>EXP(SUMPRODUCT((rl_eff&lt;$B3727)*(rl_key=$A$3694)*rl_ln1p))</f>
        <v/>
      </c>
      <c r="J3727" s="208">
        <f>EXP(SUMPRODUCT((rl_eff&lt;=$C3727)*(rl_key=$A$3694)*rl_ln1p))</f>
        <v/>
      </c>
      <c r="K3727" s="201">
        <f>COUNTIFS(rl_key,$A$3694,rl_eff,"&gt;="&amp;$B3727,rl_eff,"&lt;="&amp;$C3727)</f>
        <v/>
      </c>
      <c r="L3727" s="201">
        <f>SUMIFS(rl_daysafter,rl_key,$A$3694,rl_effmonth,$B3727,rl_first,1)</f>
        <v/>
      </c>
      <c r="M3727" s="209">
        <f>IF($K3727=0,0,MIN(1,$L3727/$D3727))</f>
        <v/>
      </c>
      <c r="N3727" s="208">
        <f>IF($K3727=0,$J3727,(1-$M3727)*$I3727+$M3727*$J3727)</f>
        <v/>
      </c>
      <c r="O3727" s="209">
        <f>IF($F3727&lt;$B$3695,$E$3695+$I$3695*($F3727-$A$3695),IF($F3727&lt;$C$3695,$F$3695+$J$3695*($F3727-$B$3695),$G$3695+$K$3695*($F3727-$C$3695)))</f>
        <v/>
      </c>
      <c r="P3727" s="208">
        <f>MIN(1,MAX(0,(nr_MEndPm1-$G3727+0.5)/$C$3694))-MIN(1,MAX(0,(nr_MStartPm1-1-$G3727+0.5)/$C$3694))</f>
        <v/>
      </c>
      <c r="Q3727" s="208">
        <f>MIN(1,MAX(0,(nr_MEndP-$G3727+0.5)/$C$3694))-MIN(1,MAX(0,(nr_MStartP-1-$G3727+0.5)/$C$3694))</f>
        <v/>
      </c>
      <c r="R3727" s="208">
        <f>MIN(1,MAX(0,(nr_MEndP1-$G3727+0.5)/$C$3694))-MIN(1,MAX(0,(nr_MStartP1-1-$G3727+0.5)/$C$3694))</f>
        <v/>
      </c>
      <c r="S3727" s="208">
        <f>IF($L$3694,$N3727*IF($O$3694=1,$O3727/$F$3694,1),"")</f>
        <v/>
      </c>
      <c r="T3727" s="208">
        <f>IF(NOT($L$3694),"",IF($G3727&lt;nr_MStartP,$S3727,$T3715*(1+IF($G3727&lt;nr_MStartP1,$M$3694,$N$3694))))</f>
        <v/>
      </c>
      <c r="U3727" s="208">
        <f>IF($L$3694,$T3727,$N3727)</f>
        <v/>
      </c>
    </row>
    <row r="3728">
      <c r="A3728" s="145" t="n">
        <v>32</v>
      </c>
      <c r="B3728" s="204">
        <f>EDATE($B3727,1)</f>
        <v/>
      </c>
      <c r="C3728" s="205">
        <f>EOMONTH($B3728,0)</f>
        <v/>
      </c>
      <c r="D3728" s="201">
        <f>$C3728-$B3728+1</f>
        <v/>
      </c>
      <c r="E3728" s="201">
        <f>MONTH($B3728)</f>
        <v/>
      </c>
      <c r="F3728" s="235">
        <f>($B3728+$C3728+1)/2</f>
        <v/>
      </c>
      <c r="G3728" s="201">
        <f>YEAR($B3728)*12+MONTH($B3728)-1</f>
        <v/>
      </c>
      <c r="H3728" s="207">
        <f>IF(OR(nr_SeasonOn="OFF",$D$3694=0,$E$3694=0),1,12*INDEX(se_block,$D$3694,$E3728)/$E$3694)</f>
        <v/>
      </c>
      <c r="I3728" s="208">
        <f>EXP(SUMPRODUCT((rl_eff&lt;$B3728)*(rl_key=$A$3694)*rl_ln1p))</f>
        <v/>
      </c>
      <c r="J3728" s="208">
        <f>EXP(SUMPRODUCT((rl_eff&lt;=$C3728)*(rl_key=$A$3694)*rl_ln1p))</f>
        <v/>
      </c>
      <c r="K3728" s="201">
        <f>COUNTIFS(rl_key,$A$3694,rl_eff,"&gt;="&amp;$B3728,rl_eff,"&lt;="&amp;$C3728)</f>
        <v/>
      </c>
      <c r="L3728" s="201">
        <f>SUMIFS(rl_daysafter,rl_key,$A$3694,rl_effmonth,$B3728,rl_first,1)</f>
        <v/>
      </c>
      <c r="M3728" s="209">
        <f>IF($K3728=0,0,MIN(1,$L3728/$D3728))</f>
        <v/>
      </c>
      <c r="N3728" s="208">
        <f>IF($K3728=0,$J3728,(1-$M3728)*$I3728+$M3728*$J3728)</f>
        <v/>
      </c>
      <c r="O3728" s="209">
        <f>IF($F3728&lt;$B$3695,$E$3695+$I$3695*($F3728-$A$3695),IF($F3728&lt;$C$3695,$F$3695+$J$3695*($F3728-$B$3695),$G$3695+$K$3695*($F3728-$C$3695)))</f>
        <v/>
      </c>
      <c r="P3728" s="208">
        <f>MIN(1,MAX(0,(nr_MEndPm1-$G3728+0.5)/$C$3694))-MIN(1,MAX(0,(nr_MStartPm1-1-$G3728+0.5)/$C$3694))</f>
        <v/>
      </c>
      <c r="Q3728" s="208">
        <f>MIN(1,MAX(0,(nr_MEndP-$G3728+0.5)/$C$3694))-MIN(1,MAX(0,(nr_MStartP-1-$G3728+0.5)/$C$3694))</f>
        <v/>
      </c>
      <c r="R3728" s="208">
        <f>MIN(1,MAX(0,(nr_MEndP1-$G3728+0.5)/$C$3694))-MIN(1,MAX(0,(nr_MStartP1-1-$G3728+0.5)/$C$3694))</f>
        <v/>
      </c>
      <c r="S3728" s="208">
        <f>IF($L$3694,$N3728*IF($O$3694=1,$O3728/$F$3694,1),"")</f>
        <v/>
      </c>
      <c r="T3728" s="208">
        <f>IF(NOT($L$3694),"",IF($G3728&lt;nr_MStartP,$S3728,$T3716*(1+IF($G3728&lt;nr_MStartP1,$M$3694,$N$3694))))</f>
        <v/>
      </c>
      <c r="U3728" s="208">
        <f>IF($L$3694,$T3728,$N3728)</f>
        <v/>
      </c>
    </row>
    <row r="3729">
      <c r="A3729" s="145" t="n">
        <v>33</v>
      </c>
      <c r="B3729" s="204">
        <f>EDATE($B3728,1)</f>
        <v/>
      </c>
      <c r="C3729" s="205">
        <f>EOMONTH($B3729,0)</f>
        <v/>
      </c>
      <c r="D3729" s="201">
        <f>$C3729-$B3729+1</f>
        <v/>
      </c>
      <c r="E3729" s="201">
        <f>MONTH($B3729)</f>
        <v/>
      </c>
      <c r="F3729" s="235">
        <f>($B3729+$C3729+1)/2</f>
        <v/>
      </c>
      <c r="G3729" s="201">
        <f>YEAR($B3729)*12+MONTH($B3729)-1</f>
        <v/>
      </c>
      <c r="H3729" s="207">
        <f>IF(OR(nr_SeasonOn="OFF",$D$3694=0,$E$3694=0),1,12*INDEX(se_block,$D$3694,$E3729)/$E$3694)</f>
        <v/>
      </c>
      <c r="I3729" s="208">
        <f>EXP(SUMPRODUCT((rl_eff&lt;$B3729)*(rl_key=$A$3694)*rl_ln1p))</f>
        <v/>
      </c>
      <c r="J3729" s="208">
        <f>EXP(SUMPRODUCT((rl_eff&lt;=$C3729)*(rl_key=$A$3694)*rl_ln1p))</f>
        <v/>
      </c>
      <c r="K3729" s="201">
        <f>COUNTIFS(rl_key,$A$3694,rl_eff,"&gt;="&amp;$B3729,rl_eff,"&lt;="&amp;$C3729)</f>
        <v/>
      </c>
      <c r="L3729" s="201">
        <f>SUMIFS(rl_daysafter,rl_key,$A$3694,rl_effmonth,$B3729,rl_first,1)</f>
        <v/>
      </c>
      <c r="M3729" s="209">
        <f>IF($K3729=0,0,MIN(1,$L3729/$D3729))</f>
        <v/>
      </c>
      <c r="N3729" s="208">
        <f>IF($K3729=0,$J3729,(1-$M3729)*$I3729+$M3729*$J3729)</f>
        <v/>
      </c>
      <c r="O3729" s="209">
        <f>IF($F3729&lt;$B$3695,$E$3695+$I$3695*($F3729-$A$3695),IF($F3729&lt;$C$3695,$F$3695+$J$3695*($F3729-$B$3695),$G$3695+$K$3695*($F3729-$C$3695)))</f>
        <v/>
      </c>
      <c r="P3729" s="208">
        <f>MIN(1,MAX(0,(nr_MEndPm1-$G3729+0.5)/$C$3694))-MIN(1,MAX(0,(nr_MStartPm1-1-$G3729+0.5)/$C$3694))</f>
        <v/>
      </c>
      <c r="Q3729" s="208">
        <f>MIN(1,MAX(0,(nr_MEndP-$G3729+0.5)/$C$3694))-MIN(1,MAX(0,(nr_MStartP-1-$G3729+0.5)/$C$3694))</f>
        <v/>
      </c>
      <c r="R3729" s="208">
        <f>MIN(1,MAX(0,(nr_MEndP1-$G3729+0.5)/$C$3694))-MIN(1,MAX(0,(nr_MStartP1-1-$G3729+0.5)/$C$3694))</f>
        <v/>
      </c>
      <c r="S3729" s="208">
        <f>IF($L$3694,$N3729*IF($O$3694=1,$O3729/$F$3694,1),"")</f>
        <v/>
      </c>
      <c r="T3729" s="208">
        <f>IF(NOT($L$3694),"",IF($G3729&lt;nr_MStartP,$S3729,$T3717*(1+IF($G3729&lt;nr_MStartP1,$M$3694,$N$3694))))</f>
        <v/>
      </c>
      <c r="U3729" s="208">
        <f>IF($L$3694,$T3729,$N3729)</f>
        <v/>
      </c>
    </row>
    <row r="3730">
      <c r="A3730" s="145" t="n">
        <v>34</v>
      </c>
      <c r="B3730" s="204">
        <f>EDATE($B3729,1)</f>
        <v/>
      </c>
      <c r="C3730" s="205">
        <f>EOMONTH($B3730,0)</f>
        <v/>
      </c>
      <c r="D3730" s="201">
        <f>$C3730-$B3730+1</f>
        <v/>
      </c>
      <c r="E3730" s="201">
        <f>MONTH($B3730)</f>
        <v/>
      </c>
      <c r="F3730" s="235">
        <f>($B3730+$C3730+1)/2</f>
        <v/>
      </c>
      <c r="G3730" s="201">
        <f>YEAR($B3730)*12+MONTH($B3730)-1</f>
        <v/>
      </c>
      <c r="H3730" s="207">
        <f>IF(OR(nr_SeasonOn="OFF",$D$3694=0,$E$3694=0),1,12*INDEX(se_block,$D$3694,$E3730)/$E$3694)</f>
        <v/>
      </c>
      <c r="I3730" s="208">
        <f>EXP(SUMPRODUCT((rl_eff&lt;$B3730)*(rl_key=$A$3694)*rl_ln1p))</f>
        <v/>
      </c>
      <c r="J3730" s="208">
        <f>EXP(SUMPRODUCT((rl_eff&lt;=$C3730)*(rl_key=$A$3694)*rl_ln1p))</f>
        <v/>
      </c>
      <c r="K3730" s="201">
        <f>COUNTIFS(rl_key,$A$3694,rl_eff,"&gt;="&amp;$B3730,rl_eff,"&lt;="&amp;$C3730)</f>
        <v/>
      </c>
      <c r="L3730" s="201">
        <f>SUMIFS(rl_daysafter,rl_key,$A$3694,rl_effmonth,$B3730,rl_first,1)</f>
        <v/>
      </c>
      <c r="M3730" s="209">
        <f>IF($K3730=0,0,MIN(1,$L3730/$D3730))</f>
        <v/>
      </c>
      <c r="N3730" s="208">
        <f>IF($K3730=0,$J3730,(1-$M3730)*$I3730+$M3730*$J3730)</f>
        <v/>
      </c>
      <c r="O3730" s="209">
        <f>IF($F3730&lt;$B$3695,$E$3695+$I$3695*($F3730-$A$3695),IF($F3730&lt;$C$3695,$F$3695+$J$3695*($F3730-$B$3695),$G$3695+$K$3695*($F3730-$C$3695)))</f>
        <v/>
      </c>
      <c r="P3730" s="208">
        <f>MIN(1,MAX(0,(nr_MEndPm1-$G3730+0.5)/$C$3694))-MIN(1,MAX(0,(nr_MStartPm1-1-$G3730+0.5)/$C$3694))</f>
        <v/>
      </c>
      <c r="Q3730" s="208">
        <f>MIN(1,MAX(0,(nr_MEndP-$G3730+0.5)/$C$3694))-MIN(1,MAX(0,(nr_MStartP-1-$G3730+0.5)/$C$3694))</f>
        <v/>
      </c>
      <c r="R3730" s="208">
        <f>MIN(1,MAX(0,(nr_MEndP1-$G3730+0.5)/$C$3694))-MIN(1,MAX(0,(nr_MStartP1-1-$G3730+0.5)/$C$3694))</f>
        <v/>
      </c>
      <c r="S3730" s="208">
        <f>IF($L$3694,$N3730*IF($O$3694=1,$O3730/$F$3694,1),"")</f>
        <v/>
      </c>
      <c r="T3730" s="208">
        <f>IF(NOT($L$3694),"",IF($G3730&lt;nr_MStartP,$S3730,$T3718*(1+IF($G3730&lt;nr_MStartP1,$M$3694,$N$3694))))</f>
        <v/>
      </c>
      <c r="U3730" s="208">
        <f>IF($L$3694,$T3730,$N3730)</f>
        <v/>
      </c>
    </row>
    <row r="3731">
      <c r="A3731" s="145" t="n">
        <v>35</v>
      </c>
      <c r="B3731" s="204">
        <f>EDATE($B3730,1)</f>
        <v/>
      </c>
      <c r="C3731" s="205">
        <f>EOMONTH($B3731,0)</f>
        <v/>
      </c>
      <c r="D3731" s="201">
        <f>$C3731-$B3731+1</f>
        <v/>
      </c>
      <c r="E3731" s="201">
        <f>MONTH($B3731)</f>
        <v/>
      </c>
      <c r="F3731" s="235">
        <f>($B3731+$C3731+1)/2</f>
        <v/>
      </c>
      <c r="G3731" s="201">
        <f>YEAR($B3731)*12+MONTH($B3731)-1</f>
        <v/>
      </c>
      <c r="H3731" s="207">
        <f>IF(OR(nr_SeasonOn="OFF",$D$3694=0,$E$3694=0),1,12*INDEX(se_block,$D$3694,$E3731)/$E$3694)</f>
        <v/>
      </c>
      <c r="I3731" s="208">
        <f>EXP(SUMPRODUCT((rl_eff&lt;$B3731)*(rl_key=$A$3694)*rl_ln1p))</f>
        <v/>
      </c>
      <c r="J3731" s="208">
        <f>EXP(SUMPRODUCT((rl_eff&lt;=$C3731)*(rl_key=$A$3694)*rl_ln1p))</f>
        <v/>
      </c>
      <c r="K3731" s="201">
        <f>COUNTIFS(rl_key,$A$3694,rl_eff,"&gt;="&amp;$B3731,rl_eff,"&lt;="&amp;$C3731)</f>
        <v/>
      </c>
      <c r="L3731" s="201">
        <f>SUMIFS(rl_daysafter,rl_key,$A$3694,rl_effmonth,$B3731,rl_first,1)</f>
        <v/>
      </c>
      <c r="M3731" s="209">
        <f>IF($K3731=0,0,MIN(1,$L3731/$D3731))</f>
        <v/>
      </c>
      <c r="N3731" s="208">
        <f>IF($K3731=0,$J3731,(1-$M3731)*$I3731+$M3731*$J3731)</f>
        <v/>
      </c>
      <c r="O3731" s="209">
        <f>IF($F3731&lt;$B$3695,$E$3695+$I$3695*($F3731-$A$3695),IF($F3731&lt;$C$3695,$F$3695+$J$3695*($F3731-$B$3695),$G$3695+$K$3695*($F3731-$C$3695)))</f>
        <v/>
      </c>
      <c r="P3731" s="208">
        <f>MIN(1,MAX(0,(nr_MEndPm1-$G3731+0.5)/$C$3694))-MIN(1,MAX(0,(nr_MStartPm1-1-$G3731+0.5)/$C$3694))</f>
        <v/>
      </c>
      <c r="Q3731" s="208">
        <f>MIN(1,MAX(0,(nr_MEndP-$G3731+0.5)/$C$3694))-MIN(1,MAX(0,(nr_MStartP-1-$G3731+0.5)/$C$3694))</f>
        <v/>
      </c>
      <c r="R3731" s="208">
        <f>MIN(1,MAX(0,(nr_MEndP1-$G3731+0.5)/$C$3694))-MIN(1,MAX(0,(nr_MStartP1-1-$G3731+0.5)/$C$3694))</f>
        <v/>
      </c>
      <c r="S3731" s="208">
        <f>IF($L$3694,$N3731*IF($O$3694=1,$O3731/$F$3694,1),"")</f>
        <v/>
      </c>
      <c r="T3731" s="208">
        <f>IF(NOT($L$3694),"",IF($G3731&lt;nr_MStartP,$S3731,$T3719*(1+IF($G3731&lt;nr_MStartP1,$M$3694,$N$3694))))</f>
        <v/>
      </c>
      <c r="U3731" s="208">
        <f>IF($L$3694,$T3731,$N3731)</f>
        <v/>
      </c>
    </row>
    <row r="3732">
      <c r="A3732" s="145" t="n">
        <v>36</v>
      </c>
      <c r="B3732" s="204">
        <f>EDATE($B3731,1)</f>
        <v/>
      </c>
      <c r="C3732" s="205">
        <f>EOMONTH($B3732,0)</f>
        <v/>
      </c>
      <c r="D3732" s="201">
        <f>$C3732-$B3732+1</f>
        <v/>
      </c>
      <c r="E3732" s="201">
        <f>MONTH($B3732)</f>
        <v/>
      </c>
      <c r="F3732" s="235">
        <f>($B3732+$C3732+1)/2</f>
        <v/>
      </c>
      <c r="G3732" s="201">
        <f>YEAR($B3732)*12+MONTH($B3732)-1</f>
        <v/>
      </c>
      <c r="H3732" s="207">
        <f>IF(OR(nr_SeasonOn="OFF",$D$3694=0,$E$3694=0),1,12*INDEX(se_block,$D$3694,$E3732)/$E$3694)</f>
        <v/>
      </c>
      <c r="I3732" s="208">
        <f>EXP(SUMPRODUCT((rl_eff&lt;$B3732)*(rl_key=$A$3694)*rl_ln1p))</f>
        <v/>
      </c>
      <c r="J3732" s="208">
        <f>EXP(SUMPRODUCT((rl_eff&lt;=$C3732)*(rl_key=$A$3694)*rl_ln1p))</f>
        <v/>
      </c>
      <c r="K3732" s="201">
        <f>COUNTIFS(rl_key,$A$3694,rl_eff,"&gt;="&amp;$B3732,rl_eff,"&lt;="&amp;$C3732)</f>
        <v/>
      </c>
      <c r="L3732" s="201">
        <f>SUMIFS(rl_daysafter,rl_key,$A$3694,rl_effmonth,$B3732,rl_first,1)</f>
        <v/>
      </c>
      <c r="M3732" s="209">
        <f>IF($K3732=0,0,MIN(1,$L3732/$D3732))</f>
        <v/>
      </c>
      <c r="N3732" s="208">
        <f>IF($K3732=0,$J3732,(1-$M3732)*$I3732+$M3732*$J3732)</f>
        <v/>
      </c>
      <c r="O3732" s="209">
        <f>IF($F3732&lt;$B$3695,$E$3695+$I$3695*($F3732-$A$3695),IF($F3732&lt;$C$3695,$F$3695+$J$3695*($F3732-$B$3695),$G$3695+$K$3695*($F3732-$C$3695)))</f>
        <v/>
      </c>
      <c r="P3732" s="208">
        <f>MIN(1,MAX(0,(nr_MEndPm1-$G3732+0.5)/$C$3694))-MIN(1,MAX(0,(nr_MStartPm1-1-$G3732+0.5)/$C$3694))</f>
        <v/>
      </c>
      <c r="Q3732" s="208">
        <f>MIN(1,MAX(0,(nr_MEndP-$G3732+0.5)/$C$3694))-MIN(1,MAX(0,(nr_MStartP-1-$G3732+0.5)/$C$3694))</f>
        <v/>
      </c>
      <c r="R3732" s="208">
        <f>MIN(1,MAX(0,(nr_MEndP1-$G3732+0.5)/$C$3694))-MIN(1,MAX(0,(nr_MStartP1-1-$G3732+0.5)/$C$3694))</f>
        <v/>
      </c>
      <c r="S3732" s="208">
        <f>IF($L$3694,$N3732*IF($O$3694=1,$O3732/$F$3694,1),"")</f>
        <v/>
      </c>
      <c r="T3732" s="208">
        <f>IF(NOT($L$3694),"",IF($G3732&lt;nr_MStartP,$S3732,$T3720*(1+IF($G3732&lt;nr_MStartP1,$M$3694,$N$3694))))</f>
        <v/>
      </c>
      <c r="U3732" s="208">
        <f>IF($L$3694,$T3732,$N3732)</f>
        <v/>
      </c>
    </row>
    <row r="3733">
      <c r="A3733" s="145" t="n">
        <v>37</v>
      </c>
      <c r="B3733" s="204">
        <f>EDATE($B3732,1)</f>
        <v/>
      </c>
      <c r="C3733" s="205">
        <f>EOMONTH($B3733,0)</f>
        <v/>
      </c>
      <c r="D3733" s="201">
        <f>$C3733-$B3733+1</f>
        <v/>
      </c>
      <c r="E3733" s="201">
        <f>MONTH($B3733)</f>
        <v/>
      </c>
      <c r="F3733" s="235">
        <f>($B3733+$C3733+1)/2</f>
        <v/>
      </c>
      <c r="G3733" s="201">
        <f>YEAR($B3733)*12+MONTH($B3733)-1</f>
        <v/>
      </c>
      <c r="H3733" s="207">
        <f>IF(OR(nr_SeasonOn="OFF",$D$3694=0,$E$3694=0),1,12*INDEX(se_block,$D$3694,$E3733)/$E$3694)</f>
        <v/>
      </c>
      <c r="I3733" s="208">
        <f>EXP(SUMPRODUCT((rl_eff&lt;$B3733)*(rl_key=$A$3694)*rl_ln1p))</f>
        <v/>
      </c>
      <c r="J3733" s="208">
        <f>EXP(SUMPRODUCT((rl_eff&lt;=$C3733)*(rl_key=$A$3694)*rl_ln1p))</f>
        <v/>
      </c>
      <c r="K3733" s="201">
        <f>COUNTIFS(rl_key,$A$3694,rl_eff,"&gt;="&amp;$B3733,rl_eff,"&lt;="&amp;$C3733)</f>
        <v/>
      </c>
      <c r="L3733" s="201">
        <f>SUMIFS(rl_daysafter,rl_key,$A$3694,rl_effmonth,$B3733,rl_first,1)</f>
        <v/>
      </c>
      <c r="M3733" s="209">
        <f>IF($K3733=0,0,MIN(1,$L3733/$D3733))</f>
        <v/>
      </c>
      <c r="N3733" s="208">
        <f>IF($K3733=0,$J3733,(1-$M3733)*$I3733+$M3733*$J3733)</f>
        <v/>
      </c>
      <c r="O3733" s="209">
        <f>IF($F3733&lt;$B$3695,$E$3695+$I$3695*($F3733-$A$3695),IF($F3733&lt;$C$3695,$F$3695+$J$3695*($F3733-$B$3695),$G$3695+$K$3695*($F3733-$C$3695)))</f>
        <v/>
      </c>
      <c r="P3733" s="208">
        <f>MIN(1,MAX(0,(nr_MEndPm1-$G3733+0.5)/$C$3694))-MIN(1,MAX(0,(nr_MStartPm1-1-$G3733+0.5)/$C$3694))</f>
        <v/>
      </c>
      <c r="Q3733" s="208">
        <f>MIN(1,MAX(0,(nr_MEndP-$G3733+0.5)/$C$3694))-MIN(1,MAX(0,(nr_MStartP-1-$G3733+0.5)/$C$3694))</f>
        <v/>
      </c>
      <c r="R3733" s="208">
        <f>MIN(1,MAX(0,(nr_MEndP1-$G3733+0.5)/$C$3694))-MIN(1,MAX(0,(nr_MStartP1-1-$G3733+0.5)/$C$3694))</f>
        <v/>
      </c>
      <c r="S3733" s="208">
        <f>IF($L$3694,$N3733*IF($O$3694=1,$O3733/$F$3694,1),"")</f>
        <v/>
      </c>
      <c r="T3733" s="208">
        <f>IF(NOT($L$3694),"",IF($G3733&lt;nr_MStartP,$S3733,$T3721*(1+IF($G3733&lt;nr_MStartP1,$M$3694,$N$3694))))</f>
        <v/>
      </c>
      <c r="U3733" s="208">
        <f>IF($L$3694,$T3733,$N3733)</f>
        <v/>
      </c>
    </row>
    <row r="3734">
      <c r="A3734" s="145" t="n">
        <v>38</v>
      </c>
      <c r="B3734" s="204">
        <f>EDATE($B3733,1)</f>
        <v/>
      </c>
      <c r="C3734" s="205">
        <f>EOMONTH($B3734,0)</f>
        <v/>
      </c>
      <c r="D3734" s="201">
        <f>$C3734-$B3734+1</f>
        <v/>
      </c>
      <c r="E3734" s="201">
        <f>MONTH($B3734)</f>
        <v/>
      </c>
      <c r="F3734" s="235">
        <f>($B3734+$C3734+1)/2</f>
        <v/>
      </c>
      <c r="G3734" s="201">
        <f>YEAR($B3734)*12+MONTH($B3734)-1</f>
        <v/>
      </c>
      <c r="H3734" s="207">
        <f>IF(OR(nr_SeasonOn="OFF",$D$3694=0,$E$3694=0),1,12*INDEX(se_block,$D$3694,$E3734)/$E$3694)</f>
        <v/>
      </c>
      <c r="I3734" s="208">
        <f>EXP(SUMPRODUCT((rl_eff&lt;$B3734)*(rl_key=$A$3694)*rl_ln1p))</f>
        <v/>
      </c>
      <c r="J3734" s="208">
        <f>EXP(SUMPRODUCT((rl_eff&lt;=$C3734)*(rl_key=$A$3694)*rl_ln1p))</f>
        <v/>
      </c>
      <c r="K3734" s="201">
        <f>COUNTIFS(rl_key,$A$3694,rl_eff,"&gt;="&amp;$B3734,rl_eff,"&lt;="&amp;$C3734)</f>
        <v/>
      </c>
      <c r="L3734" s="201">
        <f>SUMIFS(rl_daysafter,rl_key,$A$3694,rl_effmonth,$B3734,rl_first,1)</f>
        <v/>
      </c>
      <c r="M3734" s="209">
        <f>IF($K3734=0,0,MIN(1,$L3734/$D3734))</f>
        <v/>
      </c>
      <c r="N3734" s="208">
        <f>IF($K3734=0,$J3734,(1-$M3734)*$I3734+$M3734*$J3734)</f>
        <v/>
      </c>
      <c r="O3734" s="209">
        <f>IF($F3734&lt;$B$3695,$E$3695+$I$3695*($F3734-$A$3695),IF($F3734&lt;$C$3695,$F$3695+$J$3695*($F3734-$B$3695),$G$3695+$K$3695*($F3734-$C$3695)))</f>
        <v/>
      </c>
      <c r="P3734" s="208">
        <f>MIN(1,MAX(0,(nr_MEndPm1-$G3734+0.5)/$C$3694))-MIN(1,MAX(0,(nr_MStartPm1-1-$G3734+0.5)/$C$3694))</f>
        <v/>
      </c>
      <c r="Q3734" s="208">
        <f>MIN(1,MAX(0,(nr_MEndP-$G3734+0.5)/$C$3694))-MIN(1,MAX(0,(nr_MStartP-1-$G3734+0.5)/$C$3694))</f>
        <v/>
      </c>
      <c r="R3734" s="208">
        <f>MIN(1,MAX(0,(nr_MEndP1-$G3734+0.5)/$C$3694))-MIN(1,MAX(0,(nr_MStartP1-1-$G3734+0.5)/$C$3694))</f>
        <v/>
      </c>
      <c r="S3734" s="208">
        <f>IF($L$3694,$N3734*IF($O$3694=1,$O3734/$F$3694,1),"")</f>
        <v/>
      </c>
      <c r="T3734" s="208">
        <f>IF(NOT($L$3694),"",IF($G3734&lt;nr_MStartP,$S3734,$T3722*(1+IF($G3734&lt;nr_MStartP1,$M$3694,$N$3694))))</f>
        <v/>
      </c>
      <c r="U3734" s="208">
        <f>IF($L$3694,$T3734,$N3734)</f>
        <v/>
      </c>
    </row>
    <row r="3735">
      <c r="A3735" s="145" t="n">
        <v>39</v>
      </c>
      <c r="B3735" s="204">
        <f>EDATE($B3734,1)</f>
        <v/>
      </c>
      <c r="C3735" s="205">
        <f>EOMONTH($B3735,0)</f>
        <v/>
      </c>
      <c r="D3735" s="201">
        <f>$C3735-$B3735+1</f>
        <v/>
      </c>
      <c r="E3735" s="201">
        <f>MONTH($B3735)</f>
        <v/>
      </c>
      <c r="F3735" s="235">
        <f>($B3735+$C3735+1)/2</f>
        <v/>
      </c>
      <c r="G3735" s="201">
        <f>YEAR($B3735)*12+MONTH($B3735)-1</f>
        <v/>
      </c>
      <c r="H3735" s="207">
        <f>IF(OR(nr_SeasonOn="OFF",$D$3694=0,$E$3694=0),1,12*INDEX(se_block,$D$3694,$E3735)/$E$3694)</f>
        <v/>
      </c>
      <c r="I3735" s="208">
        <f>EXP(SUMPRODUCT((rl_eff&lt;$B3735)*(rl_key=$A$3694)*rl_ln1p))</f>
        <v/>
      </c>
      <c r="J3735" s="208">
        <f>EXP(SUMPRODUCT((rl_eff&lt;=$C3735)*(rl_key=$A$3694)*rl_ln1p))</f>
        <v/>
      </c>
      <c r="K3735" s="201">
        <f>COUNTIFS(rl_key,$A$3694,rl_eff,"&gt;="&amp;$B3735,rl_eff,"&lt;="&amp;$C3735)</f>
        <v/>
      </c>
      <c r="L3735" s="201">
        <f>SUMIFS(rl_daysafter,rl_key,$A$3694,rl_effmonth,$B3735,rl_first,1)</f>
        <v/>
      </c>
      <c r="M3735" s="209">
        <f>IF($K3735=0,0,MIN(1,$L3735/$D3735))</f>
        <v/>
      </c>
      <c r="N3735" s="208">
        <f>IF($K3735=0,$J3735,(1-$M3735)*$I3735+$M3735*$J3735)</f>
        <v/>
      </c>
      <c r="O3735" s="209">
        <f>IF($F3735&lt;$B$3695,$E$3695+$I$3695*($F3735-$A$3695),IF($F3735&lt;$C$3695,$F$3695+$J$3695*($F3735-$B$3695),$G$3695+$K$3695*($F3735-$C$3695)))</f>
        <v/>
      </c>
      <c r="P3735" s="208">
        <f>MIN(1,MAX(0,(nr_MEndPm1-$G3735+0.5)/$C$3694))-MIN(1,MAX(0,(nr_MStartPm1-1-$G3735+0.5)/$C$3694))</f>
        <v/>
      </c>
      <c r="Q3735" s="208">
        <f>MIN(1,MAX(0,(nr_MEndP-$G3735+0.5)/$C$3694))-MIN(1,MAX(0,(nr_MStartP-1-$G3735+0.5)/$C$3694))</f>
        <v/>
      </c>
      <c r="R3735" s="208">
        <f>MIN(1,MAX(0,(nr_MEndP1-$G3735+0.5)/$C$3694))-MIN(1,MAX(0,(nr_MStartP1-1-$G3735+0.5)/$C$3694))</f>
        <v/>
      </c>
      <c r="S3735" s="208">
        <f>IF($L$3694,$N3735*IF($O$3694=1,$O3735/$F$3694,1),"")</f>
        <v/>
      </c>
      <c r="T3735" s="208">
        <f>IF(NOT($L$3694),"",IF($G3735&lt;nr_MStartP,$S3735,$T3723*(1+IF($G3735&lt;nr_MStartP1,$M$3694,$N$3694))))</f>
        <v/>
      </c>
      <c r="U3735" s="208">
        <f>IF($L$3694,$T3735,$N3735)</f>
        <v/>
      </c>
    </row>
    <row r="3736">
      <c r="A3736" s="145" t="n">
        <v>40</v>
      </c>
      <c r="B3736" s="204">
        <f>EDATE($B3735,1)</f>
        <v/>
      </c>
      <c r="C3736" s="205">
        <f>EOMONTH($B3736,0)</f>
        <v/>
      </c>
      <c r="D3736" s="201">
        <f>$C3736-$B3736+1</f>
        <v/>
      </c>
      <c r="E3736" s="201">
        <f>MONTH($B3736)</f>
        <v/>
      </c>
      <c r="F3736" s="235">
        <f>($B3736+$C3736+1)/2</f>
        <v/>
      </c>
      <c r="G3736" s="201">
        <f>YEAR($B3736)*12+MONTH($B3736)-1</f>
        <v/>
      </c>
      <c r="H3736" s="207">
        <f>IF(OR(nr_SeasonOn="OFF",$D$3694=0,$E$3694=0),1,12*INDEX(se_block,$D$3694,$E3736)/$E$3694)</f>
        <v/>
      </c>
      <c r="I3736" s="208">
        <f>EXP(SUMPRODUCT((rl_eff&lt;$B3736)*(rl_key=$A$3694)*rl_ln1p))</f>
        <v/>
      </c>
      <c r="J3736" s="208">
        <f>EXP(SUMPRODUCT((rl_eff&lt;=$C3736)*(rl_key=$A$3694)*rl_ln1p))</f>
        <v/>
      </c>
      <c r="K3736" s="201">
        <f>COUNTIFS(rl_key,$A$3694,rl_eff,"&gt;="&amp;$B3736,rl_eff,"&lt;="&amp;$C3736)</f>
        <v/>
      </c>
      <c r="L3736" s="201">
        <f>SUMIFS(rl_daysafter,rl_key,$A$3694,rl_effmonth,$B3736,rl_first,1)</f>
        <v/>
      </c>
      <c r="M3736" s="209">
        <f>IF($K3736=0,0,MIN(1,$L3736/$D3736))</f>
        <v/>
      </c>
      <c r="N3736" s="208">
        <f>IF($K3736=0,$J3736,(1-$M3736)*$I3736+$M3736*$J3736)</f>
        <v/>
      </c>
      <c r="O3736" s="209">
        <f>IF($F3736&lt;$B$3695,$E$3695+$I$3695*($F3736-$A$3695),IF($F3736&lt;$C$3695,$F$3695+$J$3695*($F3736-$B$3695),$G$3695+$K$3695*($F3736-$C$3695)))</f>
        <v/>
      </c>
      <c r="P3736" s="208">
        <f>MIN(1,MAX(0,(nr_MEndPm1-$G3736+0.5)/$C$3694))-MIN(1,MAX(0,(nr_MStartPm1-1-$G3736+0.5)/$C$3694))</f>
        <v/>
      </c>
      <c r="Q3736" s="208">
        <f>MIN(1,MAX(0,(nr_MEndP-$G3736+0.5)/$C$3694))-MIN(1,MAX(0,(nr_MStartP-1-$G3736+0.5)/$C$3694))</f>
        <v/>
      </c>
      <c r="R3736" s="208">
        <f>MIN(1,MAX(0,(nr_MEndP1-$G3736+0.5)/$C$3694))-MIN(1,MAX(0,(nr_MStartP1-1-$G3736+0.5)/$C$3694))</f>
        <v/>
      </c>
      <c r="S3736" s="208">
        <f>IF($L$3694,$N3736*IF($O$3694=1,$O3736/$F$3694,1),"")</f>
        <v/>
      </c>
      <c r="T3736" s="208">
        <f>IF(NOT($L$3694),"",IF($G3736&lt;nr_MStartP,$S3736,$T3724*(1+IF($G3736&lt;nr_MStartP1,$M$3694,$N$3694))))</f>
        <v/>
      </c>
      <c r="U3736" s="208">
        <f>IF($L$3694,$T3736,$N3736)</f>
        <v/>
      </c>
    </row>
    <row r="3737">
      <c r="A3737" s="145" t="n">
        <v>41</v>
      </c>
      <c r="B3737" s="204">
        <f>EDATE($B3736,1)</f>
        <v/>
      </c>
      <c r="C3737" s="205">
        <f>EOMONTH($B3737,0)</f>
        <v/>
      </c>
      <c r="D3737" s="201">
        <f>$C3737-$B3737+1</f>
        <v/>
      </c>
      <c r="E3737" s="201">
        <f>MONTH($B3737)</f>
        <v/>
      </c>
      <c r="F3737" s="235">
        <f>($B3737+$C3737+1)/2</f>
        <v/>
      </c>
      <c r="G3737" s="201">
        <f>YEAR($B3737)*12+MONTH($B3737)-1</f>
        <v/>
      </c>
      <c r="H3737" s="207">
        <f>IF(OR(nr_SeasonOn="OFF",$D$3694=0,$E$3694=0),1,12*INDEX(se_block,$D$3694,$E3737)/$E$3694)</f>
        <v/>
      </c>
      <c r="I3737" s="208">
        <f>EXP(SUMPRODUCT((rl_eff&lt;$B3737)*(rl_key=$A$3694)*rl_ln1p))</f>
        <v/>
      </c>
      <c r="J3737" s="208">
        <f>EXP(SUMPRODUCT((rl_eff&lt;=$C3737)*(rl_key=$A$3694)*rl_ln1p))</f>
        <v/>
      </c>
      <c r="K3737" s="201">
        <f>COUNTIFS(rl_key,$A$3694,rl_eff,"&gt;="&amp;$B3737,rl_eff,"&lt;="&amp;$C3737)</f>
        <v/>
      </c>
      <c r="L3737" s="201">
        <f>SUMIFS(rl_daysafter,rl_key,$A$3694,rl_effmonth,$B3737,rl_first,1)</f>
        <v/>
      </c>
      <c r="M3737" s="209">
        <f>IF($K3737=0,0,MIN(1,$L3737/$D3737))</f>
        <v/>
      </c>
      <c r="N3737" s="208">
        <f>IF($K3737=0,$J3737,(1-$M3737)*$I3737+$M3737*$J3737)</f>
        <v/>
      </c>
      <c r="O3737" s="209">
        <f>IF($F3737&lt;$B$3695,$E$3695+$I$3695*($F3737-$A$3695),IF($F3737&lt;$C$3695,$F$3695+$J$3695*($F3737-$B$3695),$G$3695+$K$3695*($F3737-$C$3695)))</f>
        <v/>
      </c>
      <c r="P3737" s="208">
        <f>MIN(1,MAX(0,(nr_MEndPm1-$G3737+0.5)/$C$3694))-MIN(1,MAX(0,(nr_MStartPm1-1-$G3737+0.5)/$C$3694))</f>
        <v/>
      </c>
      <c r="Q3737" s="208">
        <f>MIN(1,MAX(0,(nr_MEndP-$G3737+0.5)/$C$3694))-MIN(1,MAX(0,(nr_MStartP-1-$G3737+0.5)/$C$3694))</f>
        <v/>
      </c>
      <c r="R3737" s="208">
        <f>MIN(1,MAX(0,(nr_MEndP1-$G3737+0.5)/$C$3694))-MIN(1,MAX(0,(nr_MStartP1-1-$G3737+0.5)/$C$3694))</f>
        <v/>
      </c>
      <c r="S3737" s="208">
        <f>IF($L$3694,$N3737*IF($O$3694=1,$O3737/$F$3694,1),"")</f>
        <v/>
      </c>
      <c r="T3737" s="208">
        <f>IF(NOT($L$3694),"",IF($G3737&lt;nr_MStartP,$S3737,$T3725*(1+IF($G3737&lt;nr_MStartP1,$M$3694,$N$3694))))</f>
        <v/>
      </c>
      <c r="U3737" s="208">
        <f>IF($L$3694,$T3737,$N3737)</f>
        <v/>
      </c>
    </row>
    <row r="3738">
      <c r="A3738" s="145" t="n">
        <v>42</v>
      </c>
      <c r="B3738" s="204">
        <f>EDATE($B3737,1)</f>
        <v/>
      </c>
      <c r="C3738" s="205">
        <f>EOMONTH($B3738,0)</f>
        <v/>
      </c>
      <c r="D3738" s="201">
        <f>$C3738-$B3738+1</f>
        <v/>
      </c>
      <c r="E3738" s="201">
        <f>MONTH($B3738)</f>
        <v/>
      </c>
      <c r="F3738" s="235">
        <f>($B3738+$C3738+1)/2</f>
        <v/>
      </c>
      <c r="G3738" s="201">
        <f>YEAR($B3738)*12+MONTH($B3738)-1</f>
        <v/>
      </c>
      <c r="H3738" s="207">
        <f>IF(OR(nr_SeasonOn="OFF",$D$3694=0,$E$3694=0),1,12*INDEX(se_block,$D$3694,$E3738)/$E$3694)</f>
        <v/>
      </c>
      <c r="I3738" s="208">
        <f>EXP(SUMPRODUCT((rl_eff&lt;$B3738)*(rl_key=$A$3694)*rl_ln1p))</f>
        <v/>
      </c>
      <c r="J3738" s="208">
        <f>EXP(SUMPRODUCT((rl_eff&lt;=$C3738)*(rl_key=$A$3694)*rl_ln1p))</f>
        <v/>
      </c>
      <c r="K3738" s="201">
        <f>COUNTIFS(rl_key,$A$3694,rl_eff,"&gt;="&amp;$B3738,rl_eff,"&lt;="&amp;$C3738)</f>
        <v/>
      </c>
      <c r="L3738" s="201">
        <f>SUMIFS(rl_daysafter,rl_key,$A$3694,rl_effmonth,$B3738,rl_first,1)</f>
        <v/>
      </c>
      <c r="M3738" s="209">
        <f>IF($K3738=0,0,MIN(1,$L3738/$D3738))</f>
        <v/>
      </c>
      <c r="N3738" s="208">
        <f>IF($K3738=0,$J3738,(1-$M3738)*$I3738+$M3738*$J3738)</f>
        <v/>
      </c>
      <c r="O3738" s="209">
        <f>IF($F3738&lt;$B$3695,$E$3695+$I$3695*($F3738-$A$3695),IF($F3738&lt;$C$3695,$F$3695+$J$3695*($F3738-$B$3695),$G$3695+$K$3695*($F3738-$C$3695)))</f>
        <v/>
      </c>
      <c r="P3738" s="208">
        <f>MIN(1,MAX(0,(nr_MEndPm1-$G3738+0.5)/$C$3694))-MIN(1,MAX(0,(nr_MStartPm1-1-$G3738+0.5)/$C$3694))</f>
        <v/>
      </c>
      <c r="Q3738" s="208">
        <f>MIN(1,MAX(0,(nr_MEndP-$G3738+0.5)/$C$3694))-MIN(1,MAX(0,(nr_MStartP-1-$G3738+0.5)/$C$3694))</f>
        <v/>
      </c>
      <c r="R3738" s="208">
        <f>MIN(1,MAX(0,(nr_MEndP1-$G3738+0.5)/$C$3694))-MIN(1,MAX(0,(nr_MStartP1-1-$G3738+0.5)/$C$3694))</f>
        <v/>
      </c>
      <c r="S3738" s="208">
        <f>IF($L$3694,$N3738*IF($O$3694=1,$O3738/$F$3694,1),"")</f>
        <v/>
      </c>
      <c r="T3738" s="208">
        <f>IF(NOT($L$3694),"",IF($G3738&lt;nr_MStartP,$S3738,$T3726*(1+IF($G3738&lt;nr_MStartP1,$M$3694,$N$3694))))</f>
        <v/>
      </c>
      <c r="U3738" s="208">
        <f>IF($L$3694,$T3738,$N3738)</f>
        <v/>
      </c>
    </row>
    <row r="3739">
      <c r="A3739" s="145" t="n">
        <v>43</v>
      </c>
      <c r="B3739" s="204">
        <f>EDATE($B3738,1)</f>
        <v/>
      </c>
      <c r="C3739" s="205">
        <f>EOMONTH($B3739,0)</f>
        <v/>
      </c>
      <c r="D3739" s="201">
        <f>$C3739-$B3739+1</f>
        <v/>
      </c>
      <c r="E3739" s="201">
        <f>MONTH($B3739)</f>
        <v/>
      </c>
      <c r="F3739" s="235">
        <f>($B3739+$C3739+1)/2</f>
        <v/>
      </c>
      <c r="G3739" s="201">
        <f>YEAR($B3739)*12+MONTH($B3739)-1</f>
        <v/>
      </c>
      <c r="H3739" s="207">
        <f>IF(OR(nr_SeasonOn="OFF",$D$3694=0,$E$3694=0),1,12*INDEX(se_block,$D$3694,$E3739)/$E$3694)</f>
        <v/>
      </c>
      <c r="I3739" s="208">
        <f>EXP(SUMPRODUCT((rl_eff&lt;$B3739)*(rl_key=$A$3694)*rl_ln1p))</f>
        <v/>
      </c>
      <c r="J3739" s="208">
        <f>EXP(SUMPRODUCT((rl_eff&lt;=$C3739)*(rl_key=$A$3694)*rl_ln1p))</f>
        <v/>
      </c>
      <c r="K3739" s="201">
        <f>COUNTIFS(rl_key,$A$3694,rl_eff,"&gt;="&amp;$B3739,rl_eff,"&lt;="&amp;$C3739)</f>
        <v/>
      </c>
      <c r="L3739" s="201">
        <f>SUMIFS(rl_daysafter,rl_key,$A$3694,rl_effmonth,$B3739,rl_first,1)</f>
        <v/>
      </c>
      <c r="M3739" s="209">
        <f>IF($K3739=0,0,MIN(1,$L3739/$D3739))</f>
        <v/>
      </c>
      <c r="N3739" s="208">
        <f>IF($K3739=0,$J3739,(1-$M3739)*$I3739+$M3739*$J3739)</f>
        <v/>
      </c>
      <c r="O3739" s="209">
        <f>IF($F3739&lt;$B$3695,$E$3695+$I$3695*($F3739-$A$3695),IF($F3739&lt;$C$3695,$F$3695+$J$3695*($F3739-$B$3695),$G$3695+$K$3695*($F3739-$C$3695)))</f>
        <v/>
      </c>
      <c r="P3739" s="208">
        <f>MIN(1,MAX(0,(nr_MEndPm1-$G3739+0.5)/$C$3694))-MIN(1,MAX(0,(nr_MStartPm1-1-$G3739+0.5)/$C$3694))</f>
        <v/>
      </c>
      <c r="Q3739" s="208">
        <f>MIN(1,MAX(0,(nr_MEndP-$G3739+0.5)/$C$3694))-MIN(1,MAX(0,(nr_MStartP-1-$G3739+0.5)/$C$3694))</f>
        <v/>
      </c>
      <c r="R3739" s="208">
        <f>MIN(1,MAX(0,(nr_MEndP1-$G3739+0.5)/$C$3694))-MIN(1,MAX(0,(nr_MStartP1-1-$G3739+0.5)/$C$3694))</f>
        <v/>
      </c>
      <c r="S3739" s="208">
        <f>IF($L$3694,$N3739*IF($O$3694=1,$O3739/$F$3694,1),"")</f>
        <v/>
      </c>
      <c r="T3739" s="208">
        <f>IF(NOT($L$3694),"",IF($G3739&lt;nr_MStartP,$S3739,$T3727*(1+IF($G3739&lt;nr_MStartP1,$M$3694,$N$3694))))</f>
        <v/>
      </c>
      <c r="U3739" s="208">
        <f>IF($L$3694,$T3739,$N3739)</f>
        <v/>
      </c>
    </row>
    <row r="3740">
      <c r="A3740" s="145" t="n">
        <v>44</v>
      </c>
      <c r="B3740" s="204">
        <f>EDATE($B3739,1)</f>
        <v/>
      </c>
      <c r="C3740" s="205">
        <f>EOMONTH($B3740,0)</f>
        <v/>
      </c>
      <c r="D3740" s="201">
        <f>$C3740-$B3740+1</f>
        <v/>
      </c>
      <c r="E3740" s="201">
        <f>MONTH($B3740)</f>
        <v/>
      </c>
      <c r="F3740" s="235">
        <f>($B3740+$C3740+1)/2</f>
        <v/>
      </c>
      <c r="G3740" s="201">
        <f>YEAR($B3740)*12+MONTH($B3740)-1</f>
        <v/>
      </c>
      <c r="H3740" s="207">
        <f>IF(OR(nr_SeasonOn="OFF",$D$3694=0,$E$3694=0),1,12*INDEX(se_block,$D$3694,$E3740)/$E$3694)</f>
        <v/>
      </c>
      <c r="I3740" s="208">
        <f>EXP(SUMPRODUCT((rl_eff&lt;$B3740)*(rl_key=$A$3694)*rl_ln1p))</f>
        <v/>
      </c>
      <c r="J3740" s="208">
        <f>EXP(SUMPRODUCT((rl_eff&lt;=$C3740)*(rl_key=$A$3694)*rl_ln1p))</f>
        <v/>
      </c>
      <c r="K3740" s="201">
        <f>COUNTIFS(rl_key,$A$3694,rl_eff,"&gt;="&amp;$B3740,rl_eff,"&lt;="&amp;$C3740)</f>
        <v/>
      </c>
      <c r="L3740" s="201">
        <f>SUMIFS(rl_daysafter,rl_key,$A$3694,rl_effmonth,$B3740,rl_first,1)</f>
        <v/>
      </c>
      <c r="M3740" s="209">
        <f>IF($K3740=0,0,MIN(1,$L3740/$D3740))</f>
        <v/>
      </c>
      <c r="N3740" s="208">
        <f>IF($K3740=0,$J3740,(1-$M3740)*$I3740+$M3740*$J3740)</f>
        <v/>
      </c>
      <c r="O3740" s="209">
        <f>IF($F3740&lt;$B$3695,$E$3695+$I$3695*($F3740-$A$3695),IF($F3740&lt;$C$3695,$F$3695+$J$3695*($F3740-$B$3695),$G$3695+$K$3695*($F3740-$C$3695)))</f>
        <v/>
      </c>
      <c r="P3740" s="208">
        <f>MIN(1,MAX(0,(nr_MEndPm1-$G3740+0.5)/$C$3694))-MIN(1,MAX(0,(nr_MStartPm1-1-$G3740+0.5)/$C$3694))</f>
        <v/>
      </c>
      <c r="Q3740" s="208">
        <f>MIN(1,MAX(0,(nr_MEndP-$G3740+0.5)/$C$3694))-MIN(1,MAX(0,(nr_MStartP-1-$G3740+0.5)/$C$3694))</f>
        <v/>
      </c>
      <c r="R3740" s="208">
        <f>MIN(1,MAX(0,(nr_MEndP1-$G3740+0.5)/$C$3694))-MIN(1,MAX(0,(nr_MStartP1-1-$G3740+0.5)/$C$3694))</f>
        <v/>
      </c>
      <c r="S3740" s="208">
        <f>IF($L$3694,$N3740*IF($O$3694=1,$O3740/$F$3694,1),"")</f>
        <v/>
      </c>
      <c r="T3740" s="208">
        <f>IF(NOT($L$3694),"",IF($G3740&lt;nr_MStartP,$S3740,$T3728*(1+IF($G3740&lt;nr_MStartP1,$M$3694,$N$3694))))</f>
        <v/>
      </c>
      <c r="U3740" s="208">
        <f>IF($L$3694,$T3740,$N3740)</f>
        <v/>
      </c>
    </row>
    <row r="3741">
      <c r="A3741" s="145" t="n">
        <v>45</v>
      </c>
      <c r="B3741" s="204">
        <f>EDATE($B3740,1)</f>
        <v/>
      </c>
      <c r="C3741" s="205">
        <f>EOMONTH($B3741,0)</f>
        <v/>
      </c>
      <c r="D3741" s="201">
        <f>$C3741-$B3741+1</f>
        <v/>
      </c>
      <c r="E3741" s="201">
        <f>MONTH($B3741)</f>
        <v/>
      </c>
      <c r="F3741" s="235">
        <f>($B3741+$C3741+1)/2</f>
        <v/>
      </c>
      <c r="G3741" s="201">
        <f>YEAR($B3741)*12+MONTH($B3741)-1</f>
        <v/>
      </c>
      <c r="H3741" s="207">
        <f>IF(OR(nr_SeasonOn="OFF",$D$3694=0,$E$3694=0),1,12*INDEX(se_block,$D$3694,$E3741)/$E$3694)</f>
        <v/>
      </c>
      <c r="I3741" s="208">
        <f>EXP(SUMPRODUCT((rl_eff&lt;$B3741)*(rl_key=$A$3694)*rl_ln1p))</f>
        <v/>
      </c>
      <c r="J3741" s="208">
        <f>EXP(SUMPRODUCT((rl_eff&lt;=$C3741)*(rl_key=$A$3694)*rl_ln1p))</f>
        <v/>
      </c>
      <c r="K3741" s="201">
        <f>COUNTIFS(rl_key,$A$3694,rl_eff,"&gt;="&amp;$B3741,rl_eff,"&lt;="&amp;$C3741)</f>
        <v/>
      </c>
      <c r="L3741" s="201">
        <f>SUMIFS(rl_daysafter,rl_key,$A$3694,rl_effmonth,$B3741,rl_first,1)</f>
        <v/>
      </c>
      <c r="M3741" s="209">
        <f>IF($K3741=0,0,MIN(1,$L3741/$D3741))</f>
        <v/>
      </c>
      <c r="N3741" s="208">
        <f>IF($K3741=0,$J3741,(1-$M3741)*$I3741+$M3741*$J3741)</f>
        <v/>
      </c>
      <c r="O3741" s="209">
        <f>IF($F3741&lt;$B$3695,$E$3695+$I$3695*($F3741-$A$3695),IF($F3741&lt;$C$3695,$F$3695+$J$3695*($F3741-$B$3695),$G$3695+$K$3695*($F3741-$C$3695)))</f>
        <v/>
      </c>
      <c r="P3741" s="208">
        <f>MIN(1,MAX(0,(nr_MEndPm1-$G3741+0.5)/$C$3694))-MIN(1,MAX(0,(nr_MStartPm1-1-$G3741+0.5)/$C$3694))</f>
        <v/>
      </c>
      <c r="Q3741" s="208">
        <f>MIN(1,MAX(0,(nr_MEndP-$G3741+0.5)/$C$3694))-MIN(1,MAX(0,(nr_MStartP-1-$G3741+0.5)/$C$3694))</f>
        <v/>
      </c>
      <c r="R3741" s="208">
        <f>MIN(1,MAX(0,(nr_MEndP1-$G3741+0.5)/$C$3694))-MIN(1,MAX(0,(nr_MStartP1-1-$G3741+0.5)/$C$3694))</f>
        <v/>
      </c>
      <c r="S3741" s="208">
        <f>IF($L$3694,$N3741*IF($O$3694=1,$O3741/$F$3694,1),"")</f>
        <v/>
      </c>
      <c r="T3741" s="208">
        <f>IF(NOT($L$3694),"",IF($G3741&lt;nr_MStartP,$S3741,$T3729*(1+IF($G3741&lt;nr_MStartP1,$M$3694,$N$3694))))</f>
        <v/>
      </c>
      <c r="U3741" s="208">
        <f>IF($L$3694,$T3741,$N3741)</f>
        <v/>
      </c>
    </row>
    <row r="3742">
      <c r="A3742" s="145" t="n">
        <v>46</v>
      </c>
      <c r="B3742" s="204">
        <f>EDATE($B3741,1)</f>
        <v/>
      </c>
      <c r="C3742" s="205">
        <f>EOMONTH($B3742,0)</f>
        <v/>
      </c>
      <c r="D3742" s="201">
        <f>$C3742-$B3742+1</f>
        <v/>
      </c>
      <c r="E3742" s="201">
        <f>MONTH($B3742)</f>
        <v/>
      </c>
      <c r="F3742" s="235">
        <f>($B3742+$C3742+1)/2</f>
        <v/>
      </c>
      <c r="G3742" s="201">
        <f>YEAR($B3742)*12+MONTH($B3742)-1</f>
        <v/>
      </c>
      <c r="H3742" s="207">
        <f>IF(OR(nr_SeasonOn="OFF",$D$3694=0,$E$3694=0),1,12*INDEX(se_block,$D$3694,$E3742)/$E$3694)</f>
        <v/>
      </c>
      <c r="I3742" s="208">
        <f>EXP(SUMPRODUCT((rl_eff&lt;$B3742)*(rl_key=$A$3694)*rl_ln1p))</f>
        <v/>
      </c>
      <c r="J3742" s="208">
        <f>EXP(SUMPRODUCT((rl_eff&lt;=$C3742)*(rl_key=$A$3694)*rl_ln1p))</f>
        <v/>
      </c>
      <c r="K3742" s="201">
        <f>COUNTIFS(rl_key,$A$3694,rl_eff,"&gt;="&amp;$B3742,rl_eff,"&lt;="&amp;$C3742)</f>
        <v/>
      </c>
      <c r="L3742" s="201">
        <f>SUMIFS(rl_daysafter,rl_key,$A$3694,rl_effmonth,$B3742,rl_first,1)</f>
        <v/>
      </c>
      <c r="M3742" s="209">
        <f>IF($K3742=0,0,MIN(1,$L3742/$D3742))</f>
        <v/>
      </c>
      <c r="N3742" s="208">
        <f>IF($K3742=0,$J3742,(1-$M3742)*$I3742+$M3742*$J3742)</f>
        <v/>
      </c>
      <c r="O3742" s="209">
        <f>IF($F3742&lt;$B$3695,$E$3695+$I$3695*($F3742-$A$3695),IF($F3742&lt;$C$3695,$F$3695+$J$3695*($F3742-$B$3695),$G$3695+$K$3695*($F3742-$C$3695)))</f>
        <v/>
      </c>
      <c r="P3742" s="208">
        <f>MIN(1,MAX(0,(nr_MEndPm1-$G3742+0.5)/$C$3694))-MIN(1,MAX(0,(nr_MStartPm1-1-$G3742+0.5)/$C$3694))</f>
        <v/>
      </c>
      <c r="Q3742" s="208">
        <f>MIN(1,MAX(0,(nr_MEndP-$G3742+0.5)/$C$3694))-MIN(1,MAX(0,(nr_MStartP-1-$G3742+0.5)/$C$3694))</f>
        <v/>
      </c>
      <c r="R3742" s="208">
        <f>MIN(1,MAX(0,(nr_MEndP1-$G3742+0.5)/$C$3694))-MIN(1,MAX(0,(nr_MStartP1-1-$G3742+0.5)/$C$3694))</f>
        <v/>
      </c>
      <c r="S3742" s="208">
        <f>IF($L$3694,$N3742*IF($O$3694=1,$O3742/$F$3694,1),"")</f>
        <v/>
      </c>
      <c r="T3742" s="208">
        <f>IF(NOT($L$3694),"",IF($G3742&lt;nr_MStartP,$S3742,$T3730*(1+IF($G3742&lt;nr_MStartP1,$M$3694,$N$3694))))</f>
        <v/>
      </c>
      <c r="U3742" s="208">
        <f>IF($L$3694,$T3742,$N3742)</f>
        <v/>
      </c>
    </row>
    <row r="3743">
      <c r="A3743" s="145" t="n">
        <v>47</v>
      </c>
      <c r="B3743" s="204">
        <f>EDATE($B3742,1)</f>
        <v/>
      </c>
      <c r="C3743" s="205">
        <f>EOMONTH($B3743,0)</f>
        <v/>
      </c>
      <c r="D3743" s="201">
        <f>$C3743-$B3743+1</f>
        <v/>
      </c>
      <c r="E3743" s="201">
        <f>MONTH($B3743)</f>
        <v/>
      </c>
      <c r="F3743" s="235">
        <f>($B3743+$C3743+1)/2</f>
        <v/>
      </c>
      <c r="G3743" s="201">
        <f>YEAR($B3743)*12+MONTH($B3743)-1</f>
        <v/>
      </c>
      <c r="H3743" s="207">
        <f>IF(OR(nr_SeasonOn="OFF",$D$3694=0,$E$3694=0),1,12*INDEX(se_block,$D$3694,$E3743)/$E$3694)</f>
        <v/>
      </c>
      <c r="I3743" s="208">
        <f>EXP(SUMPRODUCT((rl_eff&lt;$B3743)*(rl_key=$A$3694)*rl_ln1p))</f>
        <v/>
      </c>
      <c r="J3743" s="208">
        <f>EXP(SUMPRODUCT((rl_eff&lt;=$C3743)*(rl_key=$A$3694)*rl_ln1p))</f>
        <v/>
      </c>
      <c r="K3743" s="201">
        <f>COUNTIFS(rl_key,$A$3694,rl_eff,"&gt;="&amp;$B3743,rl_eff,"&lt;="&amp;$C3743)</f>
        <v/>
      </c>
      <c r="L3743" s="201">
        <f>SUMIFS(rl_daysafter,rl_key,$A$3694,rl_effmonth,$B3743,rl_first,1)</f>
        <v/>
      </c>
      <c r="M3743" s="209">
        <f>IF($K3743=0,0,MIN(1,$L3743/$D3743))</f>
        <v/>
      </c>
      <c r="N3743" s="208">
        <f>IF($K3743=0,$J3743,(1-$M3743)*$I3743+$M3743*$J3743)</f>
        <v/>
      </c>
      <c r="O3743" s="209">
        <f>IF($F3743&lt;$B$3695,$E$3695+$I$3695*($F3743-$A$3695),IF($F3743&lt;$C$3695,$F$3695+$J$3695*($F3743-$B$3695),$G$3695+$K$3695*($F3743-$C$3695)))</f>
        <v/>
      </c>
      <c r="P3743" s="208">
        <f>MIN(1,MAX(0,(nr_MEndPm1-$G3743+0.5)/$C$3694))-MIN(1,MAX(0,(nr_MStartPm1-1-$G3743+0.5)/$C$3694))</f>
        <v/>
      </c>
      <c r="Q3743" s="208">
        <f>MIN(1,MAX(0,(nr_MEndP-$G3743+0.5)/$C$3694))-MIN(1,MAX(0,(nr_MStartP-1-$G3743+0.5)/$C$3694))</f>
        <v/>
      </c>
      <c r="R3743" s="208">
        <f>MIN(1,MAX(0,(nr_MEndP1-$G3743+0.5)/$C$3694))-MIN(1,MAX(0,(nr_MStartP1-1-$G3743+0.5)/$C$3694))</f>
        <v/>
      </c>
      <c r="S3743" s="208">
        <f>IF($L$3694,$N3743*IF($O$3694=1,$O3743/$F$3694,1),"")</f>
        <v/>
      </c>
      <c r="T3743" s="208">
        <f>IF(NOT($L$3694),"",IF($G3743&lt;nr_MStartP,$S3743,$T3731*(1+IF($G3743&lt;nr_MStartP1,$M$3694,$N$3694))))</f>
        <v/>
      </c>
      <c r="U3743" s="208">
        <f>IF($L$3694,$T3743,$N3743)</f>
        <v/>
      </c>
    </row>
    <row r="3744">
      <c r="A3744" s="145" t="n">
        <v>48</v>
      </c>
      <c r="B3744" s="204">
        <f>EDATE($B3743,1)</f>
        <v/>
      </c>
      <c r="C3744" s="205">
        <f>EOMONTH($B3744,0)</f>
        <v/>
      </c>
      <c r="D3744" s="201">
        <f>$C3744-$B3744+1</f>
        <v/>
      </c>
      <c r="E3744" s="201">
        <f>MONTH($B3744)</f>
        <v/>
      </c>
      <c r="F3744" s="235">
        <f>($B3744+$C3744+1)/2</f>
        <v/>
      </c>
      <c r="G3744" s="201">
        <f>YEAR($B3744)*12+MONTH($B3744)-1</f>
        <v/>
      </c>
      <c r="H3744" s="207">
        <f>IF(OR(nr_SeasonOn="OFF",$D$3694=0,$E$3694=0),1,12*INDEX(se_block,$D$3694,$E3744)/$E$3694)</f>
        <v/>
      </c>
      <c r="I3744" s="208">
        <f>EXP(SUMPRODUCT((rl_eff&lt;$B3744)*(rl_key=$A$3694)*rl_ln1p))</f>
        <v/>
      </c>
      <c r="J3744" s="208">
        <f>EXP(SUMPRODUCT((rl_eff&lt;=$C3744)*(rl_key=$A$3694)*rl_ln1p))</f>
        <v/>
      </c>
      <c r="K3744" s="201">
        <f>COUNTIFS(rl_key,$A$3694,rl_eff,"&gt;="&amp;$B3744,rl_eff,"&lt;="&amp;$C3744)</f>
        <v/>
      </c>
      <c r="L3744" s="201">
        <f>SUMIFS(rl_daysafter,rl_key,$A$3694,rl_effmonth,$B3744,rl_first,1)</f>
        <v/>
      </c>
      <c r="M3744" s="209">
        <f>IF($K3744=0,0,MIN(1,$L3744/$D3744))</f>
        <v/>
      </c>
      <c r="N3744" s="208">
        <f>IF($K3744=0,$J3744,(1-$M3744)*$I3744+$M3744*$J3744)</f>
        <v/>
      </c>
      <c r="O3744" s="209">
        <f>IF($F3744&lt;$B$3695,$E$3695+$I$3695*($F3744-$A$3695),IF($F3744&lt;$C$3695,$F$3695+$J$3695*($F3744-$B$3695),$G$3695+$K$3695*($F3744-$C$3695)))</f>
        <v/>
      </c>
      <c r="P3744" s="208">
        <f>MIN(1,MAX(0,(nr_MEndPm1-$G3744+0.5)/$C$3694))-MIN(1,MAX(0,(nr_MStartPm1-1-$G3744+0.5)/$C$3694))</f>
        <v/>
      </c>
      <c r="Q3744" s="208">
        <f>MIN(1,MAX(0,(nr_MEndP-$G3744+0.5)/$C$3694))-MIN(1,MAX(0,(nr_MStartP-1-$G3744+0.5)/$C$3694))</f>
        <v/>
      </c>
      <c r="R3744" s="208">
        <f>MIN(1,MAX(0,(nr_MEndP1-$G3744+0.5)/$C$3694))-MIN(1,MAX(0,(nr_MStartP1-1-$G3744+0.5)/$C$3694))</f>
        <v/>
      </c>
      <c r="S3744" s="208">
        <f>IF($L$3694,$N3744*IF($O$3694=1,$O3744/$F$3694,1),"")</f>
        <v/>
      </c>
      <c r="T3744" s="208">
        <f>IF(NOT($L$3694),"",IF($G3744&lt;nr_MStartP,$S3744,$T3732*(1+IF($G3744&lt;nr_MStartP1,$M$3694,$N$3694))))</f>
        <v/>
      </c>
      <c r="U3744" s="208">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184">
        <f>SUMPRODUCT($H$3697:$H$3744,$Q$3697:$Q$3744,$O$3697:$O$3744)/SUMPRODUCT($H$3697:$H$3744,$Q$3697:$Q$3744)</f>
        <v/>
      </c>
      <c r="G3745" s="184">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184">
        <f>IF(N(INDEX(lr_mind,69))=0,1,INDEX(lr_mind,69))</f>
        <v/>
      </c>
      <c r="G3748" s="184">
        <f>IF(N(INDEX(lr_m0,69))=0,1,INDEX(lr_m0,69))</f>
        <v/>
      </c>
      <c r="H3748" s="73">
        <f>IF(N(INDEX(lr_m0asof,69))=0,DATE(nr_PlanYear-1,10,1),INDEX(lr_m0asof,69))</f>
        <v/>
      </c>
      <c r="I3748" s="184">
        <f>IF(N(INDEX(lr_m1,69))=0,1,INDEX(lr_m1,69))</f>
        <v/>
      </c>
      <c r="J3748" s="184">
        <f>INDEX(lr_mprior,69)</f>
        <v/>
      </c>
      <c r="K3748" s="184">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145" t="n">
        <v>1</v>
      </c>
      <c r="B3751" s="204">
        <f>DATE(nr_PlanYear-2,1,1)</f>
        <v/>
      </c>
      <c r="C3751" s="205">
        <f>EOMONTH($B3751,0)</f>
        <v/>
      </c>
      <c r="D3751" s="201">
        <f>$C3751-$B3751+1</f>
        <v/>
      </c>
      <c r="E3751" s="201">
        <f>MONTH($B3751)</f>
        <v/>
      </c>
      <c r="F3751" s="235">
        <f>($B3751+$C3751+1)/2</f>
        <v/>
      </c>
      <c r="G3751" s="201">
        <f>YEAR($B3751)*12+MONTH($B3751)-1</f>
        <v/>
      </c>
      <c r="H3751" s="207">
        <f>IF(OR(nr_SeasonOn="OFF",$D$3748=0,$E$3748=0),1,12*INDEX(se_block,$D$3748,$E3751)/$E$3748)</f>
        <v/>
      </c>
      <c r="I3751" s="208">
        <f>EXP(SUMPRODUCT((rl_eff&lt;$B3751)*(rl_key=$A$3748)*rl_ln1p))</f>
        <v/>
      </c>
      <c r="J3751" s="208">
        <f>EXP(SUMPRODUCT((rl_eff&lt;=$C3751)*(rl_key=$A$3748)*rl_ln1p))</f>
        <v/>
      </c>
      <c r="K3751" s="201">
        <f>COUNTIFS(rl_key,$A$3748,rl_eff,"&gt;="&amp;$B3751,rl_eff,"&lt;="&amp;$C3751)</f>
        <v/>
      </c>
      <c r="L3751" s="201">
        <f>SUMIFS(rl_daysafter,rl_key,$A$3748,rl_effmonth,$B3751,rl_first,1)</f>
        <v/>
      </c>
      <c r="M3751" s="209">
        <f>IF($K3751=0,0,MIN(1,$L3751/$D3751))</f>
        <v/>
      </c>
      <c r="N3751" s="208">
        <f>IF($K3751=0,$J3751,(1-$M3751)*$I3751+$M3751*$J3751)</f>
        <v/>
      </c>
      <c r="O3751" s="209">
        <f>IF($F3751&lt;$B$3749,$E$3749+$I$3749*($F3751-$A$3749),IF($F3751&lt;$C$3749,$F$3749+$J$3749*($F3751-$B$3749),$G$3749+$K$3749*($F3751-$C$3749)))</f>
        <v/>
      </c>
      <c r="P3751" s="208">
        <f>MIN(1,MAX(0,(nr_MEndPm1-$G3751+0.5)/$C$3748))-MIN(1,MAX(0,(nr_MStartPm1-1-$G3751+0.5)/$C$3748))</f>
        <v/>
      </c>
      <c r="Q3751" s="208">
        <f>MIN(1,MAX(0,(nr_MEndP-$G3751+0.5)/$C$3748))-MIN(1,MAX(0,(nr_MStartP-1-$G3751+0.5)/$C$3748))</f>
        <v/>
      </c>
      <c r="R3751" s="208">
        <f>MIN(1,MAX(0,(nr_MEndP1-$G3751+0.5)/$C$3748))-MIN(1,MAX(0,(nr_MStartP1-1-$G3751+0.5)/$C$3748))</f>
        <v/>
      </c>
      <c r="S3751" s="208">
        <f>IF($L$3748,$N3751*IF($O$3748=1,$O3751/$F$3748,1),"")</f>
        <v/>
      </c>
      <c r="T3751" s="208">
        <f>IF(NOT($L$3748),"",IF($G3751&lt;nr_MStartP,$S3751,$T3739*(1+IF($G3751&lt;nr_MStartP1,$M$3748,$N$3748))))</f>
        <v/>
      </c>
      <c r="U3751" s="208">
        <f>IF($L$3748,$T3751,$N3751)</f>
        <v/>
      </c>
    </row>
    <row r="3752">
      <c r="A3752" s="145" t="n">
        <v>2</v>
      </c>
      <c r="B3752" s="204">
        <f>EDATE($B3751,1)</f>
        <v/>
      </c>
      <c r="C3752" s="205">
        <f>EOMONTH($B3752,0)</f>
        <v/>
      </c>
      <c r="D3752" s="201">
        <f>$C3752-$B3752+1</f>
        <v/>
      </c>
      <c r="E3752" s="201">
        <f>MONTH($B3752)</f>
        <v/>
      </c>
      <c r="F3752" s="235">
        <f>($B3752+$C3752+1)/2</f>
        <v/>
      </c>
      <c r="G3752" s="201">
        <f>YEAR($B3752)*12+MONTH($B3752)-1</f>
        <v/>
      </c>
      <c r="H3752" s="207">
        <f>IF(OR(nr_SeasonOn="OFF",$D$3748=0,$E$3748=0),1,12*INDEX(se_block,$D$3748,$E3752)/$E$3748)</f>
        <v/>
      </c>
      <c r="I3752" s="208">
        <f>EXP(SUMPRODUCT((rl_eff&lt;$B3752)*(rl_key=$A$3748)*rl_ln1p))</f>
        <v/>
      </c>
      <c r="J3752" s="208">
        <f>EXP(SUMPRODUCT((rl_eff&lt;=$C3752)*(rl_key=$A$3748)*rl_ln1p))</f>
        <v/>
      </c>
      <c r="K3752" s="201">
        <f>COUNTIFS(rl_key,$A$3748,rl_eff,"&gt;="&amp;$B3752,rl_eff,"&lt;="&amp;$C3752)</f>
        <v/>
      </c>
      <c r="L3752" s="201">
        <f>SUMIFS(rl_daysafter,rl_key,$A$3748,rl_effmonth,$B3752,rl_first,1)</f>
        <v/>
      </c>
      <c r="M3752" s="209">
        <f>IF($K3752=0,0,MIN(1,$L3752/$D3752))</f>
        <v/>
      </c>
      <c r="N3752" s="208">
        <f>IF($K3752=0,$J3752,(1-$M3752)*$I3752+$M3752*$J3752)</f>
        <v/>
      </c>
      <c r="O3752" s="209">
        <f>IF($F3752&lt;$B$3749,$E$3749+$I$3749*($F3752-$A$3749),IF($F3752&lt;$C$3749,$F$3749+$J$3749*($F3752-$B$3749),$G$3749+$K$3749*($F3752-$C$3749)))</f>
        <v/>
      </c>
      <c r="P3752" s="208">
        <f>MIN(1,MAX(0,(nr_MEndPm1-$G3752+0.5)/$C$3748))-MIN(1,MAX(0,(nr_MStartPm1-1-$G3752+0.5)/$C$3748))</f>
        <v/>
      </c>
      <c r="Q3752" s="208">
        <f>MIN(1,MAX(0,(nr_MEndP-$G3752+0.5)/$C$3748))-MIN(1,MAX(0,(nr_MStartP-1-$G3752+0.5)/$C$3748))</f>
        <v/>
      </c>
      <c r="R3752" s="208">
        <f>MIN(1,MAX(0,(nr_MEndP1-$G3752+0.5)/$C$3748))-MIN(1,MAX(0,(nr_MStartP1-1-$G3752+0.5)/$C$3748))</f>
        <v/>
      </c>
      <c r="S3752" s="208">
        <f>IF($L$3748,$N3752*IF($O$3748=1,$O3752/$F$3748,1),"")</f>
        <v/>
      </c>
      <c r="T3752" s="208">
        <f>IF(NOT($L$3748),"",IF($G3752&lt;nr_MStartP,$S3752,$T3740*(1+IF($G3752&lt;nr_MStartP1,$M$3748,$N$3748))))</f>
        <v/>
      </c>
      <c r="U3752" s="208">
        <f>IF($L$3748,$T3752,$N3752)</f>
        <v/>
      </c>
    </row>
    <row r="3753">
      <c r="A3753" s="145" t="n">
        <v>3</v>
      </c>
      <c r="B3753" s="204">
        <f>EDATE($B3752,1)</f>
        <v/>
      </c>
      <c r="C3753" s="205">
        <f>EOMONTH($B3753,0)</f>
        <v/>
      </c>
      <c r="D3753" s="201">
        <f>$C3753-$B3753+1</f>
        <v/>
      </c>
      <c r="E3753" s="201">
        <f>MONTH($B3753)</f>
        <v/>
      </c>
      <c r="F3753" s="235">
        <f>($B3753+$C3753+1)/2</f>
        <v/>
      </c>
      <c r="G3753" s="201">
        <f>YEAR($B3753)*12+MONTH($B3753)-1</f>
        <v/>
      </c>
      <c r="H3753" s="207">
        <f>IF(OR(nr_SeasonOn="OFF",$D$3748=0,$E$3748=0),1,12*INDEX(se_block,$D$3748,$E3753)/$E$3748)</f>
        <v/>
      </c>
      <c r="I3753" s="208">
        <f>EXP(SUMPRODUCT((rl_eff&lt;$B3753)*(rl_key=$A$3748)*rl_ln1p))</f>
        <v/>
      </c>
      <c r="J3753" s="208">
        <f>EXP(SUMPRODUCT((rl_eff&lt;=$C3753)*(rl_key=$A$3748)*rl_ln1p))</f>
        <v/>
      </c>
      <c r="K3753" s="201">
        <f>COUNTIFS(rl_key,$A$3748,rl_eff,"&gt;="&amp;$B3753,rl_eff,"&lt;="&amp;$C3753)</f>
        <v/>
      </c>
      <c r="L3753" s="201">
        <f>SUMIFS(rl_daysafter,rl_key,$A$3748,rl_effmonth,$B3753,rl_first,1)</f>
        <v/>
      </c>
      <c r="M3753" s="209">
        <f>IF($K3753=0,0,MIN(1,$L3753/$D3753))</f>
        <v/>
      </c>
      <c r="N3753" s="208">
        <f>IF($K3753=0,$J3753,(1-$M3753)*$I3753+$M3753*$J3753)</f>
        <v/>
      </c>
      <c r="O3753" s="209">
        <f>IF($F3753&lt;$B$3749,$E$3749+$I$3749*($F3753-$A$3749),IF($F3753&lt;$C$3749,$F$3749+$J$3749*($F3753-$B$3749),$G$3749+$K$3749*($F3753-$C$3749)))</f>
        <v/>
      </c>
      <c r="P3753" s="208">
        <f>MIN(1,MAX(0,(nr_MEndPm1-$G3753+0.5)/$C$3748))-MIN(1,MAX(0,(nr_MStartPm1-1-$G3753+0.5)/$C$3748))</f>
        <v/>
      </c>
      <c r="Q3753" s="208">
        <f>MIN(1,MAX(0,(nr_MEndP-$G3753+0.5)/$C$3748))-MIN(1,MAX(0,(nr_MStartP-1-$G3753+0.5)/$C$3748))</f>
        <v/>
      </c>
      <c r="R3753" s="208">
        <f>MIN(1,MAX(0,(nr_MEndP1-$G3753+0.5)/$C$3748))-MIN(1,MAX(0,(nr_MStartP1-1-$G3753+0.5)/$C$3748))</f>
        <v/>
      </c>
      <c r="S3753" s="208">
        <f>IF($L$3748,$N3753*IF($O$3748=1,$O3753/$F$3748,1),"")</f>
        <v/>
      </c>
      <c r="T3753" s="208">
        <f>IF(NOT($L$3748),"",IF($G3753&lt;nr_MStartP,$S3753,$T3741*(1+IF($G3753&lt;nr_MStartP1,$M$3748,$N$3748))))</f>
        <v/>
      </c>
      <c r="U3753" s="208">
        <f>IF($L$3748,$T3753,$N3753)</f>
        <v/>
      </c>
    </row>
    <row r="3754">
      <c r="A3754" s="145" t="n">
        <v>4</v>
      </c>
      <c r="B3754" s="204">
        <f>EDATE($B3753,1)</f>
        <v/>
      </c>
      <c r="C3754" s="205">
        <f>EOMONTH($B3754,0)</f>
        <v/>
      </c>
      <c r="D3754" s="201">
        <f>$C3754-$B3754+1</f>
        <v/>
      </c>
      <c r="E3754" s="201">
        <f>MONTH($B3754)</f>
        <v/>
      </c>
      <c r="F3754" s="235">
        <f>($B3754+$C3754+1)/2</f>
        <v/>
      </c>
      <c r="G3754" s="201">
        <f>YEAR($B3754)*12+MONTH($B3754)-1</f>
        <v/>
      </c>
      <c r="H3754" s="207">
        <f>IF(OR(nr_SeasonOn="OFF",$D$3748=0,$E$3748=0),1,12*INDEX(se_block,$D$3748,$E3754)/$E$3748)</f>
        <v/>
      </c>
      <c r="I3754" s="208">
        <f>EXP(SUMPRODUCT((rl_eff&lt;$B3754)*(rl_key=$A$3748)*rl_ln1p))</f>
        <v/>
      </c>
      <c r="J3754" s="208">
        <f>EXP(SUMPRODUCT((rl_eff&lt;=$C3754)*(rl_key=$A$3748)*rl_ln1p))</f>
        <v/>
      </c>
      <c r="K3754" s="201">
        <f>COUNTIFS(rl_key,$A$3748,rl_eff,"&gt;="&amp;$B3754,rl_eff,"&lt;="&amp;$C3754)</f>
        <v/>
      </c>
      <c r="L3754" s="201">
        <f>SUMIFS(rl_daysafter,rl_key,$A$3748,rl_effmonth,$B3754,rl_first,1)</f>
        <v/>
      </c>
      <c r="M3754" s="209">
        <f>IF($K3754=0,0,MIN(1,$L3754/$D3754))</f>
        <v/>
      </c>
      <c r="N3754" s="208">
        <f>IF($K3754=0,$J3754,(1-$M3754)*$I3754+$M3754*$J3754)</f>
        <v/>
      </c>
      <c r="O3754" s="209">
        <f>IF($F3754&lt;$B$3749,$E$3749+$I$3749*($F3754-$A$3749),IF($F3754&lt;$C$3749,$F$3749+$J$3749*($F3754-$B$3749),$G$3749+$K$3749*($F3754-$C$3749)))</f>
        <v/>
      </c>
      <c r="P3754" s="208">
        <f>MIN(1,MAX(0,(nr_MEndPm1-$G3754+0.5)/$C$3748))-MIN(1,MAX(0,(nr_MStartPm1-1-$G3754+0.5)/$C$3748))</f>
        <v/>
      </c>
      <c r="Q3754" s="208">
        <f>MIN(1,MAX(0,(nr_MEndP-$G3754+0.5)/$C$3748))-MIN(1,MAX(0,(nr_MStartP-1-$G3754+0.5)/$C$3748))</f>
        <v/>
      </c>
      <c r="R3754" s="208">
        <f>MIN(1,MAX(0,(nr_MEndP1-$G3754+0.5)/$C$3748))-MIN(1,MAX(0,(nr_MStartP1-1-$G3754+0.5)/$C$3748))</f>
        <v/>
      </c>
      <c r="S3754" s="208">
        <f>IF($L$3748,$N3754*IF($O$3748=1,$O3754/$F$3748,1),"")</f>
        <v/>
      </c>
      <c r="T3754" s="208">
        <f>IF(NOT($L$3748),"",IF($G3754&lt;nr_MStartP,$S3754,$T3742*(1+IF($G3754&lt;nr_MStartP1,$M$3748,$N$3748))))</f>
        <v/>
      </c>
      <c r="U3754" s="208">
        <f>IF($L$3748,$T3754,$N3754)</f>
        <v/>
      </c>
    </row>
    <row r="3755">
      <c r="A3755" s="145" t="n">
        <v>5</v>
      </c>
      <c r="B3755" s="204">
        <f>EDATE($B3754,1)</f>
        <v/>
      </c>
      <c r="C3755" s="205">
        <f>EOMONTH($B3755,0)</f>
        <v/>
      </c>
      <c r="D3755" s="201">
        <f>$C3755-$B3755+1</f>
        <v/>
      </c>
      <c r="E3755" s="201">
        <f>MONTH($B3755)</f>
        <v/>
      </c>
      <c r="F3755" s="235">
        <f>($B3755+$C3755+1)/2</f>
        <v/>
      </c>
      <c r="G3755" s="201">
        <f>YEAR($B3755)*12+MONTH($B3755)-1</f>
        <v/>
      </c>
      <c r="H3755" s="207">
        <f>IF(OR(nr_SeasonOn="OFF",$D$3748=0,$E$3748=0),1,12*INDEX(se_block,$D$3748,$E3755)/$E$3748)</f>
        <v/>
      </c>
      <c r="I3755" s="208">
        <f>EXP(SUMPRODUCT((rl_eff&lt;$B3755)*(rl_key=$A$3748)*rl_ln1p))</f>
        <v/>
      </c>
      <c r="J3755" s="208">
        <f>EXP(SUMPRODUCT((rl_eff&lt;=$C3755)*(rl_key=$A$3748)*rl_ln1p))</f>
        <v/>
      </c>
      <c r="K3755" s="201">
        <f>COUNTIFS(rl_key,$A$3748,rl_eff,"&gt;="&amp;$B3755,rl_eff,"&lt;="&amp;$C3755)</f>
        <v/>
      </c>
      <c r="L3755" s="201">
        <f>SUMIFS(rl_daysafter,rl_key,$A$3748,rl_effmonth,$B3755,rl_first,1)</f>
        <v/>
      </c>
      <c r="M3755" s="209">
        <f>IF($K3755=0,0,MIN(1,$L3755/$D3755))</f>
        <v/>
      </c>
      <c r="N3755" s="208">
        <f>IF($K3755=0,$J3755,(1-$M3755)*$I3755+$M3755*$J3755)</f>
        <v/>
      </c>
      <c r="O3755" s="209">
        <f>IF($F3755&lt;$B$3749,$E$3749+$I$3749*($F3755-$A$3749),IF($F3755&lt;$C$3749,$F$3749+$J$3749*($F3755-$B$3749),$G$3749+$K$3749*($F3755-$C$3749)))</f>
        <v/>
      </c>
      <c r="P3755" s="208">
        <f>MIN(1,MAX(0,(nr_MEndPm1-$G3755+0.5)/$C$3748))-MIN(1,MAX(0,(nr_MStartPm1-1-$G3755+0.5)/$C$3748))</f>
        <v/>
      </c>
      <c r="Q3755" s="208">
        <f>MIN(1,MAX(0,(nr_MEndP-$G3755+0.5)/$C$3748))-MIN(1,MAX(0,(nr_MStartP-1-$G3755+0.5)/$C$3748))</f>
        <v/>
      </c>
      <c r="R3755" s="208">
        <f>MIN(1,MAX(0,(nr_MEndP1-$G3755+0.5)/$C$3748))-MIN(1,MAX(0,(nr_MStartP1-1-$G3755+0.5)/$C$3748))</f>
        <v/>
      </c>
      <c r="S3755" s="208">
        <f>IF($L$3748,$N3755*IF($O$3748=1,$O3755/$F$3748,1),"")</f>
        <v/>
      </c>
      <c r="T3755" s="208">
        <f>IF(NOT($L$3748),"",IF($G3755&lt;nr_MStartP,$S3755,$T3743*(1+IF($G3755&lt;nr_MStartP1,$M$3748,$N$3748))))</f>
        <v/>
      </c>
      <c r="U3755" s="208">
        <f>IF($L$3748,$T3755,$N3755)</f>
        <v/>
      </c>
    </row>
    <row r="3756">
      <c r="A3756" s="145" t="n">
        <v>6</v>
      </c>
      <c r="B3756" s="204">
        <f>EDATE($B3755,1)</f>
        <v/>
      </c>
      <c r="C3756" s="205">
        <f>EOMONTH($B3756,0)</f>
        <v/>
      </c>
      <c r="D3756" s="201">
        <f>$C3756-$B3756+1</f>
        <v/>
      </c>
      <c r="E3756" s="201">
        <f>MONTH($B3756)</f>
        <v/>
      </c>
      <c r="F3756" s="235">
        <f>($B3756+$C3756+1)/2</f>
        <v/>
      </c>
      <c r="G3756" s="201">
        <f>YEAR($B3756)*12+MONTH($B3756)-1</f>
        <v/>
      </c>
      <c r="H3756" s="207">
        <f>IF(OR(nr_SeasonOn="OFF",$D$3748=0,$E$3748=0),1,12*INDEX(se_block,$D$3748,$E3756)/$E$3748)</f>
        <v/>
      </c>
      <c r="I3756" s="208">
        <f>EXP(SUMPRODUCT((rl_eff&lt;$B3756)*(rl_key=$A$3748)*rl_ln1p))</f>
        <v/>
      </c>
      <c r="J3756" s="208">
        <f>EXP(SUMPRODUCT((rl_eff&lt;=$C3756)*(rl_key=$A$3748)*rl_ln1p))</f>
        <v/>
      </c>
      <c r="K3756" s="201">
        <f>COUNTIFS(rl_key,$A$3748,rl_eff,"&gt;="&amp;$B3756,rl_eff,"&lt;="&amp;$C3756)</f>
        <v/>
      </c>
      <c r="L3756" s="201">
        <f>SUMIFS(rl_daysafter,rl_key,$A$3748,rl_effmonth,$B3756,rl_first,1)</f>
        <v/>
      </c>
      <c r="M3756" s="209">
        <f>IF($K3756=0,0,MIN(1,$L3756/$D3756))</f>
        <v/>
      </c>
      <c r="N3756" s="208">
        <f>IF($K3756=0,$J3756,(1-$M3756)*$I3756+$M3756*$J3756)</f>
        <v/>
      </c>
      <c r="O3756" s="209">
        <f>IF($F3756&lt;$B$3749,$E$3749+$I$3749*($F3756-$A$3749),IF($F3756&lt;$C$3749,$F$3749+$J$3749*($F3756-$B$3749),$G$3749+$K$3749*($F3756-$C$3749)))</f>
        <v/>
      </c>
      <c r="P3756" s="208">
        <f>MIN(1,MAX(0,(nr_MEndPm1-$G3756+0.5)/$C$3748))-MIN(1,MAX(0,(nr_MStartPm1-1-$G3756+0.5)/$C$3748))</f>
        <v/>
      </c>
      <c r="Q3756" s="208">
        <f>MIN(1,MAX(0,(nr_MEndP-$G3756+0.5)/$C$3748))-MIN(1,MAX(0,(nr_MStartP-1-$G3756+0.5)/$C$3748))</f>
        <v/>
      </c>
      <c r="R3756" s="208">
        <f>MIN(1,MAX(0,(nr_MEndP1-$G3756+0.5)/$C$3748))-MIN(1,MAX(0,(nr_MStartP1-1-$G3756+0.5)/$C$3748))</f>
        <v/>
      </c>
      <c r="S3756" s="208">
        <f>IF($L$3748,$N3756*IF($O$3748=1,$O3756/$F$3748,1),"")</f>
        <v/>
      </c>
      <c r="T3756" s="208">
        <f>IF(NOT($L$3748),"",IF($G3756&lt;nr_MStartP,$S3756,$T3744*(1+IF($G3756&lt;nr_MStartP1,$M$3748,$N$3748))))</f>
        <v/>
      </c>
      <c r="U3756" s="208">
        <f>IF($L$3748,$T3756,$N3756)</f>
        <v/>
      </c>
    </row>
    <row r="3757">
      <c r="A3757" s="145" t="n">
        <v>7</v>
      </c>
      <c r="B3757" s="204">
        <f>EDATE($B3756,1)</f>
        <v/>
      </c>
      <c r="C3757" s="205">
        <f>EOMONTH($B3757,0)</f>
        <v/>
      </c>
      <c r="D3757" s="201">
        <f>$C3757-$B3757+1</f>
        <v/>
      </c>
      <c r="E3757" s="201">
        <f>MONTH($B3757)</f>
        <v/>
      </c>
      <c r="F3757" s="235">
        <f>($B3757+$C3757+1)/2</f>
        <v/>
      </c>
      <c r="G3757" s="201">
        <f>YEAR($B3757)*12+MONTH($B3757)-1</f>
        <v/>
      </c>
      <c r="H3757" s="207">
        <f>IF(OR(nr_SeasonOn="OFF",$D$3748=0,$E$3748=0),1,12*INDEX(se_block,$D$3748,$E3757)/$E$3748)</f>
        <v/>
      </c>
      <c r="I3757" s="208">
        <f>EXP(SUMPRODUCT((rl_eff&lt;$B3757)*(rl_key=$A$3748)*rl_ln1p))</f>
        <v/>
      </c>
      <c r="J3757" s="208">
        <f>EXP(SUMPRODUCT((rl_eff&lt;=$C3757)*(rl_key=$A$3748)*rl_ln1p))</f>
        <v/>
      </c>
      <c r="K3757" s="201">
        <f>COUNTIFS(rl_key,$A$3748,rl_eff,"&gt;="&amp;$B3757,rl_eff,"&lt;="&amp;$C3757)</f>
        <v/>
      </c>
      <c r="L3757" s="201">
        <f>SUMIFS(rl_daysafter,rl_key,$A$3748,rl_effmonth,$B3757,rl_first,1)</f>
        <v/>
      </c>
      <c r="M3757" s="209">
        <f>IF($K3757=0,0,MIN(1,$L3757/$D3757))</f>
        <v/>
      </c>
      <c r="N3757" s="208">
        <f>IF($K3757=0,$J3757,(1-$M3757)*$I3757+$M3757*$J3757)</f>
        <v/>
      </c>
      <c r="O3757" s="209">
        <f>IF($F3757&lt;$B$3749,$E$3749+$I$3749*($F3757-$A$3749),IF($F3757&lt;$C$3749,$F$3749+$J$3749*($F3757-$B$3749),$G$3749+$K$3749*($F3757-$C$3749)))</f>
        <v/>
      </c>
      <c r="P3757" s="208">
        <f>MIN(1,MAX(0,(nr_MEndPm1-$G3757+0.5)/$C$3748))-MIN(1,MAX(0,(nr_MStartPm1-1-$G3757+0.5)/$C$3748))</f>
        <v/>
      </c>
      <c r="Q3757" s="208">
        <f>MIN(1,MAX(0,(nr_MEndP-$G3757+0.5)/$C$3748))-MIN(1,MAX(0,(nr_MStartP-1-$G3757+0.5)/$C$3748))</f>
        <v/>
      </c>
      <c r="R3757" s="208">
        <f>MIN(1,MAX(0,(nr_MEndP1-$G3757+0.5)/$C$3748))-MIN(1,MAX(0,(nr_MStartP1-1-$G3757+0.5)/$C$3748))</f>
        <v/>
      </c>
      <c r="S3757" s="208">
        <f>IF($L$3748,$N3757*IF($O$3748=1,$O3757/$F$3748,1),"")</f>
        <v/>
      </c>
      <c r="T3757" s="208">
        <f>IF(NOT($L$3748),"",IF($G3757&lt;nr_MStartP,$S3757,$T3745*(1+IF($G3757&lt;nr_MStartP1,$M$3748,$N$3748))))</f>
        <v/>
      </c>
      <c r="U3757" s="208">
        <f>IF($L$3748,$T3757,$N3757)</f>
        <v/>
      </c>
    </row>
    <row r="3758">
      <c r="A3758" s="145" t="n">
        <v>8</v>
      </c>
      <c r="B3758" s="204">
        <f>EDATE($B3757,1)</f>
        <v/>
      </c>
      <c r="C3758" s="205">
        <f>EOMONTH($B3758,0)</f>
        <v/>
      </c>
      <c r="D3758" s="201">
        <f>$C3758-$B3758+1</f>
        <v/>
      </c>
      <c r="E3758" s="201">
        <f>MONTH($B3758)</f>
        <v/>
      </c>
      <c r="F3758" s="235">
        <f>($B3758+$C3758+1)/2</f>
        <v/>
      </c>
      <c r="G3758" s="201">
        <f>YEAR($B3758)*12+MONTH($B3758)-1</f>
        <v/>
      </c>
      <c r="H3758" s="207">
        <f>IF(OR(nr_SeasonOn="OFF",$D$3748=0,$E$3748=0),1,12*INDEX(se_block,$D$3748,$E3758)/$E$3748)</f>
        <v/>
      </c>
      <c r="I3758" s="208">
        <f>EXP(SUMPRODUCT((rl_eff&lt;$B3758)*(rl_key=$A$3748)*rl_ln1p))</f>
        <v/>
      </c>
      <c r="J3758" s="208">
        <f>EXP(SUMPRODUCT((rl_eff&lt;=$C3758)*(rl_key=$A$3748)*rl_ln1p))</f>
        <v/>
      </c>
      <c r="K3758" s="201">
        <f>COUNTIFS(rl_key,$A$3748,rl_eff,"&gt;="&amp;$B3758,rl_eff,"&lt;="&amp;$C3758)</f>
        <v/>
      </c>
      <c r="L3758" s="201">
        <f>SUMIFS(rl_daysafter,rl_key,$A$3748,rl_effmonth,$B3758,rl_first,1)</f>
        <v/>
      </c>
      <c r="M3758" s="209">
        <f>IF($K3758=0,0,MIN(1,$L3758/$D3758))</f>
        <v/>
      </c>
      <c r="N3758" s="208">
        <f>IF($K3758=0,$J3758,(1-$M3758)*$I3758+$M3758*$J3758)</f>
        <v/>
      </c>
      <c r="O3758" s="209">
        <f>IF($F3758&lt;$B$3749,$E$3749+$I$3749*($F3758-$A$3749),IF($F3758&lt;$C$3749,$F$3749+$J$3749*($F3758-$B$3749),$G$3749+$K$3749*($F3758-$C$3749)))</f>
        <v/>
      </c>
      <c r="P3758" s="208">
        <f>MIN(1,MAX(0,(nr_MEndPm1-$G3758+0.5)/$C$3748))-MIN(1,MAX(0,(nr_MStartPm1-1-$G3758+0.5)/$C$3748))</f>
        <v/>
      </c>
      <c r="Q3758" s="208">
        <f>MIN(1,MAX(0,(nr_MEndP-$G3758+0.5)/$C$3748))-MIN(1,MAX(0,(nr_MStartP-1-$G3758+0.5)/$C$3748))</f>
        <v/>
      </c>
      <c r="R3758" s="208">
        <f>MIN(1,MAX(0,(nr_MEndP1-$G3758+0.5)/$C$3748))-MIN(1,MAX(0,(nr_MStartP1-1-$G3758+0.5)/$C$3748))</f>
        <v/>
      </c>
      <c r="S3758" s="208">
        <f>IF($L$3748,$N3758*IF($O$3748=1,$O3758/$F$3748,1),"")</f>
        <v/>
      </c>
      <c r="T3758" s="208">
        <f>IF(NOT($L$3748),"",IF($G3758&lt;nr_MStartP,$S3758,$T3746*(1+IF($G3758&lt;nr_MStartP1,$M$3748,$N$3748))))</f>
        <v/>
      </c>
      <c r="U3758" s="208">
        <f>IF($L$3748,$T3758,$N3758)</f>
        <v/>
      </c>
    </row>
    <row r="3759">
      <c r="A3759" s="145" t="n">
        <v>9</v>
      </c>
      <c r="B3759" s="204">
        <f>EDATE($B3758,1)</f>
        <v/>
      </c>
      <c r="C3759" s="205">
        <f>EOMONTH($B3759,0)</f>
        <v/>
      </c>
      <c r="D3759" s="201">
        <f>$C3759-$B3759+1</f>
        <v/>
      </c>
      <c r="E3759" s="201">
        <f>MONTH($B3759)</f>
        <v/>
      </c>
      <c r="F3759" s="235">
        <f>($B3759+$C3759+1)/2</f>
        <v/>
      </c>
      <c r="G3759" s="201">
        <f>YEAR($B3759)*12+MONTH($B3759)-1</f>
        <v/>
      </c>
      <c r="H3759" s="207">
        <f>IF(OR(nr_SeasonOn="OFF",$D$3748=0,$E$3748=0),1,12*INDEX(se_block,$D$3748,$E3759)/$E$3748)</f>
        <v/>
      </c>
      <c r="I3759" s="208">
        <f>EXP(SUMPRODUCT((rl_eff&lt;$B3759)*(rl_key=$A$3748)*rl_ln1p))</f>
        <v/>
      </c>
      <c r="J3759" s="208">
        <f>EXP(SUMPRODUCT((rl_eff&lt;=$C3759)*(rl_key=$A$3748)*rl_ln1p))</f>
        <v/>
      </c>
      <c r="K3759" s="201">
        <f>COUNTIFS(rl_key,$A$3748,rl_eff,"&gt;="&amp;$B3759,rl_eff,"&lt;="&amp;$C3759)</f>
        <v/>
      </c>
      <c r="L3759" s="201">
        <f>SUMIFS(rl_daysafter,rl_key,$A$3748,rl_effmonth,$B3759,rl_first,1)</f>
        <v/>
      </c>
      <c r="M3759" s="209">
        <f>IF($K3759=0,0,MIN(1,$L3759/$D3759))</f>
        <v/>
      </c>
      <c r="N3759" s="208">
        <f>IF($K3759=0,$J3759,(1-$M3759)*$I3759+$M3759*$J3759)</f>
        <v/>
      </c>
      <c r="O3759" s="209">
        <f>IF($F3759&lt;$B$3749,$E$3749+$I$3749*($F3759-$A$3749),IF($F3759&lt;$C$3749,$F$3749+$J$3749*($F3759-$B$3749),$G$3749+$K$3749*($F3759-$C$3749)))</f>
        <v/>
      </c>
      <c r="P3759" s="208">
        <f>MIN(1,MAX(0,(nr_MEndPm1-$G3759+0.5)/$C$3748))-MIN(1,MAX(0,(nr_MStartPm1-1-$G3759+0.5)/$C$3748))</f>
        <v/>
      </c>
      <c r="Q3759" s="208">
        <f>MIN(1,MAX(0,(nr_MEndP-$G3759+0.5)/$C$3748))-MIN(1,MAX(0,(nr_MStartP-1-$G3759+0.5)/$C$3748))</f>
        <v/>
      </c>
      <c r="R3759" s="208">
        <f>MIN(1,MAX(0,(nr_MEndP1-$G3759+0.5)/$C$3748))-MIN(1,MAX(0,(nr_MStartP1-1-$G3759+0.5)/$C$3748))</f>
        <v/>
      </c>
      <c r="S3759" s="208">
        <f>IF($L$3748,$N3759*IF($O$3748=1,$O3759/$F$3748,1),"")</f>
        <v/>
      </c>
      <c r="T3759" s="208">
        <f>IF(NOT($L$3748),"",IF($G3759&lt;nr_MStartP,$S3759,$T3747*(1+IF($G3759&lt;nr_MStartP1,$M$3748,$N$3748))))</f>
        <v/>
      </c>
      <c r="U3759" s="208">
        <f>IF($L$3748,$T3759,$N3759)</f>
        <v/>
      </c>
    </row>
    <row r="3760">
      <c r="A3760" s="145" t="n">
        <v>10</v>
      </c>
      <c r="B3760" s="204">
        <f>EDATE($B3759,1)</f>
        <v/>
      </c>
      <c r="C3760" s="205">
        <f>EOMONTH($B3760,0)</f>
        <v/>
      </c>
      <c r="D3760" s="201">
        <f>$C3760-$B3760+1</f>
        <v/>
      </c>
      <c r="E3760" s="201">
        <f>MONTH($B3760)</f>
        <v/>
      </c>
      <c r="F3760" s="235">
        <f>($B3760+$C3760+1)/2</f>
        <v/>
      </c>
      <c r="G3760" s="201">
        <f>YEAR($B3760)*12+MONTH($B3760)-1</f>
        <v/>
      </c>
      <c r="H3760" s="207">
        <f>IF(OR(nr_SeasonOn="OFF",$D$3748=0,$E$3748=0),1,12*INDEX(se_block,$D$3748,$E3760)/$E$3748)</f>
        <v/>
      </c>
      <c r="I3760" s="208">
        <f>EXP(SUMPRODUCT((rl_eff&lt;$B3760)*(rl_key=$A$3748)*rl_ln1p))</f>
        <v/>
      </c>
      <c r="J3760" s="208">
        <f>EXP(SUMPRODUCT((rl_eff&lt;=$C3760)*(rl_key=$A$3748)*rl_ln1p))</f>
        <v/>
      </c>
      <c r="K3760" s="201">
        <f>COUNTIFS(rl_key,$A$3748,rl_eff,"&gt;="&amp;$B3760,rl_eff,"&lt;="&amp;$C3760)</f>
        <v/>
      </c>
      <c r="L3760" s="201">
        <f>SUMIFS(rl_daysafter,rl_key,$A$3748,rl_effmonth,$B3760,rl_first,1)</f>
        <v/>
      </c>
      <c r="M3760" s="209">
        <f>IF($K3760=0,0,MIN(1,$L3760/$D3760))</f>
        <v/>
      </c>
      <c r="N3760" s="208">
        <f>IF($K3760=0,$J3760,(1-$M3760)*$I3760+$M3760*$J3760)</f>
        <v/>
      </c>
      <c r="O3760" s="209">
        <f>IF($F3760&lt;$B$3749,$E$3749+$I$3749*($F3760-$A$3749),IF($F3760&lt;$C$3749,$F$3749+$J$3749*($F3760-$B$3749),$G$3749+$K$3749*($F3760-$C$3749)))</f>
        <v/>
      </c>
      <c r="P3760" s="208">
        <f>MIN(1,MAX(0,(nr_MEndPm1-$G3760+0.5)/$C$3748))-MIN(1,MAX(0,(nr_MStartPm1-1-$G3760+0.5)/$C$3748))</f>
        <v/>
      </c>
      <c r="Q3760" s="208">
        <f>MIN(1,MAX(0,(nr_MEndP-$G3760+0.5)/$C$3748))-MIN(1,MAX(0,(nr_MStartP-1-$G3760+0.5)/$C$3748))</f>
        <v/>
      </c>
      <c r="R3760" s="208">
        <f>MIN(1,MAX(0,(nr_MEndP1-$G3760+0.5)/$C$3748))-MIN(1,MAX(0,(nr_MStartP1-1-$G3760+0.5)/$C$3748))</f>
        <v/>
      </c>
      <c r="S3760" s="208">
        <f>IF($L$3748,$N3760*IF($O$3748=1,$O3760/$F$3748,1),"")</f>
        <v/>
      </c>
      <c r="T3760" s="208">
        <f>IF(NOT($L$3748),"",IF($G3760&lt;nr_MStartP,$S3760,$T3748*(1+IF($G3760&lt;nr_MStartP1,$M$3748,$N$3748))))</f>
        <v/>
      </c>
      <c r="U3760" s="208">
        <f>IF($L$3748,$T3760,$N3760)</f>
        <v/>
      </c>
    </row>
    <row r="3761">
      <c r="A3761" s="145" t="n">
        <v>11</v>
      </c>
      <c r="B3761" s="204">
        <f>EDATE($B3760,1)</f>
        <v/>
      </c>
      <c r="C3761" s="205">
        <f>EOMONTH($B3761,0)</f>
        <v/>
      </c>
      <c r="D3761" s="201">
        <f>$C3761-$B3761+1</f>
        <v/>
      </c>
      <c r="E3761" s="201">
        <f>MONTH($B3761)</f>
        <v/>
      </c>
      <c r="F3761" s="235">
        <f>($B3761+$C3761+1)/2</f>
        <v/>
      </c>
      <c r="G3761" s="201">
        <f>YEAR($B3761)*12+MONTH($B3761)-1</f>
        <v/>
      </c>
      <c r="H3761" s="207">
        <f>IF(OR(nr_SeasonOn="OFF",$D$3748=0,$E$3748=0),1,12*INDEX(se_block,$D$3748,$E3761)/$E$3748)</f>
        <v/>
      </c>
      <c r="I3761" s="208">
        <f>EXP(SUMPRODUCT((rl_eff&lt;$B3761)*(rl_key=$A$3748)*rl_ln1p))</f>
        <v/>
      </c>
      <c r="J3761" s="208">
        <f>EXP(SUMPRODUCT((rl_eff&lt;=$C3761)*(rl_key=$A$3748)*rl_ln1p))</f>
        <v/>
      </c>
      <c r="K3761" s="201">
        <f>COUNTIFS(rl_key,$A$3748,rl_eff,"&gt;="&amp;$B3761,rl_eff,"&lt;="&amp;$C3761)</f>
        <v/>
      </c>
      <c r="L3761" s="201">
        <f>SUMIFS(rl_daysafter,rl_key,$A$3748,rl_effmonth,$B3761,rl_first,1)</f>
        <v/>
      </c>
      <c r="M3761" s="209">
        <f>IF($K3761=0,0,MIN(1,$L3761/$D3761))</f>
        <v/>
      </c>
      <c r="N3761" s="208">
        <f>IF($K3761=0,$J3761,(1-$M3761)*$I3761+$M3761*$J3761)</f>
        <v/>
      </c>
      <c r="O3761" s="209">
        <f>IF($F3761&lt;$B$3749,$E$3749+$I$3749*($F3761-$A$3749),IF($F3761&lt;$C$3749,$F$3749+$J$3749*($F3761-$B$3749),$G$3749+$K$3749*($F3761-$C$3749)))</f>
        <v/>
      </c>
      <c r="P3761" s="208">
        <f>MIN(1,MAX(0,(nr_MEndPm1-$G3761+0.5)/$C$3748))-MIN(1,MAX(0,(nr_MStartPm1-1-$G3761+0.5)/$C$3748))</f>
        <v/>
      </c>
      <c r="Q3761" s="208">
        <f>MIN(1,MAX(0,(nr_MEndP-$G3761+0.5)/$C$3748))-MIN(1,MAX(0,(nr_MStartP-1-$G3761+0.5)/$C$3748))</f>
        <v/>
      </c>
      <c r="R3761" s="208">
        <f>MIN(1,MAX(0,(nr_MEndP1-$G3761+0.5)/$C$3748))-MIN(1,MAX(0,(nr_MStartP1-1-$G3761+0.5)/$C$3748))</f>
        <v/>
      </c>
      <c r="S3761" s="208">
        <f>IF($L$3748,$N3761*IF($O$3748=1,$O3761/$F$3748,1),"")</f>
        <v/>
      </c>
      <c r="T3761" s="208">
        <f>IF(NOT($L$3748),"",IF($G3761&lt;nr_MStartP,$S3761,$T3749*(1+IF($G3761&lt;nr_MStartP1,$M$3748,$N$3748))))</f>
        <v/>
      </c>
      <c r="U3761" s="208">
        <f>IF($L$3748,$T3761,$N3761)</f>
        <v/>
      </c>
    </row>
    <row r="3762">
      <c r="A3762" s="145" t="n">
        <v>12</v>
      </c>
      <c r="B3762" s="204">
        <f>EDATE($B3761,1)</f>
        <v/>
      </c>
      <c r="C3762" s="205">
        <f>EOMONTH($B3762,0)</f>
        <v/>
      </c>
      <c r="D3762" s="201">
        <f>$C3762-$B3762+1</f>
        <v/>
      </c>
      <c r="E3762" s="201">
        <f>MONTH($B3762)</f>
        <v/>
      </c>
      <c r="F3762" s="235">
        <f>($B3762+$C3762+1)/2</f>
        <v/>
      </c>
      <c r="G3762" s="201">
        <f>YEAR($B3762)*12+MONTH($B3762)-1</f>
        <v/>
      </c>
      <c r="H3762" s="207">
        <f>IF(OR(nr_SeasonOn="OFF",$D$3748=0,$E$3748=0),1,12*INDEX(se_block,$D$3748,$E3762)/$E$3748)</f>
        <v/>
      </c>
      <c r="I3762" s="208">
        <f>EXP(SUMPRODUCT((rl_eff&lt;$B3762)*(rl_key=$A$3748)*rl_ln1p))</f>
        <v/>
      </c>
      <c r="J3762" s="208">
        <f>EXP(SUMPRODUCT((rl_eff&lt;=$C3762)*(rl_key=$A$3748)*rl_ln1p))</f>
        <v/>
      </c>
      <c r="K3762" s="201">
        <f>COUNTIFS(rl_key,$A$3748,rl_eff,"&gt;="&amp;$B3762,rl_eff,"&lt;="&amp;$C3762)</f>
        <v/>
      </c>
      <c r="L3762" s="201">
        <f>SUMIFS(rl_daysafter,rl_key,$A$3748,rl_effmonth,$B3762,rl_first,1)</f>
        <v/>
      </c>
      <c r="M3762" s="209">
        <f>IF($K3762=0,0,MIN(1,$L3762/$D3762))</f>
        <v/>
      </c>
      <c r="N3762" s="208">
        <f>IF($K3762=0,$J3762,(1-$M3762)*$I3762+$M3762*$J3762)</f>
        <v/>
      </c>
      <c r="O3762" s="209">
        <f>IF($F3762&lt;$B$3749,$E$3749+$I$3749*($F3762-$A$3749),IF($F3762&lt;$C$3749,$F$3749+$J$3749*($F3762-$B$3749),$G$3749+$K$3749*($F3762-$C$3749)))</f>
        <v/>
      </c>
      <c r="P3762" s="208">
        <f>MIN(1,MAX(0,(nr_MEndPm1-$G3762+0.5)/$C$3748))-MIN(1,MAX(0,(nr_MStartPm1-1-$G3762+0.5)/$C$3748))</f>
        <v/>
      </c>
      <c r="Q3762" s="208">
        <f>MIN(1,MAX(0,(nr_MEndP-$G3762+0.5)/$C$3748))-MIN(1,MAX(0,(nr_MStartP-1-$G3762+0.5)/$C$3748))</f>
        <v/>
      </c>
      <c r="R3762" s="208">
        <f>MIN(1,MAX(0,(nr_MEndP1-$G3762+0.5)/$C$3748))-MIN(1,MAX(0,(nr_MStartP1-1-$G3762+0.5)/$C$3748))</f>
        <v/>
      </c>
      <c r="S3762" s="208">
        <f>IF($L$3748,$N3762*IF($O$3748=1,$O3762/$F$3748,1),"")</f>
        <v/>
      </c>
      <c r="T3762" s="208">
        <f>IF(NOT($L$3748),"",IF($G3762&lt;nr_MStartP,$S3762,$T3750*(1+IF($G3762&lt;nr_MStartP1,$M$3748,$N$3748))))</f>
        <v/>
      </c>
      <c r="U3762" s="208">
        <f>IF($L$3748,$T3762,$N3762)</f>
        <v/>
      </c>
    </row>
    <row r="3763">
      <c r="A3763" s="145" t="n">
        <v>13</v>
      </c>
      <c r="B3763" s="204">
        <f>EDATE($B3762,1)</f>
        <v/>
      </c>
      <c r="C3763" s="205">
        <f>EOMONTH($B3763,0)</f>
        <v/>
      </c>
      <c r="D3763" s="201">
        <f>$C3763-$B3763+1</f>
        <v/>
      </c>
      <c r="E3763" s="201">
        <f>MONTH($B3763)</f>
        <v/>
      </c>
      <c r="F3763" s="235">
        <f>($B3763+$C3763+1)/2</f>
        <v/>
      </c>
      <c r="G3763" s="201">
        <f>YEAR($B3763)*12+MONTH($B3763)-1</f>
        <v/>
      </c>
      <c r="H3763" s="207">
        <f>IF(OR(nr_SeasonOn="OFF",$D$3748=0,$E$3748=0),1,12*INDEX(se_block,$D$3748,$E3763)/$E$3748)</f>
        <v/>
      </c>
      <c r="I3763" s="208">
        <f>EXP(SUMPRODUCT((rl_eff&lt;$B3763)*(rl_key=$A$3748)*rl_ln1p))</f>
        <v/>
      </c>
      <c r="J3763" s="208">
        <f>EXP(SUMPRODUCT((rl_eff&lt;=$C3763)*(rl_key=$A$3748)*rl_ln1p))</f>
        <v/>
      </c>
      <c r="K3763" s="201">
        <f>COUNTIFS(rl_key,$A$3748,rl_eff,"&gt;="&amp;$B3763,rl_eff,"&lt;="&amp;$C3763)</f>
        <v/>
      </c>
      <c r="L3763" s="201">
        <f>SUMIFS(rl_daysafter,rl_key,$A$3748,rl_effmonth,$B3763,rl_first,1)</f>
        <v/>
      </c>
      <c r="M3763" s="209">
        <f>IF($K3763=0,0,MIN(1,$L3763/$D3763))</f>
        <v/>
      </c>
      <c r="N3763" s="208">
        <f>IF($K3763=0,$J3763,(1-$M3763)*$I3763+$M3763*$J3763)</f>
        <v/>
      </c>
      <c r="O3763" s="209">
        <f>IF($F3763&lt;$B$3749,$E$3749+$I$3749*($F3763-$A$3749),IF($F3763&lt;$C$3749,$F$3749+$J$3749*($F3763-$B$3749),$G$3749+$K$3749*($F3763-$C$3749)))</f>
        <v/>
      </c>
      <c r="P3763" s="208">
        <f>MIN(1,MAX(0,(nr_MEndPm1-$G3763+0.5)/$C$3748))-MIN(1,MAX(0,(nr_MStartPm1-1-$G3763+0.5)/$C$3748))</f>
        <v/>
      </c>
      <c r="Q3763" s="208">
        <f>MIN(1,MAX(0,(nr_MEndP-$G3763+0.5)/$C$3748))-MIN(1,MAX(0,(nr_MStartP-1-$G3763+0.5)/$C$3748))</f>
        <v/>
      </c>
      <c r="R3763" s="208">
        <f>MIN(1,MAX(0,(nr_MEndP1-$G3763+0.5)/$C$3748))-MIN(1,MAX(0,(nr_MStartP1-1-$G3763+0.5)/$C$3748))</f>
        <v/>
      </c>
      <c r="S3763" s="208">
        <f>IF($L$3748,$N3763*IF($O$3748=1,$O3763/$F$3748,1),"")</f>
        <v/>
      </c>
      <c r="T3763" s="208">
        <f>IF(NOT($L$3748),"",IF($G3763&lt;nr_MStartP,$S3763,$T3751*(1+IF($G3763&lt;nr_MStartP1,$M$3748,$N$3748))))</f>
        <v/>
      </c>
      <c r="U3763" s="208">
        <f>IF($L$3748,$T3763,$N3763)</f>
        <v/>
      </c>
    </row>
    <row r="3764">
      <c r="A3764" s="145" t="n">
        <v>14</v>
      </c>
      <c r="B3764" s="204">
        <f>EDATE($B3763,1)</f>
        <v/>
      </c>
      <c r="C3764" s="205">
        <f>EOMONTH($B3764,0)</f>
        <v/>
      </c>
      <c r="D3764" s="201">
        <f>$C3764-$B3764+1</f>
        <v/>
      </c>
      <c r="E3764" s="201">
        <f>MONTH($B3764)</f>
        <v/>
      </c>
      <c r="F3764" s="235">
        <f>($B3764+$C3764+1)/2</f>
        <v/>
      </c>
      <c r="G3764" s="201">
        <f>YEAR($B3764)*12+MONTH($B3764)-1</f>
        <v/>
      </c>
      <c r="H3764" s="207">
        <f>IF(OR(nr_SeasonOn="OFF",$D$3748=0,$E$3748=0),1,12*INDEX(se_block,$D$3748,$E3764)/$E$3748)</f>
        <v/>
      </c>
      <c r="I3764" s="208">
        <f>EXP(SUMPRODUCT((rl_eff&lt;$B3764)*(rl_key=$A$3748)*rl_ln1p))</f>
        <v/>
      </c>
      <c r="J3764" s="208">
        <f>EXP(SUMPRODUCT((rl_eff&lt;=$C3764)*(rl_key=$A$3748)*rl_ln1p))</f>
        <v/>
      </c>
      <c r="K3764" s="201">
        <f>COUNTIFS(rl_key,$A$3748,rl_eff,"&gt;="&amp;$B3764,rl_eff,"&lt;="&amp;$C3764)</f>
        <v/>
      </c>
      <c r="L3764" s="201">
        <f>SUMIFS(rl_daysafter,rl_key,$A$3748,rl_effmonth,$B3764,rl_first,1)</f>
        <v/>
      </c>
      <c r="M3764" s="209">
        <f>IF($K3764=0,0,MIN(1,$L3764/$D3764))</f>
        <v/>
      </c>
      <c r="N3764" s="208">
        <f>IF($K3764=0,$J3764,(1-$M3764)*$I3764+$M3764*$J3764)</f>
        <v/>
      </c>
      <c r="O3764" s="209">
        <f>IF($F3764&lt;$B$3749,$E$3749+$I$3749*($F3764-$A$3749),IF($F3764&lt;$C$3749,$F$3749+$J$3749*($F3764-$B$3749),$G$3749+$K$3749*($F3764-$C$3749)))</f>
        <v/>
      </c>
      <c r="P3764" s="208">
        <f>MIN(1,MAX(0,(nr_MEndPm1-$G3764+0.5)/$C$3748))-MIN(1,MAX(0,(nr_MStartPm1-1-$G3764+0.5)/$C$3748))</f>
        <v/>
      </c>
      <c r="Q3764" s="208">
        <f>MIN(1,MAX(0,(nr_MEndP-$G3764+0.5)/$C$3748))-MIN(1,MAX(0,(nr_MStartP-1-$G3764+0.5)/$C$3748))</f>
        <v/>
      </c>
      <c r="R3764" s="208">
        <f>MIN(1,MAX(0,(nr_MEndP1-$G3764+0.5)/$C$3748))-MIN(1,MAX(0,(nr_MStartP1-1-$G3764+0.5)/$C$3748))</f>
        <v/>
      </c>
      <c r="S3764" s="208">
        <f>IF($L$3748,$N3764*IF($O$3748=1,$O3764/$F$3748,1),"")</f>
        <v/>
      </c>
      <c r="T3764" s="208">
        <f>IF(NOT($L$3748),"",IF($G3764&lt;nr_MStartP,$S3764,$T3752*(1+IF($G3764&lt;nr_MStartP1,$M$3748,$N$3748))))</f>
        <v/>
      </c>
      <c r="U3764" s="208">
        <f>IF($L$3748,$T3764,$N3764)</f>
        <v/>
      </c>
    </row>
    <row r="3765">
      <c r="A3765" s="145" t="n">
        <v>15</v>
      </c>
      <c r="B3765" s="204">
        <f>EDATE($B3764,1)</f>
        <v/>
      </c>
      <c r="C3765" s="205">
        <f>EOMONTH($B3765,0)</f>
        <v/>
      </c>
      <c r="D3765" s="201">
        <f>$C3765-$B3765+1</f>
        <v/>
      </c>
      <c r="E3765" s="201">
        <f>MONTH($B3765)</f>
        <v/>
      </c>
      <c r="F3765" s="235">
        <f>($B3765+$C3765+1)/2</f>
        <v/>
      </c>
      <c r="G3765" s="201">
        <f>YEAR($B3765)*12+MONTH($B3765)-1</f>
        <v/>
      </c>
      <c r="H3765" s="207">
        <f>IF(OR(nr_SeasonOn="OFF",$D$3748=0,$E$3748=0),1,12*INDEX(se_block,$D$3748,$E3765)/$E$3748)</f>
        <v/>
      </c>
      <c r="I3765" s="208">
        <f>EXP(SUMPRODUCT((rl_eff&lt;$B3765)*(rl_key=$A$3748)*rl_ln1p))</f>
        <v/>
      </c>
      <c r="J3765" s="208">
        <f>EXP(SUMPRODUCT((rl_eff&lt;=$C3765)*(rl_key=$A$3748)*rl_ln1p))</f>
        <v/>
      </c>
      <c r="K3765" s="201">
        <f>COUNTIFS(rl_key,$A$3748,rl_eff,"&gt;="&amp;$B3765,rl_eff,"&lt;="&amp;$C3765)</f>
        <v/>
      </c>
      <c r="L3765" s="201">
        <f>SUMIFS(rl_daysafter,rl_key,$A$3748,rl_effmonth,$B3765,rl_first,1)</f>
        <v/>
      </c>
      <c r="M3765" s="209">
        <f>IF($K3765=0,0,MIN(1,$L3765/$D3765))</f>
        <v/>
      </c>
      <c r="N3765" s="208">
        <f>IF($K3765=0,$J3765,(1-$M3765)*$I3765+$M3765*$J3765)</f>
        <v/>
      </c>
      <c r="O3765" s="209">
        <f>IF($F3765&lt;$B$3749,$E$3749+$I$3749*($F3765-$A$3749),IF($F3765&lt;$C$3749,$F$3749+$J$3749*($F3765-$B$3749),$G$3749+$K$3749*($F3765-$C$3749)))</f>
        <v/>
      </c>
      <c r="P3765" s="208">
        <f>MIN(1,MAX(0,(nr_MEndPm1-$G3765+0.5)/$C$3748))-MIN(1,MAX(0,(nr_MStartPm1-1-$G3765+0.5)/$C$3748))</f>
        <v/>
      </c>
      <c r="Q3765" s="208">
        <f>MIN(1,MAX(0,(nr_MEndP-$G3765+0.5)/$C$3748))-MIN(1,MAX(0,(nr_MStartP-1-$G3765+0.5)/$C$3748))</f>
        <v/>
      </c>
      <c r="R3765" s="208">
        <f>MIN(1,MAX(0,(nr_MEndP1-$G3765+0.5)/$C$3748))-MIN(1,MAX(0,(nr_MStartP1-1-$G3765+0.5)/$C$3748))</f>
        <v/>
      </c>
      <c r="S3765" s="208">
        <f>IF($L$3748,$N3765*IF($O$3748=1,$O3765/$F$3748,1),"")</f>
        <v/>
      </c>
      <c r="T3765" s="208">
        <f>IF(NOT($L$3748),"",IF($G3765&lt;nr_MStartP,$S3765,$T3753*(1+IF($G3765&lt;nr_MStartP1,$M$3748,$N$3748))))</f>
        <v/>
      </c>
      <c r="U3765" s="208">
        <f>IF($L$3748,$T3765,$N3765)</f>
        <v/>
      </c>
    </row>
    <row r="3766">
      <c r="A3766" s="145" t="n">
        <v>16</v>
      </c>
      <c r="B3766" s="204">
        <f>EDATE($B3765,1)</f>
        <v/>
      </c>
      <c r="C3766" s="205">
        <f>EOMONTH($B3766,0)</f>
        <v/>
      </c>
      <c r="D3766" s="201">
        <f>$C3766-$B3766+1</f>
        <v/>
      </c>
      <c r="E3766" s="201">
        <f>MONTH($B3766)</f>
        <v/>
      </c>
      <c r="F3766" s="235">
        <f>($B3766+$C3766+1)/2</f>
        <v/>
      </c>
      <c r="G3766" s="201">
        <f>YEAR($B3766)*12+MONTH($B3766)-1</f>
        <v/>
      </c>
      <c r="H3766" s="207">
        <f>IF(OR(nr_SeasonOn="OFF",$D$3748=0,$E$3748=0),1,12*INDEX(se_block,$D$3748,$E3766)/$E$3748)</f>
        <v/>
      </c>
      <c r="I3766" s="208">
        <f>EXP(SUMPRODUCT((rl_eff&lt;$B3766)*(rl_key=$A$3748)*rl_ln1p))</f>
        <v/>
      </c>
      <c r="J3766" s="208">
        <f>EXP(SUMPRODUCT((rl_eff&lt;=$C3766)*(rl_key=$A$3748)*rl_ln1p))</f>
        <v/>
      </c>
      <c r="K3766" s="201">
        <f>COUNTIFS(rl_key,$A$3748,rl_eff,"&gt;="&amp;$B3766,rl_eff,"&lt;="&amp;$C3766)</f>
        <v/>
      </c>
      <c r="L3766" s="201">
        <f>SUMIFS(rl_daysafter,rl_key,$A$3748,rl_effmonth,$B3766,rl_first,1)</f>
        <v/>
      </c>
      <c r="M3766" s="209">
        <f>IF($K3766=0,0,MIN(1,$L3766/$D3766))</f>
        <v/>
      </c>
      <c r="N3766" s="208">
        <f>IF($K3766=0,$J3766,(1-$M3766)*$I3766+$M3766*$J3766)</f>
        <v/>
      </c>
      <c r="O3766" s="209">
        <f>IF($F3766&lt;$B$3749,$E$3749+$I$3749*($F3766-$A$3749),IF($F3766&lt;$C$3749,$F$3749+$J$3749*($F3766-$B$3749),$G$3749+$K$3749*($F3766-$C$3749)))</f>
        <v/>
      </c>
      <c r="P3766" s="208">
        <f>MIN(1,MAX(0,(nr_MEndPm1-$G3766+0.5)/$C$3748))-MIN(1,MAX(0,(nr_MStartPm1-1-$G3766+0.5)/$C$3748))</f>
        <v/>
      </c>
      <c r="Q3766" s="208">
        <f>MIN(1,MAX(0,(nr_MEndP-$G3766+0.5)/$C$3748))-MIN(1,MAX(0,(nr_MStartP-1-$G3766+0.5)/$C$3748))</f>
        <v/>
      </c>
      <c r="R3766" s="208">
        <f>MIN(1,MAX(0,(nr_MEndP1-$G3766+0.5)/$C$3748))-MIN(1,MAX(0,(nr_MStartP1-1-$G3766+0.5)/$C$3748))</f>
        <v/>
      </c>
      <c r="S3766" s="208">
        <f>IF($L$3748,$N3766*IF($O$3748=1,$O3766/$F$3748,1),"")</f>
        <v/>
      </c>
      <c r="T3766" s="208">
        <f>IF(NOT($L$3748),"",IF($G3766&lt;nr_MStartP,$S3766,$T3754*(1+IF($G3766&lt;nr_MStartP1,$M$3748,$N$3748))))</f>
        <v/>
      </c>
      <c r="U3766" s="208">
        <f>IF($L$3748,$T3766,$N3766)</f>
        <v/>
      </c>
    </row>
    <row r="3767">
      <c r="A3767" s="145" t="n">
        <v>17</v>
      </c>
      <c r="B3767" s="204">
        <f>EDATE($B3766,1)</f>
        <v/>
      </c>
      <c r="C3767" s="205">
        <f>EOMONTH($B3767,0)</f>
        <v/>
      </c>
      <c r="D3767" s="201">
        <f>$C3767-$B3767+1</f>
        <v/>
      </c>
      <c r="E3767" s="201">
        <f>MONTH($B3767)</f>
        <v/>
      </c>
      <c r="F3767" s="235">
        <f>($B3767+$C3767+1)/2</f>
        <v/>
      </c>
      <c r="G3767" s="201">
        <f>YEAR($B3767)*12+MONTH($B3767)-1</f>
        <v/>
      </c>
      <c r="H3767" s="207">
        <f>IF(OR(nr_SeasonOn="OFF",$D$3748=0,$E$3748=0),1,12*INDEX(se_block,$D$3748,$E3767)/$E$3748)</f>
        <v/>
      </c>
      <c r="I3767" s="208">
        <f>EXP(SUMPRODUCT((rl_eff&lt;$B3767)*(rl_key=$A$3748)*rl_ln1p))</f>
        <v/>
      </c>
      <c r="J3767" s="208">
        <f>EXP(SUMPRODUCT((rl_eff&lt;=$C3767)*(rl_key=$A$3748)*rl_ln1p))</f>
        <v/>
      </c>
      <c r="K3767" s="201">
        <f>COUNTIFS(rl_key,$A$3748,rl_eff,"&gt;="&amp;$B3767,rl_eff,"&lt;="&amp;$C3767)</f>
        <v/>
      </c>
      <c r="L3767" s="201">
        <f>SUMIFS(rl_daysafter,rl_key,$A$3748,rl_effmonth,$B3767,rl_first,1)</f>
        <v/>
      </c>
      <c r="M3767" s="209">
        <f>IF($K3767=0,0,MIN(1,$L3767/$D3767))</f>
        <v/>
      </c>
      <c r="N3767" s="208">
        <f>IF($K3767=0,$J3767,(1-$M3767)*$I3767+$M3767*$J3767)</f>
        <v/>
      </c>
      <c r="O3767" s="209">
        <f>IF($F3767&lt;$B$3749,$E$3749+$I$3749*($F3767-$A$3749),IF($F3767&lt;$C$3749,$F$3749+$J$3749*($F3767-$B$3749),$G$3749+$K$3749*($F3767-$C$3749)))</f>
        <v/>
      </c>
      <c r="P3767" s="208">
        <f>MIN(1,MAX(0,(nr_MEndPm1-$G3767+0.5)/$C$3748))-MIN(1,MAX(0,(nr_MStartPm1-1-$G3767+0.5)/$C$3748))</f>
        <v/>
      </c>
      <c r="Q3767" s="208">
        <f>MIN(1,MAX(0,(nr_MEndP-$G3767+0.5)/$C$3748))-MIN(1,MAX(0,(nr_MStartP-1-$G3767+0.5)/$C$3748))</f>
        <v/>
      </c>
      <c r="R3767" s="208">
        <f>MIN(1,MAX(0,(nr_MEndP1-$G3767+0.5)/$C$3748))-MIN(1,MAX(0,(nr_MStartP1-1-$G3767+0.5)/$C$3748))</f>
        <v/>
      </c>
      <c r="S3767" s="208">
        <f>IF($L$3748,$N3767*IF($O$3748=1,$O3767/$F$3748,1),"")</f>
        <v/>
      </c>
      <c r="T3767" s="208">
        <f>IF(NOT($L$3748),"",IF($G3767&lt;nr_MStartP,$S3767,$T3755*(1+IF($G3767&lt;nr_MStartP1,$M$3748,$N$3748))))</f>
        <v/>
      </c>
      <c r="U3767" s="208">
        <f>IF($L$3748,$T3767,$N3767)</f>
        <v/>
      </c>
    </row>
    <row r="3768">
      <c r="A3768" s="145" t="n">
        <v>18</v>
      </c>
      <c r="B3768" s="204">
        <f>EDATE($B3767,1)</f>
        <v/>
      </c>
      <c r="C3768" s="205">
        <f>EOMONTH($B3768,0)</f>
        <v/>
      </c>
      <c r="D3768" s="201">
        <f>$C3768-$B3768+1</f>
        <v/>
      </c>
      <c r="E3768" s="201">
        <f>MONTH($B3768)</f>
        <v/>
      </c>
      <c r="F3768" s="235">
        <f>($B3768+$C3768+1)/2</f>
        <v/>
      </c>
      <c r="G3768" s="201">
        <f>YEAR($B3768)*12+MONTH($B3768)-1</f>
        <v/>
      </c>
      <c r="H3768" s="207">
        <f>IF(OR(nr_SeasonOn="OFF",$D$3748=0,$E$3748=0),1,12*INDEX(se_block,$D$3748,$E3768)/$E$3748)</f>
        <v/>
      </c>
      <c r="I3768" s="208">
        <f>EXP(SUMPRODUCT((rl_eff&lt;$B3768)*(rl_key=$A$3748)*rl_ln1p))</f>
        <v/>
      </c>
      <c r="J3768" s="208">
        <f>EXP(SUMPRODUCT((rl_eff&lt;=$C3768)*(rl_key=$A$3748)*rl_ln1p))</f>
        <v/>
      </c>
      <c r="K3768" s="201">
        <f>COUNTIFS(rl_key,$A$3748,rl_eff,"&gt;="&amp;$B3768,rl_eff,"&lt;="&amp;$C3768)</f>
        <v/>
      </c>
      <c r="L3768" s="201">
        <f>SUMIFS(rl_daysafter,rl_key,$A$3748,rl_effmonth,$B3768,rl_first,1)</f>
        <v/>
      </c>
      <c r="M3768" s="209">
        <f>IF($K3768=0,0,MIN(1,$L3768/$D3768))</f>
        <v/>
      </c>
      <c r="N3768" s="208">
        <f>IF($K3768=0,$J3768,(1-$M3768)*$I3768+$M3768*$J3768)</f>
        <v/>
      </c>
      <c r="O3768" s="209">
        <f>IF($F3768&lt;$B$3749,$E$3749+$I$3749*($F3768-$A$3749),IF($F3768&lt;$C$3749,$F$3749+$J$3749*($F3768-$B$3749),$G$3749+$K$3749*($F3768-$C$3749)))</f>
        <v/>
      </c>
      <c r="P3768" s="208">
        <f>MIN(1,MAX(0,(nr_MEndPm1-$G3768+0.5)/$C$3748))-MIN(1,MAX(0,(nr_MStartPm1-1-$G3768+0.5)/$C$3748))</f>
        <v/>
      </c>
      <c r="Q3768" s="208">
        <f>MIN(1,MAX(0,(nr_MEndP-$G3768+0.5)/$C$3748))-MIN(1,MAX(0,(nr_MStartP-1-$G3768+0.5)/$C$3748))</f>
        <v/>
      </c>
      <c r="R3768" s="208">
        <f>MIN(1,MAX(0,(nr_MEndP1-$G3768+0.5)/$C$3748))-MIN(1,MAX(0,(nr_MStartP1-1-$G3768+0.5)/$C$3748))</f>
        <v/>
      </c>
      <c r="S3768" s="208">
        <f>IF($L$3748,$N3768*IF($O$3748=1,$O3768/$F$3748,1),"")</f>
        <v/>
      </c>
      <c r="T3768" s="208">
        <f>IF(NOT($L$3748),"",IF($G3768&lt;nr_MStartP,$S3768,$T3756*(1+IF($G3768&lt;nr_MStartP1,$M$3748,$N$3748))))</f>
        <v/>
      </c>
      <c r="U3768" s="208">
        <f>IF($L$3748,$T3768,$N3768)</f>
        <v/>
      </c>
    </row>
    <row r="3769">
      <c r="A3769" s="145" t="n">
        <v>19</v>
      </c>
      <c r="B3769" s="204">
        <f>EDATE($B3768,1)</f>
        <v/>
      </c>
      <c r="C3769" s="205">
        <f>EOMONTH($B3769,0)</f>
        <v/>
      </c>
      <c r="D3769" s="201">
        <f>$C3769-$B3769+1</f>
        <v/>
      </c>
      <c r="E3769" s="201">
        <f>MONTH($B3769)</f>
        <v/>
      </c>
      <c r="F3769" s="235">
        <f>($B3769+$C3769+1)/2</f>
        <v/>
      </c>
      <c r="G3769" s="201">
        <f>YEAR($B3769)*12+MONTH($B3769)-1</f>
        <v/>
      </c>
      <c r="H3769" s="207">
        <f>IF(OR(nr_SeasonOn="OFF",$D$3748=0,$E$3748=0),1,12*INDEX(se_block,$D$3748,$E3769)/$E$3748)</f>
        <v/>
      </c>
      <c r="I3769" s="208">
        <f>EXP(SUMPRODUCT((rl_eff&lt;$B3769)*(rl_key=$A$3748)*rl_ln1p))</f>
        <v/>
      </c>
      <c r="J3769" s="208">
        <f>EXP(SUMPRODUCT((rl_eff&lt;=$C3769)*(rl_key=$A$3748)*rl_ln1p))</f>
        <v/>
      </c>
      <c r="K3769" s="201">
        <f>COUNTIFS(rl_key,$A$3748,rl_eff,"&gt;="&amp;$B3769,rl_eff,"&lt;="&amp;$C3769)</f>
        <v/>
      </c>
      <c r="L3769" s="201">
        <f>SUMIFS(rl_daysafter,rl_key,$A$3748,rl_effmonth,$B3769,rl_first,1)</f>
        <v/>
      </c>
      <c r="M3769" s="209">
        <f>IF($K3769=0,0,MIN(1,$L3769/$D3769))</f>
        <v/>
      </c>
      <c r="N3769" s="208">
        <f>IF($K3769=0,$J3769,(1-$M3769)*$I3769+$M3769*$J3769)</f>
        <v/>
      </c>
      <c r="O3769" s="209">
        <f>IF($F3769&lt;$B$3749,$E$3749+$I$3749*($F3769-$A$3749),IF($F3769&lt;$C$3749,$F$3749+$J$3749*($F3769-$B$3749),$G$3749+$K$3749*($F3769-$C$3749)))</f>
        <v/>
      </c>
      <c r="P3769" s="208">
        <f>MIN(1,MAX(0,(nr_MEndPm1-$G3769+0.5)/$C$3748))-MIN(1,MAX(0,(nr_MStartPm1-1-$G3769+0.5)/$C$3748))</f>
        <v/>
      </c>
      <c r="Q3769" s="208">
        <f>MIN(1,MAX(0,(nr_MEndP-$G3769+0.5)/$C$3748))-MIN(1,MAX(0,(nr_MStartP-1-$G3769+0.5)/$C$3748))</f>
        <v/>
      </c>
      <c r="R3769" s="208">
        <f>MIN(1,MAX(0,(nr_MEndP1-$G3769+0.5)/$C$3748))-MIN(1,MAX(0,(nr_MStartP1-1-$G3769+0.5)/$C$3748))</f>
        <v/>
      </c>
      <c r="S3769" s="208">
        <f>IF($L$3748,$N3769*IF($O$3748=1,$O3769/$F$3748,1),"")</f>
        <v/>
      </c>
      <c r="T3769" s="208">
        <f>IF(NOT($L$3748),"",IF($G3769&lt;nr_MStartP,$S3769,$T3757*(1+IF($G3769&lt;nr_MStartP1,$M$3748,$N$3748))))</f>
        <v/>
      </c>
      <c r="U3769" s="208">
        <f>IF($L$3748,$T3769,$N3769)</f>
        <v/>
      </c>
    </row>
    <row r="3770">
      <c r="A3770" s="145" t="n">
        <v>20</v>
      </c>
      <c r="B3770" s="204">
        <f>EDATE($B3769,1)</f>
        <v/>
      </c>
      <c r="C3770" s="205">
        <f>EOMONTH($B3770,0)</f>
        <v/>
      </c>
      <c r="D3770" s="201">
        <f>$C3770-$B3770+1</f>
        <v/>
      </c>
      <c r="E3770" s="201">
        <f>MONTH($B3770)</f>
        <v/>
      </c>
      <c r="F3770" s="235">
        <f>($B3770+$C3770+1)/2</f>
        <v/>
      </c>
      <c r="G3770" s="201">
        <f>YEAR($B3770)*12+MONTH($B3770)-1</f>
        <v/>
      </c>
      <c r="H3770" s="207">
        <f>IF(OR(nr_SeasonOn="OFF",$D$3748=0,$E$3748=0),1,12*INDEX(se_block,$D$3748,$E3770)/$E$3748)</f>
        <v/>
      </c>
      <c r="I3770" s="208">
        <f>EXP(SUMPRODUCT((rl_eff&lt;$B3770)*(rl_key=$A$3748)*rl_ln1p))</f>
        <v/>
      </c>
      <c r="J3770" s="208">
        <f>EXP(SUMPRODUCT((rl_eff&lt;=$C3770)*(rl_key=$A$3748)*rl_ln1p))</f>
        <v/>
      </c>
      <c r="K3770" s="201">
        <f>COUNTIFS(rl_key,$A$3748,rl_eff,"&gt;="&amp;$B3770,rl_eff,"&lt;="&amp;$C3770)</f>
        <v/>
      </c>
      <c r="L3770" s="201">
        <f>SUMIFS(rl_daysafter,rl_key,$A$3748,rl_effmonth,$B3770,rl_first,1)</f>
        <v/>
      </c>
      <c r="M3770" s="209">
        <f>IF($K3770=0,0,MIN(1,$L3770/$D3770))</f>
        <v/>
      </c>
      <c r="N3770" s="208">
        <f>IF($K3770=0,$J3770,(1-$M3770)*$I3770+$M3770*$J3770)</f>
        <v/>
      </c>
      <c r="O3770" s="209">
        <f>IF($F3770&lt;$B$3749,$E$3749+$I$3749*($F3770-$A$3749),IF($F3770&lt;$C$3749,$F$3749+$J$3749*($F3770-$B$3749),$G$3749+$K$3749*($F3770-$C$3749)))</f>
        <v/>
      </c>
      <c r="P3770" s="208">
        <f>MIN(1,MAX(0,(nr_MEndPm1-$G3770+0.5)/$C$3748))-MIN(1,MAX(0,(nr_MStartPm1-1-$G3770+0.5)/$C$3748))</f>
        <v/>
      </c>
      <c r="Q3770" s="208">
        <f>MIN(1,MAX(0,(nr_MEndP-$G3770+0.5)/$C$3748))-MIN(1,MAX(0,(nr_MStartP-1-$G3770+0.5)/$C$3748))</f>
        <v/>
      </c>
      <c r="R3770" s="208">
        <f>MIN(1,MAX(0,(nr_MEndP1-$G3770+0.5)/$C$3748))-MIN(1,MAX(0,(nr_MStartP1-1-$G3770+0.5)/$C$3748))</f>
        <v/>
      </c>
      <c r="S3770" s="208">
        <f>IF($L$3748,$N3770*IF($O$3748=1,$O3770/$F$3748,1),"")</f>
        <v/>
      </c>
      <c r="T3770" s="208">
        <f>IF(NOT($L$3748),"",IF($G3770&lt;nr_MStartP,$S3770,$T3758*(1+IF($G3770&lt;nr_MStartP1,$M$3748,$N$3748))))</f>
        <v/>
      </c>
      <c r="U3770" s="208">
        <f>IF($L$3748,$T3770,$N3770)</f>
        <v/>
      </c>
    </row>
    <row r="3771">
      <c r="A3771" s="145" t="n">
        <v>21</v>
      </c>
      <c r="B3771" s="204">
        <f>EDATE($B3770,1)</f>
        <v/>
      </c>
      <c r="C3771" s="205">
        <f>EOMONTH($B3771,0)</f>
        <v/>
      </c>
      <c r="D3771" s="201">
        <f>$C3771-$B3771+1</f>
        <v/>
      </c>
      <c r="E3771" s="201">
        <f>MONTH($B3771)</f>
        <v/>
      </c>
      <c r="F3771" s="235">
        <f>($B3771+$C3771+1)/2</f>
        <v/>
      </c>
      <c r="G3771" s="201">
        <f>YEAR($B3771)*12+MONTH($B3771)-1</f>
        <v/>
      </c>
      <c r="H3771" s="207">
        <f>IF(OR(nr_SeasonOn="OFF",$D$3748=0,$E$3748=0),1,12*INDEX(se_block,$D$3748,$E3771)/$E$3748)</f>
        <v/>
      </c>
      <c r="I3771" s="208">
        <f>EXP(SUMPRODUCT((rl_eff&lt;$B3771)*(rl_key=$A$3748)*rl_ln1p))</f>
        <v/>
      </c>
      <c r="J3771" s="208">
        <f>EXP(SUMPRODUCT((rl_eff&lt;=$C3771)*(rl_key=$A$3748)*rl_ln1p))</f>
        <v/>
      </c>
      <c r="K3771" s="201">
        <f>COUNTIFS(rl_key,$A$3748,rl_eff,"&gt;="&amp;$B3771,rl_eff,"&lt;="&amp;$C3771)</f>
        <v/>
      </c>
      <c r="L3771" s="201">
        <f>SUMIFS(rl_daysafter,rl_key,$A$3748,rl_effmonth,$B3771,rl_first,1)</f>
        <v/>
      </c>
      <c r="M3771" s="209">
        <f>IF($K3771=0,0,MIN(1,$L3771/$D3771))</f>
        <v/>
      </c>
      <c r="N3771" s="208">
        <f>IF($K3771=0,$J3771,(1-$M3771)*$I3771+$M3771*$J3771)</f>
        <v/>
      </c>
      <c r="O3771" s="209">
        <f>IF($F3771&lt;$B$3749,$E$3749+$I$3749*($F3771-$A$3749),IF($F3771&lt;$C$3749,$F$3749+$J$3749*($F3771-$B$3749),$G$3749+$K$3749*($F3771-$C$3749)))</f>
        <v/>
      </c>
      <c r="P3771" s="208">
        <f>MIN(1,MAX(0,(nr_MEndPm1-$G3771+0.5)/$C$3748))-MIN(1,MAX(0,(nr_MStartPm1-1-$G3771+0.5)/$C$3748))</f>
        <v/>
      </c>
      <c r="Q3771" s="208">
        <f>MIN(1,MAX(0,(nr_MEndP-$G3771+0.5)/$C$3748))-MIN(1,MAX(0,(nr_MStartP-1-$G3771+0.5)/$C$3748))</f>
        <v/>
      </c>
      <c r="R3771" s="208">
        <f>MIN(1,MAX(0,(nr_MEndP1-$G3771+0.5)/$C$3748))-MIN(1,MAX(0,(nr_MStartP1-1-$G3771+0.5)/$C$3748))</f>
        <v/>
      </c>
      <c r="S3771" s="208">
        <f>IF($L$3748,$N3771*IF($O$3748=1,$O3771/$F$3748,1),"")</f>
        <v/>
      </c>
      <c r="T3771" s="208">
        <f>IF(NOT($L$3748),"",IF($G3771&lt;nr_MStartP,$S3771,$T3759*(1+IF($G3771&lt;nr_MStartP1,$M$3748,$N$3748))))</f>
        <v/>
      </c>
      <c r="U3771" s="208">
        <f>IF($L$3748,$T3771,$N3771)</f>
        <v/>
      </c>
    </row>
    <row r="3772">
      <c r="A3772" s="145" t="n">
        <v>22</v>
      </c>
      <c r="B3772" s="204">
        <f>EDATE($B3771,1)</f>
        <v/>
      </c>
      <c r="C3772" s="205">
        <f>EOMONTH($B3772,0)</f>
        <v/>
      </c>
      <c r="D3772" s="201">
        <f>$C3772-$B3772+1</f>
        <v/>
      </c>
      <c r="E3772" s="201">
        <f>MONTH($B3772)</f>
        <v/>
      </c>
      <c r="F3772" s="235">
        <f>($B3772+$C3772+1)/2</f>
        <v/>
      </c>
      <c r="G3772" s="201">
        <f>YEAR($B3772)*12+MONTH($B3772)-1</f>
        <v/>
      </c>
      <c r="H3772" s="207">
        <f>IF(OR(nr_SeasonOn="OFF",$D$3748=0,$E$3748=0),1,12*INDEX(se_block,$D$3748,$E3772)/$E$3748)</f>
        <v/>
      </c>
      <c r="I3772" s="208">
        <f>EXP(SUMPRODUCT((rl_eff&lt;$B3772)*(rl_key=$A$3748)*rl_ln1p))</f>
        <v/>
      </c>
      <c r="J3772" s="208">
        <f>EXP(SUMPRODUCT((rl_eff&lt;=$C3772)*(rl_key=$A$3748)*rl_ln1p))</f>
        <v/>
      </c>
      <c r="K3772" s="201">
        <f>COUNTIFS(rl_key,$A$3748,rl_eff,"&gt;="&amp;$B3772,rl_eff,"&lt;="&amp;$C3772)</f>
        <v/>
      </c>
      <c r="L3772" s="201">
        <f>SUMIFS(rl_daysafter,rl_key,$A$3748,rl_effmonth,$B3772,rl_first,1)</f>
        <v/>
      </c>
      <c r="M3772" s="209">
        <f>IF($K3772=0,0,MIN(1,$L3772/$D3772))</f>
        <v/>
      </c>
      <c r="N3772" s="208">
        <f>IF($K3772=0,$J3772,(1-$M3772)*$I3772+$M3772*$J3772)</f>
        <v/>
      </c>
      <c r="O3772" s="209">
        <f>IF($F3772&lt;$B$3749,$E$3749+$I$3749*($F3772-$A$3749),IF($F3772&lt;$C$3749,$F$3749+$J$3749*($F3772-$B$3749),$G$3749+$K$3749*($F3772-$C$3749)))</f>
        <v/>
      </c>
      <c r="P3772" s="208">
        <f>MIN(1,MAX(0,(nr_MEndPm1-$G3772+0.5)/$C$3748))-MIN(1,MAX(0,(nr_MStartPm1-1-$G3772+0.5)/$C$3748))</f>
        <v/>
      </c>
      <c r="Q3772" s="208">
        <f>MIN(1,MAX(0,(nr_MEndP-$G3772+0.5)/$C$3748))-MIN(1,MAX(0,(nr_MStartP-1-$G3772+0.5)/$C$3748))</f>
        <v/>
      </c>
      <c r="R3772" s="208">
        <f>MIN(1,MAX(0,(nr_MEndP1-$G3772+0.5)/$C$3748))-MIN(1,MAX(0,(nr_MStartP1-1-$G3772+0.5)/$C$3748))</f>
        <v/>
      </c>
      <c r="S3772" s="208">
        <f>IF($L$3748,$N3772*IF($O$3748=1,$O3772/$F$3748,1),"")</f>
        <v/>
      </c>
      <c r="T3772" s="208">
        <f>IF(NOT($L$3748),"",IF($G3772&lt;nr_MStartP,$S3772,$T3760*(1+IF($G3772&lt;nr_MStartP1,$M$3748,$N$3748))))</f>
        <v/>
      </c>
      <c r="U3772" s="208">
        <f>IF($L$3748,$T3772,$N3772)</f>
        <v/>
      </c>
    </row>
    <row r="3773">
      <c r="A3773" s="145" t="n">
        <v>23</v>
      </c>
      <c r="B3773" s="204">
        <f>EDATE($B3772,1)</f>
        <v/>
      </c>
      <c r="C3773" s="205">
        <f>EOMONTH($B3773,0)</f>
        <v/>
      </c>
      <c r="D3773" s="201">
        <f>$C3773-$B3773+1</f>
        <v/>
      </c>
      <c r="E3773" s="201">
        <f>MONTH($B3773)</f>
        <v/>
      </c>
      <c r="F3773" s="235">
        <f>($B3773+$C3773+1)/2</f>
        <v/>
      </c>
      <c r="G3773" s="201">
        <f>YEAR($B3773)*12+MONTH($B3773)-1</f>
        <v/>
      </c>
      <c r="H3773" s="207">
        <f>IF(OR(nr_SeasonOn="OFF",$D$3748=0,$E$3748=0),1,12*INDEX(se_block,$D$3748,$E3773)/$E$3748)</f>
        <v/>
      </c>
      <c r="I3773" s="208">
        <f>EXP(SUMPRODUCT((rl_eff&lt;$B3773)*(rl_key=$A$3748)*rl_ln1p))</f>
        <v/>
      </c>
      <c r="J3773" s="208">
        <f>EXP(SUMPRODUCT((rl_eff&lt;=$C3773)*(rl_key=$A$3748)*rl_ln1p))</f>
        <v/>
      </c>
      <c r="K3773" s="201">
        <f>COUNTIFS(rl_key,$A$3748,rl_eff,"&gt;="&amp;$B3773,rl_eff,"&lt;="&amp;$C3773)</f>
        <v/>
      </c>
      <c r="L3773" s="201">
        <f>SUMIFS(rl_daysafter,rl_key,$A$3748,rl_effmonth,$B3773,rl_first,1)</f>
        <v/>
      </c>
      <c r="M3773" s="209">
        <f>IF($K3773=0,0,MIN(1,$L3773/$D3773))</f>
        <v/>
      </c>
      <c r="N3773" s="208">
        <f>IF($K3773=0,$J3773,(1-$M3773)*$I3773+$M3773*$J3773)</f>
        <v/>
      </c>
      <c r="O3773" s="209">
        <f>IF($F3773&lt;$B$3749,$E$3749+$I$3749*($F3773-$A$3749),IF($F3773&lt;$C$3749,$F$3749+$J$3749*($F3773-$B$3749),$G$3749+$K$3749*($F3773-$C$3749)))</f>
        <v/>
      </c>
      <c r="P3773" s="208">
        <f>MIN(1,MAX(0,(nr_MEndPm1-$G3773+0.5)/$C$3748))-MIN(1,MAX(0,(nr_MStartPm1-1-$G3773+0.5)/$C$3748))</f>
        <v/>
      </c>
      <c r="Q3773" s="208">
        <f>MIN(1,MAX(0,(nr_MEndP-$G3773+0.5)/$C$3748))-MIN(1,MAX(0,(nr_MStartP-1-$G3773+0.5)/$C$3748))</f>
        <v/>
      </c>
      <c r="R3773" s="208">
        <f>MIN(1,MAX(0,(nr_MEndP1-$G3773+0.5)/$C$3748))-MIN(1,MAX(0,(nr_MStartP1-1-$G3773+0.5)/$C$3748))</f>
        <v/>
      </c>
      <c r="S3773" s="208">
        <f>IF($L$3748,$N3773*IF($O$3748=1,$O3773/$F$3748,1),"")</f>
        <v/>
      </c>
      <c r="T3773" s="208">
        <f>IF(NOT($L$3748),"",IF($G3773&lt;nr_MStartP,$S3773,$T3761*(1+IF($G3773&lt;nr_MStartP1,$M$3748,$N$3748))))</f>
        <v/>
      </c>
      <c r="U3773" s="208">
        <f>IF($L$3748,$T3773,$N3773)</f>
        <v/>
      </c>
    </row>
    <row r="3774">
      <c r="A3774" s="145" t="n">
        <v>24</v>
      </c>
      <c r="B3774" s="204">
        <f>EDATE($B3773,1)</f>
        <v/>
      </c>
      <c r="C3774" s="205">
        <f>EOMONTH($B3774,0)</f>
        <v/>
      </c>
      <c r="D3774" s="201">
        <f>$C3774-$B3774+1</f>
        <v/>
      </c>
      <c r="E3774" s="201">
        <f>MONTH($B3774)</f>
        <v/>
      </c>
      <c r="F3774" s="235">
        <f>($B3774+$C3774+1)/2</f>
        <v/>
      </c>
      <c r="G3774" s="201">
        <f>YEAR($B3774)*12+MONTH($B3774)-1</f>
        <v/>
      </c>
      <c r="H3774" s="207">
        <f>IF(OR(nr_SeasonOn="OFF",$D$3748=0,$E$3748=0),1,12*INDEX(se_block,$D$3748,$E3774)/$E$3748)</f>
        <v/>
      </c>
      <c r="I3774" s="208">
        <f>EXP(SUMPRODUCT((rl_eff&lt;$B3774)*(rl_key=$A$3748)*rl_ln1p))</f>
        <v/>
      </c>
      <c r="J3774" s="208">
        <f>EXP(SUMPRODUCT((rl_eff&lt;=$C3774)*(rl_key=$A$3748)*rl_ln1p))</f>
        <v/>
      </c>
      <c r="K3774" s="201">
        <f>COUNTIFS(rl_key,$A$3748,rl_eff,"&gt;="&amp;$B3774,rl_eff,"&lt;="&amp;$C3774)</f>
        <v/>
      </c>
      <c r="L3774" s="201">
        <f>SUMIFS(rl_daysafter,rl_key,$A$3748,rl_effmonth,$B3774,rl_first,1)</f>
        <v/>
      </c>
      <c r="M3774" s="209">
        <f>IF($K3774=0,0,MIN(1,$L3774/$D3774))</f>
        <v/>
      </c>
      <c r="N3774" s="208">
        <f>IF($K3774=0,$J3774,(1-$M3774)*$I3774+$M3774*$J3774)</f>
        <v/>
      </c>
      <c r="O3774" s="209">
        <f>IF($F3774&lt;$B$3749,$E$3749+$I$3749*($F3774-$A$3749),IF($F3774&lt;$C$3749,$F$3749+$J$3749*($F3774-$B$3749),$G$3749+$K$3749*($F3774-$C$3749)))</f>
        <v/>
      </c>
      <c r="P3774" s="208">
        <f>MIN(1,MAX(0,(nr_MEndPm1-$G3774+0.5)/$C$3748))-MIN(1,MAX(0,(nr_MStartPm1-1-$G3774+0.5)/$C$3748))</f>
        <v/>
      </c>
      <c r="Q3774" s="208">
        <f>MIN(1,MAX(0,(nr_MEndP-$G3774+0.5)/$C$3748))-MIN(1,MAX(0,(nr_MStartP-1-$G3774+0.5)/$C$3748))</f>
        <v/>
      </c>
      <c r="R3774" s="208">
        <f>MIN(1,MAX(0,(nr_MEndP1-$G3774+0.5)/$C$3748))-MIN(1,MAX(0,(nr_MStartP1-1-$G3774+0.5)/$C$3748))</f>
        <v/>
      </c>
      <c r="S3774" s="208">
        <f>IF($L$3748,$N3774*IF($O$3748=1,$O3774/$F$3748,1),"")</f>
        <v/>
      </c>
      <c r="T3774" s="208">
        <f>IF(NOT($L$3748),"",IF($G3774&lt;nr_MStartP,$S3774,$T3762*(1+IF($G3774&lt;nr_MStartP1,$M$3748,$N$3748))))</f>
        <v/>
      </c>
      <c r="U3774" s="208">
        <f>IF($L$3748,$T3774,$N3774)</f>
        <v/>
      </c>
    </row>
    <row r="3775">
      <c r="A3775" s="145" t="n">
        <v>25</v>
      </c>
      <c r="B3775" s="204">
        <f>EDATE($B3774,1)</f>
        <v/>
      </c>
      <c r="C3775" s="205">
        <f>EOMONTH($B3775,0)</f>
        <v/>
      </c>
      <c r="D3775" s="201">
        <f>$C3775-$B3775+1</f>
        <v/>
      </c>
      <c r="E3775" s="201">
        <f>MONTH($B3775)</f>
        <v/>
      </c>
      <c r="F3775" s="235">
        <f>($B3775+$C3775+1)/2</f>
        <v/>
      </c>
      <c r="G3775" s="201">
        <f>YEAR($B3775)*12+MONTH($B3775)-1</f>
        <v/>
      </c>
      <c r="H3775" s="207">
        <f>IF(OR(nr_SeasonOn="OFF",$D$3748=0,$E$3748=0),1,12*INDEX(se_block,$D$3748,$E3775)/$E$3748)</f>
        <v/>
      </c>
      <c r="I3775" s="208">
        <f>EXP(SUMPRODUCT((rl_eff&lt;$B3775)*(rl_key=$A$3748)*rl_ln1p))</f>
        <v/>
      </c>
      <c r="J3775" s="208">
        <f>EXP(SUMPRODUCT((rl_eff&lt;=$C3775)*(rl_key=$A$3748)*rl_ln1p))</f>
        <v/>
      </c>
      <c r="K3775" s="201">
        <f>COUNTIFS(rl_key,$A$3748,rl_eff,"&gt;="&amp;$B3775,rl_eff,"&lt;="&amp;$C3775)</f>
        <v/>
      </c>
      <c r="L3775" s="201">
        <f>SUMIFS(rl_daysafter,rl_key,$A$3748,rl_effmonth,$B3775,rl_first,1)</f>
        <v/>
      </c>
      <c r="M3775" s="209">
        <f>IF($K3775=0,0,MIN(1,$L3775/$D3775))</f>
        <v/>
      </c>
      <c r="N3775" s="208">
        <f>IF($K3775=0,$J3775,(1-$M3775)*$I3775+$M3775*$J3775)</f>
        <v/>
      </c>
      <c r="O3775" s="209">
        <f>IF($F3775&lt;$B$3749,$E$3749+$I$3749*($F3775-$A$3749),IF($F3775&lt;$C$3749,$F$3749+$J$3749*($F3775-$B$3749),$G$3749+$K$3749*($F3775-$C$3749)))</f>
        <v/>
      </c>
      <c r="P3775" s="208">
        <f>MIN(1,MAX(0,(nr_MEndPm1-$G3775+0.5)/$C$3748))-MIN(1,MAX(0,(nr_MStartPm1-1-$G3775+0.5)/$C$3748))</f>
        <v/>
      </c>
      <c r="Q3775" s="208">
        <f>MIN(1,MAX(0,(nr_MEndP-$G3775+0.5)/$C$3748))-MIN(1,MAX(0,(nr_MStartP-1-$G3775+0.5)/$C$3748))</f>
        <v/>
      </c>
      <c r="R3775" s="208">
        <f>MIN(1,MAX(0,(nr_MEndP1-$G3775+0.5)/$C$3748))-MIN(1,MAX(0,(nr_MStartP1-1-$G3775+0.5)/$C$3748))</f>
        <v/>
      </c>
      <c r="S3775" s="208">
        <f>IF($L$3748,$N3775*IF($O$3748=1,$O3775/$F$3748,1),"")</f>
        <v/>
      </c>
      <c r="T3775" s="208">
        <f>IF(NOT($L$3748),"",IF($G3775&lt;nr_MStartP,$S3775,$T3763*(1+IF($G3775&lt;nr_MStartP1,$M$3748,$N$3748))))</f>
        <v/>
      </c>
      <c r="U3775" s="208">
        <f>IF($L$3748,$T3775,$N3775)</f>
        <v/>
      </c>
    </row>
    <row r="3776">
      <c r="A3776" s="145" t="n">
        <v>26</v>
      </c>
      <c r="B3776" s="204">
        <f>EDATE($B3775,1)</f>
        <v/>
      </c>
      <c r="C3776" s="205">
        <f>EOMONTH($B3776,0)</f>
        <v/>
      </c>
      <c r="D3776" s="201">
        <f>$C3776-$B3776+1</f>
        <v/>
      </c>
      <c r="E3776" s="201">
        <f>MONTH($B3776)</f>
        <v/>
      </c>
      <c r="F3776" s="235">
        <f>($B3776+$C3776+1)/2</f>
        <v/>
      </c>
      <c r="G3776" s="201">
        <f>YEAR($B3776)*12+MONTH($B3776)-1</f>
        <v/>
      </c>
      <c r="H3776" s="207">
        <f>IF(OR(nr_SeasonOn="OFF",$D$3748=0,$E$3748=0),1,12*INDEX(se_block,$D$3748,$E3776)/$E$3748)</f>
        <v/>
      </c>
      <c r="I3776" s="208">
        <f>EXP(SUMPRODUCT((rl_eff&lt;$B3776)*(rl_key=$A$3748)*rl_ln1p))</f>
        <v/>
      </c>
      <c r="J3776" s="208">
        <f>EXP(SUMPRODUCT((rl_eff&lt;=$C3776)*(rl_key=$A$3748)*rl_ln1p))</f>
        <v/>
      </c>
      <c r="K3776" s="201">
        <f>COUNTIFS(rl_key,$A$3748,rl_eff,"&gt;="&amp;$B3776,rl_eff,"&lt;="&amp;$C3776)</f>
        <v/>
      </c>
      <c r="L3776" s="201">
        <f>SUMIFS(rl_daysafter,rl_key,$A$3748,rl_effmonth,$B3776,rl_first,1)</f>
        <v/>
      </c>
      <c r="M3776" s="209">
        <f>IF($K3776=0,0,MIN(1,$L3776/$D3776))</f>
        <v/>
      </c>
      <c r="N3776" s="208">
        <f>IF($K3776=0,$J3776,(1-$M3776)*$I3776+$M3776*$J3776)</f>
        <v/>
      </c>
      <c r="O3776" s="209">
        <f>IF($F3776&lt;$B$3749,$E$3749+$I$3749*($F3776-$A$3749),IF($F3776&lt;$C$3749,$F$3749+$J$3749*($F3776-$B$3749),$G$3749+$K$3749*($F3776-$C$3749)))</f>
        <v/>
      </c>
      <c r="P3776" s="208">
        <f>MIN(1,MAX(0,(nr_MEndPm1-$G3776+0.5)/$C$3748))-MIN(1,MAX(0,(nr_MStartPm1-1-$G3776+0.5)/$C$3748))</f>
        <v/>
      </c>
      <c r="Q3776" s="208">
        <f>MIN(1,MAX(0,(nr_MEndP-$G3776+0.5)/$C$3748))-MIN(1,MAX(0,(nr_MStartP-1-$G3776+0.5)/$C$3748))</f>
        <v/>
      </c>
      <c r="R3776" s="208">
        <f>MIN(1,MAX(0,(nr_MEndP1-$G3776+0.5)/$C$3748))-MIN(1,MAX(0,(nr_MStartP1-1-$G3776+0.5)/$C$3748))</f>
        <v/>
      </c>
      <c r="S3776" s="208">
        <f>IF($L$3748,$N3776*IF($O$3748=1,$O3776/$F$3748,1),"")</f>
        <v/>
      </c>
      <c r="T3776" s="208">
        <f>IF(NOT($L$3748),"",IF($G3776&lt;nr_MStartP,$S3776,$T3764*(1+IF($G3776&lt;nr_MStartP1,$M$3748,$N$3748))))</f>
        <v/>
      </c>
      <c r="U3776" s="208">
        <f>IF($L$3748,$T3776,$N3776)</f>
        <v/>
      </c>
    </row>
    <row r="3777">
      <c r="A3777" s="145" t="n">
        <v>27</v>
      </c>
      <c r="B3777" s="204">
        <f>EDATE($B3776,1)</f>
        <v/>
      </c>
      <c r="C3777" s="205">
        <f>EOMONTH($B3777,0)</f>
        <v/>
      </c>
      <c r="D3777" s="201">
        <f>$C3777-$B3777+1</f>
        <v/>
      </c>
      <c r="E3777" s="201">
        <f>MONTH($B3777)</f>
        <v/>
      </c>
      <c r="F3777" s="235">
        <f>($B3777+$C3777+1)/2</f>
        <v/>
      </c>
      <c r="G3777" s="201">
        <f>YEAR($B3777)*12+MONTH($B3777)-1</f>
        <v/>
      </c>
      <c r="H3777" s="207">
        <f>IF(OR(nr_SeasonOn="OFF",$D$3748=0,$E$3748=0),1,12*INDEX(se_block,$D$3748,$E3777)/$E$3748)</f>
        <v/>
      </c>
      <c r="I3777" s="208">
        <f>EXP(SUMPRODUCT((rl_eff&lt;$B3777)*(rl_key=$A$3748)*rl_ln1p))</f>
        <v/>
      </c>
      <c r="J3777" s="208">
        <f>EXP(SUMPRODUCT((rl_eff&lt;=$C3777)*(rl_key=$A$3748)*rl_ln1p))</f>
        <v/>
      </c>
      <c r="K3777" s="201">
        <f>COUNTIFS(rl_key,$A$3748,rl_eff,"&gt;="&amp;$B3777,rl_eff,"&lt;="&amp;$C3777)</f>
        <v/>
      </c>
      <c r="L3777" s="201">
        <f>SUMIFS(rl_daysafter,rl_key,$A$3748,rl_effmonth,$B3777,rl_first,1)</f>
        <v/>
      </c>
      <c r="M3777" s="209">
        <f>IF($K3777=0,0,MIN(1,$L3777/$D3777))</f>
        <v/>
      </c>
      <c r="N3777" s="208">
        <f>IF($K3777=0,$J3777,(1-$M3777)*$I3777+$M3777*$J3777)</f>
        <v/>
      </c>
      <c r="O3777" s="209">
        <f>IF($F3777&lt;$B$3749,$E$3749+$I$3749*($F3777-$A$3749),IF($F3777&lt;$C$3749,$F$3749+$J$3749*($F3777-$B$3749),$G$3749+$K$3749*($F3777-$C$3749)))</f>
        <v/>
      </c>
      <c r="P3777" s="208">
        <f>MIN(1,MAX(0,(nr_MEndPm1-$G3777+0.5)/$C$3748))-MIN(1,MAX(0,(nr_MStartPm1-1-$G3777+0.5)/$C$3748))</f>
        <v/>
      </c>
      <c r="Q3777" s="208">
        <f>MIN(1,MAX(0,(nr_MEndP-$G3777+0.5)/$C$3748))-MIN(1,MAX(0,(nr_MStartP-1-$G3777+0.5)/$C$3748))</f>
        <v/>
      </c>
      <c r="R3777" s="208">
        <f>MIN(1,MAX(0,(nr_MEndP1-$G3777+0.5)/$C$3748))-MIN(1,MAX(0,(nr_MStartP1-1-$G3777+0.5)/$C$3748))</f>
        <v/>
      </c>
      <c r="S3777" s="208">
        <f>IF($L$3748,$N3777*IF($O$3748=1,$O3777/$F$3748,1),"")</f>
        <v/>
      </c>
      <c r="T3777" s="208">
        <f>IF(NOT($L$3748),"",IF($G3777&lt;nr_MStartP,$S3777,$T3765*(1+IF($G3777&lt;nr_MStartP1,$M$3748,$N$3748))))</f>
        <v/>
      </c>
      <c r="U3777" s="208">
        <f>IF($L$3748,$T3777,$N3777)</f>
        <v/>
      </c>
    </row>
    <row r="3778">
      <c r="A3778" s="145" t="n">
        <v>28</v>
      </c>
      <c r="B3778" s="204">
        <f>EDATE($B3777,1)</f>
        <v/>
      </c>
      <c r="C3778" s="205">
        <f>EOMONTH($B3778,0)</f>
        <v/>
      </c>
      <c r="D3778" s="201">
        <f>$C3778-$B3778+1</f>
        <v/>
      </c>
      <c r="E3778" s="201">
        <f>MONTH($B3778)</f>
        <v/>
      </c>
      <c r="F3778" s="235">
        <f>($B3778+$C3778+1)/2</f>
        <v/>
      </c>
      <c r="G3778" s="201">
        <f>YEAR($B3778)*12+MONTH($B3778)-1</f>
        <v/>
      </c>
      <c r="H3778" s="207">
        <f>IF(OR(nr_SeasonOn="OFF",$D$3748=0,$E$3748=0),1,12*INDEX(se_block,$D$3748,$E3778)/$E$3748)</f>
        <v/>
      </c>
      <c r="I3778" s="208">
        <f>EXP(SUMPRODUCT((rl_eff&lt;$B3778)*(rl_key=$A$3748)*rl_ln1p))</f>
        <v/>
      </c>
      <c r="J3778" s="208">
        <f>EXP(SUMPRODUCT((rl_eff&lt;=$C3778)*(rl_key=$A$3748)*rl_ln1p))</f>
        <v/>
      </c>
      <c r="K3778" s="201">
        <f>COUNTIFS(rl_key,$A$3748,rl_eff,"&gt;="&amp;$B3778,rl_eff,"&lt;="&amp;$C3778)</f>
        <v/>
      </c>
      <c r="L3778" s="201">
        <f>SUMIFS(rl_daysafter,rl_key,$A$3748,rl_effmonth,$B3778,rl_first,1)</f>
        <v/>
      </c>
      <c r="M3778" s="209">
        <f>IF($K3778=0,0,MIN(1,$L3778/$D3778))</f>
        <v/>
      </c>
      <c r="N3778" s="208">
        <f>IF($K3778=0,$J3778,(1-$M3778)*$I3778+$M3778*$J3778)</f>
        <v/>
      </c>
      <c r="O3778" s="209">
        <f>IF($F3778&lt;$B$3749,$E$3749+$I$3749*($F3778-$A$3749),IF($F3778&lt;$C$3749,$F$3749+$J$3749*($F3778-$B$3749),$G$3749+$K$3749*($F3778-$C$3749)))</f>
        <v/>
      </c>
      <c r="P3778" s="208">
        <f>MIN(1,MAX(0,(nr_MEndPm1-$G3778+0.5)/$C$3748))-MIN(1,MAX(0,(nr_MStartPm1-1-$G3778+0.5)/$C$3748))</f>
        <v/>
      </c>
      <c r="Q3778" s="208">
        <f>MIN(1,MAX(0,(nr_MEndP-$G3778+0.5)/$C$3748))-MIN(1,MAX(0,(nr_MStartP-1-$G3778+0.5)/$C$3748))</f>
        <v/>
      </c>
      <c r="R3778" s="208">
        <f>MIN(1,MAX(0,(nr_MEndP1-$G3778+0.5)/$C$3748))-MIN(1,MAX(0,(nr_MStartP1-1-$G3778+0.5)/$C$3748))</f>
        <v/>
      </c>
      <c r="S3778" s="208">
        <f>IF($L$3748,$N3778*IF($O$3748=1,$O3778/$F$3748,1),"")</f>
        <v/>
      </c>
      <c r="T3778" s="208">
        <f>IF(NOT($L$3748),"",IF($G3778&lt;nr_MStartP,$S3778,$T3766*(1+IF($G3778&lt;nr_MStartP1,$M$3748,$N$3748))))</f>
        <v/>
      </c>
      <c r="U3778" s="208">
        <f>IF($L$3748,$T3778,$N3778)</f>
        <v/>
      </c>
    </row>
    <row r="3779">
      <c r="A3779" s="145" t="n">
        <v>29</v>
      </c>
      <c r="B3779" s="204">
        <f>EDATE($B3778,1)</f>
        <v/>
      </c>
      <c r="C3779" s="205">
        <f>EOMONTH($B3779,0)</f>
        <v/>
      </c>
      <c r="D3779" s="201">
        <f>$C3779-$B3779+1</f>
        <v/>
      </c>
      <c r="E3779" s="201">
        <f>MONTH($B3779)</f>
        <v/>
      </c>
      <c r="F3779" s="235">
        <f>($B3779+$C3779+1)/2</f>
        <v/>
      </c>
      <c r="G3779" s="201">
        <f>YEAR($B3779)*12+MONTH($B3779)-1</f>
        <v/>
      </c>
      <c r="H3779" s="207">
        <f>IF(OR(nr_SeasonOn="OFF",$D$3748=0,$E$3748=0),1,12*INDEX(se_block,$D$3748,$E3779)/$E$3748)</f>
        <v/>
      </c>
      <c r="I3779" s="208">
        <f>EXP(SUMPRODUCT((rl_eff&lt;$B3779)*(rl_key=$A$3748)*rl_ln1p))</f>
        <v/>
      </c>
      <c r="J3779" s="208">
        <f>EXP(SUMPRODUCT((rl_eff&lt;=$C3779)*(rl_key=$A$3748)*rl_ln1p))</f>
        <v/>
      </c>
      <c r="K3779" s="201">
        <f>COUNTIFS(rl_key,$A$3748,rl_eff,"&gt;="&amp;$B3779,rl_eff,"&lt;="&amp;$C3779)</f>
        <v/>
      </c>
      <c r="L3779" s="201">
        <f>SUMIFS(rl_daysafter,rl_key,$A$3748,rl_effmonth,$B3779,rl_first,1)</f>
        <v/>
      </c>
      <c r="M3779" s="209">
        <f>IF($K3779=0,0,MIN(1,$L3779/$D3779))</f>
        <v/>
      </c>
      <c r="N3779" s="208">
        <f>IF($K3779=0,$J3779,(1-$M3779)*$I3779+$M3779*$J3779)</f>
        <v/>
      </c>
      <c r="O3779" s="209">
        <f>IF($F3779&lt;$B$3749,$E$3749+$I$3749*($F3779-$A$3749),IF($F3779&lt;$C$3749,$F$3749+$J$3749*($F3779-$B$3749),$G$3749+$K$3749*($F3779-$C$3749)))</f>
        <v/>
      </c>
      <c r="P3779" s="208">
        <f>MIN(1,MAX(0,(nr_MEndPm1-$G3779+0.5)/$C$3748))-MIN(1,MAX(0,(nr_MStartPm1-1-$G3779+0.5)/$C$3748))</f>
        <v/>
      </c>
      <c r="Q3779" s="208">
        <f>MIN(1,MAX(0,(nr_MEndP-$G3779+0.5)/$C$3748))-MIN(1,MAX(0,(nr_MStartP-1-$G3779+0.5)/$C$3748))</f>
        <v/>
      </c>
      <c r="R3779" s="208">
        <f>MIN(1,MAX(0,(nr_MEndP1-$G3779+0.5)/$C$3748))-MIN(1,MAX(0,(nr_MStartP1-1-$G3779+0.5)/$C$3748))</f>
        <v/>
      </c>
      <c r="S3779" s="208">
        <f>IF($L$3748,$N3779*IF($O$3748=1,$O3779/$F$3748,1),"")</f>
        <v/>
      </c>
      <c r="T3779" s="208">
        <f>IF(NOT($L$3748),"",IF($G3779&lt;nr_MStartP,$S3779,$T3767*(1+IF($G3779&lt;nr_MStartP1,$M$3748,$N$3748))))</f>
        <v/>
      </c>
      <c r="U3779" s="208">
        <f>IF($L$3748,$T3779,$N3779)</f>
        <v/>
      </c>
    </row>
    <row r="3780">
      <c r="A3780" s="145" t="n">
        <v>30</v>
      </c>
      <c r="B3780" s="204">
        <f>EDATE($B3779,1)</f>
        <v/>
      </c>
      <c r="C3780" s="205">
        <f>EOMONTH($B3780,0)</f>
        <v/>
      </c>
      <c r="D3780" s="201">
        <f>$C3780-$B3780+1</f>
        <v/>
      </c>
      <c r="E3780" s="201">
        <f>MONTH($B3780)</f>
        <v/>
      </c>
      <c r="F3780" s="235">
        <f>($B3780+$C3780+1)/2</f>
        <v/>
      </c>
      <c r="G3780" s="201">
        <f>YEAR($B3780)*12+MONTH($B3780)-1</f>
        <v/>
      </c>
      <c r="H3780" s="207">
        <f>IF(OR(nr_SeasonOn="OFF",$D$3748=0,$E$3748=0),1,12*INDEX(se_block,$D$3748,$E3780)/$E$3748)</f>
        <v/>
      </c>
      <c r="I3780" s="208">
        <f>EXP(SUMPRODUCT((rl_eff&lt;$B3780)*(rl_key=$A$3748)*rl_ln1p))</f>
        <v/>
      </c>
      <c r="J3780" s="208">
        <f>EXP(SUMPRODUCT((rl_eff&lt;=$C3780)*(rl_key=$A$3748)*rl_ln1p))</f>
        <v/>
      </c>
      <c r="K3780" s="201">
        <f>COUNTIFS(rl_key,$A$3748,rl_eff,"&gt;="&amp;$B3780,rl_eff,"&lt;="&amp;$C3780)</f>
        <v/>
      </c>
      <c r="L3780" s="201">
        <f>SUMIFS(rl_daysafter,rl_key,$A$3748,rl_effmonth,$B3780,rl_first,1)</f>
        <v/>
      </c>
      <c r="M3780" s="209">
        <f>IF($K3780=0,0,MIN(1,$L3780/$D3780))</f>
        <v/>
      </c>
      <c r="N3780" s="208">
        <f>IF($K3780=0,$J3780,(1-$M3780)*$I3780+$M3780*$J3780)</f>
        <v/>
      </c>
      <c r="O3780" s="209">
        <f>IF($F3780&lt;$B$3749,$E$3749+$I$3749*($F3780-$A$3749),IF($F3780&lt;$C$3749,$F$3749+$J$3749*($F3780-$B$3749),$G$3749+$K$3749*($F3780-$C$3749)))</f>
        <v/>
      </c>
      <c r="P3780" s="208">
        <f>MIN(1,MAX(0,(nr_MEndPm1-$G3780+0.5)/$C$3748))-MIN(1,MAX(0,(nr_MStartPm1-1-$G3780+0.5)/$C$3748))</f>
        <v/>
      </c>
      <c r="Q3780" s="208">
        <f>MIN(1,MAX(0,(nr_MEndP-$G3780+0.5)/$C$3748))-MIN(1,MAX(0,(nr_MStartP-1-$G3780+0.5)/$C$3748))</f>
        <v/>
      </c>
      <c r="R3780" s="208">
        <f>MIN(1,MAX(0,(nr_MEndP1-$G3780+0.5)/$C$3748))-MIN(1,MAX(0,(nr_MStartP1-1-$G3780+0.5)/$C$3748))</f>
        <v/>
      </c>
      <c r="S3780" s="208">
        <f>IF($L$3748,$N3780*IF($O$3748=1,$O3780/$F$3748,1),"")</f>
        <v/>
      </c>
      <c r="T3780" s="208">
        <f>IF(NOT($L$3748),"",IF($G3780&lt;nr_MStartP,$S3780,$T3768*(1+IF($G3780&lt;nr_MStartP1,$M$3748,$N$3748))))</f>
        <v/>
      </c>
      <c r="U3780" s="208">
        <f>IF($L$3748,$T3780,$N3780)</f>
        <v/>
      </c>
    </row>
    <row r="3781">
      <c r="A3781" s="145" t="n">
        <v>31</v>
      </c>
      <c r="B3781" s="204">
        <f>EDATE($B3780,1)</f>
        <v/>
      </c>
      <c r="C3781" s="205">
        <f>EOMONTH($B3781,0)</f>
        <v/>
      </c>
      <c r="D3781" s="201">
        <f>$C3781-$B3781+1</f>
        <v/>
      </c>
      <c r="E3781" s="201">
        <f>MONTH($B3781)</f>
        <v/>
      </c>
      <c r="F3781" s="235">
        <f>($B3781+$C3781+1)/2</f>
        <v/>
      </c>
      <c r="G3781" s="201">
        <f>YEAR($B3781)*12+MONTH($B3781)-1</f>
        <v/>
      </c>
      <c r="H3781" s="207">
        <f>IF(OR(nr_SeasonOn="OFF",$D$3748=0,$E$3748=0),1,12*INDEX(se_block,$D$3748,$E3781)/$E$3748)</f>
        <v/>
      </c>
      <c r="I3781" s="208">
        <f>EXP(SUMPRODUCT((rl_eff&lt;$B3781)*(rl_key=$A$3748)*rl_ln1p))</f>
        <v/>
      </c>
      <c r="J3781" s="208">
        <f>EXP(SUMPRODUCT((rl_eff&lt;=$C3781)*(rl_key=$A$3748)*rl_ln1p))</f>
        <v/>
      </c>
      <c r="K3781" s="201">
        <f>COUNTIFS(rl_key,$A$3748,rl_eff,"&gt;="&amp;$B3781,rl_eff,"&lt;="&amp;$C3781)</f>
        <v/>
      </c>
      <c r="L3781" s="201">
        <f>SUMIFS(rl_daysafter,rl_key,$A$3748,rl_effmonth,$B3781,rl_first,1)</f>
        <v/>
      </c>
      <c r="M3781" s="209">
        <f>IF($K3781=0,0,MIN(1,$L3781/$D3781))</f>
        <v/>
      </c>
      <c r="N3781" s="208">
        <f>IF($K3781=0,$J3781,(1-$M3781)*$I3781+$M3781*$J3781)</f>
        <v/>
      </c>
      <c r="O3781" s="209">
        <f>IF($F3781&lt;$B$3749,$E$3749+$I$3749*($F3781-$A$3749),IF($F3781&lt;$C$3749,$F$3749+$J$3749*($F3781-$B$3749),$G$3749+$K$3749*($F3781-$C$3749)))</f>
        <v/>
      </c>
      <c r="P3781" s="208">
        <f>MIN(1,MAX(0,(nr_MEndPm1-$G3781+0.5)/$C$3748))-MIN(1,MAX(0,(nr_MStartPm1-1-$G3781+0.5)/$C$3748))</f>
        <v/>
      </c>
      <c r="Q3781" s="208">
        <f>MIN(1,MAX(0,(nr_MEndP-$G3781+0.5)/$C$3748))-MIN(1,MAX(0,(nr_MStartP-1-$G3781+0.5)/$C$3748))</f>
        <v/>
      </c>
      <c r="R3781" s="208">
        <f>MIN(1,MAX(0,(nr_MEndP1-$G3781+0.5)/$C$3748))-MIN(1,MAX(0,(nr_MStartP1-1-$G3781+0.5)/$C$3748))</f>
        <v/>
      </c>
      <c r="S3781" s="208">
        <f>IF($L$3748,$N3781*IF($O$3748=1,$O3781/$F$3748,1),"")</f>
        <v/>
      </c>
      <c r="T3781" s="208">
        <f>IF(NOT($L$3748),"",IF($G3781&lt;nr_MStartP,$S3781,$T3769*(1+IF($G3781&lt;nr_MStartP1,$M$3748,$N$3748))))</f>
        <v/>
      </c>
      <c r="U3781" s="208">
        <f>IF($L$3748,$T3781,$N3781)</f>
        <v/>
      </c>
    </row>
    <row r="3782">
      <c r="A3782" s="145" t="n">
        <v>32</v>
      </c>
      <c r="B3782" s="204">
        <f>EDATE($B3781,1)</f>
        <v/>
      </c>
      <c r="C3782" s="205">
        <f>EOMONTH($B3782,0)</f>
        <v/>
      </c>
      <c r="D3782" s="201">
        <f>$C3782-$B3782+1</f>
        <v/>
      </c>
      <c r="E3782" s="201">
        <f>MONTH($B3782)</f>
        <v/>
      </c>
      <c r="F3782" s="235">
        <f>($B3782+$C3782+1)/2</f>
        <v/>
      </c>
      <c r="G3782" s="201">
        <f>YEAR($B3782)*12+MONTH($B3782)-1</f>
        <v/>
      </c>
      <c r="H3782" s="207">
        <f>IF(OR(nr_SeasonOn="OFF",$D$3748=0,$E$3748=0),1,12*INDEX(se_block,$D$3748,$E3782)/$E$3748)</f>
        <v/>
      </c>
      <c r="I3782" s="208">
        <f>EXP(SUMPRODUCT((rl_eff&lt;$B3782)*(rl_key=$A$3748)*rl_ln1p))</f>
        <v/>
      </c>
      <c r="J3782" s="208">
        <f>EXP(SUMPRODUCT((rl_eff&lt;=$C3782)*(rl_key=$A$3748)*rl_ln1p))</f>
        <v/>
      </c>
      <c r="K3782" s="201">
        <f>COUNTIFS(rl_key,$A$3748,rl_eff,"&gt;="&amp;$B3782,rl_eff,"&lt;="&amp;$C3782)</f>
        <v/>
      </c>
      <c r="L3782" s="201">
        <f>SUMIFS(rl_daysafter,rl_key,$A$3748,rl_effmonth,$B3782,rl_first,1)</f>
        <v/>
      </c>
      <c r="M3782" s="209">
        <f>IF($K3782=0,0,MIN(1,$L3782/$D3782))</f>
        <v/>
      </c>
      <c r="N3782" s="208">
        <f>IF($K3782=0,$J3782,(1-$M3782)*$I3782+$M3782*$J3782)</f>
        <v/>
      </c>
      <c r="O3782" s="209">
        <f>IF($F3782&lt;$B$3749,$E$3749+$I$3749*($F3782-$A$3749),IF($F3782&lt;$C$3749,$F$3749+$J$3749*($F3782-$B$3749),$G$3749+$K$3749*($F3782-$C$3749)))</f>
        <v/>
      </c>
      <c r="P3782" s="208">
        <f>MIN(1,MAX(0,(nr_MEndPm1-$G3782+0.5)/$C$3748))-MIN(1,MAX(0,(nr_MStartPm1-1-$G3782+0.5)/$C$3748))</f>
        <v/>
      </c>
      <c r="Q3782" s="208">
        <f>MIN(1,MAX(0,(nr_MEndP-$G3782+0.5)/$C$3748))-MIN(1,MAX(0,(nr_MStartP-1-$G3782+0.5)/$C$3748))</f>
        <v/>
      </c>
      <c r="R3782" s="208">
        <f>MIN(1,MAX(0,(nr_MEndP1-$G3782+0.5)/$C$3748))-MIN(1,MAX(0,(nr_MStartP1-1-$G3782+0.5)/$C$3748))</f>
        <v/>
      </c>
      <c r="S3782" s="208">
        <f>IF($L$3748,$N3782*IF($O$3748=1,$O3782/$F$3748,1),"")</f>
        <v/>
      </c>
      <c r="T3782" s="208">
        <f>IF(NOT($L$3748),"",IF($G3782&lt;nr_MStartP,$S3782,$T3770*(1+IF($G3782&lt;nr_MStartP1,$M$3748,$N$3748))))</f>
        <v/>
      </c>
      <c r="U3782" s="208">
        <f>IF($L$3748,$T3782,$N3782)</f>
        <v/>
      </c>
    </row>
    <row r="3783">
      <c r="A3783" s="145" t="n">
        <v>33</v>
      </c>
      <c r="B3783" s="204">
        <f>EDATE($B3782,1)</f>
        <v/>
      </c>
      <c r="C3783" s="205">
        <f>EOMONTH($B3783,0)</f>
        <v/>
      </c>
      <c r="D3783" s="201">
        <f>$C3783-$B3783+1</f>
        <v/>
      </c>
      <c r="E3783" s="201">
        <f>MONTH($B3783)</f>
        <v/>
      </c>
      <c r="F3783" s="235">
        <f>($B3783+$C3783+1)/2</f>
        <v/>
      </c>
      <c r="G3783" s="201">
        <f>YEAR($B3783)*12+MONTH($B3783)-1</f>
        <v/>
      </c>
      <c r="H3783" s="207">
        <f>IF(OR(nr_SeasonOn="OFF",$D$3748=0,$E$3748=0),1,12*INDEX(se_block,$D$3748,$E3783)/$E$3748)</f>
        <v/>
      </c>
      <c r="I3783" s="208">
        <f>EXP(SUMPRODUCT((rl_eff&lt;$B3783)*(rl_key=$A$3748)*rl_ln1p))</f>
        <v/>
      </c>
      <c r="J3783" s="208">
        <f>EXP(SUMPRODUCT((rl_eff&lt;=$C3783)*(rl_key=$A$3748)*rl_ln1p))</f>
        <v/>
      </c>
      <c r="K3783" s="201">
        <f>COUNTIFS(rl_key,$A$3748,rl_eff,"&gt;="&amp;$B3783,rl_eff,"&lt;="&amp;$C3783)</f>
        <v/>
      </c>
      <c r="L3783" s="201">
        <f>SUMIFS(rl_daysafter,rl_key,$A$3748,rl_effmonth,$B3783,rl_first,1)</f>
        <v/>
      </c>
      <c r="M3783" s="209">
        <f>IF($K3783=0,0,MIN(1,$L3783/$D3783))</f>
        <v/>
      </c>
      <c r="N3783" s="208">
        <f>IF($K3783=0,$J3783,(1-$M3783)*$I3783+$M3783*$J3783)</f>
        <v/>
      </c>
      <c r="O3783" s="209">
        <f>IF($F3783&lt;$B$3749,$E$3749+$I$3749*($F3783-$A$3749),IF($F3783&lt;$C$3749,$F$3749+$J$3749*($F3783-$B$3749),$G$3749+$K$3749*($F3783-$C$3749)))</f>
        <v/>
      </c>
      <c r="P3783" s="208">
        <f>MIN(1,MAX(0,(nr_MEndPm1-$G3783+0.5)/$C$3748))-MIN(1,MAX(0,(nr_MStartPm1-1-$G3783+0.5)/$C$3748))</f>
        <v/>
      </c>
      <c r="Q3783" s="208">
        <f>MIN(1,MAX(0,(nr_MEndP-$G3783+0.5)/$C$3748))-MIN(1,MAX(0,(nr_MStartP-1-$G3783+0.5)/$C$3748))</f>
        <v/>
      </c>
      <c r="R3783" s="208">
        <f>MIN(1,MAX(0,(nr_MEndP1-$G3783+0.5)/$C$3748))-MIN(1,MAX(0,(nr_MStartP1-1-$G3783+0.5)/$C$3748))</f>
        <v/>
      </c>
      <c r="S3783" s="208">
        <f>IF($L$3748,$N3783*IF($O$3748=1,$O3783/$F$3748,1),"")</f>
        <v/>
      </c>
      <c r="T3783" s="208">
        <f>IF(NOT($L$3748),"",IF($G3783&lt;nr_MStartP,$S3783,$T3771*(1+IF($G3783&lt;nr_MStartP1,$M$3748,$N$3748))))</f>
        <v/>
      </c>
      <c r="U3783" s="208">
        <f>IF($L$3748,$T3783,$N3783)</f>
        <v/>
      </c>
    </row>
    <row r="3784">
      <c r="A3784" s="145" t="n">
        <v>34</v>
      </c>
      <c r="B3784" s="204">
        <f>EDATE($B3783,1)</f>
        <v/>
      </c>
      <c r="C3784" s="205">
        <f>EOMONTH($B3784,0)</f>
        <v/>
      </c>
      <c r="D3784" s="201">
        <f>$C3784-$B3784+1</f>
        <v/>
      </c>
      <c r="E3784" s="201">
        <f>MONTH($B3784)</f>
        <v/>
      </c>
      <c r="F3784" s="235">
        <f>($B3784+$C3784+1)/2</f>
        <v/>
      </c>
      <c r="G3784" s="201">
        <f>YEAR($B3784)*12+MONTH($B3784)-1</f>
        <v/>
      </c>
      <c r="H3784" s="207">
        <f>IF(OR(nr_SeasonOn="OFF",$D$3748=0,$E$3748=0),1,12*INDEX(se_block,$D$3748,$E3784)/$E$3748)</f>
        <v/>
      </c>
      <c r="I3784" s="208">
        <f>EXP(SUMPRODUCT((rl_eff&lt;$B3784)*(rl_key=$A$3748)*rl_ln1p))</f>
        <v/>
      </c>
      <c r="J3784" s="208">
        <f>EXP(SUMPRODUCT((rl_eff&lt;=$C3784)*(rl_key=$A$3748)*rl_ln1p))</f>
        <v/>
      </c>
      <c r="K3784" s="201">
        <f>COUNTIFS(rl_key,$A$3748,rl_eff,"&gt;="&amp;$B3784,rl_eff,"&lt;="&amp;$C3784)</f>
        <v/>
      </c>
      <c r="L3784" s="201">
        <f>SUMIFS(rl_daysafter,rl_key,$A$3748,rl_effmonth,$B3784,rl_first,1)</f>
        <v/>
      </c>
      <c r="M3784" s="209">
        <f>IF($K3784=0,0,MIN(1,$L3784/$D3784))</f>
        <v/>
      </c>
      <c r="N3784" s="208">
        <f>IF($K3784=0,$J3784,(1-$M3784)*$I3784+$M3784*$J3784)</f>
        <v/>
      </c>
      <c r="O3784" s="209">
        <f>IF($F3784&lt;$B$3749,$E$3749+$I$3749*($F3784-$A$3749),IF($F3784&lt;$C$3749,$F$3749+$J$3749*($F3784-$B$3749),$G$3749+$K$3749*($F3784-$C$3749)))</f>
        <v/>
      </c>
      <c r="P3784" s="208">
        <f>MIN(1,MAX(0,(nr_MEndPm1-$G3784+0.5)/$C$3748))-MIN(1,MAX(0,(nr_MStartPm1-1-$G3784+0.5)/$C$3748))</f>
        <v/>
      </c>
      <c r="Q3784" s="208">
        <f>MIN(1,MAX(0,(nr_MEndP-$G3784+0.5)/$C$3748))-MIN(1,MAX(0,(nr_MStartP-1-$G3784+0.5)/$C$3748))</f>
        <v/>
      </c>
      <c r="R3784" s="208">
        <f>MIN(1,MAX(0,(nr_MEndP1-$G3784+0.5)/$C$3748))-MIN(1,MAX(0,(nr_MStartP1-1-$G3784+0.5)/$C$3748))</f>
        <v/>
      </c>
      <c r="S3784" s="208">
        <f>IF($L$3748,$N3784*IF($O$3748=1,$O3784/$F$3748,1),"")</f>
        <v/>
      </c>
      <c r="T3784" s="208">
        <f>IF(NOT($L$3748),"",IF($G3784&lt;nr_MStartP,$S3784,$T3772*(1+IF($G3784&lt;nr_MStartP1,$M$3748,$N$3748))))</f>
        <v/>
      </c>
      <c r="U3784" s="208">
        <f>IF($L$3748,$T3784,$N3784)</f>
        <v/>
      </c>
    </row>
    <row r="3785">
      <c r="A3785" s="145" t="n">
        <v>35</v>
      </c>
      <c r="B3785" s="204">
        <f>EDATE($B3784,1)</f>
        <v/>
      </c>
      <c r="C3785" s="205">
        <f>EOMONTH($B3785,0)</f>
        <v/>
      </c>
      <c r="D3785" s="201">
        <f>$C3785-$B3785+1</f>
        <v/>
      </c>
      <c r="E3785" s="201">
        <f>MONTH($B3785)</f>
        <v/>
      </c>
      <c r="F3785" s="235">
        <f>($B3785+$C3785+1)/2</f>
        <v/>
      </c>
      <c r="G3785" s="201">
        <f>YEAR($B3785)*12+MONTH($B3785)-1</f>
        <v/>
      </c>
      <c r="H3785" s="207">
        <f>IF(OR(nr_SeasonOn="OFF",$D$3748=0,$E$3748=0),1,12*INDEX(se_block,$D$3748,$E3785)/$E$3748)</f>
        <v/>
      </c>
      <c r="I3785" s="208">
        <f>EXP(SUMPRODUCT((rl_eff&lt;$B3785)*(rl_key=$A$3748)*rl_ln1p))</f>
        <v/>
      </c>
      <c r="J3785" s="208">
        <f>EXP(SUMPRODUCT((rl_eff&lt;=$C3785)*(rl_key=$A$3748)*rl_ln1p))</f>
        <v/>
      </c>
      <c r="K3785" s="201">
        <f>COUNTIFS(rl_key,$A$3748,rl_eff,"&gt;="&amp;$B3785,rl_eff,"&lt;="&amp;$C3785)</f>
        <v/>
      </c>
      <c r="L3785" s="201">
        <f>SUMIFS(rl_daysafter,rl_key,$A$3748,rl_effmonth,$B3785,rl_first,1)</f>
        <v/>
      </c>
      <c r="M3785" s="209">
        <f>IF($K3785=0,0,MIN(1,$L3785/$D3785))</f>
        <v/>
      </c>
      <c r="N3785" s="208">
        <f>IF($K3785=0,$J3785,(1-$M3785)*$I3785+$M3785*$J3785)</f>
        <v/>
      </c>
      <c r="O3785" s="209">
        <f>IF($F3785&lt;$B$3749,$E$3749+$I$3749*($F3785-$A$3749),IF($F3785&lt;$C$3749,$F$3749+$J$3749*($F3785-$B$3749),$G$3749+$K$3749*($F3785-$C$3749)))</f>
        <v/>
      </c>
      <c r="P3785" s="208">
        <f>MIN(1,MAX(0,(nr_MEndPm1-$G3785+0.5)/$C$3748))-MIN(1,MAX(0,(nr_MStartPm1-1-$G3785+0.5)/$C$3748))</f>
        <v/>
      </c>
      <c r="Q3785" s="208">
        <f>MIN(1,MAX(0,(nr_MEndP-$G3785+0.5)/$C$3748))-MIN(1,MAX(0,(nr_MStartP-1-$G3785+0.5)/$C$3748))</f>
        <v/>
      </c>
      <c r="R3785" s="208">
        <f>MIN(1,MAX(0,(nr_MEndP1-$G3785+0.5)/$C$3748))-MIN(1,MAX(0,(nr_MStartP1-1-$G3785+0.5)/$C$3748))</f>
        <v/>
      </c>
      <c r="S3785" s="208">
        <f>IF($L$3748,$N3785*IF($O$3748=1,$O3785/$F$3748,1),"")</f>
        <v/>
      </c>
      <c r="T3785" s="208">
        <f>IF(NOT($L$3748),"",IF($G3785&lt;nr_MStartP,$S3785,$T3773*(1+IF($G3785&lt;nr_MStartP1,$M$3748,$N$3748))))</f>
        <v/>
      </c>
      <c r="U3785" s="208">
        <f>IF($L$3748,$T3785,$N3785)</f>
        <v/>
      </c>
    </row>
    <row r="3786">
      <c r="A3786" s="145" t="n">
        <v>36</v>
      </c>
      <c r="B3786" s="204">
        <f>EDATE($B3785,1)</f>
        <v/>
      </c>
      <c r="C3786" s="205">
        <f>EOMONTH($B3786,0)</f>
        <v/>
      </c>
      <c r="D3786" s="201">
        <f>$C3786-$B3786+1</f>
        <v/>
      </c>
      <c r="E3786" s="201">
        <f>MONTH($B3786)</f>
        <v/>
      </c>
      <c r="F3786" s="235">
        <f>($B3786+$C3786+1)/2</f>
        <v/>
      </c>
      <c r="G3786" s="201">
        <f>YEAR($B3786)*12+MONTH($B3786)-1</f>
        <v/>
      </c>
      <c r="H3786" s="207">
        <f>IF(OR(nr_SeasonOn="OFF",$D$3748=0,$E$3748=0),1,12*INDEX(se_block,$D$3748,$E3786)/$E$3748)</f>
        <v/>
      </c>
      <c r="I3786" s="208">
        <f>EXP(SUMPRODUCT((rl_eff&lt;$B3786)*(rl_key=$A$3748)*rl_ln1p))</f>
        <v/>
      </c>
      <c r="J3786" s="208">
        <f>EXP(SUMPRODUCT((rl_eff&lt;=$C3786)*(rl_key=$A$3748)*rl_ln1p))</f>
        <v/>
      </c>
      <c r="K3786" s="201">
        <f>COUNTIFS(rl_key,$A$3748,rl_eff,"&gt;="&amp;$B3786,rl_eff,"&lt;="&amp;$C3786)</f>
        <v/>
      </c>
      <c r="L3786" s="201">
        <f>SUMIFS(rl_daysafter,rl_key,$A$3748,rl_effmonth,$B3786,rl_first,1)</f>
        <v/>
      </c>
      <c r="M3786" s="209">
        <f>IF($K3786=0,0,MIN(1,$L3786/$D3786))</f>
        <v/>
      </c>
      <c r="N3786" s="208">
        <f>IF($K3786=0,$J3786,(1-$M3786)*$I3786+$M3786*$J3786)</f>
        <v/>
      </c>
      <c r="O3786" s="209">
        <f>IF($F3786&lt;$B$3749,$E$3749+$I$3749*($F3786-$A$3749),IF($F3786&lt;$C$3749,$F$3749+$J$3749*($F3786-$B$3749),$G$3749+$K$3749*($F3786-$C$3749)))</f>
        <v/>
      </c>
      <c r="P3786" s="208">
        <f>MIN(1,MAX(0,(nr_MEndPm1-$G3786+0.5)/$C$3748))-MIN(1,MAX(0,(nr_MStartPm1-1-$G3786+0.5)/$C$3748))</f>
        <v/>
      </c>
      <c r="Q3786" s="208">
        <f>MIN(1,MAX(0,(nr_MEndP-$G3786+0.5)/$C$3748))-MIN(1,MAX(0,(nr_MStartP-1-$G3786+0.5)/$C$3748))</f>
        <v/>
      </c>
      <c r="R3786" s="208">
        <f>MIN(1,MAX(0,(nr_MEndP1-$G3786+0.5)/$C$3748))-MIN(1,MAX(0,(nr_MStartP1-1-$G3786+0.5)/$C$3748))</f>
        <v/>
      </c>
      <c r="S3786" s="208">
        <f>IF($L$3748,$N3786*IF($O$3748=1,$O3786/$F$3748,1),"")</f>
        <v/>
      </c>
      <c r="T3786" s="208">
        <f>IF(NOT($L$3748),"",IF($G3786&lt;nr_MStartP,$S3786,$T3774*(1+IF($G3786&lt;nr_MStartP1,$M$3748,$N$3748))))</f>
        <v/>
      </c>
      <c r="U3786" s="208">
        <f>IF($L$3748,$T3786,$N3786)</f>
        <v/>
      </c>
    </row>
    <row r="3787">
      <c r="A3787" s="145" t="n">
        <v>37</v>
      </c>
      <c r="B3787" s="204">
        <f>EDATE($B3786,1)</f>
        <v/>
      </c>
      <c r="C3787" s="205">
        <f>EOMONTH($B3787,0)</f>
        <v/>
      </c>
      <c r="D3787" s="201">
        <f>$C3787-$B3787+1</f>
        <v/>
      </c>
      <c r="E3787" s="201">
        <f>MONTH($B3787)</f>
        <v/>
      </c>
      <c r="F3787" s="235">
        <f>($B3787+$C3787+1)/2</f>
        <v/>
      </c>
      <c r="G3787" s="201">
        <f>YEAR($B3787)*12+MONTH($B3787)-1</f>
        <v/>
      </c>
      <c r="H3787" s="207">
        <f>IF(OR(nr_SeasonOn="OFF",$D$3748=0,$E$3748=0),1,12*INDEX(se_block,$D$3748,$E3787)/$E$3748)</f>
        <v/>
      </c>
      <c r="I3787" s="208">
        <f>EXP(SUMPRODUCT((rl_eff&lt;$B3787)*(rl_key=$A$3748)*rl_ln1p))</f>
        <v/>
      </c>
      <c r="J3787" s="208">
        <f>EXP(SUMPRODUCT((rl_eff&lt;=$C3787)*(rl_key=$A$3748)*rl_ln1p))</f>
        <v/>
      </c>
      <c r="K3787" s="201">
        <f>COUNTIFS(rl_key,$A$3748,rl_eff,"&gt;="&amp;$B3787,rl_eff,"&lt;="&amp;$C3787)</f>
        <v/>
      </c>
      <c r="L3787" s="201">
        <f>SUMIFS(rl_daysafter,rl_key,$A$3748,rl_effmonth,$B3787,rl_first,1)</f>
        <v/>
      </c>
      <c r="M3787" s="209">
        <f>IF($K3787=0,0,MIN(1,$L3787/$D3787))</f>
        <v/>
      </c>
      <c r="N3787" s="208">
        <f>IF($K3787=0,$J3787,(1-$M3787)*$I3787+$M3787*$J3787)</f>
        <v/>
      </c>
      <c r="O3787" s="209">
        <f>IF($F3787&lt;$B$3749,$E$3749+$I$3749*($F3787-$A$3749),IF($F3787&lt;$C$3749,$F$3749+$J$3749*($F3787-$B$3749),$G$3749+$K$3749*($F3787-$C$3749)))</f>
        <v/>
      </c>
      <c r="P3787" s="208">
        <f>MIN(1,MAX(0,(nr_MEndPm1-$G3787+0.5)/$C$3748))-MIN(1,MAX(0,(nr_MStartPm1-1-$G3787+0.5)/$C$3748))</f>
        <v/>
      </c>
      <c r="Q3787" s="208">
        <f>MIN(1,MAX(0,(nr_MEndP-$G3787+0.5)/$C$3748))-MIN(1,MAX(0,(nr_MStartP-1-$G3787+0.5)/$C$3748))</f>
        <v/>
      </c>
      <c r="R3787" s="208">
        <f>MIN(1,MAX(0,(nr_MEndP1-$G3787+0.5)/$C$3748))-MIN(1,MAX(0,(nr_MStartP1-1-$G3787+0.5)/$C$3748))</f>
        <v/>
      </c>
      <c r="S3787" s="208">
        <f>IF($L$3748,$N3787*IF($O$3748=1,$O3787/$F$3748,1),"")</f>
        <v/>
      </c>
      <c r="T3787" s="208">
        <f>IF(NOT($L$3748),"",IF($G3787&lt;nr_MStartP,$S3787,$T3775*(1+IF($G3787&lt;nr_MStartP1,$M$3748,$N$3748))))</f>
        <v/>
      </c>
      <c r="U3787" s="208">
        <f>IF($L$3748,$T3787,$N3787)</f>
        <v/>
      </c>
    </row>
    <row r="3788">
      <c r="A3788" s="145" t="n">
        <v>38</v>
      </c>
      <c r="B3788" s="204">
        <f>EDATE($B3787,1)</f>
        <v/>
      </c>
      <c r="C3788" s="205">
        <f>EOMONTH($B3788,0)</f>
        <v/>
      </c>
      <c r="D3788" s="201">
        <f>$C3788-$B3788+1</f>
        <v/>
      </c>
      <c r="E3788" s="201">
        <f>MONTH($B3788)</f>
        <v/>
      </c>
      <c r="F3788" s="235">
        <f>($B3788+$C3788+1)/2</f>
        <v/>
      </c>
      <c r="G3788" s="201">
        <f>YEAR($B3788)*12+MONTH($B3788)-1</f>
        <v/>
      </c>
      <c r="H3788" s="207">
        <f>IF(OR(nr_SeasonOn="OFF",$D$3748=0,$E$3748=0),1,12*INDEX(se_block,$D$3748,$E3788)/$E$3748)</f>
        <v/>
      </c>
      <c r="I3788" s="208">
        <f>EXP(SUMPRODUCT((rl_eff&lt;$B3788)*(rl_key=$A$3748)*rl_ln1p))</f>
        <v/>
      </c>
      <c r="J3788" s="208">
        <f>EXP(SUMPRODUCT((rl_eff&lt;=$C3788)*(rl_key=$A$3748)*rl_ln1p))</f>
        <v/>
      </c>
      <c r="K3788" s="201">
        <f>COUNTIFS(rl_key,$A$3748,rl_eff,"&gt;="&amp;$B3788,rl_eff,"&lt;="&amp;$C3788)</f>
        <v/>
      </c>
      <c r="L3788" s="201">
        <f>SUMIFS(rl_daysafter,rl_key,$A$3748,rl_effmonth,$B3788,rl_first,1)</f>
        <v/>
      </c>
      <c r="M3788" s="209">
        <f>IF($K3788=0,0,MIN(1,$L3788/$D3788))</f>
        <v/>
      </c>
      <c r="N3788" s="208">
        <f>IF($K3788=0,$J3788,(1-$M3788)*$I3788+$M3788*$J3788)</f>
        <v/>
      </c>
      <c r="O3788" s="209">
        <f>IF($F3788&lt;$B$3749,$E$3749+$I$3749*($F3788-$A$3749),IF($F3788&lt;$C$3749,$F$3749+$J$3749*($F3788-$B$3749),$G$3749+$K$3749*($F3788-$C$3749)))</f>
        <v/>
      </c>
      <c r="P3788" s="208">
        <f>MIN(1,MAX(0,(nr_MEndPm1-$G3788+0.5)/$C$3748))-MIN(1,MAX(0,(nr_MStartPm1-1-$G3788+0.5)/$C$3748))</f>
        <v/>
      </c>
      <c r="Q3788" s="208">
        <f>MIN(1,MAX(0,(nr_MEndP-$G3788+0.5)/$C$3748))-MIN(1,MAX(0,(nr_MStartP-1-$G3788+0.5)/$C$3748))</f>
        <v/>
      </c>
      <c r="R3788" s="208">
        <f>MIN(1,MAX(0,(nr_MEndP1-$G3788+0.5)/$C$3748))-MIN(1,MAX(0,(nr_MStartP1-1-$G3788+0.5)/$C$3748))</f>
        <v/>
      </c>
      <c r="S3788" s="208">
        <f>IF($L$3748,$N3788*IF($O$3748=1,$O3788/$F$3748,1),"")</f>
        <v/>
      </c>
      <c r="T3788" s="208">
        <f>IF(NOT($L$3748),"",IF($G3788&lt;nr_MStartP,$S3788,$T3776*(1+IF($G3788&lt;nr_MStartP1,$M$3748,$N$3748))))</f>
        <v/>
      </c>
      <c r="U3788" s="208">
        <f>IF($L$3748,$T3788,$N3788)</f>
        <v/>
      </c>
    </row>
    <row r="3789">
      <c r="A3789" s="145" t="n">
        <v>39</v>
      </c>
      <c r="B3789" s="204">
        <f>EDATE($B3788,1)</f>
        <v/>
      </c>
      <c r="C3789" s="205">
        <f>EOMONTH($B3789,0)</f>
        <v/>
      </c>
      <c r="D3789" s="201">
        <f>$C3789-$B3789+1</f>
        <v/>
      </c>
      <c r="E3789" s="201">
        <f>MONTH($B3789)</f>
        <v/>
      </c>
      <c r="F3789" s="235">
        <f>($B3789+$C3789+1)/2</f>
        <v/>
      </c>
      <c r="G3789" s="201">
        <f>YEAR($B3789)*12+MONTH($B3789)-1</f>
        <v/>
      </c>
      <c r="H3789" s="207">
        <f>IF(OR(nr_SeasonOn="OFF",$D$3748=0,$E$3748=0),1,12*INDEX(se_block,$D$3748,$E3789)/$E$3748)</f>
        <v/>
      </c>
      <c r="I3789" s="208">
        <f>EXP(SUMPRODUCT((rl_eff&lt;$B3789)*(rl_key=$A$3748)*rl_ln1p))</f>
        <v/>
      </c>
      <c r="J3789" s="208">
        <f>EXP(SUMPRODUCT((rl_eff&lt;=$C3789)*(rl_key=$A$3748)*rl_ln1p))</f>
        <v/>
      </c>
      <c r="K3789" s="201">
        <f>COUNTIFS(rl_key,$A$3748,rl_eff,"&gt;="&amp;$B3789,rl_eff,"&lt;="&amp;$C3789)</f>
        <v/>
      </c>
      <c r="L3789" s="201">
        <f>SUMIFS(rl_daysafter,rl_key,$A$3748,rl_effmonth,$B3789,rl_first,1)</f>
        <v/>
      </c>
      <c r="M3789" s="209">
        <f>IF($K3789=0,0,MIN(1,$L3789/$D3789))</f>
        <v/>
      </c>
      <c r="N3789" s="208">
        <f>IF($K3789=0,$J3789,(1-$M3789)*$I3789+$M3789*$J3789)</f>
        <v/>
      </c>
      <c r="O3789" s="209">
        <f>IF($F3789&lt;$B$3749,$E$3749+$I$3749*($F3789-$A$3749),IF($F3789&lt;$C$3749,$F$3749+$J$3749*($F3789-$B$3749),$G$3749+$K$3749*($F3789-$C$3749)))</f>
        <v/>
      </c>
      <c r="P3789" s="208">
        <f>MIN(1,MAX(0,(nr_MEndPm1-$G3789+0.5)/$C$3748))-MIN(1,MAX(0,(nr_MStartPm1-1-$G3789+0.5)/$C$3748))</f>
        <v/>
      </c>
      <c r="Q3789" s="208">
        <f>MIN(1,MAX(0,(nr_MEndP-$G3789+0.5)/$C$3748))-MIN(1,MAX(0,(nr_MStartP-1-$G3789+0.5)/$C$3748))</f>
        <v/>
      </c>
      <c r="R3789" s="208">
        <f>MIN(1,MAX(0,(nr_MEndP1-$G3789+0.5)/$C$3748))-MIN(1,MAX(0,(nr_MStartP1-1-$G3789+0.5)/$C$3748))</f>
        <v/>
      </c>
      <c r="S3789" s="208">
        <f>IF($L$3748,$N3789*IF($O$3748=1,$O3789/$F$3748,1),"")</f>
        <v/>
      </c>
      <c r="T3789" s="208">
        <f>IF(NOT($L$3748),"",IF($G3789&lt;nr_MStartP,$S3789,$T3777*(1+IF($G3789&lt;nr_MStartP1,$M$3748,$N$3748))))</f>
        <v/>
      </c>
      <c r="U3789" s="208">
        <f>IF($L$3748,$T3789,$N3789)</f>
        <v/>
      </c>
    </row>
    <row r="3790">
      <c r="A3790" s="145" t="n">
        <v>40</v>
      </c>
      <c r="B3790" s="204">
        <f>EDATE($B3789,1)</f>
        <v/>
      </c>
      <c r="C3790" s="205">
        <f>EOMONTH($B3790,0)</f>
        <v/>
      </c>
      <c r="D3790" s="201">
        <f>$C3790-$B3790+1</f>
        <v/>
      </c>
      <c r="E3790" s="201">
        <f>MONTH($B3790)</f>
        <v/>
      </c>
      <c r="F3790" s="235">
        <f>($B3790+$C3790+1)/2</f>
        <v/>
      </c>
      <c r="G3790" s="201">
        <f>YEAR($B3790)*12+MONTH($B3790)-1</f>
        <v/>
      </c>
      <c r="H3790" s="207">
        <f>IF(OR(nr_SeasonOn="OFF",$D$3748=0,$E$3748=0),1,12*INDEX(se_block,$D$3748,$E3790)/$E$3748)</f>
        <v/>
      </c>
      <c r="I3790" s="208">
        <f>EXP(SUMPRODUCT((rl_eff&lt;$B3790)*(rl_key=$A$3748)*rl_ln1p))</f>
        <v/>
      </c>
      <c r="J3790" s="208">
        <f>EXP(SUMPRODUCT((rl_eff&lt;=$C3790)*(rl_key=$A$3748)*rl_ln1p))</f>
        <v/>
      </c>
      <c r="K3790" s="201">
        <f>COUNTIFS(rl_key,$A$3748,rl_eff,"&gt;="&amp;$B3790,rl_eff,"&lt;="&amp;$C3790)</f>
        <v/>
      </c>
      <c r="L3790" s="201">
        <f>SUMIFS(rl_daysafter,rl_key,$A$3748,rl_effmonth,$B3790,rl_first,1)</f>
        <v/>
      </c>
      <c r="M3790" s="209">
        <f>IF($K3790=0,0,MIN(1,$L3790/$D3790))</f>
        <v/>
      </c>
      <c r="N3790" s="208">
        <f>IF($K3790=0,$J3790,(1-$M3790)*$I3790+$M3790*$J3790)</f>
        <v/>
      </c>
      <c r="O3790" s="209">
        <f>IF($F3790&lt;$B$3749,$E$3749+$I$3749*($F3790-$A$3749),IF($F3790&lt;$C$3749,$F$3749+$J$3749*($F3790-$B$3749),$G$3749+$K$3749*($F3790-$C$3749)))</f>
        <v/>
      </c>
      <c r="P3790" s="208">
        <f>MIN(1,MAX(0,(nr_MEndPm1-$G3790+0.5)/$C$3748))-MIN(1,MAX(0,(nr_MStartPm1-1-$G3790+0.5)/$C$3748))</f>
        <v/>
      </c>
      <c r="Q3790" s="208">
        <f>MIN(1,MAX(0,(nr_MEndP-$G3790+0.5)/$C$3748))-MIN(1,MAX(0,(nr_MStartP-1-$G3790+0.5)/$C$3748))</f>
        <v/>
      </c>
      <c r="R3790" s="208">
        <f>MIN(1,MAX(0,(nr_MEndP1-$G3790+0.5)/$C$3748))-MIN(1,MAX(0,(nr_MStartP1-1-$G3790+0.5)/$C$3748))</f>
        <v/>
      </c>
      <c r="S3790" s="208">
        <f>IF($L$3748,$N3790*IF($O$3748=1,$O3790/$F$3748,1),"")</f>
        <v/>
      </c>
      <c r="T3790" s="208">
        <f>IF(NOT($L$3748),"",IF($G3790&lt;nr_MStartP,$S3790,$T3778*(1+IF($G3790&lt;nr_MStartP1,$M$3748,$N$3748))))</f>
        <v/>
      </c>
      <c r="U3790" s="208">
        <f>IF($L$3748,$T3790,$N3790)</f>
        <v/>
      </c>
    </row>
    <row r="3791">
      <c r="A3791" s="145" t="n">
        <v>41</v>
      </c>
      <c r="B3791" s="204">
        <f>EDATE($B3790,1)</f>
        <v/>
      </c>
      <c r="C3791" s="205">
        <f>EOMONTH($B3791,0)</f>
        <v/>
      </c>
      <c r="D3791" s="201">
        <f>$C3791-$B3791+1</f>
        <v/>
      </c>
      <c r="E3791" s="201">
        <f>MONTH($B3791)</f>
        <v/>
      </c>
      <c r="F3791" s="235">
        <f>($B3791+$C3791+1)/2</f>
        <v/>
      </c>
      <c r="G3791" s="201">
        <f>YEAR($B3791)*12+MONTH($B3791)-1</f>
        <v/>
      </c>
      <c r="H3791" s="207">
        <f>IF(OR(nr_SeasonOn="OFF",$D$3748=0,$E$3748=0),1,12*INDEX(se_block,$D$3748,$E3791)/$E$3748)</f>
        <v/>
      </c>
      <c r="I3791" s="208">
        <f>EXP(SUMPRODUCT((rl_eff&lt;$B3791)*(rl_key=$A$3748)*rl_ln1p))</f>
        <v/>
      </c>
      <c r="J3791" s="208">
        <f>EXP(SUMPRODUCT((rl_eff&lt;=$C3791)*(rl_key=$A$3748)*rl_ln1p))</f>
        <v/>
      </c>
      <c r="K3791" s="201">
        <f>COUNTIFS(rl_key,$A$3748,rl_eff,"&gt;="&amp;$B3791,rl_eff,"&lt;="&amp;$C3791)</f>
        <v/>
      </c>
      <c r="L3791" s="201">
        <f>SUMIFS(rl_daysafter,rl_key,$A$3748,rl_effmonth,$B3791,rl_first,1)</f>
        <v/>
      </c>
      <c r="M3791" s="209">
        <f>IF($K3791=0,0,MIN(1,$L3791/$D3791))</f>
        <v/>
      </c>
      <c r="N3791" s="208">
        <f>IF($K3791=0,$J3791,(1-$M3791)*$I3791+$M3791*$J3791)</f>
        <v/>
      </c>
      <c r="O3791" s="209">
        <f>IF($F3791&lt;$B$3749,$E$3749+$I$3749*($F3791-$A$3749),IF($F3791&lt;$C$3749,$F$3749+$J$3749*($F3791-$B$3749),$G$3749+$K$3749*($F3791-$C$3749)))</f>
        <v/>
      </c>
      <c r="P3791" s="208">
        <f>MIN(1,MAX(0,(nr_MEndPm1-$G3791+0.5)/$C$3748))-MIN(1,MAX(0,(nr_MStartPm1-1-$G3791+0.5)/$C$3748))</f>
        <v/>
      </c>
      <c r="Q3791" s="208">
        <f>MIN(1,MAX(0,(nr_MEndP-$G3791+0.5)/$C$3748))-MIN(1,MAX(0,(nr_MStartP-1-$G3791+0.5)/$C$3748))</f>
        <v/>
      </c>
      <c r="R3791" s="208">
        <f>MIN(1,MAX(0,(nr_MEndP1-$G3791+0.5)/$C$3748))-MIN(1,MAX(0,(nr_MStartP1-1-$G3791+0.5)/$C$3748))</f>
        <v/>
      </c>
      <c r="S3791" s="208">
        <f>IF($L$3748,$N3791*IF($O$3748=1,$O3791/$F$3748,1),"")</f>
        <v/>
      </c>
      <c r="T3791" s="208">
        <f>IF(NOT($L$3748),"",IF($G3791&lt;nr_MStartP,$S3791,$T3779*(1+IF($G3791&lt;nr_MStartP1,$M$3748,$N$3748))))</f>
        <v/>
      </c>
      <c r="U3791" s="208">
        <f>IF($L$3748,$T3791,$N3791)</f>
        <v/>
      </c>
    </row>
    <row r="3792">
      <c r="A3792" s="145" t="n">
        <v>42</v>
      </c>
      <c r="B3792" s="204">
        <f>EDATE($B3791,1)</f>
        <v/>
      </c>
      <c r="C3792" s="205">
        <f>EOMONTH($B3792,0)</f>
        <v/>
      </c>
      <c r="D3792" s="201">
        <f>$C3792-$B3792+1</f>
        <v/>
      </c>
      <c r="E3792" s="201">
        <f>MONTH($B3792)</f>
        <v/>
      </c>
      <c r="F3792" s="235">
        <f>($B3792+$C3792+1)/2</f>
        <v/>
      </c>
      <c r="G3792" s="201">
        <f>YEAR($B3792)*12+MONTH($B3792)-1</f>
        <v/>
      </c>
      <c r="H3792" s="207">
        <f>IF(OR(nr_SeasonOn="OFF",$D$3748=0,$E$3748=0),1,12*INDEX(se_block,$D$3748,$E3792)/$E$3748)</f>
        <v/>
      </c>
      <c r="I3792" s="208">
        <f>EXP(SUMPRODUCT((rl_eff&lt;$B3792)*(rl_key=$A$3748)*rl_ln1p))</f>
        <v/>
      </c>
      <c r="J3792" s="208">
        <f>EXP(SUMPRODUCT((rl_eff&lt;=$C3792)*(rl_key=$A$3748)*rl_ln1p))</f>
        <v/>
      </c>
      <c r="K3792" s="201">
        <f>COUNTIFS(rl_key,$A$3748,rl_eff,"&gt;="&amp;$B3792,rl_eff,"&lt;="&amp;$C3792)</f>
        <v/>
      </c>
      <c r="L3792" s="201">
        <f>SUMIFS(rl_daysafter,rl_key,$A$3748,rl_effmonth,$B3792,rl_first,1)</f>
        <v/>
      </c>
      <c r="M3792" s="209">
        <f>IF($K3792=0,0,MIN(1,$L3792/$D3792))</f>
        <v/>
      </c>
      <c r="N3792" s="208">
        <f>IF($K3792=0,$J3792,(1-$M3792)*$I3792+$M3792*$J3792)</f>
        <v/>
      </c>
      <c r="O3792" s="209">
        <f>IF($F3792&lt;$B$3749,$E$3749+$I$3749*($F3792-$A$3749),IF($F3792&lt;$C$3749,$F$3749+$J$3749*($F3792-$B$3749),$G$3749+$K$3749*($F3792-$C$3749)))</f>
        <v/>
      </c>
      <c r="P3792" s="208">
        <f>MIN(1,MAX(0,(nr_MEndPm1-$G3792+0.5)/$C$3748))-MIN(1,MAX(0,(nr_MStartPm1-1-$G3792+0.5)/$C$3748))</f>
        <v/>
      </c>
      <c r="Q3792" s="208">
        <f>MIN(1,MAX(0,(nr_MEndP-$G3792+0.5)/$C$3748))-MIN(1,MAX(0,(nr_MStartP-1-$G3792+0.5)/$C$3748))</f>
        <v/>
      </c>
      <c r="R3792" s="208">
        <f>MIN(1,MAX(0,(nr_MEndP1-$G3792+0.5)/$C$3748))-MIN(1,MAX(0,(nr_MStartP1-1-$G3792+0.5)/$C$3748))</f>
        <v/>
      </c>
      <c r="S3792" s="208">
        <f>IF($L$3748,$N3792*IF($O$3748=1,$O3792/$F$3748,1),"")</f>
        <v/>
      </c>
      <c r="T3792" s="208">
        <f>IF(NOT($L$3748),"",IF($G3792&lt;nr_MStartP,$S3792,$T3780*(1+IF($G3792&lt;nr_MStartP1,$M$3748,$N$3748))))</f>
        <v/>
      </c>
      <c r="U3792" s="208">
        <f>IF($L$3748,$T3792,$N3792)</f>
        <v/>
      </c>
    </row>
    <row r="3793">
      <c r="A3793" s="145" t="n">
        <v>43</v>
      </c>
      <c r="B3793" s="204">
        <f>EDATE($B3792,1)</f>
        <v/>
      </c>
      <c r="C3793" s="205">
        <f>EOMONTH($B3793,0)</f>
        <v/>
      </c>
      <c r="D3793" s="201">
        <f>$C3793-$B3793+1</f>
        <v/>
      </c>
      <c r="E3793" s="201">
        <f>MONTH($B3793)</f>
        <v/>
      </c>
      <c r="F3793" s="235">
        <f>($B3793+$C3793+1)/2</f>
        <v/>
      </c>
      <c r="G3793" s="201">
        <f>YEAR($B3793)*12+MONTH($B3793)-1</f>
        <v/>
      </c>
      <c r="H3793" s="207">
        <f>IF(OR(nr_SeasonOn="OFF",$D$3748=0,$E$3748=0),1,12*INDEX(se_block,$D$3748,$E3793)/$E$3748)</f>
        <v/>
      </c>
      <c r="I3793" s="208">
        <f>EXP(SUMPRODUCT((rl_eff&lt;$B3793)*(rl_key=$A$3748)*rl_ln1p))</f>
        <v/>
      </c>
      <c r="J3793" s="208">
        <f>EXP(SUMPRODUCT((rl_eff&lt;=$C3793)*(rl_key=$A$3748)*rl_ln1p))</f>
        <v/>
      </c>
      <c r="K3793" s="201">
        <f>COUNTIFS(rl_key,$A$3748,rl_eff,"&gt;="&amp;$B3793,rl_eff,"&lt;="&amp;$C3793)</f>
        <v/>
      </c>
      <c r="L3793" s="201">
        <f>SUMIFS(rl_daysafter,rl_key,$A$3748,rl_effmonth,$B3793,rl_first,1)</f>
        <v/>
      </c>
      <c r="M3793" s="209">
        <f>IF($K3793=0,0,MIN(1,$L3793/$D3793))</f>
        <v/>
      </c>
      <c r="N3793" s="208">
        <f>IF($K3793=0,$J3793,(1-$M3793)*$I3793+$M3793*$J3793)</f>
        <v/>
      </c>
      <c r="O3793" s="209">
        <f>IF($F3793&lt;$B$3749,$E$3749+$I$3749*($F3793-$A$3749),IF($F3793&lt;$C$3749,$F$3749+$J$3749*($F3793-$B$3749),$G$3749+$K$3749*($F3793-$C$3749)))</f>
        <v/>
      </c>
      <c r="P3793" s="208">
        <f>MIN(1,MAX(0,(nr_MEndPm1-$G3793+0.5)/$C$3748))-MIN(1,MAX(0,(nr_MStartPm1-1-$G3793+0.5)/$C$3748))</f>
        <v/>
      </c>
      <c r="Q3793" s="208">
        <f>MIN(1,MAX(0,(nr_MEndP-$G3793+0.5)/$C$3748))-MIN(1,MAX(0,(nr_MStartP-1-$G3793+0.5)/$C$3748))</f>
        <v/>
      </c>
      <c r="R3793" s="208">
        <f>MIN(1,MAX(0,(nr_MEndP1-$G3793+0.5)/$C$3748))-MIN(1,MAX(0,(nr_MStartP1-1-$G3793+0.5)/$C$3748))</f>
        <v/>
      </c>
      <c r="S3793" s="208">
        <f>IF($L$3748,$N3793*IF($O$3748=1,$O3793/$F$3748,1),"")</f>
        <v/>
      </c>
      <c r="T3793" s="208">
        <f>IF(NOT($L$3748),"",IF($G3793&lt;nr_MStartP,$S3793,$T3781*(1+IF($G3793&lt;nr_MStartP1,$M$3748,$N$3748))))</f>
        <v/>
      </c>
      <c r="U3793" s="208">
        <f>IF($L$3748,$T3793,$N3793)</f>
        <v/>
      </c>
    </row>
    <row r="3794">
      <c r="A3794" s="145" t="n">
        <v>44</v>
      </c>
      <c r="B3794" s="204">
        <f>EDATE($B3793,1)</f>
        <v/>
      </c>
      <c r="C3794" s="205">
        <f>EOMONTH($B3794,0)</f>
        <v/>
      </c>
      <c r="D3794" s="201">
        <f>$C3794-$B3794+1</f>
        <v/>
      </c>
      <c r="E3794" s="201">
        <f>MONTH($B3794)</f>
        <v/>
      </c>
      <c r="F3794" s="235">
        <f>($B3794+$C3794+1)/2</f>
        <v/>
      </c>
      <c r="G3794" s="201">
        <f>YEAR($B3794)*12+MONTH($B3794)-1</f>
        <v/>
      </c>
      <c r="H3794" s="207">
        <f>IF(OR(nr_SeasonOn="OFF",$D$3748=0,$E$3748=0),1,12*INDEX(se_block,$D$3748,$E3794)/$E$3748)</f>
        <v/>
      </c>
      <c r="I3794" s="208">
        <f>EXP(SUMPRODUCT((rl_eff&lt;$B3794)*(rl_key=$A$3748)*rl_ln1p))</f>
        <v/>
      </c>
      <c r="J3794" s="208">
        <f>EXP(SUMPRODUCT((rl_eff&lt;=$C3794)*(rl_key=$A$3748)*rl_ln1p))</f>
        <v/>
      </c>
      <c r="K3794" s="201">
        <f>COUNTIFS(rl_key,$A$3748,rl_eff,"&gt;="&amp;$B3794,rl_eff,"&lt;="&amp;$C3794)</f>
        <v/>
      </c>
      <c r="L3794" s="201">
        <f>SUMIFS(rl_daysafter,rl_key,$A$3748,rl_effmonth,$B3794,rl_first,1)</f>
        <v/>
      </c>
      <c r="M3794" s="209">
        <f>IF($K3794=0,0,MIN(1,$L3794/$D3794))</f>
        <v/>
      </c>
      <c r="N3794" s="208">
        <f>IF($K3794=0,$J3794,(1-$M3794)*$I3794+$M3794*$J3794)</f>
        <v/>
      </c>
      <c r="O3794" s="209">
        <f>IF($F3794&lt;$B$3749,$E$3749+$I$3749*($F3794-$A$3749),IF($F3794&lt;$C$3749,$F$3749+$J$3749*($F3794-$B$3749),$G$3749+$K$3749*($F3794-$C$3749)))</f>
        <v/>
      </c>
      <c r="P3794" s="208">
        <f>MIN(1,MAX(0,(nr_MEndPm1-$G3794+0.5)/$C$3748))-MIN(1,MAX(0,(nr_MStartPm1-1-$G3794+0.5)/$C$3748))</f>
        <v/>
      </c>
      <c r="Q3794" s="208">
        <f>MIN(1,MAX(0,(nr_MEndP-$G3794+0.5)/$C$3748))-MIN(1,MAX(0,(nr_MStartP-1-$G3794+0.5)/$C$3748))</f>
        <v/>
      </c>
      <c r="R3794" s="208">
        <f>MIN(1,MAX(0,(nr_MEndP1-$G3794+0.5)/$C$3748))-MIN(1,MAX(0,(nr_MStartP1-1-$G3794+0.5)/$C$3748))</f>
        <v/>
      </c>
      <c r="S3794" s="208">
        <f>IF($L$3748,$N3794*IF($O$3748=1,$O3794/$F$3748,1),"")</f>
        <v/>
      </c>
      <c r="T3794" s="208">
        <f>IF(NOT($L$3748),"",IF($G3794&lt;nr_MStartP,$S3794,$T3782*(1+IF($G3794&lt;nr_MStartP1,$M$3748,$N$3748))))</f>
        <v/>
      </c>
      <c r="U3794" s="208">
        <f>IF($L$3748,$T3794,$N3794)</f>
        <v/>
      </c>
    </row>
    <row r="3795">
      <c r="A3795" s="145" t="n">
        <v>45</v>
      </c>
      <c r="B3795" s="204">
        <f>EDATE($B3794,1)</f>
        <v/>
      </c>
      <c r="C3795" s="205">
        <f>EOMONTH($B3795,0)</f>
        <v/>
      </c>
      <c r="D3795" s="201">
        <f>$C3795-$B3795+1</f>
        <v/>
      </c>
      <c r="E3795" s="201">
        <f>MONTH($B3795)</f>
        <v/>
      </c>
      <c r="F3795" s="235">
        <f>($B3795+$C3795+1)/2</f>
        <v/>
      </c>
      <c r="G3795" s="201">
        <f>YEAR($B3795)*12+MONTH($B3795)-1</f>
        <v/>
      </c>
      <c r="H3795" s="207">
        <f>IF(OR(nr_SeasonOn="OFF",$D$3748=0,$E$3748=0),1,12*INDEX(se_block,$D$3748,$E3795)/$E$3748)</f>
        <v/>
      </c>
      <c r="I3795" s="208">
        <f>EXP(SUMPRODUCT((rl_eff&lt;$B3795)*(rl_key=$A$3748)*rl_ln1p))</f>
        <v/>
      </c>
      <c r="J3795" s="208">
        <f>EXP(SUMPRODUCT((rl_eff&lt;=$C3795)*(rl_key=$A$3748)*rl_ln1p))</f>
        <v/>
      </c>
      <c r="K3795" s="201">
        <f>COUNTIFS(rl_key,$A$3748,rl_eff,"&gt;="&amp;$B3795,rl_eff,"&lt;="&amp;$C3795)</f>
        <v/>
      </c>
      <c r="L3795" s="201">
        <f>SUMIFS(rl_daysafter,rl_key,$A$3748,rl_effmonth,$B3795,rl_first,1)</f>
        <v/>
      </c>
      <c r="M3795" s="209">
        <f>IF($K3795=0,0,MIN(1,$L3795/$D3795))</f>
        <v/>
      </c>
      <c r="N3795" s="208">
        <f>IF($K3795=0,$J3795,(1-$M3795)*$I3795+$M3795*$J3795)</f>
        <v/>
      </c>
      <c r="O3795" s="209">
        <f>IF($F3795&lt;$B$3749,$E$3749+$I$3749*($F3795-$A$3749),IF($F3795&lt;$C$3749,$F$3749+$J$3749*($F3795-$B$3749),$G$3749+$K$3749*($F3795-$C$3749)))</f>
        <v/>
      </c>
      <c r="P3795" s="208">
        <f>MIN(1,MAX(0,(nr_MEndPm1-$G3795+0.5)/$C$3748))-MIN(1,MAX(0,(nr_MStartPm1-1-$G3795+0.5)/$C$3748))</f>
        <v/>
      </c>
      <c r="Q3795" s="208">
        <f>MIN(1,MAX(0,(nr_MEndP-$G3795+0.5)/$C$3748))-MIN(1,MAX(0,(nr_MStartP-1-$G3795+0.5)/$C$3748))</f>
        <v/>
      </c>
      <c r="R3795" s="208">
        <f>MIN(1,MAX(0,(nr_MEndP1-$G3795+0.5)/$C$3748))-MIN(1,MAX(0,(nr_MStartP1-1-$G3795+0.5)/$C$3748))</f>
        <v/>
      </c>
      <c r="S3795" s="208">
        <f>IF($L$3748,$N3795*IF($O$3748=1,$O3795/$F$3748,1),"")</f>
        <v/>
      </c>
      <c r="T3795" s="208">
        <f>IF(NOT($L$3748),"",IF($G3795&lt;nr_MStartP,$S3795,$T3783*(1+IF($G3795&lt;nr_MStartP1,$M$3748,$N$3748))))</f>
        <v/>
      </c>
      <c r="U3795" s="208">
        <f>IF($L$3748,$T3795,$N3795)</f>
        <v/>
      </c>
    </row>
    <row r="3796">
      <c r="A3796" s="145" t="n">
        <v>46</v>
      </c>
      <c r="B3796" s="204">
        <f>EDATE($B3795,1)</f>
        <v/>
      </c>
      <c r="C3796" s="205">
        <f>EOMONTH($B3796,0)</f>
        <v/>
      </c>
      <c r="D3796" s="201">
        <f>$C3796-$B3796+1</f>
        <v/>
      </c>
      <c r="E3796" s="201">
        <f>MONTH($B3796)</f>
        <v/>
      </c>
      <c r="F3796" s="235">
        <f>($B3796+$C3796+1)/2</f>
        <v/>
      </c>
      <c r="G3796" s="201">
        <f>YEAR($B3796)*12+MONTH($B3796)-1</f>
        <v/>
      </c>
      <c r="H3796" s="207">
        <f>IF(OR(nr_SeasonOn="OFF",$D$3748=0,$E$3748=0),1,12*INDEX(se_block,$D$3748,$E3796)/$E$3748)</f>
        <v/>
      </c>
      <c r="I3796" s="208">
        <f>EXP(SUMPRODUCT((rl_eff&lt;$B3796)*(rl_key=$A$3748)*rl_ln1p))</f>
        <v/>
      </c>
      <c r="J3796" s="208">
        <f>EXP(SUMPRODUCT((rl_eff&lt;=$C3796)*(rl_key=$A$3748)*rl_ln1p))</f>
        <v/>
      </c>
      <c r="K3796" s="201">
        <f>COUNTIFS(rl_key,$A$3748,rl_eff,"&gt;="&amp;$B3796,rl_eff,"&lt;="&amp;$C3796)</f>
        <v/>
      </c>
      <c r="L3796" s="201">
        <f>SUMIFS(rl_daysafter,rl_key,$A$3748,rl_effmonth,$B3796,rl_first,1)</f>
        <v/>
      </c>
      <c r="M3796" s="209">
        <f>IF($K3796=0,0,MIN(1,$L3796/$D3796))</f>
        <v/>
      </c>
      <c r="N3796" s="208">
        <f>IF($K3796=0,$J3796,(1-$M3796)*$I3796+$M3796*$J3796)</f>
        <v/>
      </c>
      <c r="O3796" s="209">
        <f>IF($F3796&lt;$B$3749,$E$3749+$I$3749*($F3796-$A$3749),IF($F3796&lt;$C$3749,$F$3749+$J$3749*($F3796-$B$3749),$G$3749+$K$3749*($F3796-$C$3749)))</f>
        <v/>
      </c>
      <c r="P3796" s="208">
        <f>MIN(1,MAX(0,(nr_MEndPm1-$G3796+0.5)/$C$3748))-MIN(1,MAX(0,(nr_MStartPm1-1-$G3796+0.5)/$C$3748))</f>
        <v/>
      </c>
      <c r="Q3796" s="208">
        <f>MIN(1,MAX(0,(nr_MEndP-$G3796+0.5)/$C$3748))-MIN(1,MAX(0,(nr_MStartP-1-$G3796+0.5)/$C$3748))</f>
        <v/>
      </c>
      <c r="R3796" s="208">
        <f>MIN(1,MAX(0,(nr_MEndP1-$G3796+0.5)/$C$3748))-MIN(1,MAX(0,(nr_MStartP1-1-$G3796+0.5)/$C$3748))</f>
        <v/>
      </c>
      <c r="S3796" s="208">
        <f>IF($L$3748,$N3796*IF($O$3748=1,$O3796/$F$3748,1),"")</f>
        <v/>
      </c>
      <c r="T3796" s="208">
        <f>IF(NOT($L$3748),"",IF($G3796&lt;nr_MStartP,$S3796,$T3784*(1+IF($G3796&lt;nr_MStartP1,$M$3748,$N$3748))))</f>
        <v/>
      </c>
      <c r="U3796" s="208">
        <f>IF($L$3748,$T3796,$N3796)</f>
        <v/>
      </c>
    </row>
    <row r="3797">
      <c r="A3797" s="145" t="n">
        <v>47</v>
      </c>
      <c r="B3797" s="204">
        <f>EDATE($B3796,1)</f>
        <v/>
      </c>
      <c r="C3797" s="205">
        <f>EOMONTH($B3797,0)</f>
        <v/>
      </c>
      <c r="D3797" s="201">
        <f>$C3797-$B3797+1</f>
        <v/>
      </c>
      <c r="E3797" s="201">
        <f>MONTH($B3797)</f>
        <v/>
      </c>
      <c r="F3797" s="235">
        <f>($B3797+$C3797+1)/2</f>
        <v/>
      </c>
      <c r="G3797" s="201">
        <f>YEAR($B3797)*12+MONTH($B3797)-1</f>
        <v/>
      </c>
      <c r="H3797" s="207">
        <f>IF(OR(nr_SeasonOn="OFF",$D$3748=0,$E$3748=0),1,12*INDEX(se_block,$D$3748,$E3797)/$E$3748)</f>
        <v/>
      </c>
      <c r="I3797" s="208">
        <f>EXP(SUMPRODUCT((rl_eff&lt;$B3797)*(rl_key=$A$3748)*rl_ln1p))</f>
        <v/>
      </c>
      <c r="J3797" s="208">
        <f>EXP(SUMPRODUCT((rl_eff&lt;=$C3797)*(rl_key=$A$3748)*rl_ln1p))</f>
        <v/>
      </c>
      <c r="K3797" s="201">
        <f>COUNTIFS(rl_key,$A$3748,rl_eff,"&gt;="&amp;$B3797,rl_eff,"&lt;="&amp;$C3797)</f>
        <v/>
      </c>
      <c r="L3797" s="201">
        <f>SUMIFS(rl_daysafter,rl_key,$A$3748,rl_effmonth,$B3797,rl_first,1)</f>
        <v/>
      </c>
      <c r="M3797" s="209">
        <f>IF($K3797=0,0,MIN(1,$L3797/$D3797))</f>
        <v/>
      </c>
      <c r="N3797" s="208">
        <f>IF($K3797=0,$J3797,(1-$M3797)*$I3797+$M3797*$J3797)</f>
        <v/>
      </c>
      <c r="O3797" s="209">
        <f>IF($F3797&lt;$B$3749,$E$3749+$I$3749*($F3797-$A$3749),IF($F3797&lt;$C$3749,$F$3749+$J$3749*($F3797-$B$3749),$G$3749+$K$3749*($F3797-$C$3749)))</f>
        <v/>
      </c>
      <c r="P3797" s="208">
        <f>MIN(1,MAX(0,(nr_MEndPm1-$G3797+0.5)/$C$3748))-MIN(1,MAX(0,(nr_MStartPm1-1-$G3797+0.5)/$C$3748))</f>
        <v/>
      </c>
      <c r="Q3797" s="208">
        <f>MIN(1,MAX(0,(nr_MEndP-$G3797+0.5)/$C$3748))-MIN(1,MAX(0,(nr_MStartP-1-$G3797+0.5)/$C$3748))</f>
        <v/>
      </c>
      <c r="R3797" s="208">
        <f>MIN(1,MAX(0,(nr_MEndP1-$G3797+0.5)/$C$3748))-MIN(1,MAX(0,(nr_MStartP1-1-$G3797+0.5)/$C$3748))</f>
        <v/>
      </c>
      <c r="S3797" s="208">
        <f>IF($L$3748,$N3797*IF($O$3748=1,$O3797/$F$3748,1),"")</f>
        <v/>
      </c>
      <c r="T3797" s="208">
        <f>IF(NOT($L$3748),"",IF($G3797&lt;nr_MStartP,$S3797,$T3785*(1+IF($G3797&lt;nr_MStartP1,$M$3748,$N$3748))))</f>
        <v/>
      </c>
      <c r="U3797" s="208">
        <f>IF($L$3748,$T3797,$N3797)</f>
        <v/>
      </c>
    </row>
    <row r="3798">
      <c r="A3798" s="145" t="n">
        <v>48</v>
      </c>
      <c r="B3798" s="204">
        <f>EDATE($B3797,1)</f>
        <v/>
      </c>
      <c r="C3798" s="205">
        <f>EOMONTH($B3798,0)</f>
        <v/>
      </c>
      <c r="D3798" s="201">
        <f>$C3798-$B3798+1</f>
        <v/>
      </c>
      <c r="E3798" s="201">
        <f>MONTH($B3798)</f>
        <v/>
      </c>
      <c r="F3798" s="235">
        <f>($B3798+$C3798+1)/2</f>
        <v/>
      </c>
      <c r="G3798" s="201">
        <f>YEAR($B3798)*12+MONTH($B3798)-1</f>
        <v/>
      </c>
      <c r="H3798" s="207">
        <f>IF(OR(nr_SeasonOn="OFF",$D$3748=0,$E$3748=0),1,12*INDEX(se_block,$D$3748,$E3798)/$E$3748)</f>
        <v/>
      </c>
      <c r="I3798" s="208">
        <f>EXP(SUMPRODUCT((rl_eff&lt;$B3798)*(rl_key=$A$3748)*rl_ln1p))</f>
        <v/>
      </c>
      <c r="J3798" s="208">
        <f>EXP(SUMPRODUCT((rl_eff&lt;=$C3798)*(rl_key=$A$3748)*rl_ln1p))</f>
        <v/>
      </c>
      <c r="K3798" s="201">
        <f>COUNTIFS(rl_key,$A$3748,rl_eff,"&gt;="&amp;$B3798,rl_eff,"&lt;="&amp;$C3798)</f>
        <v/>
      </c>
      <c r="L3798" s="201">
        <f>SUMIFS(rl_daysafter,rl_key,$A$3748,rl_effmonth,$B3798,rl_first,1)</f>
        <v/>
      </c>
      <c r="M3798" s="209">
        <f>IF($K3798=0,0,MIN(1,$L3798/$D3798))</f>
        <v/>
      </c>
      <c r="N3798" s="208">
        <f>IF($K3798=0,$J3798,(1-$M3798)*$I3798+$M3798*$J3798)</f>
        <v/>
      </c>
      <c r="O3798" s="209">
        <f>IF($F3798&lt;$B$3749,$E$3749+$I$3749*($F3798-$A$3749),IF($F3798&lt;$C$3749,$F$3749+$J$3749*($F3798-$B$3749),$G$3749+$K$3749*($F3798-$C$3749)))</f>
        <v/>
      </c>
      <c r="P3798" s="208">
        <f>MIN(1,MAX(0,(nr_MEndPm1-$G3798+0.5)/$C$3748))-MIN(1,MAX(0,(nr_MStartPm1-1-$G3798+0.5)/$C$3748))</f>
        <v/>
      </c>
      <c r="Q3798" s="208">
        <f>MIN(1,MAX(0,(nr_MEndP-$G3798+0.5)/$C$3748))-MIN(1,MAX(0,(nr_MStartP-1-$G3798+0.5)/$C$3748))</f>
        <v/>
      </c>
      <c r="R3798" s="208">
        <f>MIN(1,MAX(0,(nr_MEndP1-$G3798+0.5)/$C$3748))-MIN(1,MAX(0,(nr_MStartP1-1-$G3798+0.5)/$C$3748))</f>
        <v/>
      </c>
      <c r="S3798" s="208">
        <f>IF($L$3748,$N3798*IF($O$3748=1,$O3798/$F$3748,1),"")</f>
        <v/>
      </c>
      <c r="T3798" s="208">
        <f>IF(NOT($L$3748),"",IF($G3798&lt;nr_MStartP,$S3798,$T3786*(1+IF($G3798&lt;nr_MStartP1,$M$3748,$N$3748))))</f>
        <v/>
      </c>
      <c r="U3798" s="208">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184">
        <f>SUMPRODUCT($H$3751:$H$3798,$Q$3751:$Q$3798,$O$3751:$O$3798)/SUMPRODUCT($H$3751:$H$3798,$Q$3751:$Q$3798)</f>
        <v/>
      </c>
      <c r="G3799" s="184">
        <f>SUMPRODUCT($H$3751:$H$3798,$R$3751:$R$3798,$O$3751:$O$3798)/SUMPRODUCT($H$3751:$H$3798,$R$3751:$R$3798)</f>
        <v/>
      </c>
    </row>
    <row r="3804">
      <c r="A3804" s="233"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33"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145" t="n">
        <v>1</v>
      </c>
      <c r="B4051" s="204">
        <f>DATE(nr_PlanYear-2,1,1)</f>
        <v/>
      </c>
      <c r="C4051" s="205">
        <f>EOMONTH($B4051,0)</f>
        <v/>
      </c>
      <c r="D4051" s="201">
        <f>$C4051-$B4051+1</f>
        <v/>
      </c>
      <c r="E4051" s="201">
        <f>MONTH($B4051)</f>
        <v/>
      </c>
      <c r="F4051" s="235">
        <f>($B4051+$C4051+1)/2</f>
        <v/>
      </c>
      <c r="G4051" s="201">
        <f>YEAR($B4051)*12+MONTH($B4051)-1</f>
        <v/>
      </c>
      <c r="H4051" s="207">
        <f>IF(OR(nr_SeasonOn="OFF",re_srow=0,re_ssum=0),1,12*INDEX(se_block,re_srow,$E4051)/re_ssum)</f>
        <v/>
      </c>
      <c r="I4051" s="208">
        <f>EXP(SUMPRODUCT(($A$3806:$A$4045&lt;$B4051)*(rl_key=nr_SelKey)*$E$3806:$E$4045))</f>
        <v/>
      </c>
      <c r="J4051" s="208">
        <f>EXP(SUMPRODUCT(($A$3806:$A$4045&lt;=$C4051)*(rl_key=nr_SelKey)*$E$3806:$E$4045))</f>
        <v/>
      </c>
      <c r="K4051" s="201">
        <f>COUNTIFS(rl_key,nr_SelKey,$A$3806:$A$4045,"&gt;="&amp;$B4051,$A$3806:$A$4045,"&lt;="&amp;$C4051)</f>
        <v/>
      </c>
      <c r="L4051" s="201">
        <f>SUMIFS($F$3806:$F$4045,rl_key,nr_SelKey,$B$3806:$B$4045,$B4051,$I$3806:$I$4045,1)</f>
        <v/>
      </c>
      <c r="M4051" s="209">
        <f>IF($K4051=0,0,MIN(1,$L4051/$D4051))</f>
        <v/>
      </c>
      <c r="N4051" s="208">
        <f>IF($K4051=0,$J4051,(1-$M4051)*$I4051+$M4051*$J4051)</f>
        <v/>
      </c>
      <c r="O4051" s="209">
        <f>IF($F4051&lt;$B$4049,$E$4049+$I$4049*($F4051-$A$4049),IF($F4051&lt;$C$4049,$F$4049+$J$4049*($F4051-$B$4049),$G$4049+$K$4049*($F4051-$C$4049)))</f>
        <v/>
      </c>
      <c r="P4051" s="208">
        <f>MIN(1,MAX(0,(nr_MEndPm1-$G4051+0.5)/nr_TermMonths))-MIN(1,MAX(0,(nr_MStartPm1-1-$G4051+0.5)/nr_TermMonths))</f>
        <v/>
      </c>
      <c r="Q4051" s="208">
        <f>MIN(1,MAX(0,(nr_MEndP-$G4051+0.5)/nr_TermMonths))-MIN(1,MAX(0,(nr_MStartP-1-$G4051+0.5)/nr_TermMonths))</f>
        <v/>
      </c>
      <c r="R4051" s="208">
        <f>MIN(1,MAX(0,(nr_MEndP1-$G4051+0.5)/nr_TermMonths))-MIN(1,MAX(0,(nr_MStartP1-1-$G4051+0.5)/nr_TermMonths))</f>
        <v/>
      </c>
      <c r="S4051" s="208">
        <f>IF(nr_NetMode,$N4051*IF(nr_ModAdjEff="ON",$O4051/nr_MInd,1),"")</f>
        <v/>
      </c>
      <c r="T4051" s="208">
        <f>IF(NOT(nr_NetMode),"",IF($G4051&lt;nr_MStartP,$S4051,$T4039*(1+IF($G4051&lt;nr_MStartP1,(nr_NetSelP+N(INDEX(sc_dnet,1))),(nr_NetSelP1+N(INDEX(sc_dnet,1)))))))</f>
        <v/>
      </c>
      <c r="U4051" s="208">
        <f>IF(nr_NetMode,$T4051,$N4051)</f>
        <v/>
      </c>
    </row>
    <row r="4052">
      <c r="A4052" s="145" t="n">
        <v>2</v>
      </c>
      <c r="B4052" s="204">
        <f>EDATE($B4051,1)</f>
        <v/>
      </c>
      <c r="C4052" s="205">
        <f>EOMONTH($B4052,0)</f>
        <v/>
      </c>
      <c r="D4052" s="201">
        <f>$C4052-$B4052+1</f>
        <v/>
      </c>
      <c r="E4052" s="201">
        <f>MONTH($B4052)</f>
        <v/>
      </c>
      <c r="F4052" s="235">
        <f>($B4052+$C4052+1)/2</f>
        <v/>
      </c>
      <c r="G4052" s="201">
        <f>YEAR($B4052)*12+MONTH($B4052)-1</f>
        <v/>
      </c>
      <c r="H4052" s="207">
        <f>IF(OR(nr_SeasonOn="OFF",re_srow=0,re_ssum=0),1,12*INDEX(se_block,re_srow,$E4052)/re_ssum)</f>
        <v/>
      </c>
      <c r="I4052" s="208">
        <f>EXP(SUMPRODUCT(($A$3806:$A$4045&lt;$B4052)*(rl_key=nr_SelKey)*$E$3806:$E$4045))</f>
        <v/>
      </c>
      <c r="J4052" s="208">
        <f>EXP(SUMPRODUCT(($A$3806:$A$4045&lt;=$C4052)*(rl_key=nr_SelKey)*$E$3806:$E$4045))</f>
        <v/>
      </c>
      <c r="K4052" s="201">
        <f>COUNTIFS(rl_key,nr_SelKey,$A$3806:$A$4045,"&gt;="&amp;$B4052,$A$3806:$A$4045,"&lt;="&amp;$C4052)</f>
        <v/>
      </c>
      <c r="L4052" s="201">
        <f>SUMIFS($F$3806:$F$4045,rl_key,nr_SelKey,$B$3806:$B$4045,$B4052,$I$3806:$I$4045,1)</f>
        <v/>
      </c>
      <c r="M4052" s="209">
        <f>IF($K4052=0,0,MIN(1,$L4052/$D4052))</f>
        <v/>
      </c>
      <c r="N4052" s="208">
        <f>IF($K4052=0,$J4052,(1-$M4052)*$I4052+$M4052*$J4052)</f>
        <v/>
      </c>
      <c r="O4052" s="209">
        <f>IF($F4052&lt;$B$4049,$E$4049+$I$4049*($F4052-$A$4049),IF($F4052&lt;$C$4049,$F$4049+$J$4049*($F4052-$B$4049),$G$4049+$K$4049*($F4052-$C$4049)))</f>
        <v/>
      </c>
      <c r="P4052" s="208">
        <f>MIN(1,MAX(0,(nr_MEndPm1-$G4052+0.5)/nr_TermMonths))-MIN(1,MAX(0,(nr_MStartPm1-1-$G4052+0.5)/nr_TermMonths))</f>
        <v/>
      </c>
      <c r="Q4052" s="208">
        <f>MIN(1,MAX(0,(nr_MEndP-$G4052+0.5)/nr_TermMonths))-MIN(1,MAX(0,(nr_MStartP-1-$G4052+0.5)/nr_TermMonths))</f>
        <v/>
      </c>
      <c r="R4052" s="208">
        <f>MIN(1,MAX(0,(nr_MEndP1-$G4052+0.5)/nr_TermMonths))-MIN(1,MAX(0,(nr_MStartP1-1-$G4052+0.5)/nr_TermMonths))</f>
        <v/>
      </c>
      <c r="S4052" s="208">
        <f>IF(nr_NetMode,$N4052*IF(nr_ModAdjEff="ON",$O4052/nr_MInd,1),"")</f>
        <v/>
      </c>
      <c r="T4052" s="208">
        <f>IF(NOT(nr_NetMode),"",IF($G4052&lt;nr_MStartP,$S4052,$T4040*(1+IF($G4052&lt;nr_MStartP1,(nr_NetSelP+N(INDEX(sc_dnet,1))),(nr_NetSelP1+N(INDEX(sc_dnet,1)))))))</f>
        <v/>
      </c>
      <c r="U4052" s="208">
        <f>IF(nr_NetMode,$T4052,$N4052)</f>
        <v/>
      </c>
    </row>
    <row r="4053">
      <c r="A4053" s="145" t="n">
        <v>3</v>
      </c>
      <c r="B4053" s="204">
        <f>EDATE($B4052,1)</f>
        <v/>
      </c>
      <c r="C4053" s="205">
        <f>EOMONTH($B4053,0)</f>
        <v/>
      </c>
      <c r="D4053" s="201">
        <f>$C4053-$B4053+1</f>
        <v/>
      </c>
      <c r="E4053" s="201">
        <f>MONTH($B4053)</f>
        <v/>
      </c>
      <c r="F4053" s="235">
        <f>($B4053+$C4053+1)/2</f>
        <v/>
      </c>
      <c r="G4053" s="201">
        <f>YEAR($B4053)*12+MONTH($B4053)-1</f>
        <v/>
      </c>
      <c r="H4053" s="207">
        <f>IF(OR(nr_SeasonOn="OFF",re_srow=0,re_ssum=0),1,12*INDEX(se_block,re_srow,$E4053)/re_ssum)</f>
        <v/>
      </c>
      <c r="I4053" s="208">
        <f>EXP(SUMPRODUCT(($A$3806:$A$4045&lt;$B4053)*(rl_key=nr_SelKey)*$E$3806:$E$4045))</f>
        <v/>
      </c>
      <c r="J4053" s="208">
        <f>EXP(SUMPRODUCT(($A$3806:$A$4045&lt;=$C4053)*(rl_key=nr_SelKey)*$E$3806:$E$4045))</f>
        <v/>
      </c>
      <c r="K4053" s="201">
        <f>COUNTIFS(rl_key,nr_SelKey,$A$3806:$A$4045,"&gt;="&amp;$B4053,$A$3806:$A$4045,"&lt;="&amp;$C4053)</f>
        <v/>
      </c>
      <c r="L4053" s="201">
        <f>SUMIFS($F$3806:$F$4045,rl_key,nr_SelKey,$B$3806:$B$4045,$B4053,$I$3806:$I$4045,1)</f>
        <v/>
      </c>
      <c r="M4053" s="209">
        <f>IF($K4053=0,0,MIN(1,$L4053/$D4053))</f>
        <v/>
      </c>
      <c r="N4053" s="208">
        <f>IF($K4053=0,$J4053,(1-$M4053)*$I4053+$M4053*$J4053)</f>
        <v/>
      </c>
      <c r="O4053" s="209">
        <f>IF($F4053&lt;$B$4049,$E$4049+$I$4049*($F4053-$A$4049),IF($F4053&lt;$C$4049,$F$4049+$J$4049*($F4053-$B$4049),$G$4049+$K$4049*($F4053-$C$4049)))</f>
        <v/>
      </c>
      <c r="P4053" s="208">
        <f>MIN(1,MAX(0,(nr_MEndPm1-$G4053+0.5)/nr_TermMonths))-MIN(1,MAX(0,(nr_MStartPm1-1-$G4053+0.5)/nr_TermMonths))</f>
        <v/>
      </c>
      <c r="Q4053" s="208">
        <f>MIN(1,MAX(0,(nr_MEndP-$G4053+0.5)/nr_TermMonths))-MIN(1,MAX(0,(nr_MStartP-1-$G4053+0.5)/nr_TermMonths))</f>
        <v/>
      </c>
      <c r="R4053" s="208">
        <f>MIN(1,MAX(0,(nr_MEndP1-$G4053+0.5)/nr_TermMonths))-MIN(1,MAX(0,(nr_MStartP1-1-$G4053+0.5)/nr_TermMonths))</f>
        <v/>
      </c>
      <c r="S4053" s="208">
        <f>IF(nr_NetMode,$N4053*IF(nr_ModAdjEff="ON",$O4053/nr_MInd,1),"")</f>
        <v/>
      </c>
      <c r="T4053" s="208">
        <f>IF(NOT(nr_NetMode),"",IF($G4053&lt;nr_MStartP,$S4053,$T4041*(1+IF($G4053&lt;nr_MStartP1,(nr_NetSelP+N(INDEX(sc_dnet,1))),(nr_NetSelP1+N(INDEX(sc_dnet,1)))))))</f>
        <v/>
      </c>
      <c r="U4053" s="208">
        <f>IF(nr_NetMode,$T4053,$N4053)</f>
        <v/>
      </c>
    </row>
    <row r="4054">
      <c r="A4054" s="145" t="n">
        <v>4</v>
      </c>
      <c r="B4054" s="204">
        <f>EDATE($B4053,1)</f>
        <v/>
      </c>
      <c r="C4054" s="205">
        <f>EOMONTH($B4054,0)</f>
        <v/>
      </c>
      <c r="D4054" s="201">
        <f>$C4054-$B4054+1</f>
        <v/>
      </c>
      <c r="E4054" s="201">
        <f>MONTH($B4054)</f>
        <v/>
      </c>
      <c r="F4054" s="235">
        <f>($B4054+$C4054+1)/2</f>
        <v/>
      </c>
      <c r="G4054" s="201">
        <f>YEAR($B4054)*12+MONTH($B4054)-1</f>
        <v/>
      </c>
      <c r="H4054" s="207">
        <f>IF(OR(nr_SeasonOn="OFF",re_srow=0,re_ssum=0),1,12*INDEX(se_block,re_srow,$E4054)/re_ssum)</f>
        <v/>
      </c>
      <c r="I4054" s="208">
        <f>EXP(SUMPRODUCT(($A$3806:$A$4045&lt;$B4054)*(rl_key=nr_SelKey)*$E$3806:$E$4045))</f>
        <v/>
      </c>
      <c r="J4054" s="208">
        <f>EXP(SUMPRODUCT(($A$3806:$A$4045&lt;=$C4054)*(rl_key=nr_SelKey)*$E$3806:$E$4045))</f>
        <v/>
      </c>
      <c r="K4054" s="201">
        <f>COUNTIFS(rl_key,nr_SelKey,$A$3806:$A$4045,"&gt;="&amp;$B4054,$A$3806:$A$4045,"&lt;="&amp;$C4054)</f>
        <v/>
      </c>
      <c r="L4054" s="201">
        <f>SUMIFS($F$3806:$F$4045,rl_key,nr_SelKey,$B$3806:$B$4045,$B4054,$I$3806:$I$4045,1)</f>
        <v/>
      </c>
      <c r="M4054" s="209">
        <f>IF($K4054=0,0,MIN(1,$L4054/$D4054))</f>
        <v/>
      </c>
      <c r="N4054" s="208">
        <f>IF($K4054=0,$J4054,(1-$M4054)*$I4054+$M4054*$J4054)</f>
        <v/>
      </c>
      <c r="O4054" s="209">
        <f>IF($F4054&lt;$B$4049,$E$4049+$I$4049*($F4054-$A$4049),IF($F4054&lt;$C$4049,$F$4049+$J$4049*($F4054-$B$4049),$G$4049+$K$4049*($F4054-$C$4049)))</f>
        <v/>
      </c>
      <c r="P4054" s="208">
        <f>MIN(1,MAX(0,(nr_MEndPm1-$G4054+0.5)/nr_TermMonths))-MIN(1,MAX(0,(nr_MStartPm1-1-$G4054+0.5)/nr_TermMonths))</f>
        <v/>
      </c>
      <c r="Q4054" s="208">
        <f>MIN(1,MAX(0,(nr_MEndP-$G4054+0.5)/nr_TermMonths))-MIN(1,MAX(0,(nr_MStartP-1-$G4054+0.5)/nr_TermMonths))</f>
        <v/>
      </c>
      <c r="R4054" s="208">
        <f>MIN(1,MAX(0,(nr_MEndP1-$G4054+0.5)/nr_TermMonths))-MIN(1,MAX(0,(nr_MStartP1-1-$G4054+0.5)/nr_TermMonths))</f>
        <v/>
      </c>
      <c r="S4054" s="208">
        <f>IF(nr_NetMode,$N4054*IF(nr_ModAdjEff="ON",$O4054/nr_MInd,1),"")</f>
        <v/>
      </c>
      <c r="T4054" s="208">
        <f>IF(NOT(nr_NetMode),"",IF($G4054&lt;nr_MStartP,$S4054,$T4042*(1+IF($G4054&lt;nr_MStartP1,(nr_NetSelP+N(INDEX(sc_dnet,1))),(nr_NetSelP1+N(INDEX(sc_dnet,1)))))))</f>
        <v/>
      </c>
      <c r="U4054" s="208">
        <f>IF(nr_NetMode,$T4054,$N4054)</f>
        <v/>
      </c>
    </row>
    <row r="4055">
      <c r="A4055" s="145" t="n">
        <v>5</v>
      </c>
      <c r="B4055" s="204">
        <f>EDATE($B4054,1)</f>
        <v/>
      </c>
      <c r="C4055" s="205">
        <f>EOMONTH($B4055,0)</f>
        <v/>
      </c>
      <c r="D4055" s="201">
        <f>$C4055-$B4055+1</f>
        <v/>
      </c>
      <c r="E4055" s="201">
        <f>MONTH($B4055)</f>
        <v/>
      </c>
      <c r="F4055" s="235">
        <f>($B4055+$C4055+1)/2</f>
        <v/>
      </c>
      <c r="G4055" s="201">
        <f>YEAR($B4055)*12+MONTH($B4055)-1</f>
        <v/>
      </c>
      <c r="H4055" s="207">
        <f>IF(OR(nr_SeasonOn="OFF",re_srow=0,re_ssum=0),1,12*INDEX(se_block,re_srow,$E4055)/re_ssum)</f>
        <v/>
      </c>
      <c r="I4055" s="208">
        <f>EXP(SUMPRODUCT(($A$3806:$A$4045&lt;$B4055)*(rl_key=nr_SelKey)*$E$3806:$E$4045))</f>
        <v/>
      </c>
      <c r="J4055" s="208">
        <f>EXP(SUMPRODUCT(($A$3806:$A$4045&lt;=$C4055)*(rl_key=nr_SelKey)*$E$3806:$E$4045))</f>
        <v/>
      </c>
      <c r="K4055" s="201">
        <f>COUNTIFS(rl_key,nr_SelKey,$A$3806:$A$4045,"&gt;="&amp;$B4055,$A$3806:$A$4045,"&lt;="&amp;$C4055)</f>
        <v/>
      </c>
      <c r="L4055" s="201">
        <f>SUMIFS($F$3806:$F$4045,rl_key,nr_SelKey,$B$3806:$B$4045,$B4055,$I$3806:$I$4045,1)</f>
        <v/>
      </c>
      <c r="M4055" s="209">
        <f>IF($K4055=0,0,MIN(1,$L4055/$D4055))</f>
        <v/>
      </c>
      <c r="N4055" s="208">
        <f>IF($K4055=0,$J4055,(1-$M4055)*$I4055+$M4055*$J4055)</f>
        <v/>
      </c>
      <c r="O4055" s="209">
        <f>IF($F4055&lt;$B$4049,$E$4049+$I$4049*($F4055-$A$4049),IF($F4055&lt;$C$4049,$F$4049+$J$4049*($F4055-$B$4049),$G$4049+$K$4049*($F4055-$C$4049)))</f>
        <v/>
      </c>
      <c r="P4055" s="208">
        <f>MIN(1,MAX(0,(nr_MEndPm1-$G4055+0.5)/nr_TermMonths))-MIN(1,MAX(0,(nr_MStartPm1-1-$G4055+0.5)/nr_TermMonths))</f>
        <v/>
      </c>
      <c r="Q4055" s="208">
        <f>MIN(1,MAX(0,(nr_MEndP-$G4055+0.5)/nr_TermMonths))-MIN(1,MAX(0,(nr_MStartP-1-$G4055+0.5)/nr_TermMonths))</f>
        <v/>
      </c>
      <c r="R4055" s="208">
        <f>MIN(1,MAX(0,(nr_MEndP1-$G4055+0.5)/nr_TermMonths))-MIN(1,MAX(0,(nr_MStartP1-1-$G4055+0.5)/nr_TermMonths))</f>
        <v/>
      </c>
      <c r="S4055" s="208">
        <f>IF(nr_NetMode,$N4055*IF(nr_ModAdjEff="ON",$O4055/nr_MInd,1),"")</f>
        <v/>
      </c>
      <c r="T4055" s="208">
        <f>IF(NOT(nr_NetMode),"",IF($G4055&lt;nr_MStartP,$S4055,$T4043*(1+IF($G4055&lt;nr_MStartP1,(nr_NetSelP+N(INDEX(sc_dnet,1))),(nr_NetSelP1+N(INDEX(sc_dnet,1)))))))</f>
        <v/>
      </c>
      <c r="U4055" s="208">
        <f>IF(nr_NetMode,$T4055,$N4055)</f>
        <v/>
      </c>
    </row>
    <row r="4056">
      <c r="A4056" s="145" t="n">
        <v>6</v>
      </c>
      <c r="B4056" s="204">
        <f>EDATE($B4055,1)</f>
        <v/>
      </c>
      <c r="C4056" s="205">
        <f>EOMONTH($B4056,0)</f>
        <v/>
      </c>
      <c r="D4056" s="201">
        <f>$C4056-$B4056+1</f>
        <v/>
      </c>
      <c r="E4056" s="201">
        <f>MONTH($B4056)</f>
        <v/>
      </c>
      <c r="F4056" s="235">
        <f>($B4056+$C4056+1)/2</f>
        <v/>
      </c>
      <c r="G4056" s="201">
        <f>YEAR($B4056)*12+MONTH($B4056)-1</f>
        <v/>
      </c>
      <c r="H4056" s="207">
        <f>IF(OR(nr_SeasonOn="OFF",re_srow=0,re_ssum=0),1,12*INDEX(se_block,re_srow,$E4056)/re_ssum)</f>
        <v/>
      </c>
      <c r="I4056" s="208">
        <f>EXP(SUMPRODUCT(($A$3806:$A$4045&lt;$B4056)*(rl_key=nr_SelKey)*$E$3806:$E$4045))</f>
        <v/>
      </c>
      <c r="J4056" s="208">
        <f>EXP(SUMPRODUCT(($A$3806:$A$4045&lt;=$C4056)*(rl_key=nr_SelKey)*$E$3806:$E$4045))</f>
        <v/>
      </c>
      <c r="K4056" s="201">
        <f>COUNTIFS(rl_key,nr_SelKey,$A$3806:$A$4045,"&gt;="&amp;$B4056,$A$3806:$A$4045,"&lt;="&amp;$C4056)</f>
        <v/>
      </c>
      <c r="L4056" s="201">
        <f>SUMIFS($F$3806:$F$4045,rl_key,nr_SelKey,$B$3806:$B$4045,$B4056,$I$3806:$I$4045,1)</f>
        <v/>
      </c>
      <c r="M4056" s="209">
        <f>IF($K4056=0,0,MIN(1,$L4056/$D4056))</f>
        <v/>
      </c>
      <c r="N4056" s="208">
        <f>IF($K4056=0,$J4056,(1-$M4056)*$I4056+$M4056*$J4056)</f>
        <v/>
      </c>
      <c r="O4056" s="209">
        <f>IF($F4056&lt;$B$4049,$E$4049+$I$4049*($F4056-$A$4049),IF($F4056&lt;$C$4049,$F$4049+$J$4049*($F4056-$B$4049),$G$4049+$K$4049*($F4056-$C$4049)))</f>
        <v/>
      </c>
      <c r="P4056" s="208">
        <f>MIN(1,MAX(0,(nr_MEndPm1-$G4056+0.5)/nr_TermMonths))-MIN(1,MAX(0,(nr_MStartPm1-1-$G4056+0.5)/nr_TermMonths))</f>
        <v/>
      </c>
      <c r="Q4056" s="208">
        <f>MIN(1,MAX(0,(nr_MEndP-$G4056+0.5)/nr_TermMonths))-MIN(1,MAX(0,(nr_MStartP-1-$G4056+0.5)/nr_TermMonths))</f>
        <v/>
      </c>
      <c r="R4056" s="208">
        <f>MIN(1,MAX(0,(nr_MEndP1-$G4056+0.5)/nr_TermMonths))-MIN(1,MAX(0,(nr_MStartP1-1-$G4056+0.5)/nr_TermMonths))</f>
        <v/>
      </c>
      <c r="S4056" s="208">
        <f>IF(nr_NetMode,$N4056*IF(nr_ModAdjEff="ON",$O4056/nr_MInd,1),"")</f>
        <v/>
      </c>
      <c r="T4056" s="208">
        <f>IF(NOT(nr_NetMode),"",IF($G4056&lt;nr_MStartP,$S4056,$T4044*(1+IF($G4056&lt;nr_MStartP1,(nr_NetSelP+N(INDEX(sc_dnet,1))),(nr_NetSelP1+N(INDEX(sc_dnet,1)))))))</f>
        <v/>
      </c>
      <c r="U4056" s="208">
        <f>IF(nr_NetMode,$T4056,$N4056)</f>
        <v/>
      </c>
    </row>
    <row r="4057">
      <c r="A4057" s="145" t="n">
        <v>7</v>
      </c>
      <c r="B4057" s="204">
        <f>EDATE($B4056,1)</f>
        <v/>
      </c>
      <c r="C4057" s="205">
        <f>EOMONTH($B4057,0)</f>
        <v/>
      </c>
      <c r="D4057" s="201">
        <f>$C4057-$B4057+1</f>
        <v/>
      </c>
      <c r="E4057" s="201">
        <f>MONTH($B4057)</f>
        <v/>
      </c>
      <c r="F4057" s="235">
        <f>($B4057+$C4057+1)/2</f>
        <v/>
      </c>
      <c r="G4057" s="201">
        <f>YEAR($B4057)*12+MONTH($B4057)-1</f>
        <v/>
      </c>
      <c r="H4057" s="207">
        <f>IF(OR(nr_SeasonOn="OFF",re_srow=0,re_ssum=0),1,12*INDEX(se_block,re_srow,$E4057)/re_ssum)</f>
        <v/>
      </c>
      <c r="I4057" s="208">
        <f>EXP(SUMPRODUCT(($A$3806:$A$4045&lt;$B4057)*(rl_key=nr_SelKey)*$E$3806:$E$4045))</f>
        <v/>
      </c>
      <c r="J4057" s="208">
        <f>EXP(SUMPRODUCT(($A$3806:$A$4045&lt;=$C4057)*(rl_key=nr_SelKey)*$E$3806:$E$4045))</f>
        <v/>
      </c>
      <c r="K4057" s="201">
        <f>COUNTIFS(rl_key,nr_SelKey,$A$3806:$A$4045,"&gt;="&amp;$B4057,$A$3806:$A$4045,"&lt;="&amp;$C4057)</f>
        <v/>
      </c>
      <c r="L4057" s="201">
        <f>SUMIFS($F$3806:$F$4045,rl_key,nr_SelKey,$B$3806:$B$4045,$B4057,$I$3806:$I$4045,1)</f>
        <v/>
      </c>
      <c r="M4057" s="209">
        <f>IF($K4057=0,0,MIN(1,$L4057/$D4057))</f>
        <v/>
      </c>
      <c r="N4057" s="208">
        <f>IF($K4057=0,$J4057,(1-$M4057)*$I4057+$M4057*$J4057)</f>
        <v/>
      </c>
      <c r="O4057" s="209">
        <f>IF($F4057&lt;$B$4049,$E$4049+$I$4049*($F4057-$A$4049),IF($F4057&lt;$C$4049,$F$4049+$J$4049*($F4057-$B$4049),$G$4049+$K$4049*($F4057-$C$4049)))</f>
        <v/>
      </c>
      <c r="P4057" s="208">
        <f>MIN(1,MAX(0,(nr_MEndPm1-$G4057+0.5)/nr_TermMonths))-MIN(1,MAX(0,(nr_MStartPm1-1-$G4057+0.5)/nr_TermMonths))</f>
        <v/>
      </c>
      <c r="Q4057" s="208">
        <f>MIN(1,MAX(0,(nr_MEndP-$G4057+0.5)/nr_TermMonths))-MIN(1,MAX(0,(nr_MStartP-1-$G4057+0.5)/nr_TermMonths))</f>
        <v/>
      </c>
      <c r="R4057" s="208">
        <f>MIN(1,MAX(0,(nr_MEndP1-$G4057+0.5)/nr_TermMonths))-MIN(1,MAX(0,(nr_MStartP1-1-$G4057+0.5)/nr_TermMonths))</f>
        <v/>
      </c>
      <c r="S4057" s="208">
        <f>IF(nr_NetMode,$N4057*IF(nr_ModAdjEff="ON",$O4057/nr_MInd,1),"")</f>
        <v/>
      </c>
      <c r="T4057" s="208">
        <f>IF(NOT(nr_NetMode),"",IF($G4057&lt;nr_MStartP,$S4057,$T4045*(1+IF($G4057&lt;nr_MStartP1,(nr_NetSelP+N(INDEX(sc_dnet,1))),(nr_NetSelP1+N(INDEX(sc_dnet,1)))))))</f>
        <v/>
      </c>
      <c r="U4057" s="208">
        <f>IF(nr_NetMode,$T4057,$N4057)</f>
        <v/>
      </c>
    </row>
    <row r="4058">
      <c r="A4058" s="145" t="n">
        <v>8</v>
      </c>
      <c r="B4058" s="204">
        <f>EDATE($B4057,1)</f>
        <v/>
      </c>
      <c r="C4058" s="205">
        <f>EOMONTH($B4058,0)</f>
        <v/>
      </c>
      <c r="D4058" s="201">
        <f>$C4058-$B4058+1</f>
        <v/>
      </c>
      <c r="E4058" s="201">
        <f>MONTH($B4058)</f>
        <v/>
      </c>
      <c r="F4058" s="235">
        <f>($B4058+$C4058+1)/2</f>
        <v/>
      </c>
      <c r="G4058" s="201">
        <f>YEAR($B4058)*12+MONTH($B4058)-1</f>
        <v/>
      </c>
      <c r="H4058" s="207">
        <f>IF(OR(nr_SeasonOn="OFF",re_srow=0,re_ssum=0),1,12*INDEX(se_block,re_srow,$E4058)/re_ssum)</f>
        <v/>
      </c>
      <c r="I4058" s="208">
        <f>EXP(SUMPRODUCT(($A$3806:$A$4045&lt;$B4058)*(rl_key=nr_SelKey)*$E$3806:$E$4045))</f>
        <v/>
      </c>
      <c r="J4058" s="208">
        <f>EXP(SUMPRODUCT(($A$3806:$A$4045&lt;=$C4058)*(rl_key=nr_SelKey)*$E$3806:$E$4045))</f>
        <v/>
      </c>
      <c r="K4058" s="201">
        <f>COUNTIFS(rl_key,nr_SelKey,$A$3806:$A$4045,"&gt;="&amp;$B4058,$A$3806:$A$4045,"&lt;="&amp;$C4058)</f>
        <v/>
      </c>
      <c r="L4058" s="201">
        <f>SUMIFS($F$3806:$F$4045,rl_key,nr_SelKey,$B$3806:$B$4045,$B4058,$I$3806:$I$4045,1)</f>
        <v/>
      </c>
      <c r="M4058" s="209">
        <f>IF($K4058=0,0,MIN(1,$L4058/$D4058))</f>
        <v/>
      </c>
      <c r="N4058" s="208">
        <f>IF($K4058=0,$J4058,(1-$M4058)*$I4058+$M4058*$J4058)</f>
        <v/>
      </c>
      <c r="O4058" s="209">
        <f>IF($F4058&lt;$B$4049,$E$4049+$I$4049*($F4058-$A$4049),IF($F4058&lt;$C$4049,$F$4049+$J$4049*($F4058-$B$4049),$G$4049+$K$4049*($F4058-$C$4049)))</f>
        <v/>
      </c>
      <c r="P4058" s="208">
        <f>MIN(1,MAX(0,(nr_MEndPm1-$G4058+0.5)/nr_TermMonths))-MIN(1,MAX(0,(nr_MStartPm1-1-$G4058+0.5)/nr_TermMonths))</f>
        <v/>
      </c>
      <c r="Q4058" s="208">
        <f>MIN(1,MAX(0,(nr_MEndP-$G4058+0.5)/nr_TermMonths))-MIN(1,MAX(0,(nr_MStartP-1-$G4058+0.5)/nr_TermMonths))</f>
        <v/>
      </c>
      <c r="R4058" s="208">
        <f>MIN(1,MAX(0,(nr_MEndP1-$G4058+0.5)/nr_TermMonths))-MIN(1,MAX(0,(nr_MStartP1-1-$G4058+0.5)/nr_TermMonths))</f>
        <v/>
      </c>
      <c r="S4058" s="208">
        <f>IF(nr_NetMode,$N4058*IF(nr_ModAdjEff="ON",$O4058/nr_MInd,1),"")</f>
        <v/>
      </c>
      <c r="T4058" s="208">
        <f>IF(NOT(nr_NetMode),"",IF($G4058&lt;nr_MStartP,$S4058,$T4046*(1+IF($G4058&lt;nr_MStartP1,(nr_NetSelP+N(INDEX(sc_dnet,1))),(nr_NetSelP1+N(INDEX(sc_dnet,1)))))))</f>
        <v/>
      </c>
      <c r="U4058" s="208">
        <f>IF(nr_NetMode,$T4058,$N4058)</f>
        <v/>
      </c>
    </row>
    <row r="4059">
      <c r="A4059" s="145" t="n">
        <v>9</v>
      </c>
      <c r="B4059" s="204">
        <f>EDATE($B4058,1)</f>
        <v/>
      </c>
      <c r="C4059" s="205">
        <f>EOMONTH($B4059,0)</f>
        <v/>
      </c>
      <c r="D4059" s="201">
        <f>$C4059-$B4059+1</f>
        <v/>
      </c>
      <c r="E4059" s="201">
        <f>MONTH($B4059)</f>
        <v/>
      </c>
      <c r="F4059" s="235">
        <f>($B4059+$C4059+1)/2</f>
        <v/>
      </c>
      <c r="G4059" s="201">
        <f>YEAR($B4059)*12+MONTH($B4059)-1</f>
        <v/>
      </c>
      <c r="H4059" s="207">
        <f>IF(OR(nr_SeasonOn="OFF",re_srow=0,re_ssum=0),1,12*INDEX(se_block,re_srow,$E4059)/re_ssum)</f>
        <v/>
      </c>
      <c r="I4059" s="208">
        <f>EXP(SUMPRODUCT(($A$3806:$A$4045&lt;$B4059)*(rl_key=nr_SelKey)*$E$3806:$E$4045))</f>
        <v/>
      </c>
      <c r="J4059" s="208">
        <f>EXP(SUMPRODUCT(($A$3806:$A$4045&lt;=$C4059)*(rl_key=nr_SelKey)*$E$3806:$E$4045))</f>
        <v/>
      </c>
      <c r="K4059" s="201">
        <f>COUNTIFS(rl_key,nr_SelKey,$A$3806:$A$4045,"&gt;="&amp;$B4059,$A$3806:$A$4045,"&lt;="&amp;$C4059)</f>
        <v/>
      </c>
      <c r="L4059" s="201">
        <f>SUMIFS($F$3806:$F$4045,rl_key,nr_SelKey,$B$3806:$B$4045,$B4059,$I$3806:$I$4045,1)</f>
        <v/>
      </c>
      <c r="M4059" s="209">
        <f>IF($K4059=0,0,MIN(1,$L4059/$D4059))</f>
        <v/>
      </c>
      <c r="N4059" s="208">
        <f>IF($K4059=0,$J4059,(1-$M4059)*$I4059+$M4059*$J4059)</f>
        <v/>
      </c>
      <c r="O4059" s="209">
        <f>IF($F4059&lt;$B$4049,$E$4049+$I$4049*($F4059-$A$4049),IF($F4059&lt;$C$4049,$F$4049+$J$4049*($F4059-$B$4049),$G$4049+$K$4049*($F4059-$C$4049)))</f>
        <v/>
      </c>
      <c r="P4059" s="208">
        <f>MIN(1,MAX(0,(nr_MEndPm1-$G4059+0.5)/nr_TermMonths))-MIN(1,MAX(0,(nr_MStartPm1-1-$G4059+0.5)/nr_TermMonths))</f>
        <v/>
      </c>
      <c r="Q4059" s="208">
        <f>MIN(1,MAX(0,(nr_MEndP-$G4059+0.5)/nr_TermMonths))-MIN(1,MAX(0,(nr_MStartP-1-$G4059+0.5)/nr_TermMonths))</f>
        <v/>
      </c>
      <c r="R4059" s="208">
        <f>MIN(1,MAX(0,(nr_MEndP1-$G4059+0.5)/nr_TermMonths))-MIN(1,MAX(0,(nr_MStartP1-1-$G4059+0.5)/nr_TermMonths))</f>
        <v/>
      </c>
      <c r="S4059" s="208">
        <f>IF(nr_NetMode,$N4059*IF(nr_ModAdjEff="ON",$O4059/nr_MInd,1),"")</f>
        <v/>
      </c>
      <c r="T4059" s="208">
        <f>IF(NOT(nr_NetMode),"",IF($G4059&lt;nr_MStartP,$S4059,$T4047*(1+IF($G4059&lt;nr_MStartP1,(nr_NetSelP+N(INDEX(sc_dnet,1))),(nr_NetSelP1+N(INDEX(sc_dnet,1)))))))</f>
        <v/>
      </c>
      <c r="U4059" s="208">
        <f>IF(nr_NetMode,$T4059,$N4059)</f>
        <v/>
      </c>
    </row>
    <row r="4060">
      <c r="A4060" s="145" t="n">
        <v>10</v>
      </c>
      <c r="B4060" s="204">
        <f>EDATE($B4059,1)</f>
        <v/>
      </c>
      <c r="C4060" s="205">
        <f>EOMONTH($B4060,0)</f>
        <v/>
      </c>
      <c r="D4060" s="201">
        <f>$C4060-$B4060+1</f>
        <v/>
      </c>
      <c r="E4060" s="201">
        <f>MONTH($B4060)</f>
        <v/>
      </c>
      <c r="F4060" s="235">
        <f>($B4060+$C4060+1)/2</f>
        <v/>
      </c>
      <c r="G4060" s="201">
        <f>YEAR($B4060)*12+MONTH($B4060)-1</f>
        <v/>
      </c>
      <c r="H4060" s="207">
        <f>IF(OR(nr_SeasonOn="OFF",re_srow=0,re_ssum=0),1,12*INDEX(se_block,re_srow,$E4060)/re_ssum)</f>
        <v/>
      </c>
      <c r="I4060" s="208">
        <f>EXP(SUMPRODUCT(($A$3806:$A$4045&lt;$B4060)*(rl_key=nr_SelKey)*$E$3806:$E$4045))</f>
        <v/>
      </c>
      <c r="J4060" s="208">
        <f>EXP(SUMPRODUCT(($A$3806:$A$4045&lt;=$C4060)*(rl_key=nr_SelKey)*$E$3806:$E$4045))</f>
        <v/>
      </c>
      <c r="K4060" s="201">
        <f>COUNTIFS(rl_key,nr_SelKey,$A$3806:$A$4045,"&gt;="&amp;$B4060,$A$3806:$A$4045,"&lt;="&amp;$C4060)</f>
        <v/>
      </c>
      <c r="L4060" s="201">
        <f>SUMIFS($F$3806:$F$4045,rl_key,nr_SelKey,$B$3806:$B$4045,$B4060,$I$3806:$I$4045,1)</f>
        <v/>
      </c>
      <c r="M4060" s="209">
        <f>IF($K4060=0,0,MIN(1,$L4060/$D4060))</f>
        <v/>
      </c>
      <c r="N4060" s="208">
        <f>IF($K4060=0,$J4060,(1-$M4060)*$I4060+$M4060*$J4060)</f>
        <v/>
      </c>
      <c r="O4060" s="209">
        <f>IF($F4060&lt;$B$4049,$E$4049+$I$4049*($F4060-$A$4049),IF($F4060&lt;$C$4049,$F$4049+$J$4049*($F4060-$B$4049),$G$4049+$K$4049*($F4060-$C$4049)))</f>
        <v/>
      </c>
      <c r="P4060" s="208">
        <f>MIN(1,MAX(0,(nr_MEndPm1-$G4060+0.5)/nr_TermMonths))-MIN(1,MAX(0,(nr_MStartPm1-1-$G4060+0.5)/nr_TermMonths))</f>
        <v/>
      </c>
      <c r="Q4060" s="208">
        <f>MIN(1,MAX(0,(nr_MEndP-$G4060+0.5)/nr_TermMonths))-MIN(1,MAX(0,(nr_MStartP-1-$G4060+0.5)/nr_TermMonths))</f>
        <v/>
      </c>
      <c r="R4060" s="208">
        <f>MIN(1,MAX(0,(nr_MEndP1-$G4060+0.5)/nr_TermMonths))-MIN(1,MAX(0,(nr_MStartP1-1-$G4060+0.5)/nr_TermMonths))</f>
        <v/>
      </c>
      <c r="S4060" s="208">
        <f>IF(nr_NetMode,$N4060*IF(nr_ModAdjEff="ON",$O4060/nr_MInd,1),"")</f>
        <v/>
      </c>
      <c r="T4060" s="208">
        <f>IF(NOT(nr_NetMode),"",IF($G4060&lt;nr_MStartP,$S4060,$T4048*(1+IF($G4060&lt;nr_MStartP1,(nr_NetSelP+N(INDEX(sc_dnet,1))),(nr_NetSelP1+N(INDEX(sc_dnet,1)))))))</f>
        <v/>
      </c>
      <c r="U4060" s="208">
        <f>IF(nr_NetMode,$T4060,$N4060)</f>
        <v/>
      </c>
    </row>
    <row r="4061">
      <c r="A4061" s="145" t="n">
        <v>11</v>
      </c>
      <c r="B4061" s="204">
        <f>EDATE($B4060,1)</f>
        <v/>
      </c>
      <c r="C4061" s="205">
        <f>EOMONTH($B4061,0)</f>
        <v/>
      </c>
      <c r="D4061" s="201">
        <f>$C4061-$B4061+1</f>
        <v/>
      </c>
      <c r="E4061" s="201">
        <f>MONTH($B4061)</f>
        <v/>
      </c>
      <c r="F4061" s="235">
        <f>($B4061+$C4061+1)/2</f>
        <v/>
      </c>
      <c r="G4061" s="201">
        <f>YEAR($B4061)*12+MONTH($B4061)-1</f>
        <v/>
      </c>
      <c r="H4061" s="207">
        <f>IF(OR(nr_SeasonOn="OFF",re_srow=0,re_ssum=0),1,12*INDEX(se_block,re_srow,$E4061)/re_ssum)</f>
        <v/>
      </c>
      <c r="I4061" s="208">
        <f>EXP(SUMPRODUCT(($A$3806:$A$4045&lt;$B4061)*(rl_key=nr_SelKey)*$E$3806:$E$4045))</f>
        <v/>
      </c>
      <c r="J4061" s="208">
        <f>EXP(SUMPRODUCT(($A$3806:$A$4045&lt;=$C4061)*(rl_key=nr_SelKey)*$E$3806:$E$4045))</f>
        <v/>
      </c>
      <c r="K4061" s="201">
        <f>COUNTIFS(rl_key,nr_SelKey,$A$3806:$A$4045,"&gt;="&amp;$B4061,$A$3806:$A$4045,"&lt;="&amp;$C4061)</f>
        <v/>
      </c>
      <c r="L4061" s="201">
        <f>SUMIFS($F$3806:$F$4045,rl_key,nr_SelKey,$B$3806:$B$4045,$B4061,$I$3806:$I$4045,1)</f>
        <v/>
      </c>
      <c r="M4061" s="209">
        <f>IF($K4061=0,0,MIN(1,$L4061/$D4061))</f>
        <v/>
      </c>
      <c r="N4061" s="208">
        <f>IF($K4061=0,$J4061,(1-$M4061)*$I4061+$M4061*$J4061)</f>
        <v/>
      </c>
      <c r="O4061" s="209">
        <f>IF($F4061&lt;$B$4049,$E$4049+$I$4049*($F4061-$A$4049),IF($F4061&lt;$C$4049,$F$4049+$J$4049*($F4061-$B$4049),$G$4049+$K$4049*($F4061-$C$4049)))</f>
        <v/>
      </c>
      <c r="P4061" s="208">
        <f>MIN(1,MAX(0,(nr_MEndPm1-$G4061+0.5)/nr_TermMonths))-MIN(1,MAX(0,(nr_MStartPm1-1-$G4061+0.5)/nr_TermMonths))</f>
        <v/>
      </c>
      <c r="Q4061" s="208">
        <f>MIN(1,MAX(0,(nr_MEndP-$G4061+0.5)/nr_TermMonths))-MIN(1,MAX(0,(nr_MStartP-1-$G4061+0.5)/nr_TermMonths))</f>
        <v/>
      </c>
      <c r="R4061" s="208">
        <f>MIN(1,MAX(0,(nr_MEndP1-$G4061+0.5)/nr_TermMonths))-MIN(1,MAX(0,(nr_MStartP1-1-$G4061+0.5)/nr_TermMonths))</f>
        <v/>
      </c>
      <c r="S4061" s="208">
        <f>IF(nr_NetMode,$N4061*IF(nr_ModAdjEff="ON",$O4061/nr_MInd,1),"")</f>
        <v/>
      </c>
      <c r="T4061" s="208">
        <f>IF(NOT(nr_NetMode),"",IF($G4061&lt;nr_MStartP,$S4061,$T4049*(1+IF($G4061&lt;nr_MStartP1,(nr_NetSelP+N(INDEX(sc_dnet,1))),(nr_NetSelP1+N(INDEX(sc_dnet,1)))))))</f>
        <v/>
      </c>
      <c r="U4061" s="208">
        <f>IF(nr_NetMode,$T4061,$N4061)</f>
        <v/>
      </c>
    </row>
    <row r="4062">
      <c r="A4062" s="145" t="n">
        <v>12</v>
      </c>
      <c r="B4062" s="204">
        <f>EDATE($B4061,1)</f>
        <v/>
      </c>
      <c r="C4062" s="205">
        <f>EOMONTH($B4062,0)</f>
        <v/>
      </c>
      <c r="D4062" s="201">
        <f>$C4062-$B4062+1</f>
        <v/>
      </c>
      <c r="E4062" s="201">
        <f>MONTH($B4062)</f>
        <v/>
      </c>
      <c r="F4062" s="235">
        <f>($B4062+$C4062+1)/2</f>
        <v/>
      </c>
      <c r="G4062" s="201">
        <f>YEAR($B4062)*12+MONTH($B4062)-1</f>
        <v/>
      </c>
      <c r="H4062" s="207">
        <f>IF(OR(nr_SeasonOn="OFF",re_srow=0,re_ssum=0),1,12*INDEX(se_block,re_srow,$E4062)/re_ssum)</f>
        <v/>
      </c>
      <c r="I4062" s="208">
        <f>EXP(SUMPRODUCT(($A$3806:$A$4045&lt;$B4062)*(rl_key=nr_SelKey)*$E$3806:$E$4045))</f>
        <v/>
      </c>
      <c r="J4062" s="208">
        <f>EXP(SUMPRODUCT(($A$3806:$A$4045&lt;=$C4062)*(rl_key=nr_SelKey)*$E$3806:$E$4045))</f>
        <v/>
      </c>
      <c r="K4062" s="201">
        <f>COUNTIFS(rl_key,nr_SelKey,$A$3806:$A$4045,"&gt;="&amp;$B4062,$A$3806:$A$4045,"&lt;="&amp;$C4062)</f>
        <v/>
      </c>
      <c r="L4062" s="201">
        <f>SUMIFS($F$3806:$F$4045,rl_key,nr_SelKey,$B$3806:$B$4045,$B4062,$I$3806:$I$4045,1)</f>
        <v/>
      </c>
      <c r="M4062" s="209">
        <f>IF($K4062=0,0,MIN(1,$L4062/$D4062))</f>
        <v/>
      </c>
      <c r="N4062" s="208">
        <f>IF($K4062=0,$J4062,(1-$M4062)*$I4062+$M4062*$J4062)</f>
        <v/>
      </c>
      <c r="O4062" s="209">
        <f>IF($F4062&lt;$B$4049,$E$4049+$I$4049*($F4062-$A$4049),IF($F4062&lt;$C$4049,$F$4049+$J$4049*($F4062-$B$4049),$G$4049+$K$4049*($F4062-$C$4049)))</f>
        <v/>
      </c>
      <c r="P4062" s="208">
        <f>MIN(1,MAX(0,(nr_MEndPm1-$G4062+0.5)/nr_TermMonths))-MIN(1,MAX(0,(nr_MStartPm1-1-$G4062+0.5)/nr_TermMonths))</f>
        <v/>
      </c>
      <c r="Q4062" s="208">
        <f>MIN(1,MAX(0,(nr_MEndP-$G4062+0.5)/nr_TermMonths))-MIN(1,MAX(0,(nr_MStartP-1-$G4062+0.5)/nr_TermMonths))</f>
        <v/>
      </c>
      <c r="R4062" s="208">
        <f>MIN(1,MAX(0,(nr_MEndP1-$G4062+0.5)/nr_TermMonths))-MIN(1,MAX(0,(nr_MStartP1-1-$G4062+0.5)/nr_TermMonths))</f>
        <v/>
      </c>
      <c r="S4062" s="208">
        <f>IF(nr_NetMode,$N4062*IF(nr_ModAdjEff="ON",$O4062/nr_MInd,1),"")</f>
        <v/>
      </c>
      <c r="T4062" s="208">
        <f>IF(NOT(nr_NetMode),"",IF($G4062&lt;nr_MStartP,$S4062,$T4050*(1+IF($G4062&lt;nr_MStartP1,(nr_NetSelP+N(INDEX(sc_dnet,1))),(nr_NetSelP1+N(INDEX(sc_dnet,1)))))))</f>
        <v/>
      </c>
      <c r="U4062" s="208">
        <f>IF(nr_NetMode,$T4062,$N4062)</f>
        <v/>
      </c>
    </row>
    <row r="4063">
      <c r="A4063" s="145" t="n">
        <v>13</v>
      </c>
      <c r="B4063" s="204">
        <f>EDATE($B4062,1)</f>
        <v/>
      </c>
      <c r="C4063" s="205">
        <f>EOMONTH($B4063,0)</f>
        <v/>
      </c>
      <c r="D4063" s="201">
        <f>$C4063-$B4063+1</f>
        <v/>
      </c>
      <c r="E4063" s="201">
        <f>MONTH($B4063)</f>
        <v/>
      </c>
      <c r="F4063" s="235">
        <f>($B4063+$C4063+1)/2</f>
        <v/>
      </c>
      <c r="G4063" s="201">
        <f>YEAR($B4063)*12+MONTH($B4063)-1</f>
        <v/>
      </c>
      <c r="H4063" s="207">
        <f>IF(OR(nr_SeasonOn="OFF",re_srow=0,re_ssum=0),1,12*INDEX(se_block,re_srow,$E4063)/re_ssum)</f>
        <v/>
      </c>
      <c r="I4063" s="208">
        <f>EXP(SUMPRODUCT(($A$3806:$A$4045&lt;$B4063)*(rl_key=nr_SelKey)*$E$3806:$E$4045))</f>
        <v/>
      </c>
      <c r="J4063" s="208">
        <f>EXP(SUMPRODUCT(($A$3806:$A$4045&lt;=$C4063)*(rl_key=nr_SelKey)*$E$3806:$E$4045))</f>
        <v/>
      </c>
      <c r="K4063" s="201">
        <f>COUNTIFS(rl_key,nr_SelKey,$A$3806:$A$4045,"&gt;="&amp;$B4063,$A$3806:$A$4045,"&lt;="&amp;$C4063)</f>
        <v/>
      </c>
      <c r="L4063" s="201">
        <f>SUMIFS($F$3806:$F$4045,rl_key,nr_SelKey,$B$3806:$B$4045,$B4063,$I$3806:$I$4045,1)</f>
        <v/>
      </c>
      <c r="M4063" s="209">
        <f>IF($K4063=0,0,MIN(1,$L4063/$D4063))</f>
        <v/>
      </c>
      <c r="N4063" s="208">
        <f>IF($K4063=0,$J4063,(1-$M4063)*$I4063+$M4063*$J4063)</f>
        <v/>
      </c>
      <c r="O4063" s="209">
        <f>IF($F4063&lt;$B$4049,$E$4049+$I$4049*($F4063-$A$4049),IF($F4063&lt;$C$4049,$F$4049+$J$4049*($F4063-$B$4049),$G$4049+$K$4049*($F4063-$C$4049)))</f>
        <v/>
      </c>
      <c r="P4063" s="208">
        <f>MIN(1,MAX(0,(nr_MEndPm1-$G4063+0.5)/nr_TermMonths))-MIN(1,MAX(0,(nr_MStartPm1-1-$G4063+0.5)/nr_TermMonths))</f>
        <v/>
      </c>
      <c r="Q4063" s="208">
        <f>MIN(1,MAX(0,(nr_MEndP-$G4063+0.5)/nr_TermMonths))-MIN(1,MAX(0,(nr_MStartP-1-$G4063+0.5)/nr_TermMonths))</f>
        <v/>
      </c>
      <c r="R4063" s="208">
        <f>MIN(1,MAX(0,(nr_MEndP1-$G4063+0.5)/nr_TermMonths))-MIN(1,MAX(0,(nr_MStartP1-1-$G4063+0.5)/nr_TermMonths))</f>
        <v/>
      </c>
      <c r="S4063" s="208">
        <f>IF(nr_NetMode,$N4063*IF(nr_ModAdjEff="ON",$O4063/nr_MInd,1),"")</f>
        <v/>
      </c>
      <c r="T4063" s="208">
        <f>IF(NOT(nr_NetMode),"",IF($G4063&lt;nr_MStartP,$S4063,$T4051*(1+IF($G4063&lt;nr_MStartP1,(nr_NetSelP+N(INDEX(sc_dnet,1))),(nr_NetSelP1+N(INDEX(sc_dnet,1)))))))</f>
        <v/>
      </c>
      <c r="U4063" s="208">
        <f>IF(nr_NetMode,$T4063,$N4063)</f>
        <v/>
      </c>
    </row>
    <row r="4064">
      <c r="A4064" s="145" t="n">
        <v>14</v>
      </c>
      <c r="B4064" s="204">
        <f>EDATE($B4063,1)</f>
        <v/>
      </c>
      <c r="C4064" s="205">
        <f>EOMONTH($B4064,0)</f>
        <v/>
      </c>
      <c r="D4064" s="201">
        <f>$C4064-$B4064+1</f>
        <v/>
      </c>
      <c r="E4064" s="201">
        <f>MONTH($B4064)</f>
        <v/>
      </c>
      <c r="F4064" s="235">
        <f>($B4064+$C4064+1)/2</f>
        <v/>
      </c>
      <c r="G4064" s="201">
        <f>YEAR($B4064)*12+MONTH($B4064)-1</f>
        <v/>
      </c>
      <c r="H4064" s="207">
        <f>IF(OR(nr_SeasonOn="OFF",re_srow=0,re_ssum=0),1,12*INDEX(se_block,re_srow,$E4064)/re_ssum)</f>
        <v/>
      </c>
      <c r="I4064" s="208">
        <f>EXP(SUMPRODUCT(($A$3806:$A$4045&lt;$B4064)*(rl_key=nr_SelKey)*$E$3806:$E$4045))</f>
        <v/>
      </c>
      <c r="J4064" s="208">
        <f>EXP(SUMPRODUCT(($A$3806:$A$4045&lt;=$C4064)*(rl_key=nr_SelKey)*$E$3806:$E$4045))</f>
        <v/>
      </c>
      <c r="K4064" s="201">
        <f>COUNTIFS(rl_key,nr_SelKey,$A$3806:$A$4045,"&gt;="&amp;$B4064,$A$3806:$A$4045,"&lt;="&amp;$C4064)</f>
        <v/>
      </c>
      <c r="L4064" s="201">
        <f>SUMIFS($F$3806:$F$4045,rl_key,nr_SelKey,$B$3806:$B$4045,$B4064,$I$3806:$I$4045,1)</f>
        <v/>
      </c>
      <c r="M4064" s="209">
        <f>IF($K4064=0,0,MIN(1,$L4064/$D4064))</f>
        <v/>
      </c>
      <c r="N4064" s="208">
        <f>IF($K4064=0,$J4064,(1-$M4064)*$I4064+$M4064*$J4064)</f>
        <v/>
      </c>
      <c r="O4064" s="209">
        <f>IF($F4064&lt;$B$4049,$E$4049+$I$4049*($F4064-$A$4049),IF($F4064&lt;$C$4049,$F$4049+$J$4049*($F4064-$B$4049),$G$4049+$K$4049*($F4064-$C$4049)))</f>
        <v/>
      </c>
      <c r="P4064" s="208">
        <f>MIN(1,MAX(0,(nr_MEndPm1-$G4064+0.5)/nr_TermMonths))-MIN(1,MAX(0,(nr_MStartPm1-1-$G4064+0.5)/nr_TermMonths))</f>
        <v/>
      </c>
      <c r="Q4064" s="208">
        <f>MIN(1,MAX(0,(nr_MEndP-$G4064+0.5)/nr_TermMonths))-MIN(1,MAX(0,(nr_MStartP-1-$G4064+0.5)/nr_TermMonths))</f>
        <v/>
      </c>
      <c r="R4064" s="208">
        <f>MIN(1,MAX(0,(nr_MEndP1-$G4064+0.5)/nr_TermMonths))-MIN(1,MAX(0,(nr_MStartP1-1-$G4064+0.5)/nr_TermMonths))</f>
        <v/>
      </c>
      <c r="S4064" s="208">
        <f>IF(nr_NetMode,$N4064*IF(nr_ModAdjEff="ON",$O4064/nr_MInd,1),"")</f>
        <v/>
      </c>
      <c r="T4064" s="208">
        <f>IF(NOT(nr_NetMode),"",IF($G4064&lt;nr_MStartP,$S4064,$T4052*(1+IF($G4064&lt;nr_MStartP1,(nr_NetSelP+N(INDEX(sc_dnet,1))),(nr_NetSelP1+N(INDEX(sc_dnet,1)))))))</f>
        <v/>
      </c>
      <c r="U4064" s="208">
        <f>IF(nr_NetMode,$T4064,$N4064)</f>
        <v/>
      </c>
    </row>
    <row r="4065">
      <c r="A4065" s="145" t="n">
        <v>15</v>
      </c>
      <c r="B4065" s="204">
        <f>EDATE($B4064,1)</f>
        <v/>
      </c>
      <c r="C4065" s="205">
        <f>EOMONTH($B4065,0)</f>
        <v/>
      </c>
      <c r="D4065" s="201">
        <f>$C4065-$B4065+1</f>
        <v/>
      </c>
      <c r="E4065" s="201">
        <f>MONTH($B4065)</f>
        <v/>
      </c>
      <c r="F4065" s="235">
        <f>($B4065+$C4065+1)/2</f>
        <v/>
      </c>
      <c r="G4065" s="201">
        <f>YEAR($B4065)*12+MONTH($B4065)-1</f>
        <v/>
      </c>
      <c r="H4065" s="207">
        <f>IF(OR(nr_SeasonOn="OFF",re_srow=0,re_ssum=0),1,12*INDEX(se_block,re_srow,$E4065)/re_ssum)</f>
        <v/>
      </c>
      <c r="I4065" s="208">
        <f>EXP(SUMPRODUCT(($A$3806:$A$4045&lt;$B4065)*(rl_key=nr_SelKey)*$E$3806:$E$4045))</f>
        <v/>
      </c>
      <c r="J4065" s="208">
        <f>EXP(SUMPRODUCT(($A$3806:$A$4045&lt;=$C4065)*(rl_key=nr_SelKey)*$E$3806:$E$4045))</f>
        <v/>
      </c>
      <c r="K4065" s="201">
        <f>COUNTIFS(rl_key,nr_SelKey,$A$3806:$A$4045,"&gt;="&amp;$B4065,$A$3806:$A$4045,"&lt;="&amp;$C4065)</f>
        <v/>
      </c>
      <c r="L4065" s="201">
        <f>SUMIFS($F$3806:$F$4045,rl_key,nr_SelKey,$B$3806:$B$4045,$B4065,$I$3806:$I$4045,1)</f>
        <v/>
      </c>
      <c r="M4065" s="209">
        <f>IF($K4065=0,0,MIN(1,$L4065/$D4065))</f>
        <v/>
      </c>
      <c r="N4065" s="208">
        <f>IF($K4065=0,$J4065,(1-$M4065)*$I4065+$M4065*$J4065)</f>
        <v/>
      </c>
      <c r="O4065" s="209">
        <f>IF($F4065&lt;$B$4049,$E$4049+$I$4049*($F4065-$A$4049),IF($F4065&lt;$C$4049,$F$4049+$J$4049*($F4065-$B$4049),$G$4049+$K$4049*($F4065-$C$4049)))</f>
        <v/>
      </c>
      <c r="P4065" s="208">
        <f>MIN(1,MAX(0,(nr_MEndPm1-$G4065+0.5)/nr_TermMonths))-MIN(1,MAX(0,(nr_MStartPm1-1-$G4065+0.5)/nr_TermMonths))</f>
        <v/>
      </c>
      <c r="Q4065" s="208">
        <f>MIN(1,MAX(0,(nr_MEndP-$G4065+0.5)/nr_TermMonths))-MIN(1,MAX(0,(nr_MStartP-1-$G4065+0.5)/nr_TermMonths))</f>
        <v/>
      </c>
      <c r="R4065" s="208">
        <f>MIN(1,MAX(0,(nr_MEndP1-$G4065+0.5)/nr_TermMonths))-MIN(1,MAX(0,(nr_MStartP1-1-$G4065+0.5)/nr_TermMonths))</f>
        <v/>
      </c>
      <c r="S4065" s="208">
        <f>IF(nr_NetMode,$N4065*IF(nr_ModAdjEff="ON",$O4065/nr_MInd,1),"")</f>
        <v/>
      </c>
      <c r="T4065" s="208">
        <f>IF(NOT(nr_NetMode),"",IF($G4065&lt;nr_MStartP,$S4065,$T4053*(1+IF($G4065&lt;nr_MStartP1,(nr_NetSelP+N(INDEX(sc_dnet,1))),(nr_NetSelP1+N(INDEX(sc_dnet,1)))))))</f>
        <v/>
      </c>
      <c r="U4065" s="208">
        <f>IF(nr_NetMode,$T4065,$N4065)</f>
        <v/>
      </c>
    </row>
    <row r="4066">
      <c r="A4066" s="145" t="n">
        <v>16</v>
      </c>
      <c r="B4066" s="204">
        <f>EDATE($B4065,1)</f>
        <v/>
      </c>
      <c r="C4066" s="205">
        <f>EOMONTH($B4066,0)</f>
        <v/>
      </c>
      <c r="D4066" s="201">
        <f>$C4066-$B4066+1</f>
        <v/>
      </c>
      <c r="E4066" s="201">
        <f>MONTH($B4066)</f>
        <v/>
      </c>
      <c r="F4066" s="235">
        <f>($B4066+$C4066+1)/2</f>
        <v/>
      </c>
      <c r="G4066" s="201">
        <f>YEAR($B4066)*12+MONTH($B4066)-1</f>
        <v/>
      </c>
      <c r="H4066" s="207">
        <f>IF(OR(nr_SeasonOn="OFF",re_srow=0,re_ssum=0),1,12*INDEX(se_block,re_srow,$E4066)/re_ssum)</f>
        <v/>
      </c>
      <c r="I4066" s="208">
        <f>EXP(SUMPRODUCT(($A$3806:$A$4045&lt;$B4066)*(rl_key=nr_SelKey)*$E$3806:$E$4045))</f>
        <v/>
      </c>
      <c r="J4066" s="208">
        <f>EXP(SUMPRODUCT(($A$3806:$A$4045&lt;=$C4066)*(rl_key=nr_SelKey)*$E$3806:$E$4045))</f>
        <v/>
      </c>
      <c r="K4066" s="201">
        <f>COUNTIFS(rl_key,nr_SelKey,$A$3806:$A$4045,"&gt;="&amp;$B4066,$A$3806:$A$4045,"&lt;="&amp;$C4066)</f>
        <v/>
      </c>
      <c r="L4066" s="201">
        <f>SUMIFS($F$3806:$F$4045,rl_key,nr_SelKey,$B$3806:$B$4045,$B4066,$I$3806:$I$4045,1)</f>
        <v/>
      </c>
      <c r="M4066" s="209">
        <f>IF($K4066=0,0,MIN(1,$L4066/$D4066))</f>
        <v/>
      </c>
      <c r="N4066" s="208">
        <f>IF($K4066=0,$J4066,(1-$M4066)*$I4066+$M4066*$J4066)</f>
        <v/>
      </c>
      <c r="O4066" s="209">
        <f>IF($F4066&lt;$B$4049,$E$4049+$I$4049*($F4066-$A$4049),IF($F4066&lt;$C$4049,$F$4049+$J$4049*($F4066-$B$4049),$G$4049+$K$4049*($F4066-$C$4049)))</f>
        <v/>
      </c>
      <c r="P4066" s="208">
        <f>MIN(1,MAX(0,(nr_MEndPm1-$G4066+0.5)/nr_TermMonths))-MIN(1,MAX(0,(nr_MStartPm1-1-$G4066+0.5)/nr_TermMonths))</f>
        <v/>
      </c>
      <c r="Q4066" s="208">
        <f>MIN(1,MAX(0,(nr_MEndP-$G4066+0.5)/nr_TermMonths))-MIN(1,MAX(0,(nr_MStartP-1-$G4066+0.5)/nr_TermMonths))</f>
        <v/>
      </c>
      <c r="R4066" s="208">
        <f>MIN(1,MAX(0,(nr_MEndP1-$G4066+0.5)/nr_TermMonths))-MIN(1,MAX(0,(nr_MStartP1-1-$G4066+0.5)/nr_TermMonths))</f>
        <v/>
      </c>
      <c r="S4066" s="208">
        <f>IF(nr_NetMode,$N4066*IF(nr_ModAdjEff="ON",$O4066/nr_MInd,1),"")</f>
        <v/>
      </c>
      <c r="T4066" s="208">
        <f>IF(NOT(nr_NetMode),"",IF($G4066&lt;nr_MStartP,$S4066,$T4054*(1+IF($G4066&lt;nr_MStartP1,(nr_NetSelP+N(INDEX(sc_dnet,1))),(nr_NetSelP1+N(INDEX(sc_dnet,1)))))))</f>
        <v/>
      </c>
      <c r="U4066" s="208">
        <f>IF(nr_NetMode,$T4066,$N4066)</f>
        <v/>
      </c>
    </row>
    <row r="4067">
      <c r="A4067" s="145" t="n">
        <v>17</v>
      </c>
      <c r="B4067" s="204">
        <f>EDATE($B4066,1)</f>
        <v/>
      </c>
      <c r="C4067" s="205">
        <f>EOMONTH($B4067,0)</f>
        <v/>
      </c>
      <c r="D4067" s="201">
        <f>$C4067-$B4067+1</f>
        <v/>
      </c>
      <c r="E4067" s="201">
        <f>MONTH($B4067)</f>
        <v/>
      </c>
      <c r="F4067" s="235">
        <f>($B4067+$C4067+1)/2</f>
        <v/>
      </c>
      <c r="G4067" s="201">
        <f>YEAR($B4067)*12+MONTH($B4067)-1</f>
        <v/>
      </c>
      <c r="H4067" s="207">
        <f>IF(OR(nr_SeasonOn="OFF",re_srow=0,re_ssum=0),1,12*INDEX(se_block,re_srow,$E4067)/re_ssum)</f>
        <v/>
      </c>
      <c r="I4067" s="208">
        <f>EXP(SUMPRODUCT(($A$3806:$A$4045&lt;$B4067)*(rl_key=nr_SelKey)*$E$3806:$E$4045))</f>
        <v/>
      </c>
      <c r="J4067" s="208">
        <f>EXP(SUMPRODUCT(($A$3806:$A$4045&lt;=$C4067)*(rl_key=nr_SelKey)*$E$3806:$E$4045))</f>
        <v/>
      </c>
      <c r="K4067" s="201">
        <f>COUNTIFS(rl_key,nr_SelKey,$A$3806:$A$4045,"&gt;="&amp;$B4067,$A$3806:$A$4045,"&lt;="&amp;$C4067)</f>
        <v/>
      </c>
      <c r="L4067" s="201">
        <f>SUMIFS($F$3806:$F$4045,rl_key,nr_SelKey,$B$3806:$B$4045,$B4067,$I$3806:$I$4045,1)</f>
        <v/>
      </c>
      <c r="M4067" s="209">
        <f>IF($K4067=0,0,MIN(1,$L4067/$D4067))</f>
        <v/>
      </c>
      <c r="N4067" s="208">
        <f>IF($K4067=0,$J4067,(1-$M4067)*$I4067+$M4067*$J4067)</f>
        <v/>
      </c>
      <c r="O4067" s="209">
        <f>IF($F4067&lt;$B$4049,$E$4049+$I$4049*($F4067-$A$4049),IF($F4067&lt;$C$4049,$F$4049+$J$4049*($F4067-$B$4049),$G$4049+$K$4049*($F4067-$C$4049)))</f>
        <v/>
      </c>
      <c r="P4067" s="208">
        <f>MIN(1,MAX(0,(nr_MEndPm1-$G4067+0.5)/nr_TermMonths))-MIN(1,MAX(0,(nr_MStartPm1-1-$G4067+0.5)/nr_TermMonths))</f>
        <v/>
      </c>
      <c r="Q4067" s="208">
        <f>MIN(1,MAX(0,(nr_MEndP-$G4067+0.5)/nr_TermMonths))-MIN(1,MAX(0,(nr_MStartP-1-$G4067+0.5)/nr_TermMonths))</f>
        <v/>
      </c>
      <c r="R4067" s="208">
        <f>MIN(1,MAX(0,(nr_MEndP1-$G4067+0.5)/nr_TermMonths))-MIN(1,MAX(0,(nr_MStartP1-1-$G4067+0.5)/nr_TermMonths))</f>
        <v/>
      </c>
      <c r="S4067" s="208">
        <f>IF(nr_NetMode,$N4067*IF(nr_ModAdjEff="ON",$O4067/nr_MInd,1),"")</f>
        <v/>
      </c>
      <c r="T4067" s="208">
        <f>IF(NOT(nr_NetMode),"",IF($G4067&lt;nr_MStartP,$S4067,$T4055*(1+IF($G4067&lt;nr_MStartP1,(nr_NetSelP+N(INDEX(sc_dnet,1))),(nr_NetSelP1+N(INDEX(sc_dnet,1)))))))</f>
        <v/>
      </c>
      <c r="U4067" s="208">
        <f>IF(nr_NetMode,$T4067,$N4067)</f>
        <v/>
      </c>
    </row>
    <row r="4068">
      <c r="A4068" s="145" t="n">
        <v>18</v>
      </c>
      <c r="B4068" s="204">
        <f>EDATE($B4067,1)</f>
        <v/>
      </c>
      <c r="C4068" s="205">
        <f>EOMONTH($B4068,0)</f>
        <v/>
      </c>
      <c r="D4068" s="201">
        <f>$C4068-$B4068+1</f>
        <v/>
      </c>
      <c r="E4068" s="201">
        <f>MONTH($B4068)</f>
        <v/>
      </c>
      <c r="F4068" s="235">
        <f>($B4068+$C4068+1)/2</f>
        <v/>
      </c>
      <c r="G4068" s="201">
        <f>YEAR($B4068)*12+MONTH($B4068)-1</f>
        <v/>
      </c>
      <c r="H4068" s="207">
        <f>IF(OR(nr_SeasonOn="OFF",re_srow=0,re_ssum=0),1,12*INDEX(se_block,re_srow,$E4068)/re_ssum)</f>
        <v/>
      </c>
      <c r="I4068" s="208">
        <f>EXP(SUMPRODUCT(($A$3806:$A$4045&lt;$B4068)*(rl_key=nr_SelKey)*$E$3806:$E$4045))</f>
        <v/>
      </c>
      <c r="J4068" s="208">
        <f>EXP(SUMPRODUCT(($A$3806:$A$4045&lt;=$C4068)*(rl_key=nr_SelKey)*$E$3806:$E$4045))</f>
        <v/>
      </c>
      <c r="K4068" s="201">
        <f>COUNTIFS(rl_key,nr_SelKey,$A$3806:$A$4045,"&gt;="&amp;$B4068,$A$3806:$A$4045,"&lt;="&amp;$C4068)</f>
        <v/>
      </c>
      <c r="L4068" s="201">
        <f>SUMIFS($F$3806:$F$4045,rl_key,nr_SelKey,$B$3806:$B$4045,$B4068,$I$3806:$I$4045,1)</f>
        <v/>
      </c>
      <c r="M4068" s="209">
        <f>IF($K4068=0,0,MIN(1,$L4068/$D4068))</f>
        <v/>
      </c>
      <c r="N4068" s="208">
        <f>IF($K4068=0,$J4068,(1-$M4068)*$I4068+$M4068*$J4068)</f>
        <v/>
      </c>
      <c r="O4068" s="209">
        <f>IF($F4068&lt;$B$4049,$E$4049+$I$4049*($F4068-$A$4049),IF($F4068&lt;$C$4049,$F$4049+$J$4049*($F4068-$B$4049),$G$4049+$K$4049*($F4068-$C$4049)))</f>
        <v/>
      </c>
      <c r="P4068" s="208">
        <f>MIN(1,MAX(0,(nr_MEndPm1-$G4068+0.5)/nr_TermMonths))-MIN(1,MAX(0,(nr_MStartPm1-1-$G4068+0.5)/nr_TermMonths))</f>
        <v/>
      </c>
      <c r="Q4068" s="208">
        <f>MIN(1,MAX(0,(nr_MEndP-$G4068+0.5)/nr_TermMonths))-MIN(1,MAX(0,(nr_MStartP-1-$G4068+0.5)/nr_TermMonths))</f>
        <v/>
      </c>
      <c r="R4068" s="208">
        <f>MIN(1,MAX(0,(nr_MEndP1-$G4068+0.5)/nr_TermMonths))-MIN(1,MAX(0,(nr_MStartP1-1-$G4068+0.5)/nr_TermMonths))</f>
        <v/>
      </c>
      <c r="S4068" s="208">
        <f>IF(nr_NetMode,$N4068*IF(nr_ModAdjEff="ON",$O4068/nr_MInd,1),"")</f>
        <v/>
      </c>
      <c r="T4068" s="208">
        <f>IF(NOT(nr_NetMode),"",IF($G4068&lt;nr_MStartP,$S4068,$T4056*(1+IF($G4068&lt;nr_MStartP1,(nr_NetSelP+N(INDEX(sc_dnet,1))),(nr_NetSelP1+N(INDEX(sc_dnet,1)))))))</f>
        <v/>
      </c>
      <c r="U4068" s="208">
        <f>IF(nr_NetMode,$T4068,$N4068)</f>
        <v/>
      </c>
    </row>
    <row r="4069">
      <c r="A4069" s="145" t="n">
        <v>19</v>
      </c>
      <c r="B4069" s="204">
        <f>EDATE($B4068,1)</f>
        <v/>
      </c>
      <c r="C4069" s="205">
        <f>EOMONTH($B4069,0)</f>
        <v/>
      </c>
      <c r="D4069" s="201">
        <f>$C4069-$B4069+1</f>
        <v/>
      </c>
      <c r="E4069" s="201">
        <f>MONTH($B4069)</f>
        <v/>
      </c>
      <c r="F4069" s="235">
        <f>($B4069+$C4069+1)/2</f>
        <v/>
      </c>
      <c r="G4069" s="201">
        <f>YEAR($B4069)*12+MONTH($B4069)-1</f>
        <v/>
      </c>
      <c r="H4069" s="207">
        <f>IF(OR(nr_SeasonOn="OFF",re_srow=0,re_ssum=0),1,12*INDEX(se_block,re_srow,$E4069)/re_ssum)</f>
        <v/>
      </c>
      <c r="I4069" s="208">
        <f>EXP(SUMPRODUCT(($A$3806:$A$4045&lt;$B4069)*(rl_key=nr_SelKey)*$E$3806:$E$4045))</f>
        <v/>
      </c>
      <c r="J4069" s="208">
        <f>EXP(SUMPRODUCT(($A$3806:$A$4045&lt;=$C4069)*(rl_key=nr_SelKey)*$E$3806:$E$4045))</f>
        <v/>
      </c>
      <c r="K4069" s="201">
        <f>COUNTIFS(rl_key,nr_SelKey,$A$3806:$A$4045,"&gt;="&amp;$B4069,$A$3806:$A$4045,"&lt;="&amp;$C4069)</f>
        <v/>
      </c>
      <c r="L4069" s="201">
        <f>SUMIFS($F$3806:$F$4045,rl_key,nr_SelKey,$B$3806:$B$4045,$B4069,$I$3806:$I$4045,1)</f>
        <v/>
      </c>
      <c r="M4069" s="209">
        <f>IF($K4069=0,0,MIN(1,$L4069/$D4069))</f>
        <v/>
      </c>
      <c r="N4069" s="208">
        <f>IF($K4069=0,$J4069,(1-$M4069)*$I4069+$M4069*$J4069)</f>
        <v/>
      </c>
      <c r="O4069" s="209">
        <f>IF($F4069&lt;$B$4049,$E$4049+$I$4049*($F4069-$A$4049),IF($F4069&lt;$C$4049,$F$4049+$J$4049*($F4069-$B$4049),$G$4049+$K$4049*($F4069-$C$4049)))</f>
        <v/>
      </c>
      <c r="P4069" s="208">
        <f>MIN(1,MAX(0,(nr_MEndPm1-$G4069+0.5)/nr_TermMonths))-MIN(1,MAX(0,(nr_MStartPm1-1-$G4069+0.5)/nr_TermMonths))</f>
        <v/>
      </c>
      <c r="Q4069" s="208">
        <f>MIN(1,MAX(0,(nr_MEndP-$G4069+0.5)/nr_TermMonths))-MIN(1,MAX(0,(nr_MStartP-1-$G4069+0.5)/nr_TermMonths))</f>
        <v/>
      </c>
      <c r="R4069" s="208">
        <f>MIN(1,MAX(0,(nr_MEndP1-$G4069+0.5)/nr_TermMonths))-MIN(1,MAX(0,(nr_MStartP1-1-$G4069+0.5)/nr_TermMonths))</f>
        <v/>
      </c>
      <c r="S4069" s="208">
        <f>IF(nr_NetMode,$N4069*IF(nr_ModAdjEff="ON",$O4069/nr_MInd,1),"")</f>
        <v/>
      </c>
      <c r="T4069" s="208">
        <f>IF(NOT(nr_NetMode),"",IF($G4069&lt;nr_MStartP,$S4069,$T4057*(1+IF($G4069&lt;nr_MStartP1,(nr_NetSelP+N(INDEX(sc_dnet,1))),(nr_NetSelP1+N(INDEX(sc_dnet,1)))))))</f>
        <v/>
      </c>
      <c r="U4069" s="208">
        <f>IF(nr_NetMode,$T4069,$N4069)</f>
        <v/>
      </c>
    </row>
    <row r="4070">
      <c r="A4070" s="145" t="n">
        <v>20</v>
      </c>
      <c r="B4070" s="204">
        <f>EDATE($B4069,1)</f>
        <v/>
      </c>
      <c r="C4070" s="205">
        <f>EOMONTH($B4070,0)</f>
        <v/>
      </c>
      <c r="D4070" s="201">
        <f>$C4070-$B4070+1</f>
        <v/>
      </c>
      <c r="E4070" s="201">
        <f>MONTH($B4070)</f>
        <v/>
      </c>
      <c r="F4070" s="235">
        <f>($B4070+$C4070+1)/2</f>
        <v/>
      </c>
      <c r="G4070" s="201">
        <f>YEAR($B4070)*12+MONTH($B4070)-1</f>
        <v/>
      </c>
      <c r="H4070" s="207">
        <f>IF(OR(nr_SeasonOn="OFF",re_srow=0,re_ssum=0),1,12*INDEX(se_block,re_srow,$E4070)/re_ssum)</f>
        <v/>
      </c>
      <c r="I4070" s="208">
        <f>EXP(SUMPRODUCT(($A$3806:$A$4045&lt;$B4070)*(rl_key=nr_SelKey)*$E$3806:$E$4045))</f>
        <v/>
      </c>
      <c r="J4070" s="208">
        <f>EXP(SUMPRODUCT(($A$3806:$A$4045&lt;=$C4070)*(rl_key=nr_SelKey)*$E$3806:$E$4045))</f>
        <v/>
      </c>
      <c r="K4070" s="201">
        <f>COUNTIFS(rl_key,nr_SelKey,$A$3806:$A$4045,"&gt;="&amp;$B4070,$A$3806:$A$4045,"&lt;="&amp;$C4070)</f>
        <v/>
      </c>
      <c r="L4070" s="201">
        <f>SUMIFS($F$3806:$F$4045,rl_key,nr_SelKey,$B$3806:$B$4045,$B4070,$I$3806:$I$4045,1)</f>
        <v/>
      </c>
      <c r="M4070" s="209">
        <f>IF($K4070=0,0,MIN(1,$L4070/$D4070))</f>
        <v/>
      </c>
      <c r="N4070" s="208">
        <f>IF($K4070=0,$J4070,(1-$M4070)*$I4070+$M4070*$J4070)</f>
        <v/>
      </c>
      <c r="O4070" s="209">
        <f>IF($F4070&lt;$B$4049,$E$4049+$I$4049*($F4070-$A$4049),IF($F4070&lt;$C$4049,$F$4049+$J$4049*($F4070-$B$4049),$G$4049+$K$4049*($F4070-$C$4049)))</f>
        <v/>
      </c>
      <c r="P4070" s="208">
        <f>MIN(1,MAX(0,(nr_MEndPm1-$G4070+0.5)/nr_TermMonths))-MIN(1,MAX(0,(nr_MStartPm1-1-$G4070+0.5)/nr_TermMonths))</f>
        <v/>
      </c>
      <c r="Q4070" s="208">
        <f>MIN(1,MAX(0,(nr_MEndP-$G4070+0.5)/nr_TermMonths))-MIN(1,MAX(0,(nr_MStartP-1-$G4070+0.5)/nr_TermMonths))</f>
        <v/>
      </c>
      <c r="R4070" s="208">
        <f>MIN(1,MAX(0,(nr_MEndP1-$G4070+0.5)/nr_TermMonths))-MIN(1,MAX(0,(nr_MStartP1-1-$G4070+0.5)/nr_TermMonths))</f>
        <v/>
      </c>
      <c r="S4070" s="208">
        <f>IF(nr_NetMode,$N4070*IF(nr_ModAdjEff="ON",$O4070/nr_MInd,1),"")</f>
        <v/>
      </c>
      <c r="T4070" s="208">
        <f>IF(NOT(nr_NetMode),"",IF($G4070&lt;nr_MStartP,$S4070,$T4058*(1+IF($G4070&lt;nr_MStartP1,(nr_NetSelP+N(INDEX(sc_dnet,1))),(nr_NetSelP1+N(INDEX(sc_dnet,1)))))))</f>
        <v/>
      </c>
      <c r="U4070" s="208">
        <f>IF(nr_NetMode,$T4070,$N4070)</f>
        <v/>
      </c>
    </row>
    <row r="4071">
      <c r="A4071" s="145" t="n">
        <v>21</v>
      </c>
      <c r="B4071" s="204">
        <f>EDATE($B4070,1)</f>
        <v/>
      </c>
      <c r="C4071" s="205">
        <f>EOMONTH($B4071,0)</f>
        <v/>
      </c>
      <c r="D4071" s="201">
        <f>$C4071-$B4071+1</f>
        <v/>
      </c>
      <c r="E4071" s="201">
        <f>MONTH($B4071)</f>
        <v/>
      </c>
      <c r="F4071" s="235">
        <f>($B4071+$C4071+1)/2</f>
        <v/>
      </c>
      <c r="G4071" s="201">
        <f>YEAR($B4071)*12+MONTH($B4071)-1</f>
        <v/>
      </c>
      <c r="H4071" s="207">
        <f>IF(OR(nr_SeasonOn="OFF",re_srow=0,re_ssum=0),1,12*INDEX(se_block,re_srow,$E4071)/re_ssum)</f>
        <v/>
      </c>
      <c r="I4071" s="208">
        <f>EXP(SUMPRODUCT(($A$3806:$A$4045&lt;$B4071)*(rl_key=nr_SelKey)*$E$3806:$E$4045))</f>
        <v/>
      </c>
      <c r="J4071" s="208">
        <f>EXP(SUMPRODUCT(($A$3806:$A$4045&lt;=$C4071)*(rl_key=nr_SelKey)*$E$3806:$E$4045))</f>
        <v/>
      </c>
      <c r="K4071" s="201">
        <f>COUNTIFS(rl_key,nr_SelKey,$A$3806:$A$4045,"&gt;="&amp;$B4071,$A$3806:$A$4045,"&lt;="&amp;$C4071)</f>
        <v/>
      </c>
      <c r="L4071" s="201">
        <f>SUMIFS($F$3806:$F$4045,rl_key,nr_SelKey,$B$3806:$B$4045,$B4071,$I$3806:$I$4045,1)</f>
        <v/>
      </c>
      <c r="M4071" s="209">
        <f>IF($K4071=0,0,MIN(1,$L4071/$D4071))</f>
        <v/>
      </c>
      <c r="N4071" s="208">
        <f>IF($K4071=0,$J4071,(1-$M4071)*$I4071+$M4071*$J4071)</f>
        <v/>
      </c>
      <c r="O4071" s="209">
        <f>IF($F4071&lt;$B$4049,$E$4049+$I$4049*($F4071-$A$4049),IF($F4071&lt;$C$4049,$F$4049+$J$4049*($F4071-$B$4049),$G$4049+$K$4049*($F4071-$C$4049)))</f>
        <v/>
      </c>
      <c r="P4071" s="208">
        <f>MIN(1,MAX(0,(nr_MEndPm1-$G4071+0.5)/nr_TermMonths))-MIN(1,MAX(0,(nr_MStartPm1-1-$G4071+0.5)/nr_TermMonths))</f>
        <v/>
      </c>
      <c r="Q4071" s="208">
        <f>MIN(1,MAX(0,(nr_MEndP-$G4071+0.5)/nr_TermMonths))-MIN(1,MAX(0,(nr_MStartP-1-$G4071+0.5)/nr_TermMonths))</f>
        <v/>
      </c>
      <c r="R4071" s="208">
        <f>MIN(1,MAX(0,(nr_MEndP1-$G4071+0.5)/nr_TermMonths))-MIN(1,MAX(0,(nr_MStartP1-1-$G4071+0.5)/nr_TermMonths))</f>
        <v/>
      </c>
      <c r="S4071" s="208">
        <f>IF(nr_NetMode,$N4071*IF(nr_ModAdjEff="ON",$O4071/nr_MInd,1),"")</f>
        <v/>
      </c>
      <c r="T4071" s="208">
        <f>IF(NOT(nr_NetMode),"",IF($G4071&lt;nr_MStartP,$S4071,$T4059*(1+IF($G4071&lt;nr_MStartP1,(nr_NetSelP+N(INDEX(sc_dnet,1))),(nr_NetSelP1+N(INDEX(sc_dnet,1)))))))</f>
        <v/>
      </c>
      <c r="U4071" s="208">
        <f>IF(nr_NetMode,$T4071,$N4071)</f>
        <v/>
      </c>
    </row>
    <row r="4072">
      <c r="A4072" s="145" t="n">
        <v>22</v>
      </c>
      <c r="B4072" s="204">
        <f>EDATE($B4071,1)</f>
        <v/>
      </c>
      <c r="C4072" s="205">
        <f>EOMONTH($B4072,0)</f>
        <v/>
      </c>
      <c r="D4072" s="201">
        <f>$C4072-$B4072+1</f>
        <v/>
      </c>
      <c r="E4072" s="201">
        <f>MONTH($B4072)</f>
        <v/>
      </c>
      <c r="F4072" s="235">
        <f>($B4072+$C4072+1)/2</f>
        <v/>
      </c>
      <c r="G4072" s="201">
        <f>YEAR($B4072)*12+MONTH($B4072)-1</f>
        <v/>
      </c>
      <c r="H4072" s="207">
        <f>IF(OR(nr_SeasonOn="OFF",re_srow=0,re_ssum=0),1,12*INDEX(se_block,re_srow,$E4072)/re_ssum)</f>
        <v/>
      </c>
      <c r="I4072" s="208">
        <f>EXP(SUMPRODUCT(($A$3806:$A$4045&lt;$B4072)*(rl_key=nr_SelKey)*$E$3806:$E$4045))</f>
        <v/>
      </c>
      <c r="J4072" s="208">
        <f>EXP(SUMPRODUCT(($A$3806:$A$4045&lt;=$C4072)*(rl_key=nr_SelKey)*$E$3806:$E$4045))</f>
        <v/>
      </c>
      <c r="K4072" s="201">
        <f>COUNTIFS(rl_key,nr_SelKey,$A$3806:$A$4045,"&gt;="&amp;$B4072,$A$3806:$A$4045,"&lt;="&amp;$C4072)</f>
        <v/>
      </c>
      <c r="L4072" s="201">
        <f>SUMIFS($F$3806:$F$4045,rl_key,nr_SelKey,$B$3806:$B$4045,$B4072,$I$3806:$I$4045,1)</f>
        <v/>
      </c>
      <c r="M4072" s="209">
        <f>IF($K4072=0,0,MIN(1,$L4072/$D4072))</f>
        <v/>
      </c>
      <c r="N4072" s="208">
        <f>IF($K4072=0,$J4072,(1-$M4072)*$I4072+$M4072*$J4072)</f>
        <v/>
      </c>
      <c r="O4072" s="209">
        <f>IF($F4072&lt;$B$4049,$E$4049+$I$4049*($F4072-$A$4049),IF($F4072&lt;$C$4049,$F$4049+$J$4049*($F4072-$B$4049),$G$4049+$K$4049*($F4072-$C$4049)))</f>
        <v/>
      </c>
      <c r="P4072" s="208">
        <f>MIN(1,MAX(0,(nr_MEndPm1-$G4072+0.5)/nr_TermMonths))-MIN(1,MAX(0,(nr_MStartPm1-1-$G4072+0.5)/nr_TermMonths))</f>
        <v/>
      </c>
      <c r="Q4072" s="208">
        <f>MIN(1,MAX(0,(nr_MEndP-$G4072+0.5)/nr_TermMonths))-MIN(1,MAX(0,(nr_MStartP-1-$G4072+0.5)/nr_TermMonths))</f>
        <v/>
      </c>
      <c r="R4072" s="208">
        <f>MIN(1,MAX(0,(nr_MEndP1-$G4072+0.5)/nr_TermMonths))-MIN(1,MAX(0,(nr_MStartP1-1-$G4072+0.5)/nr_TermMonths))</f>
        <v/>
      </c>
      <c r="S4072" s="208">
        <f>IF(nr_NetMode,$N4072*IF(nr_ModAdjEff="ON",$O4072/nr_MInd,1),"")</f>
        <v/>
      </c>
      <c r="T4072" s="208">
        <f>IF(NOT(nr_NetMode),"",IF($G4072&lt;nr_MStartP,$S4072,$T4060*(1+IF($G4072&lt;nr_MStartP1,(nr_NetSelP+N(INDEX(sc_dnet,1))),(nr_NetSelP1+N(INDEX(sc_dnet,1)))))))</f>
        <v/>
      </c>
      <c r="U4072" s="208">
        <f>IF(nr_NetMode,$T4072,$N4072)</f>
        <v/>
      </c>
    </row>
    <row r="4073">
      <c r="A4073" s="145" t="n">
        <v>23</v>
      </c>
      <c r="B4073" s="204">
        <f>EDATE($B4072,1)</f>
        <v/>
      </c>
      <c r="C4073" s="205">
        <f>EOMONTH($B4073,0)</f>
        <v/>
      </c>
      <c r="D4073" s="201">
        <f>$C4073-$B4073+1</f>
        <v/>
      </c>
      <c r="E4073" s="201">
        <f>MONTH($B4073)</f>
        <v/>
      </c>
      <c r="F4073" s="235">
        <f>($B4073+$C4073+1)/2</f>
        <v/>
      </c>
      <c r="G4073" s="201">
        <f>YEAR($B4073)*12+MONTH($B4073)-1</f>
        <v/>
      </c>
      <c r="H4073" s="207">
        <f>IF(OR(nr_SeasonOn="OFF",re_srow=0,re_ssum=0),1,12*INDEX(se_block,re_srow,$E4073)/re_ssum)</f>
        <v/>
      </c>
      <c r="I4073" s="208">
        <f>EXP(SUMPRODUCT(($A$3806:$A$4045&lt;$B4073)*(rl_key=nr_SelKey)*$E$3806:$E$4045))</f>
        <v/>
      </c>
      <c r="J4073" s="208">
        <f>EXP(SUMPRODUCT(($A$3806:$A$4045&lt;=$C4073)*(rl_key=nr_SelKey)*$E$3806:$E$4045))</f>
        <v/>
      </c>
      <c r="K4073" s="201">
        <f>COUNTIFS(rl_key,nr_SelKey,$A$3806:$A$4045,"&gt;="&amp;$B4073,$A$3806:$A$4045,"&lt;="&amp;$C4073)</f>
        <v/>
      </c>
      <c r="L4073" s="201">
        <f>SUMIFS($F$3806:$F$4045,rl_key,nr_SelKey,$B$3806:$B$4045,$B4073,$I$3806:$I$4045,1)</f>
        <v/>
      </c>
      <c r="M4073" s="209">
        <f>IF($K4073=0,0,MIN(1,$L4073/$D4073))</f>
        <v/>
      </c>
      <c r="N4073" s="208">
        <f>IF($K4073=0,$J4073,(1-$M4073)*$I4073+$M4073*$J4073)</f>
        <v/>
      </c>
      <c r="O4073" s="209">
        <f>IF($F4073&lt;$B$4049,$E$4049+$I$4049*($F4073-$A$4049),IF($F4073&lt;$C$4049,$F$4049+$J$4049*($F4073-$B$4049),$G$4049+$K$4049*($F4073-$C$4049)))</f>
        <v/>
      </c>
      <c r="P4073" s="208">
        <f>MIN(1,MAX(0,(nr_MEndPm1-$G4073+0.5)/nr_TermMonths))-MIN(1,MAX(0,(nr_MStartPm1-1-$G4073+0.5)/nr_TermMonths))</f>
        <v/>
      </c>
      <c r="Q4073" s="208">
        <f>MIN(1,MAX(0,(nr_MEndP-$G4073+0.5)/nr_TermMonths))-MIN(1,MAX(0,(nr_MStartP-1-$G4073+0.5)/nr_TermMonths))</f>
        <v/>
      </c>
      <c r="R4073" s="208">
        <f>MIN(1,MAX(0,(nr_MEndP1-$G4073+0.5)/nr_TermMonths))-MIN(1,MAX(0,(nr_MStartP1-1-$G4073+0.5)/nr_TermMonths))</f>
        <v/>
      </c>
      <c r="S4073" s="208">
        <f>IF(nr_NetMode,$N4073*IF(nr_ModAdjEff="ON",$O4073/nr_MInd,1),"")</f>
        <v/>
      </c>
      <c r="T4073" s="208">
        <f>IF(NOT(nr_NetMode),"",IF($G4073&lt;nr_MStartP,$S4073,$T4061*(1+IF($G4073&lt;nr_MStartP1,(nr_NetSelP+N(INDEX(sc_dnet,1))),(nr_NetSelP1+N(INDEX(sc_dnet,1)))))))</f>
        <v/>
      </c>
      <c r="U4073" s="208">
        <f>IF(nr_NetMode,$T4073,$N4073)</f>
        <v/>
      </c>
    </row>
    <row r="4074">
      <c r="A4074" s="145" t="n">
        <v>24</v>
      </c>
      <c r="B4074" s="204">
        <f>EDATE($B4073,1)</f>
        <v/>
      </c>
      <c r="C4074" s="205">
        <f>EOMONTH($B4074,0)</f>
        <v/>
      </c>
      <c r="D4074" s="201">
        <f>$C4074-$B4074+1</f>
        <v/>
      </c>
      <c r="E4074" s="201">
        <f>MONTH($B4074)</f>
        <v/>
      </c>
      <c r="F4074" s="235">
        <f>($B4074+$C4074+1)/2</f>
        <v/>
      </c>
      <c r="G4074" s="201">
        <f>YEAR($B4074)*12+MONTH($B4074)-1</f>
        <v/>
      </c>
      <c r="H4074" s="207">
        <f>IF(OR(nr_SeasonOn="OFF",re_srow=0,re_ssum=0),1,12*INDEX(se_block,re_srow,$E4074)/re_ssum)</f>
        <v/>
      </c>
      <c r="I4074" s="208">
        <f>EXP(SUMPRODUCT(($A$3806:$A$4045&lt;$B4074)*(rl_key=nr_SelKey)*$E$3806:$E$4045))</f>
        <v/>
      </c>
      <c r="J4074" s="208">
        <f>EXP(SUMPRODUCT(($A$3806:$A$4045&lt;=$C4074)*(rl_key=nr_SelKey)*$E$3806:$E$4045))</f>
        <v/>
      </c>
      <c r="K4074" s="201">
        <f>COUNTIFS(rl_key,nr_SelKey,$A$3806:$A$4045,"&gt;="&amp;$B4074,$A$3806:$A$4045,"&lt;="&amp;$C4074)</f>
        <v/>
      </c>
      <c r="L4074" s="201">
        <f>SUMIFS($F$3806:$F$4045,rl_key,nr_SelKey,$B$3806:$B$4045,$B4074,$I$3806:$I$4045,1)</f>
        <v/>
      </c>
      <c r="M4074" s="209">
        <f>IF($K4074=0,0,MIN(1,$L4074/$D4074))</f>
        <v/>
      </c>
      <c r="N4074" s="208">
        <f>IF($K4074=0,$J4074,(1-$M4074)*$I4074+$M4074*$J4074)</f>
        <v/>
      </c>
      <c r="O4074" s="209">
        <f>IF($F4074&lt;$B$4049,$E$4049+$I$4049*($F4074-$A$4049),IF($F4074&lt;$C$4049,$F$4049+$J$4049*($F4074-$B$4049),$G$4049+$K$4049*($F4074-$C$4049)))</f>
        <v/>
      </c>
      <c r="P4074" s="208">
        <f>MIN(1,MAX(0,(nr_MEndPm1-$G4074+0.5)/nr_TermMonths))-MIN(1,MAX(0,(nr_MStartPm1-1-$G4074+0.5)/nr_TermMonths))</f>
        <v/>
      </c>
      <c r="Q4074" s="208">
        <f>MIN(1,MAX(0,(nr_MEndP-$G4074+0.5)/nr_TermMonths))-MIN(1,MAX(0,(nr_MStartP-1-$G4074+0.5)/nr_TermMonths))</f>
        <v/>
      </c>
      <c r="R4074" s="208">
        <f>MIN(1,MAX(0,(nr_MEndP1-$G4074+0.5)/nr_TermMonths))-MIN(1,MAX(0,(nr_MStartP1-1-$G4074+0.5)/nr_TermMonths))</f>
        <v/>
      </c>
      <c r="S4074" s="208">
        <f>IF(nr_NetMode,$N4074*IF(nr_ModAdjEff="ON",$O4074/nr_MInd,1),"")</f>
        <v/>
      </c>
      <c r="T4074" s="208">
        <f>IF(NOT(nr_NetMode),"",IF($G4074&lt;nr_MStartP,$S4074,$T4062*(1+IF($G4074&lt;nr_MStartP1,(nr_NetSelP+N(INDEX(sc_dnet,1))),(nr_NetSelP1+N(INDEX(sc_dnet,1)))))))</f>
        <v/>
      </c>
      <c r="U4074" s="208">
        <f>IF(nr_NetMode,$T4074,$N4074)</f>
        <v/>
      </c>
    </row>
    <row r="4075">
      <c r="A4075" s="145" t="n">
        <v>25</v>
      </c>
      <c r="B4075" s="204">
        <f>EDATE($B4074,1)</f>
        <v/>
      </c>
      <c r="C4075" s="205">
        <f>EOMONTH($B4075,0)</f>
        <v/>
      </c>
      <c r="D4075" s="201">
        <f>$C4075-$B4075+1</f>
        <v/>
      </c>
      <c r="E4075" s="201">
        <f>MONTH($B4075)</f>
        <v/>
      </c>
      <c r="F4075" s="235">
        <f>($B4075+$C4075+1)/2</f>
        <v/>
      </c>
      <c r="G4075" s="201">
        <f>YEAR($B4075)*12+MONTH($B4075)-1</f>
        <v/>
      </c>
      <c r="H4075" s="207">
        <f>IF(OR(nr_SeasonOn="OFF",re_srow=0,re_ssum=0),1,12*INDEX(se_block,re_srow,$E4075)/re_ssum)</f>
        <v/>
      </c>
      <c r="I4075" s="208">
        <f>EXP(SUMPRODUCT(($A$3806:$A$4045&lt;$B4075)*(rl_key=nr_SelKey)*$E$3806:$E$4045))</f>
        <v/>
      </c>
      <c r="J4075" s="208">
        <f>EXP(SUMPRODUCT(($A$3806:$A$4045&lt;=$C4075)*(rl_key=nr_SelKey)*$E$3806:$E$4045))</f>
        <v/>
      </c>
      <c r="K4075" s="201">
        <f>COUNTIFS(rl_key,nr_SelKey,$A$3806:$A$4045,"&gt;="&amp;$B4075,$A$3806:$A$4045,"&lt;="&amp;$C4075)</f>
        <v/>
      </c>
      <c r="L4075" s="201">
        <f>SUMIFS($F$3806:$F$4045,rl_key,nr_SelKey,$B$3806:$B$4045,$B4075,$I$3806:$I$4045,1)</f>
        <v/>
      </c>
      <c r="M4075" s="209">
        <f>IF($K4075=0,0,MIN(1,$L4075/$D4075))</f>
        <v/>
      </c>
      <c r="N4075" s="208">
        <f>IF($K4075=0,$J4075,(1-$M4075)*$I4075+$M4075*$J4075)</f>
        <v/>
      </c>
      <c r="O4075" s="209">
        <f>IF($F4075&lt;$B$4049,$E$4049+$I$4049*($F4075-$A$4049),IF($F4075&lt;$C$4049,$F$4049+$J$4049*($F4075-$B$4049),$G$4049+$K$4049*($F4075-$C$4049)))</f>
        <v/>
      </c>
      <c r="P4075" s="208">
        <f>MIN(1,MAX(0,(nr_MEndPm1-$G4075+0.5)/nr_TermMonths))-MIN(1,MAX(0,(nr_MStartPm1-1-$G4075+0.5)/nr_TermMonths))</f>
        <v/>
      </c>
      <c r="Q4075" s="208">
        <f>MIN(1,MAX(0,(nr_MEndP-$G4075+0.5)/nr_TermMonths))-MIN(1,MAX(0,(nr_MStartP-1-$G4075+0.5)/nr_TermMonths))</f>
        <v/>
      </c>
      <c r="R4075" s="208">
        <f>MIN(1,MAX(0,(nr_MEndP1-$G4075+0.5)/nr_TermMonths))-MIN(1,MAX(0,(nr_MStartP1-1-$G4075+0.5)/nr_TermMonths))</f>
        <v/>
      </c>
      <c r="S4075" s="208">
        <f>IF(nr_NetMode,$N4075*IF(nr_ModAdjEff="ON",$O4075/nr_MInd,1),"")</f>
        <v/>
      </c>
      <c r="T4075" s="208">
        <f>IF(NOT(nr_NetMode),"",IF($G4075&lt;nr_MStartP,$S4075,$T4063*(1+IF($G4075&lt;nr_MStartP1,(nr_NetSelP+N(INDEX(sc_dnet,1))),(nr_NetSelP1+N(INDEX(sc_dnet,1)))))))</f>
        <v/>
      </c>
      <c r="U4075" s="208">
        <f>IF(nr_NetMode,$T4075,$N4075)</f>
        <v/>
      </c>
    </row>
    <row r="4076">
      <c r="A4076" s="145" t="n">
        <v>26</v>
      </c>
      <c r="B4076" s="204">
        <f>EDATE($B4075,1)</f>
        <v/>
      </c>
      <c r="C4076" s="205">
        <f>EOMONTH($B4076,0)</f>
        <v/>
      </c>
      <c r="D4076" s="201">
        <f>$C4076-$B4076+1</f>
        <v/>
      </c>
      <c r="E4076" s="201">
        <f>MONTH($B4076)</f>
        <v/>
      </c>
      <c r="F4076" s="235">
        <f>($B4076+$C4076+1)/2</f>
        <v/>
      </c>
      <c r="G4076" s="201">
        <f>YEAR($B4076)*12+MONTH($B4076)-1</f>
        <v/>
      </c>
      <c r="H4076" s="207">
        <f>IF(OR(nr_SeasonOn="OFF",re_srow=0,re_ssum=0),1,12*INDEX(se_block,re_srow,$E4076)/re_ssum)</f>
        <v/>
      </c>
      <c r="I4076" s="208">
        <f>EXP(SUMPRODUCT(($A$3806:$A$4045&lt;$B4076)*(rl_key=nr_SelKey)*$E$3806:$E$4045))</f>
        <v/>
      </c>
      <c r="J4076" s="208">
        <f>EXP(SUMPRODUCT(($A$3806:$A$4045&lt;=$C4076)*(rl_key=nr_SelKey)*$E$3806:$E$4045))</f>
        <v/>
      </c>
      <c r="K4076" s="201">
        <f>COUNTIFS(rl_key,nr_SelKey,$A$3806:$A$4045,"&gt;="&amp;$B4076,$A$3806:$A$4045,"&lt;="&amp;$C4076)</f>
        <v/>
      </c>
      <c r="L4076" s="201">
        <f>SUMIFS($F$3806:$F$4045,rl_key,nr_SelKey,$B$3806:$B$4045,$B4076,$I$3806:$I$4045,1)</f>
        <v/>
      </c>
      <c r="M4076" s="209">
        <f>IF($K4076=0,0,MIN(1,$L4076/$D4076))</f>
        <v/>
      </c>
      <c r="N4076" s="208">
        <f>IF($K4076=0,$J4076,(1-$M4076)*$I4076+$M4076*$J4076)</f>
        <v/>
      </c>
      <c r="O4076" s="209">
        <f>IF($F4076&lt;$B$4049,$E$4049+$I$4049*($F4076-$A$4049),IF($F4076&lt;$C$4049,$F$4049+$J$4049*($F4076-$B$4049),$G$4049+$K$4049*($F4076-$C$4049)))</f>
        <v/>
      </c>
      <c r="P4076" s="208">
        <f>MIN(1,MAX(0,(nr_MEndPm1-$G4076+0.5)/nr_TermMonths))-MIN(1,MAX(0,(nr_MStartPm1-1-$G4076+0.5)/nr_TermMonths))</f>
        <v/>
      </c>
      <c r="Q4076" s="208">
        <f>MIN(1,MAX(0,(nr_MEndP-$G4076+0.5)/nr_TermMonths))-MIN(1,MAX(0,(nr_MStartP-1-$G4076+0.5)/nr_TermMonths))</f>
        <v/>
      </c>
      <c r="R4076" s="208">
        <f>MIN(1,MAX(0,(nr_MEndP1-$G4076+0.5)/nr_TermMonths))-MIN(1,MAX(0,(nr_MStartP1-1-$G4076+0.5)/nr_TermMonths))</f>
        <v/>
      </c>
      <c r="S4076" s="208">
        <f>IF(nr_NetMode,$N4076*IF(nr_ModAdjEff="ON",$O4076/nr_MInd,1),"")</f>
        <v/>
      </c>
      <c r="T4076" s="208">
        <f>IF(NOT(nr_NetMode),"",IF($G4076&lt;nr_MStartP,$S4076,$T4064*(1+IF($G4076&lt;nr_MStartP1,(nr_NetSelP+N(INDEX(sc_dnet,1))),(nr_NetSelP1+N(INDEX(sc_dnet,1)))))))</f>
        <v/>
      </c>
      <c r="U4076" s="208">
        <f>IF(nr_NetMode,$T4076,$N4076)</f>
        <v/>
      </c>
    </row>
    <row r="4077">
      <c r="A4077" s="145" t="n">
        <v>27</v>
      </c>
      <c r="B4077" s="204">
        <f>EDATE($B4076,1)</f>
        <v/>
      </c>
      <c r="C4077" s="205">
        <f>EOMONTH($B4077,0)</f>
        <v/>
      </c>
      <c r="D4077" s="201">
        <f>$C4077-$B4077+1</f>
        <v/>
      </c>
      <c r="E4077" s="201">
        <f>MONTH($B4077)</f>
        <v/>
      </c>
      <c r="F4077" s="235">
        <f>($B4077+$C4077+1)/2</f>
        <v/>
      </c>
      <c r="G4077" s="201">
        <f>YEAR($B4077)*12+MONTH($B4077)-1</f>
        <v/>
      </c>
      <c r="H4077" s="207">
        <f>IF(OR(nr_SeasonOn="OFF",re_srow=0,re_ssum=0),1,12*INDEX(se_block,re_srow,$E4077)/re_ssum)</f>
        <v/>
      </c>
      <c r="I4077" s="208">
        <f>EXP(SUMPRODUCT(($A$3806:$A$4045&lt;$B4077)*(rl_key=nr_SelKey)*$E$3806:$E$4045))</f>
        <v/>
      </c>
      <c r="J4077" s="208">
        <f>EXP(SUMPRODUCT(($A$3806:$A$4045&lt;=$C4077)*(rl_key=nr_SelKey)*$E$3806:$E$4045))</f>
        <v/>
      </c>
      <c r="K4077" s="201">
        <f>COUNTIFS(rl_key,nr_SelKey,$A$3806:$A$4045,"&gt;="&amp;$B4077,$A$3806:$A$4045,"&lt;="&amp;$C4077)</f>
        <v/>
      </c>
      <c r="L4077" s="201">
        <f>SUMIFS($F$3806:$F$4045,rl_key,nr_SelKey,$B$3806:$B$4045,$B4077,$I$3806:$I$4045,1)</f>
        <v/>
      </c>
      <c r="M4077" s="209">
        <f>IF($K4077=0,0,MIN(1,$L4077/$D4077))</f>
        <v/>
      </c>
      <c r="N4077" s="208">
        <f>IF($K4077=0,$J4077,(1-$M4077)*$I4077+$M4077*$J4077)</f>
        <v/>
      </c>
      <c r="O4077" s="209">
        <f>IF($F4077&lt;$B$4049,$E$4049+$I$4049*($F4077-$A$4049),IF($F4077&lt;$C$4049,$F$4049+$J$4049*($F4077-$B$4049),$G$4049+$K$4049*($F4077-$C$4049)))</f>
        <v/>
      </c>
      <c r="P4077" s="208">
        <f>MIN(1,MAX(0,(nr_MEndPm1-$G4077+0.5)/nr_TermMonths))-MIN(1,MAX(0,(nr_MStartPm1-1-$G4077+0.5)/nr_TermMonths))</f>
        <v/>
      </c>
      <c r="Q4077" s="208">
        <f>MIN(1,MAX(0,(nr_MEndP-$G4077+0.5)/nr_TermMonths))-MIN(1,MAX(0,(nr_MStartP-1-$G4077+0.5)/nr_TermMonths))</f>
        <v/>
      </c>
      <c r="R4077" s="208">
        <f>MIN(1,MAX(0,(nr_MEndP1-$G4077+0.5)/nr_TermMonths))-MIN(1,MAX(0,(nr_MStartP1-1-$G4077+0.5)/nr_TermMonths))</f>
        <v/>
      </c>
      <c r="S4077" s="208">
        <f>IF(nr_NetMode,$N4077*IF(nr_ModAdjEff="ON",$O4077/nr_MInd,1),"")</f>
        <v/>
      </c>
      <c r="T4077" s="208">
        <f>IF(NOT(nr_NetMode),"",IF($G4077&lt;nr_MStartP,$S4077,$T4065*(1+IF($G4077&lt;nr_MStartP1,(nr_NetSelP+N(INDEX(sc_dnet,1))),(nr_NetSelP1+N(INDEX(sc_dnet,1)))))))</f>
        <v/>
      </c>
      <c r="U4077" s="208">
        <f>IF(nr_NetMode,$T4077,$N4077)</f>
        <v/>
      </c>
    </row>
    <row r="4078">
      <c r="A4078" s="145" t="n">
        <v>28</v>
      </c>
      <c r="B4078" s="204">
        <f>EDATE($B4077,1)</f>
        <v/>
      </c>
      <c r="C4078" s="205">
        <f>EOMONTH($B4078,0)</f>
        <v/>
      </c>
      <c r="D4078" s="201">
        <f>$C4078-$B4078+1</f>
        <v/>
      </c>
      <c r="E4078" s="201">
        <f>MONTH($B4078)</f>
        <v/>
      </c>
      <c r="F4078" s="235">
        <f>($B4078+$C4078+1)/2</f>
        <v/>
      </c>
      <c r="G4078" s="201">
        <f>YEAR($B4078)*12+MONTH($B4078)-1</f>
        <v/>
      </c>
      <c r="H4078" s="207">
        <f>IF(OR(nr_SeasonOn="OFF",re_srow=0,re_ssum=0),1,12*INDEX(se_block,re_srow,$E4078)/re_ssum)</f>
        <v/>
      </c>
      <c r="I4078" s="208">
        <f>EXP(SUMPRODUCT(($A$3806:$A$4045&lt;$B4078)*(rl_key=nr_SelKey)*$E$3806:$E$4045))</f>
        <v/>
      </c>
      <c r="J4078" s="208">
        <f>EXP(SUMPRODUCT(($A$3806:$A$4045&lt;=$C4078)*(rl_key=nr_SelKey)*$E$3806:$E$4045))</f>
        <v/>
      </c>
      <c r="K4078" s="201">
        <f>COUNTIFS(rl_key,nr_SelKey,$A$3806:$A$4045,"&gt;="&amp;$B4078,$A$3806:$A$4045,"&lt;="&amp;$C4078)</f>
        <v/>
      </c>
      <c r="L4078" s="201">
        <f>SUMIFS($F$3806:$F$4045,rl_key,nr_SelKey,$B$3806:$B$4045,$B4078,$I$3806:$I$4045,1)</f>
        <v/>
      </c>
      <c r="M4078" s="209">
        <f>IF($K4078=0,0,MIN(1,$L4078/$D4078))</f>
        <v/>
      </c>
      <c r="N4078" s="208">
        <f>IF($K4078=0,$J4078,(1-$M4078)*$I4078+$M4078*$J4078)</f>
        <v/>
      </c>
      <c r="O4078" s="209">
        <f>IF($F4078&lt;$B$4049,$E$4049+$I$4049*($F4078-$A$4049),IF($F4078&lt;$C$4049,$F$4049+$J$4049*($F4078-$B$4049),$G$4049+$K$4049*($F4078-$C$4049)))</f>
        <v/>
      </c>
      <c r="P4078" s="208">
        <f>MIN(1,MAX(0,(nr_MEndPm1-$G4078+0.5)/nr_TermMonths))-MIN(1,MAX(0,(nr_MStartPm1-1-$G4078+0.5)/nr_TermMonths))</f>
        <v/>
      </c>
      <c r="Q4078" s="208">
        <f>MIN(1,MAX(0,(nr_MEndP-$G4078+0.5)/nr_TermMonths))-MIN(1,MAX(0,(nr_MStartP-1-$G4078+0.5)/nr_TermMonths))</f>
        <v/>
      </c>
      <c r="R4078" s="208">
        <f>MIN(1,MAX(0,(nr_MEndP1-$G4078+0.5)/nr_TermMonths))-MIN(1,MAX(0,(nr_MStartP1-1-$G4078+0.5)/nr_TermMonths))</f>
        <v/>
      </c>
      <c r="S4078" s="208">
        <f>IF(nr_NetMode,$N4078*IF(nr_ModAdjEff="ON",$O4078/nr_MInd,1),"")</f>
        <v/>
      </c>
      <c r="T4078" s="208">
        <f>IF(NOT(nr_NetMode),"",IF($G4078&lt;nr_MStartP,$S4078,$T4066*(1+IF($G4078&lt;nr_MStartP1,(nr_NetSelP+N(INDEX(sc_dnet,1))),(nr_NetSelP1+N(INDEX(sc_dnet,1)))))))</f>
        <v/>
      </c>
      <c r="U4078" s="208">
        <f>IF(nr_NetMode,$T4078,$N4078)</f>
        <v/>
      </c>
    </row>
    <row r="4079">
      <c r="A4079" s="145" t="n">
        <v>29</v>
      </c>
      <c r="B4079" s="204">
        <f>EDATE($B4078,1)</f>
        <v/>
      </c>
      <c r="C4079" s="205">
        <f>EOMONTH($B4079,0)</f>
        <v/>
      </c>
      <c r="D4079" s="201">
        <f>$C4079-$B4079+1</f>
        <v/>
      </c>
      <c r="E4079" s="201">
        <f>MONTH($B4079)</f>
        <v/>
      </c>
      <c r="F4079" s="235">
        <f>($B4079+$C4079+1)/2</f>
        <v/>
      </c>
      <c r="G4079" s="201">
        <f>YEAR($B4079)*12+MONTH($B4079)-1</f>
        <v/>
      </c>
      <c r="H4079" s="207">
        <f>IF(OR(nr_SeasonOn="OFF",re_srow=0,re_ssum=0),1,12*INDEX(se_block,re_srow,$E4079)/re_ssum)</f>
        <v/>
      </c>
      <c r="I4079" s="208">
        <f>EXP(SUMPRODUCT(($A$3806:$A$4045&lt;$B4079)*(rl_key=nr_SelKey)*$E$3806:$E$4045))</f>
        <v/>
      </c>
      <c r="J4079" s="208">
        <f>EXP(SUMPRODUCT(($A$3806:$A$4045&lt;=$C4079)*(rl_key=nr_SelKey)*$E$3806:$E$4045))</f>
        <v/>
      </c>
      <c r="K4079" s="201">
        <f>COUNTIFS(rl_key,nr_SelKey,$A$3806:$A$4045,"&gt;="&amp;$B4079,$A$3806:$A$4045,"&lt;="&amp;$C4079)</f>
        <v/>
      </c>
      <c r="L4079" s="201">
        <f>SUMIFS($F$3806:$F$4045,rl_key,nr_SelKey,$B$3806:$B$4045,$B4079,$I$3806:$I$4045,1)</f>
        <v/>
      </c>
      <c r="M4079" s="209">
        <f>IF($K4079=0,0,MIN(1,$L4079/$D4079))</f>
        <v/>
      </c>
      <c r="N4079" s="208">
        <f>IF($K4079=0,$J4079,(1-$M4079)*$I4079+$M4079*$J4079)</f>
        <v/>
      </c>
      <c r="O4079" s="209">
        <f>IF($F4079&lt;$B$4049,$E$4049+$I$4049*($F4079-$A$4049),IF($F4079&lt;$C$4049,$F$4049+$J$4049*($F4079-$B$4049),$G$4049+$K$4049*($F4079-$C$4049)))</f>
        <v/>
      </c>
      <c r="P4079" s="208">
        <f>MIN(1,MAX(0,(nr_MEndPm1-$G4079+0.5)/nr_TermMonths))-MIN(1,MAX(0,(nr_MStartPm1-1-$G4079+0.5)/nr_TermMonths))</f>
        <v/>
      </c>
      <c r="Q4079" s="208">
        <f>MIN(1,MAX(0,(nr_MEndP-$G4079+0.5)/nr_TermMonths))-MIN(1,MAX(0,(nr_MStartP-1-$G4079+0.5)/nr_TermMonths))</f>
        <v/>
      </c>
      <c r="R4079" s="208">
        <f>MIN(1,MAX(0,(nr_MEndP1-$G4079+0.5)/nr_TermMonths))-MIN(1,MAX(0,(nr_MStartP1-1-$G4079+0.5)/nr_TermMonths))</f>
        <v/>
      </c>
      <c r="S4079" s="208">
        <f>IF(nr_NetMode,$N4079*IF(nr_ModAdjEff="ON",$O4079/nr_MInd,1),"")</f>
        <v/>
      </c>
      <c r="T4079" s="208">
        <f>IF(NOT(nr_NetMode),"",IF($G4079&lt;nr_MStartP,$S4079,$T4067*(1+IF($G4079&lt;nr_MStartP1,(nr_NetSelP+N(INDEX(sc_dnet,1))),(nr_NetSelP1+N(INDEX(sc_dnet,1)))))))</f>
        <v/>
      </c>
      <c r="U4079" s="208">
        <f>IF(nr_NetMode,$T4079,$N4079)</f>
        <v/>
      </c>
    </row>
    <row r="4080">
      <c r="A4080" s="145" t="n">
        <v>30</v>
      </c>
      <c r="B4080" s="204">
        <f>EDATE($B4079,1)</f>
        <v/>
      </c>
      <c r="C4080" s="205">
        <f>EOMONTH($B4080,0)</f>
        <v/>
      </c>
      <c r="D4080" s="201">
        <f>$C4080-$B4080+1</f>
        <v/>
      </c>
      <c r="E4080" s="201">
        <f>MONTH($B4080)</f>
        <v/>
      </c>
      <c r="F4080" s="235">
        <f>($B4080+$C4080+1)/2</f>
        <v/>
      </c>
      <c r="G4080" s="201">
        <f>YEAR($B4080)*12+MONTH($B4080)-1</f>
        <v/>
      </c>
      <c r="H4080" s="207">
        <f>IF(OR(nr_SeasonOn="OFF",re_srow=0,re_ssum=0),1,12*INDEX(se_block,re_srow,$E4080)/re_ssum)</f>
        <v/>
      </c>
      <c r="I4080" s="208">
        <f>EXP(SUMPRODUCT(($A$3806:$A$4045&lt;$B4080)*(rl_key=nr_SelKey)*$E$3806:$E$4045))</f>
        <v/>
      </c>
      <c r="J4080" s="208">
        <f>EXP(SUMPRODUCT(($A$3806:$A$4045&lt;=$C4080)*(rl_key=nr_SelKey)*$E$3806:$E$4045))</f>
        <v/>
      </c>
      <c r="K4080" s="201">
        <f>COUNTIFS(rl_key,nr_SelKey,$A$3806:$A$4045,"&gt;="&amp;$B4080,$A$3806:$A$4045,"&lt;="&amp;$C4080)</f>
        <v/>
      </c>
      <c r="L4080" s="201">
        <f>SUMIFS($F$3806:$F$4045,rl_key,nr_SelKey,$B$3806:$B$4045,$B4080,$I$3806:$I$4045,1)</f>
        <v/>
      </c>
      <c r="M4080" s="209">
        <f>IF($K4080=0,0,MIN(1,$L4080/$D4080))</f>
        <v/>
      </c>
      <c r="N4080" s="208">
        <f>IF($K4080=0,$J4080,(1-$M4080)*$I4080+$M4080*$J4080)</f>
        <v/>
      </c>
      <c r="O4080" s="209">
        <f>IF($F4080&lt;$B$4049,$E$4049+$I$4049*($F4080-$A$4049),IF($F4080&lt;$C$4049,$F$4049+$J$4049*($F4080-$B$4049),$G$4049+$K$4049*($F4080-$C$4049)))</f>
        <v/>
      </c>
      <c r="P4080" s="208">
        <f>MIN(1,MAX(0,(nr_MEndPm1-$G4080+0.5)/nr_TermMonths))-MIN(1,MAX(0,(nr_MStartPm1-1-$G4080+0.5)/nr_TermMonths))</f>
        <v/>
      </c>
      <c r="Q4080" s="208">
        <f>MIN(1,MAX(0,(nr_MEndP-$G4080+0.5)/nr_TermMonths))-MIN(1,MAX(0,(nr_MStartP-1-$G4080+0.5)/nr_TermMonths))</f>
        <v/>
      </c>
      <c r="R4080" s="208">
        <f>MIN(1,MAX(0,(nr_MEndP1-$G4080+0.5)/nr_TermMonths))-MIN(1,MAX(0,(nr_MStartP1-1-$G4080+0.5)/nr_TermMonths))</f>
        <v/>
      </c>
      <c r="S4080" s="208">
        <f>IF(nr_NetMode,$N4080*IF(nr_ModAdjEff="ON",$O4080/nr_MInd,1),"")</f>
        <v/>
      </c>
      <c r="T4080" s="208">
        <f>IF(NOT(nr_NetMode),"",IF($G4080&lt;nr_MStartP,$S4080,$T4068*(1+IF($G4080&lt;nr_MStartP1,(nr_NetSelP+N(INDEX(sc_dnet,1))),(nr_NetSelP1+N(INDEX(sc_dnet,1)))))))</f>
        <v/>
      </c>
      <c r="U4080" s="208">
        <f>IF(nr_NetMode,$T4080,$N4080)</f>
        <v/>
      </c>
    </row>
    <row r="4081">
      <c r="A4081" s="145" t="n">
        <v>31</v>
      </c>
      <c r="B4081" s="204">
        <f>EDATE($B4080,1)</f>
        <v/>
      </c>
      <c r="C4081" s="205">
        <f>EOMONTH($B4081,0)</f>
        <v/>
      </c>
      <c r="D4081" s="201">
        <f>$C4081-$B4081+1</f>
        <v/>
      </c>
      <c r="E4081" s="201">
        <f>MONTH($B4081)</f>
        <v/>
      </c>
      <c r="F4081" s="235">
        <f>($B4081+$C4081+1)/2</f>
        <v/>
      </c>
      <c r="G4081" s="201">
        <f>YEAR($B4081)*12+MONTH($B4081)-1</f>
        <v/>
      </c>
      <c r="H4081" s="207">
        <f>IF(OR(nr_SeasonOn="OFF",re_srow=0,re_ssum=0),1,12*INDEX(se_block,re_srow,$E4081)/re_ssum)</f>
        <v/>
      </c>
      <c r="I4081" s="208">
        <f>EXP(SUMPRODUCT(($A$3806:$A$4045&lt;$B4081)*(rl_key=nr_SelKey)*$E$3806:$E$4045))</f>
        <v/>
      </c>
      <c r="J4081" s="208">
        <f>EXP(SUMPRODUCT(($A$3806:$A$4045&lt;=$C4081)*(rl_key=nr_SelKey)*$E$3806:$E$4045))</f>
        <v/>
      </c>
      <c r="K4081" s="201">
        <f>COUNTIFS(rl_key,nr_SelKey,$A$3806:$A$4045,"&gt;="&amp;$B4081,$A$3806:$A$4045,"&lt;="&amp;$C4081)</f>
        <v/>
      </c>
      <c r="L4081" s="201">
        <f>SUMIFS($F$3806:$F$4045,rl_key,nr_SelKey,$B$3806:$B$4045,$B4081,$I$3806:$I$4045,1)</f>
        <v/>
      </c>
      <c r="M4081" s="209">
        <f>IF($K4081=0,0,MIN(1,$L4081/$D4081))</f>
        <v/>
      </c>
      <c r="N4081" s="208">
        <f>IF($K4081=0,$J4081,(1-$M4081)*$I4081+$M4081*$J4081)</f>
        <v/>
      </c>
      <c r="O4081" s="209">
        <f>IF($F4081&lt;$B$4049,$E$4049+$I$4049*($F4081-$A$4049),IF($F4081&lt;$C$4049,$F$4049+$J$4049*($F4081-$B$4049),$G$4049+$K$4049*($F4081-$C$4049)))</f>
        <v/>
      </c>
      <c r="P4081" s="208">
        <f>MIN(1,MAX(0,(nr_MEndPm1-$G4081+0.5)/nr_TermMonths))-MIN(1,MAX(0,(nr_MStartPm1-1-$G4081+0.5)/nr_TermMonths))</f>
        <v/>
      </c>
      <c r="Q4081" s="208">
        <f>MIN(1,MAX(0,(nr_MEndP-$G4081+0.5)/nr_TermMonths))-MIN(1,MAX(0,(nr_MStartP-1-$G4081+0.5)/nr_TermMonths))</f>
        <v/>
      </c>
      <c r="R4081" s="208">
        <f>MIN(1,MAX(0,(nr_MEndP1-$G4081+0.5)/nr_TermMonths))-MIN(1,MAX(0,(nr_MStartP1-1-$G4081+0.5)/nr_TermMonths))</f>
        <v/>
      </c>
      <c r="S4081" s="208">
        <f>IF(nr_NetMode,$N4081*IF(nr_ModAdjEff="ON",$O4081/nr_MInd,1),"")</f>
        <v/>
      </c>
      <c r="T4081" s="208">
        <f>IF(NOT(nr_NetMode),"",IF($G4081&lt;nr_MStartP,$S4081,$T4069*(1+IF($G4081&lt;nr_MStartP1,(nr_NetSelP+N(INDEX(sc_dnet,1))),(nr_NetSelP1+N(INDEX(sc_dnet,1)))))))</f>
        <v/>
      </c>
      <c r="U4081" s="208">
        <f>IF(nr_NetMode,$T4081,$N4081)</f>
        <v/>
      </c>
    </row>
    <row r="4082">
      <c r="A4082" s="145" t="n">
        <v>32</v>
      </c>
      <c r="B4082" s="204">
        <f>EDATE($B4081,1)</f>
        <v/>
      </c>
      <c r="C4082" s="205">
        <f>EOMONTH($B4082,0)</f>
        <v/>
      </c>
      <c r="D4082" s="201">
        <f>$C4082-$B4082+1</f>
        <v/>
      </c>
      <c r="E4082" s="201">
        <f>MONTH($B4082)</f>
        <v/>
      </c>
      <c r="F4082" s="235">
        <f>($B4082+$C4082+1)/2</f>
        <v/>
      </c>
      <c r="G4082" s="201">
        <f>YEAR($B4082)*12+MONTH($B4082)-1</f>
        <v/>
      </c>
      <c r="H4082" s="207">
        <f>IF(OR(nr_SeasonOn="OFF",re_srow=0,re_ssum=0),1,12*INDEX(se_block,re_srow,$E4082)/re_ssum)</f>
        <v/>
      </c>
      <c r="I4082" s="208">
        <f>EXP(SUMPRODUCT(($A$3806:$A$4045&lt;$B4082)*(rl_key=nr_SelKey)*$E$3806:$E$4045))</f>
        <v/>
      </c>
      <c r="J4082" s="208">
        <f>EXP(SUMPRODUCT(($A$3806:$A$4045&lt;=$C4082)*(rl_key=nr_SelKey)*$E$3806:$E$4045))</f>
        <v/>
      </c>
      <c r="K4082" s="201">
        <f>COUNTIFS(rl_key,nr_SelKey,$A$3806:$A$4045,"&gt;="&amp;$B4082,$A$3806:$A$4045,"&lt;="&amp;$C4082)</f>
        <v/>
      </c>
      <c r="L4082" s="201">
        <f>SUMIFS($F$3806:$F$4045,rl_key,nr_SelKey,$B$3806:$B$4045,$B4082,$I$3806:$I$4045,1)</f>
        <v/>
      </c>
      <c r="M4082" s="209">
        <f>IF($K4082=0,0,MIN(1,$L4082/$D4082))</f>
        <v/>
      </c>
      <c r="N4082" s="208">
        <f>IF($K4082=0,$J4082,(1-$M4082)*$I4082+$M4082*$J4082)</f>
        <v/>
      </c>
      <c r="O4082" s="209">
        <f>IF($F4082&lt;$B$4049,$E$4049+$I$4049*($F4082-$A$4049),IF($F4082&lt;$C$4049,$F$4049+$J$4049*($F4082-$B$4049),$G$4049+$K$4049*($F4082-$C$4049)))</f>
        <v/>
      </c>
      <c r="P4082" s="208">
        <f>MIN(1,MAX(0,(nr_MEndPm1-$G4082+0.5)/nr_TermMonths))-MIN(1,MAX(0,(nr_MStartPm1-1-$G4082+0.5)/nr_TermMonths))</f>
        <v/>
      </c>
      <c r="Q4082" s="208">
        <f>MIN(1,MAX(0,(nr_MEndP-$G4082+0.5)/nr_TermMonths))-MIN(1,MAX(0,(nr_MStartP-1-$G4082+0.5)/nr_TermMonths))</f>
        <v/>
      </c>
      <c r="R4082" s="208">
        <f>MIN(1,MAX(0,(nr_MEndP1-$G4082+0.5)/nr_TermMonths))-MIN(1,MAX(0,(nr_MStartP1-1-$G4082+0.5)/nr_TermMonths))</f>
        <v/>
      </c>
      <c r="S4082" s="208">
        <f>IF(nr_NetMode,$N4082*IF(nr_ModAdjEff="ON",$O4082/nr_MInd,1),"")</f>
        <v/>
      </c>
      <c r="T4082" s="208">
        <f>IF(NOT(nr_NetMode),"",IF($G4082&lt;nr_MStartP,$S4082,$T4070*(1+IF($G4082&lt;nr_MStartP1,(nr_NetSelP+N(INDEX(sc_dnet,1))),(nr_NetSelP1+N(INDEX(sc_dnet,1)))))))</f>
        <v/>
      </c>
      <c r="U4082" s="208">
        <f>IF(nr_NetMode,$T4082,$N4082)</f>
        <v/>
      </c>
    </row>
    <row r="4083">
      <c r="A4083" s="145" t="n">
        <v>33</v>
      </c>
      <c r="B4083" s="204">
        <f>EDATE($B4082,1)</f>
        <v/>
      </c>
      <c r="C4083" s="205">
        <f>EOMONTH($B4083,0)</f>
        <v/>
      </c>
      <c r="D4083" s="201">
        <f>$C4083-$B4083+1</f>
        <v/>
      </c>
      <c r="E4083" s="201">
        <f>MONTH($B4083)</f>
        <v/>
      </c>
      <c r="F4083" s="235">
        <f>($B4083+$C4083+1)/2</f>
        <v/>
      </c>
      <c r="G4083" s="201">
        <f>YEAR($B4083)*12+MONTH($B4083)-1</f>
        <v/>
      </c>
      <c r="H4083" s="207">
        <f>IF(OR(nr_SeasonOn="OFF",re_srow=0,re_ssum=0),1,12*INDEX(se_block,re_srow,$E4083)/re_ssum)</f>
        <v/>
      </c>
      <c r="I4083" s="208">
        <f>EXP(SUMPRODUCT(($A$3806:$A$4045&lt;$B4083)*(rl_key=nr_SelKey)*$E$3806:$E$4045))</f>
        <v/>
      </c>
      <c r="J4083" s="208">
        <f>EXP(SUMPRODUCT(($A$3806:$A$4045&lt;=$C4083)*(rl_key=nr_SelKey)*$E$3806:$E$4045))</f>
        <v/>
      </c>
      <c r="K4083" s="201">
        <f>COUNTIFS(rl_key,nr_SelKey,$A$3806:$A$4045,"&gt;="&amp;$B4083,$A$3806:$A$4045,"&lt;="&amp;$C4083)</f>
        <v/>
      </c>
      <c r="L4083" s="201">
        <f>SUMIFS($F$3806:$F$4045,rl_key,nr_SelKey,$B$3806:$B$4045,$B4083,$I$3806:$I$4045,1)</f>
        <v/>
      </c>
      <c r="M4083" s="209">
        <f>IF($K4083=0,0,MIN(1,$L4083/$D4083))</f>
        <v/>
      </c>
      <c r="N4083" s="208">
        <f>IF($K4083=0,$J4083,(1-$M4083)*$I4083+$M4083*$J4083)</f>
        <v/>
      </c>
      <c r="O4083" s="209">
        <f>IF($F4083&lt;$B$4049,$E$4049+$I$4049*($F4083-$A$4049),IF($F4083&lt;$C$4049,$F$4049+$J$4049*($F4083-$B$4049),$G$4049+$K$4049*($F4083-$C$4049)))</f>
        <v/>
      </c>
      <c r="P4083" s="208">
        <f>MIN(1,MAX(0,(nr_MEndPm1-$G4083+0.5)/nr_TermMonths))-MIN(1,MAX(0,(nr_MStartPm1-1-$G4083+0.5)/nr_TermMonths))</f>
        <v/>
      </c>
      <c r="Q4083" s="208">
        <f>MIN(1,MAX(0,(nr_MEndP-$G4083+0.5)/nr_TermMonths))-MIN(1,MAX(0,(nr_MStartP-1-$G4083+0.5)/nr_TermMonths))</f>
        <v/>
      </c>
      <c r="R4083" s="208">
        <f>MIN(1,MAX(0,(nr_MEndP1-$G4083+0.5)/nr_TermMonths))-MIN(1,MAX(0,(nr_MStartP1-1-$G4083+0.5)/nr_TermMonths))</f>
        <v/>
      </c>
      <c r="S4083" s="208">
        <f>IF(nr_NetMode,$N4083*IF(nr_ModAdjEff="ON",$O4083/nr_MInd,1),"")</f>
        <v/>
      </c>
      <c r="T4083" s="208">
        <f>IF(NOT(nr_NetMode),"",IF($G4083&lt;nr_MStartP,$S4083,$T4071*(1+IF($G4083&lt;nr_MStartP1,(nr_NetSelP+N(INDEX(sc_dnet,1))),(nr_NetSelP1+N(INDEX(sc_dnet,1)))))))</f>
        <v/>
      </c>
      <c r="U4083" s="208">
        <f>IF(nr_NetMode,$T4083,$N4083)</f>
        <v/>
      </c>
    </row>
    <row r="4084">
      <c r="A4084" s="145" t="n">
        <v>34</v>
      </c>
      <c r="B4084" s="204">
        <f>EDATE($B4083,1)</f>
        <v/>
      </c>
      <c r="C4084" s="205">
        <f>EOMONTH($B4084,0)</f>
        <v/>
      </c>
      <c r="D4084" s="201">
        <f>$C4084-$B4084+1</f>
        <v/>
      </c>
      <c r="E4084" s="201">
        <f>MONTH($B4084)</f>
        <v/>
      </c>
      <c r="F4084" s="235">
        <f>($B4084+$C4084+1)/2</f>
        <v/>
      </c>
      <c r="G4084" s="201">
        <f>YEAR($B4084)*12+MONTH($B4084)-1</f>
        <v/>
      </c>
      <c r="H4084" s="207">
        <f>IF(OR(nr_SeasonOn="OFF",re_srow=0,re_ssum=0),1,12*INDEX(se_block,re_srow,$E4084)/re_ssum)</f>
        <v/>
      </c>
      <c r="I4084" s="208">
        <f>EXP(SUMPRODUCT(($A$3806:$A$4045&lt;$B4084)*(rl_key=nr_SelKey)*$E$3806:$E$4045))</f>
        <v/>
      </c>
      <c r="J4084" s="208">
        <f>EXP(SUMPRODUCT(($A$3806:$A$4045&lt;=$C4084)*(rl_key=nr_SelKey)*$E$3806:$E$4045))</f>
        <v/>
      </c>
      <c r="K4084" s="201">
        <f>COUNTIFS(rl_key,nr_SelKey,$A$3806:$A$4045,"&gt;="&amp;$B4084,$A$3806:$A$4045,"&lt;="&amp;$C4084)</f>
        <v/>
      </c>
      <c r="L4084" s="201">
        <f>SUMIFS($F$3806:$F$4045,rl_key,nr_SelKey,$B$3806:$B$4045,$B4084,$I$3806:$I$4045,1)</f>
        <v/>
      </c>
      <c r="M4084" s="209">
        <f>IF($K4084=0,0,MIN(1,$L4084/$D4084))</f>
        <v/>
      </c>
      <c r="N4084" s="208">
        <f>IF($K4084=0,$J4084,(1-$M4084)*$I4084+$M4084*$J4084)</f>
        <v/>
      </c>
      <c r="O4084" s="209">
        <f>IF($F4084&lt;$B$4049,$E$4049+$I$4049*($F4084-$A$4049),IF($F4084&lt;$C$4049,$F$4049+$J$4049*($F4084-$B$4049),$G$4049+$K$4049*($F4084-$C$4049)))</f>
        <v/>
      </c>
      <c r="P4084" s="208">
        <f>MIN(1,MAX(0,(nr_MEndPm1-$G4084+0.5)/nr_TermMonths))-MIN(1,MAX(0,(nr_MStartPm1-1-$G4084+0.5)/nr_TermMonths))</f>
        <v/>
      </c>
      <c r="Q4084" s="208">
        <f>MIN(1,MAX(0,(nr_MEndP-$G4084+0.5)/nr_TermMonths))-MIN(1,MAX(0,(nr_MStartP-1-$G4084+0.5)/nr_TermMonths))</f>
        <v/>
      </c>
      <c r="R4084" s="208">
        <f>MIN(1,MAX(0,(nr_MEndP1-$G4084+0.5)/nr_TermMonths))-MIN(1,MAX(0,(nr_MStartP1-1-$G4084+0.5)/nr_TermMonths))</f>
        <v/>
      </c>
      <c r="S4084" s="208">
        <f>IF(nr_NetMode,$N4084*IF(nr_ModAdjEff="ON",$O4084/nr_MInd,1),"")</f>
        <v/>
      </c>
      <c r="T4084" s="208">
        <f>IF(NOT(nr_NetMode),"",IF($G4084&lt;nr_MStartP,$S4084,$T4072*(1+IF($G4084&lt;nr_MStartP1,(nr_NetSelP+N(INDEX(sc_dnet,1))),(nr_NetSelP1+N(INDEX(sc_dnet,1)))))))</f>
        <v/>
      </c>
      <c r="U4084" s="208">
        <f>IF(nr_NetMode,$T4084,$N4084)</f>
        <v/>
      </c>
    </row>
    <row r="4085">
      <c r="A4085" s="145" t="n">
        <v>35</v>
      </c>
      <c r="B4085" s="204">
        <f>EDATE($B4084,1)</f>
        <v/>
      </c>
      <c r="C4085" s="205">
        <f>EOMONTH($B4085,0)</f>
        <v/>
      </c>
      <c r="D4085" s="201">
        <f>$C4085-$B4085+1</f>
        <v/>
      </c>
      <c r="E4085" s="201">
        <f>MONTH($B4085)</f>
        <v/>
      </c>
      <c r="F4085" s="235">
        <f>($B4085+$C4085+1)/2</f>
        <v/>
      </c>
      <c r="G4085" s="201">
        <f>YEAR($B4085)*12+MONTH($B4085)-1</f>
        <v/>
      </c>
      <c r="H4085" s="207">
        <f>IF(OR(nr_SeasonOn="OFF",re_srow=0,re_ssum=0),1,12*INDEX(se_block,re_srow,$E4085)/re_ssum)</f>
        <v/>
      </c>
      <c r="I4085" s="208">
        <f>EXP(SUMPRODUCT(($A$3806:$A$4045&lt;$B4085)*(rl_key=nr_SelKey)*$E$3806:$E$4045))</f>
        <v/>
      </c>
      <c r="J4085" s="208">
        <f>EXP(SUMPRODUCT(($A$3806:$A$4045&lt;=$C4085)*(rl_key=nr_SelKey)*$E$3806:$E$4045))</f>
        <v/>
      </c>
      <c r="K4085" s="201">
        <f>COUNTIFS(rl_key,nr_SelKey,$A$3806:$A$4045,"&gt;="&amp;$B4085,$A$3806:$A$4045,"&lt;="&amp;$C4085)</f>
        <v/>
      </c>
      <c r="L4085" s="201">
        <f>SUMIFS($F$3806:$F$4045,rl_key,nr_SelKey,$B$3806:$B$4045,$B4085,$I$3806:$I$4045,1)</f>
        <v/>
      </c>
      <c r="M4085" s="209">
        <f>IF($K4085=0,0,MIN(1,$L4085/$D4085))</f>
        <v/>
      </c>
      <c r="N4085" s="208">
        <f>IF($K4085=0,$J4085,(1-$M4085)*$I4085+$M4085*$J4085)</f>
        <v/>
      </c>
      <c r="O4085" s="209">
        <f>IF($F4085&lt;$B$4049,$E$4049+$I$4049*($F4085-$A$4049),IF($F4085&lt;$C$4049,$F$4049+$J$4049*($F4085-$B$4049),$G$4049+$K$4049*($F4085-$C$4049)))</f>
        <v/>
      </c>
      <c r="P4085" s="208">
        <f>MIN(1,MAX(0,(nr_MEndPm1-$G4085+0.5)/nr_TermMonths))-MIN(1,MAX(0,(nr_MStartPm1-1-$G4085+0.5)/nr_TermMonths))</f>
        <v/>
      </c>
      <c r="Q4085" s="208">
        <f>MIN(1,MAX(0,(nr_MEndP-$G4085+0.5)/nr_TermMonths))-MIN(1,MAX(0,(nr_MStartP-1-$G4085+0.5)/nr_TermMonths))</f>
        <v/>
      </c>
      <c r="R4085" s="208">
        <f>MIN(1,MAX(0,(nr_MEndP1-$G4085+0.5)/nr_TermMonths))-MIN(1,MAX(0,(nr_MStartP1-1-$G4085+0.5)/nr_TermMonths))</f>
        <v/>
      </c>
      <c r="S4085" s="208">
        <f>IF(nr_NetMode,$N4085*IF(nr_ModAdjEff="ON",$O4085/nr_MInd,1),"")</f>
        <v/>
      </c>
      <c r="T4085" s="208">
        <f>IF(NOT(nr_NetMode),"",IF($G4085&lt;nr_MStartP,$S4085,$T4073*(1+IF($G4085&lt;nr_MStartP1,(nr_NetSelP+N(INDEX(sc_dnet,1))),(nr_NetSelP1+N(INDEX(sc_dnet,1)))))))</f>
        <v/>
      </c>
      <c r="U4085" s="208">
        <f>IF(nr_NetMode,$T4085,$N4085)</f>
        <v/>
      </c>
    </row>
    <row r="4086">
      <c r="A4086" s="145" t="n">
        <v>36</v>
      </c>
      <c r="B4086" s="204">
        <f>EDATE($B4085,1)</f>
        <v/>
      </c>
      <c r="C4086" s="205">
        <f>EOMONTH($B4086,0)</f>
        <v/>
      </c>
      <c r="D4086" s="201">
        <f>$C4086-$B4086+1</f>
        <v/>
      </c>
      <c r="E4086" s="201">
        <f>MONTH($B4086)</f>
        <v/>
      </c>
      <c r="F4086" s="235">
        <f>($B4086+$C4086+1)/2</f>
        <v/>
      </c>
      <c r="G4086" s="201">
        <f>YEAR($B4086)*12+MONTH($B4086)-1</f>
        <v/>
      </c>
      <c r="H4086" s="207">
        <f>IF(OR(nr_SeasonOn="OFF",re_srow=0,re_ssum=0),1,12*INDEX(se_block,re_srow,$E4086)/re_ssum)</f>
        <v/>
      </c>
      <c r="I4086" s="208">
        <f>EXP(SUMPRODUCT(($A$3806:$A$4045&lt;$B4086)*(rl_key=nr_SelKey)*$E$3806:$E$4045))</f>
        <v/>
      </c>
      <c r="J4086" s="208">
        <f>EXP(SUMPRODUCT(($A$3806:$A$4045&lt;=$C4086)*(rl_key=nr_SelKey)*$E$3806:$E$4045))</f>
        <v/>
      </c>
      <c r="K4086" s="201">
        <f>COUNTIFS(rl_key,nr_SelKey,$A$3806:$A$4045,"&gt;="&amp;$B4086,$A$3806:$A$4045,"&lt;="&amp;$C4086)</f>
        <v/>
      </c>
      <c r="L4086" s="201">
        <f>SUMIFS($F$3806:$F$4045,rl_key,nr_SelKey,$B$3806:$B$4045,$B4086,$I$3806:$I$4045,1)</f>
        <v/>
      </c>
      <c r="M4086" s="209">
        <f>IF($K4086=0,0,MIN(1,$L4086/$D4086))</f>
        <v/>
      </c>
      <c r="N4086" s="208">
        <f>IF($K4086=0,$J4086,(1-$M4086)*$I4086+$M4086*$J4086)</f>
        <v/>
      </c>
      <c r="O4086" s="209">
        <f>IF($F4086&lt;$B$4049,$E$4049+$I$4049*($F4086-$A$4049),IF($F4086&lt;$C$4049,$F$4049+$J$4049*($F4086-$B$4049),$G$4049+$K$4049*($F4086-$C$4049)))</f>
        <v/>
      </c>
      <c r="P4086" s="208">
        <f>MIN(1,MAX(0,(nr_MEndPm1-$G4086+0.5)/nr_TermMonths))-MIN(1,MAX(0,(nr_MStartPm1-1-$G4086+0.5)/nr_TermMonths))</f>
        <v/>
      </c>
      <c r="Q4086" s="208">
        <f>MIN(1,MAX(0,(nr_MEndP-$G4086+0.5)/nr_TermMonths))-MIN(1,MAX(0,(nr_MStartP-1-$G4086+0.5)/nr_TermMonths))</f>
        <v/>
      </c>
      <c r="R4086" s="208">
        <f>MIN(1,MAX(0,(nr_MEndP1-$G4086+0.5)/nr_TermMonths))-MIN(1,MAX(0,(nr_MStartP1-1-$G4086+0.5)/nr_TermMonths))</f>
        <v/>
      </c>
      <c r="S4086" s="208">
        <f>IF(nr_NetMode,$N4086*IF(nr_ModAdjEff="ON",$O4086/nr_MInd,1),"")</f>
        <v/>
      </c>
      <c r="T4086" s="208">
        <f>IF(NOT(nr_NetMode),"",IF($G4086&lt;nr_MStartP,$S4086,$T4074*(1+IF($G4086&lt;nr_MStartP1,(nr_NetSelP+N(INDEX(sc_dnet,1))),(nr_NetSelP1+N(INDEX(sc_dnet,1)))))))</f>
        <v/>
      </c>
      <c r="U4086" s="208">
        <f>IF(nr_NetMode,$T4086,$N4086)</f>
        <v/>
      </c>
    </row>
    <row r="4087">
      <c r="A4087" s="145" t="n">
        <v>37</v>
      </c>
      <c r="B4087" s="204">
        <f>EDATE($B4086,1)</f>
        <v/>
      </c>
      <c r="C4087" s="205">
        <f>EOMONTH($B4087,0)</f>
        <v/>
      </c>
      <c r="D4087" s="201">
        <f>$C4087-$B4087+1</f>
        <v/>
      </c>
      <c r="E4087" s="201">
        <f>MONTH($B4087)</f>
        <v/>
      </c>
      <c r="F4087" s="235">
        <f>($B4087+$C4087+1)/2</f>
        <v/>
      </c>
      <c r="G4087" s="201">
        <f>YEAR($B4087)*12+MONTH($B4087)-1</f>
        <v/>
      </c>
      <c r="H4087" s="207">
        <f>IF(OR(nr_SeasonOn="OFF",re_srow=0,re_ssum=0),1,12*INDEX(se_block,re_srow,$E4087)/re_ssum)</f>
        <v/>
      </c>
      <c r="I4087" s="208">
        <f>EXP(SUMPRODUCT(($A$3806:$A$4045&lt;$B4087)*(rl_key=nr_SelKey)*$E$3806:$E$4045))</f>
        <v/>
      </c>
      <c r="J4087" s="208">
        <f>EXP(SUMPRODUCT(($A$3806:$A$4045&lt;=$C4087)*(rl_key=nr_SelKey)*$E$3806:$E$4045))</f>
        <v/>
      </c>
      <c r="K4087" s="201">
        <f>COUNTIFS(rl_key,nr_SelKey,$A$3806:$A$4045,"&gt;="&amp;$B4087,$A$3806:$A$4045,"&lt;="&amp;$C4087)</f>
        <v/>
      </c>
      <c r="L4087" s="201">
        <f>SUMIFS($F$3806:$F$4045,rl_key,nr_SelKey,$B$3806:$B$4045,$B4087,$I$3806:$I$4045,1)</f>
        <v/>
      </c>
      <c r="M4087" s="209">
        <f>IF($K4087=0,0,MIN(1,$L4087/$D4087))</f>
        <v/>
      </c>
      <c r="N4087" s="208">
        <f>IF($K4087=0,$J4087,(1-$M4087)*$I4087+$M4087*$J4087)</f>
        <v/>
      </c>
      <c r="O4087" s="209">
        <f>IF($F4087&lt;$B$4049,$E$4049+$I$4049*($F4087-$A$4049),IF($F4087&lt;$C$4049,$F$4049+$J$4049*($F4087-$B$4049),$G$4049+$K$4049*($F4087-$C$4049)))</f>
        <v/>
      </c>
      <c r="P4087" s="208">
        <f>MIN(1,MAX(0,(nr_MEndPm1-$G4087+0.5)/nr_TermMonths))-MIN(1,MAX(0,(nr_MStartPm1-1-$G4087+0.5)/nr_TermMonths))</f>
        <v/>
      </c>
      <c r="Q4087" s="208">
        <f>MIN(1,MAX(0,(nr_MEndP-$G4087+0.5)/nr_TermMonths))-MIN(1,MAX(0,(nr_MStartP-1-$G4087+0.5)/nr_TermMonths))</f>
        <v/>
      </c>
      <c r="R4087" s="208">
        <f>MIN(1,MAX(0,(nr_MEndP1-$G4087+0.5)/nr_TermMonths))-MIN(1,MAX(0,(nr_MStartP1-1-$G4087+0.5)/nr_TermMonths))</f>
        <v/>
      </c>
      <c r="S4087" s="208">
        <f>IF(nr_NetMode,$N4087*IF(nr_ModAdjEff="ON",$O4087/nr_MInd,1),"")</f>
        <v/>
      </c>
      <c r="T4087" s="208">
        <f>IF(NOT(nr_NetMode),"",IF($G4087&lt;nr_MStartP,$S4087,$T4075*(1+IF($G4087&lt;nr_MStartP1,(nr_NetSelP+N(INDEX(sc_dnet,1))),(nr_NetSelP1+N(INDEX(sc_dnet,1)))))))</f>
        <v/>
      </c>
      <c r="U4087" s="208">
        <f>IF(nr_NetMode,$T4087,$N4087)</f>
        <v/>
      </c>
    </row>
    <row r="4088">
      <c r="A4088" s="145" t="n">
        <v>38</v>
      </c>
      <c r="B4088" s="204">
        <f>EDATE($B4087,1)</f>
        <v/>
      </c>
      <c r="C4088" s="205">
        <f>EOMONTH($B4088,0)</f>
        <v/>
      </c>
      <c r="D4088" s="201">
        <f>$C4088-$B4088+1</f>
        <v/>
      </c>
      <c r="E4088" s="201">
        <f>MONTH($B4088)</f>
        <v/>
      </c>
      <c r="F4088" s="235">
        <f>($B4088+$C4088+1)/2</f>
        <v/>
      </c>
      <c r="G4088" s="201">
        <f>YEAR($B4088)*12+MONTH($B4088)-1</f>
        <v/>
      </c>
      <c r="H4088" s="207">
        <f>IF(OR(nr_SeasonOn="OFF",re_srow=0,re_ssum=0),1,12*INDEX(se_block,re_srow,$E4088)/re_ssum)</f>
        <v/>
      </c>
      <c r="I4088" s="208">
        <f>EXP(SUMPRODUCT(($A$3806:$A$4045&lt;$B4088)*(rl_key=nr_SelKey)*$E$3806:$E$4045))</f>
        <v/>
      </c>
      <c r="J4088" s="208">
        <f>EXP(SUMPRODUCT(($A$3806:$A$4045&lt;=$C4088)*(rl_key=nr_SelKey)*$E$3806:$E$4045))</f>
        <v/>
      </c>
      <c r="K4088" s="201">
        <f>COUNTIFS(rl_key,nr_SelKey,$A$3806:$A$4045,"&gt;="&amp;$B4088,$A$3806:$A$4045,"&lt;="&amp;$C4088)</f>
        <v/>
      </c>
      <c r="L4088" s="201">
        <f>SUMIFS($F$3806:$F$4045,rl_key,nr_SelKey,$B$3806:$B$4045,$B4088,$I$3806:$I$4045,1)</f>
        <v/>
      </c>
      <c r="M4088" s="209">
        <f>IF($K4088=0,0,MIN(1,$L4088/$D4088))</f>
        <v/>
      </c>
      <c r="N4088" s="208">
        <f>IF($K4088=0,$J4088,(1-$M4088)*$I4088+$M4088*$J4088)</f>
        <v/>
      </c>
      <c r="O4088" s="209">
        <f>IF($F4088&lt;$B$4049,$E$4049+$I$4049*($F4088-$A$4049),IF($F4088&lt;$C$4049,$F$4049+$J$4049*($F4088-$B$4049),$G$4049+$K$4049*($F4088-$C$4049)))</f>
        <v/>
      </c>
      <c r="P4088" s="208">
        <f>MIN(1,MAX(0,(nr_MEndPm1-$G4088+0.5)/nr_TermMonths))-MIN(1,MAX(0,(nr_MStartPm1-1-$G4088+0.5)/nr_TermMonths))</f>
        <v/>
      </c>
      <c r="Q4088" s="208">
        <f>MIN(1,MAX(0,(nr_MEndP-$G4088+0.5)/nr_TermMonths))-MIN(1,MAX(0,(nr_MStartP-1-$G4088+0.5)/nr_TermMonths))</f>
        <v/>
      </c>
      <c r="R4088" s="208">
        <f>MIN(1,MAX(0,(nr_MEndP1-$G4088+0.5)/nr_TermMonths))-MIN(1,MAX(0,(nr_MStartP1-1-$G4088+0.5)/nr_TermMonths))</f>
        <v/>
      </c>
      <c r="S4088" s="208">
        <f>IF(nr_NetMode,$N4088*IF(nr_ModAdjEff="ON",$O4088/nr_MInd,1),"")</f>
        <v/>
      </c>
      <c r="T4088" s="208">
        <f>IF(NOT(nr_NetMode),"",IF($G4088&lt;nr_MStartP,$S4088,$T4076*(1+IF($G4088&lt;nr_MStartP1,(nr_NetSelP+N(INDEX(sc_dnet,1))),(nr_NetSelP1+N(INDEX(sc_dnet,1)))))))</f>
        <v/>
      </c>
      <c r="U4088" s="208">
        <f>IF(nr_NetMode,$T4088,$N4088)</f>
        <v/>
      </c>
    </row>
    <row r="4089">
      <c r="A4089" s="145" t="n">
        <v>39</v>
      </c>
      <c r="B4089" s="204">
        <f>EDATE($B4088,1)</f>
        <v/>
      </c>
      <c r="C4089" s="205">
        <f>EOMONTH($B4089,0)</f>
        <v/>
      </c>
      <c r="D4089" s="201">
        <f>$C4089-$B4089+1</f>
        <v/>
      </c>
      <c r="E4089" s="201">
        <f>MONTH($B4089)</f>
        <v/>
      </c>
      <c r="F4089" s="235">
        <f>($B4089+$C4089+1)/2</f>
        <v/>
      </c>
      <c r="G4089" s="201">
        <f>YEAR($B4089)*12+MONTH($B4089)-1</f>
        <v/>
      </c>
      <c r="H4089" s="207">
        <f>IF(OR(nr_SeasonOn="OFF",re_srow=0,re_ssum=0),1,12*INDEX(se_block,re_srow,$E4089)/re_ssum)</f>
        <v/>
      </c>
      <c r="I4089" s="208">
        <f>EXP(SUMPRODUCT(($A$3806:$A$4045&lt;$B4089)*(rl_key=nr_SelKey)*$E$3806:$E$4045))</f>
        <v/>
      </c>
      <c r="J4089" s="208">
        <f>EXP(SUMPRODUCT(($A$3806:$A$4045&lt;=$C4089)*(rl_key=nr_SelKey)*$E$3806:$E$4045))</f>
        <v/>
      </c>
      <c r="K4089" s="201">
        <f>COUNTIFS(rl_key,nr_SelKey,$A$3806:$A$4045,"&gt;="&amp;$B4089,$A$3806:$A$4045,"&lt;="&amp;$C4089)</f>
        <v/>
      </c>
      <c r="L4089" s="201">
        <f>SUMIFS($F$3806:$F$4045,rl_key,nr_SelKey,$B$3806:$B$4045,$B4089,$I$3806:$I$4045,1)</f>
        <v/>
      </c>
      <c r="M4089" s="209">
        <f>IF($K4089=0,0,MIN(1,$L4089/$D4089))</f>
        <v/>
      </c>
      <c r="N4089" s="208">
        <f>IF($K4089=0,$J4089,(1-$M4089)*$I4089+$M4089*$J4089)</f>
        <v/>
      </c>
      <c r="O4089" s="209">
        <f>IF($F4089&lt;$B$4049,$E$4049+$I$4049*($F4089-$A$4049),IF($F4089&lt;$C$4049,$F$4049+$J$4049*($F4089-$B$4049),$G$4049+$K$4049*($F4089-$C$4049)))</f>
        <v/>
      </c>
      <c r="P4089" s="208">
        <f>MIN(1,MAX(0,(nr_MEndPm1-$G4089+0.5)/nr_TermMonths))-MIN(1,MAX(0,(nr_MStartPm1-1-$G4089+0.5)/nr_TermMonths))</f>
        <v/>
      </c>
      <c r="Q4089" s="208">
        <f>MIN(1,MAX(0,(nr_MEndP-$G4089+0.5)/nr_TermMonths))-MIN(1,MAX(0,(nr_MStartP-1-$G4089+0.5)/nr_TermMonths))</f>
        <v/>
      </c>
      <c r="R4089" s="208">
        <f>MIN(1,MAX(0,(nr_MEndP1-$G4089+0.5)/nr_TermMonths))-MIN(1,MAX(0,(nr_MStartP1-1-$G4089+0.5)/nr_TermMonths))</f>
        <v/>
      </c>
      <c r="S4089" s="208">
        <f>IF(nr_NetMode,$N4089*IF(nr_ModAdjEff="ON",$O4089/nr_MInd,1),"")</f>
        <v/>
      </c>
      <c r="T4089" s="208">
        <f>IF(NOT(nr_NetMode),"",IF($G4089&lt;nr_MStartP,$S4089,$T4077*(1+IF($G4089&lt;nr_MStartP1,(nr_NetSelP+N(INDEX(sc_dnet,1))),(nr_NetSelP1+N(INDEX(sc_dnet,1)))))))</f>
        <v/>
      </c>
      <c r="U4089" s="208">
        <f>IF(nr_NetMode,$T4089,$N4089)</f>
        <v/>
      </c>
    </row>
    <row r="4090">
      <c r="A4090" s="145" t="n">
        <v>40</v>
      </c>
      <c r="B4090" s="204">
        <f>EDATE($B4089,1)</f>
        <v/>
      </c>
      <c r="C4090" s="205">
        <f>EOMONTH($B4090,0)</f>
        <v/>
      </c>
      <c r="D4090" s="201">
        <f>$C4090-$B4090+1</f>
        <v/>
      </c>
      <c r="E4090" s="201">
        <f>MONTH($B4090)</f>
        <v/>
      </c>
      <c r="F4090" s="235">
        <f>($B4090+$C4090+1)/2</f>
        <v/>
      </c>
      <c r="G4090" s="201">
        <f>YEAR($B4090)*12+MONTH($B4090)-1</f>
        <v/>
      </c>
      <c r="H4090" s="207">
        <f>IF(OR(nr_SeasonOn="OFF",re_srow=0,re_ssum=0),1,12*INDEX(se_block,re_srow,$E4090)/re_ssum)</f>
        <v/>
      </c>
      <c r="I4090" s="208">
        <f>EXP(SUMPRODUCT(($A$3806:$A$4045&lt;$B4090)*(rl_key=nr_SelKey)*$E$3806:$E$4045))</f>
        <v/>
      </c>
      <c r="J4090" s="208">
        <f>EXP(SUMPRODUCT(($A$3806:$A$4045&lt;=$C4090)*(rl_key=nr_SelKey)*$E$3806:$E$4045))</f>
        <v/>
      </c>
      <c r="K4090" s="201">
        <f>COUNTIFS(rl_key,nr_SelKey,$A$3806:$A$4045,"&gt;="&amp;$B4090,$A$3806:$A$4045,"&lt;="&amp;$C4090)</f>
        <v/>
      </c>
      <c r="L4090" s="201">
        <f>SUMIFS($F$3806:$F$4045,rl_key,nr_SelKey,$B$3806:$B$4045,$B4090,$I$3806:$I$4045,1)</f>
        <v/>
      </c>
      <c r="M4090" s="209">
        <f>IF($K4090=0,0,MIN(1,$L4090/$D4090))</f>
        <v/>
      </c>
      <c r="N4090" s="208">
        <f>IF($K4090=0,$J4090,(1-$M4090)*$I4090+$M4090*$J4090)</f>
        <v/>
      </c>
      <c r="O4090" s="209">
        <f>IF($F4090&lt;$B$4049,$E$4049+$I$4049*($F4090-$A$4049),IF($F4090&lt;$C$4049,$F$4049+$J$4049*($F4090-$B$4049),$G$4049+$K$4049*($F4090-$C$4049)))</f>
        <v/>
      </c>
      <c r="P4090" s="208">
        <f>MIN(1,MAX(0,(nr_MEndPm1-$G4090+0.5)/nr_TermMonths))-MIN(1,MAX(0,(nr_MStartPm1-1-$G4090+0.5)/nr_TermMonths))</f>
        <v/>
      </c>
      <c r="Q4090" s="208">
        <f>MIN(1,MAX(0,(nr_MEndP-$G4090+0.5)/nr_TermMonths))-MIN(1,MAX(0,(nr_MStartP-1-$G4090+0.5)/nr_TermMonths))</f>
        <v/>
      </c>
      <c r="R4090" s="208">
        <f>MIN(1,MAX(0,(nr_MEndP1-$G4090+0.5)/nr_TermMonths))-MIN(1,MAX(0,(nr_MStartP1-1-$G4090+0.5)/nr_TermMonths))</f>
        <v/>
      </c>
      <c r="S4090" s="208">
        <f>IF(nr_NetMode,$N4090*IF(nr_ModAdjEff="ON",$O4090/nr_MInd,1),"")</f>
        <v/>
      </c>
      <c r="T4090" s="208">
        <f>IF(NOT(nr_NetMode),"",IF($G4090&lt;nr_MStartP,$S4090,$T4078*(1+IF($G4090&lt;nr_MStartP1,(nr_NetSelP+N(INDEX(sc_dnet,1))),(nr_NetSelP1+N(INDEX(sc_dnet,1)))))))</f>
        <v/>
      </c>
      <c r="U4090" s="208">
        <f>IF(nr_NetMode,$T4090,$N4090)</f>
        <v/>
      </c>
    </row>
    <row r="4091">
      <c r="A4091" s="145" t="n">
        <v>41</v>
      </c>
      <c r="B4091" s="204">
        <f>EDATE($B4090,1)</f>
        <v/>
      </c>
      <c r="C4091" s="205">
        <f>EOMONTH($B4091,0)</f>
        <v/>
      </c>
      <c r="D4091" s="201">
        <f>$C4091-$B4091+1</f>
        <v/>
      </c>
      <c r="E4091" s="201">
        <f>MONTH($B4091)</f>
        <v/>
      </c>
      <c r="F4091" s="235">
        <f>($B4091+$C4091+1)/2</f>
        <v/>
      </c>
      <c r="G4091" s="201">
        <f>YEAR($B4091)*12+MONTH($B4091)-1</f>
        <v/>
      </c>
      <c r="H4091" s="207">
        <f>IF(OR(nr_SeasonOn="OFF",re_srow=0,re_ssum=0),1,12*INDEX(se_block,re_srow,$E4091)/re_ssum)</f>
        <v/>
      </c>
      <c r="I4091" s="208">
        <f>EXP(SUMPRODUCT(($A$3806:$A$4045&lt;$B4091)*(rl_key=nr_SelKey)*$E$3806:$E$4045))</f>
        <v/>
      </c>
      <c r="J4091" s="208">
        <f>EXP(SUMPRODUCT(($A$3806:$A$4045&lt;=$C4091)*(rl_key=nr_SelKey)*$E$3806:$E$4045))</f>
        <v/>
      </c>
      <c r="K4091" s="201">
        <f>COUNTIFS(rl_key,nr_SelKey,$A$3806:$A$4045,"&gt;="&amp;$B4091,$A$3806:$A$4045,"&lt;="&amp;$C4091)</f>
        <v/>
      </c>
      <c r="L4091" s="201">
        <f>SUMIFS($F$3806:$F$4045,rl_key,nr_SelKey,$B$3806:$B$4045,$B4091,$I$3806:$I$4045,1)</f>
        <v/>
      </c>
      <c r="M4091" s="209">
        <f>IF($K4091=0,0,MIN(1,$L4091/$D4091))</f>
        <v/>
      </c>
      <c r="N4091" s="208">
        <f>IF($K4091=0,$J4091,(1-$M4091)*$I4091+$M4091*$J4091)</f>
        <v/>
      </c>
      <c r="O4091" s="209">
        <f>IF($F4091&lt;$B$4049,$E$4049+$I$4049*($F4091-$A$4049),IF($F4091&lt;$C$4049,$F$4049+$J$4049*($F4091-$B$4049),$G$4049+$K$4049*($F4091-$C$4049)))</f>
        <v/>
      </c>
      <c r="P4091" s="208">
        <f>MIN(1,MAX(0,(nr_MEndPm1-$G4091+0.5)/nr_TermMonths))-MIN(1,MAX(0,(nr_MStartPm1-1-$G4091+0.5)/nr_TermMonths))</f>
        <v/>
      </c>
      <c r="Q4091" s="208">
        <f>MIN(1,MAX(0,(nr_MEndP-$G4091+0.5)/nr_TermMonths))-MIN(1,MAX(0,(nr_MStartP-1-$G4091+0.5)/nr_TermMonths))</f>
        <v/>
      </c>
      <c r="R4091" s="208">
        <f>MIN(1,MAX(0,(nr_MEndP1-$G4091+0.5)/nr_TermMonths))-MIN(1,MAX(0,(nr_MStartP1-1-$G4091+0.5)/nr_TermMonths))</f>
        <v/>
      </c>
      <c r="S4091" s="208">
        <f>IF(nr_NetMode,$N4091*IF(nr_ModAdjEff="ON",$O4091/nr_MInd,1),"")</f>
        <v/>
      </c>
      <c r="T4091" s="208">
        <f>IF(NOT(nr_NetMode),"",IF($G4091&lt;nr_MStartP,$S4091,$T4079*(1+IF($G4091&lt;nr_MStartP1,(nr_NetSelP+N(INDEX(sc_dnet,1))),(nr_NetSelP1+N(INDEX(sc_dnet,1)))))))</f>
        <v/>
      </c>
      <c r="U4091" s="208">
        <f>IF(nr_NetMode,$T4091,$N4091)</f>
        <v/>
      </c>
    </row>
    <row r="4092">
      <c r="A4092" s="145" t="n">
        <v>42</v>
      </c>
      <c r="B4092" s="204">
        <f>EDATE($B4091,1)</f>
        <v/>
      </c>
      <c r="C4092" s="205">
        <f>EOMONTH($B4092,0)</f>
        <v/>
      </c>
      <c r="D4092" s="201">
        <f>$C4092-$B4092+1</f>
        <v/>
      </c>
      <c r="E4092" s="201">
        <f>MONTH($B4092)</f>
        <v/>
      </c>
      <c r="F4092" s="235">
        <f>($B4092+$C4092+1)/2</f>
        <v/>
      </c>
      <c r="G4092" s="201">
        <f>YEAR($B4092)*12+MONTH($B4092)-1</f>
        <v/>
      </c>
      <c r="H4092" s="207">
        <f>IF(OR(nr_SeasonOn="OFF",re_srow=0,re_ssum=0),1,12*INDEX(se_block,re_srow,$E4092)/re_ssum)</f>
        <v/>
      </c>
      <c r="I4092" s="208">
        <f>EXP(SUMPRODUCT(($A$3806:$A$4045&lt;$B4092)*(rl_key=nr_SelKey)*$E$3806:$E$4045))</f>
        <v/>
      </c>
      <c r="J4092" s="208">
        <f>EXP(SUMPRODUCT(($A$3806:$A$4045&lt;=$C4092)*(rl_key=nr_SelKey)*$E$3806:$E$4045))</f>
        <v/>
      </c>
      <c r="K4092" s="201">
        <f>COUNTIFS(rl_key,nr_SelKey,$A$3806:$A$4045,"&gt;="&amp;$B4092,$A$3806:$A$4045,"&lt;="&amp;$C4092)</f>
        <v/>
      </c>
      <c r="L4092" s="201">
        <f>SUMIFS($F$3806:$F$4045,rl_key,nr_SelKey,$B$3806:$B$4045,$B4092,$I$3806:$I$4045,1)</f>
        <v/>
      </c>
      <c r="M4092" s="209">
        <f>IF($K4092=0,0,MIN(1,$L4092/$D4092))</f>
        <v/>
      </c>
      <c r="N4092" s="208">
        <f>IF($K4092=0,$J4092,(1-$M4092)*$I4092+$M4092*$J4092)</f>
        <v/>
      </c>
      <c r="O4092" s="209">
        <f>IF($F4092&lt;$B$4049,$E$4049+$I$4049*($F4092-$A$4049),IF($F4092&lt;$C$4049,$F$4049+$J$4049*($F4092-$B$4049),$G$4049+$K$4049*($F4092-$C$4049)))</f>
        <v/>
      </c>
      <c r="P4092" s="208">
        <f>MIN(1,MAX(0,(nr_MEndPm1-$G4092+0.5)/nr_TermMonths))-MIN(1,MAX(0,(nr_MStartPm1-1-$G4092+0.5)/nr_TermMonths))</f>
        <v/>
      </c>
      <c r="Q4092" s="208">
        <f>MIN(1,MAX(0,(nr_MEndP-$G4092+0.5)/nr_TermMonths))-MIN(1,MAX(0,(nr_MStartP-1-$G4092+0.5)/nr_TermMonths))</f>
        <v/>
      </c>
      <c r="R4092" s="208">
        <f>MIN(1,MAX(0,(nr_MEndP1-$G4092+0.5)/nr_TermMonths))-MIN(1,MAX(0,(nr_MStartP1-1-$G4092+0.5)/nr_TermMonths))</f>
        <v/>
      </c>
      <c r="S4092" s="208">
        <f>IF(nr_NetMode,$N4092*IF(nr_ModAdjEff="ON",$O4092/nr_MInd,1),"")</f>
        <v/>
      </c>
      <c r="T4092" s="208">
        <f>IF(NOT(nr_NetMode),"",IF($G4092&lt;nr_MStartP,$S4092,$T4080*(1+IF($G4092&lt;nr_MStartP1,(nr_NetSelP+N(INDEX(sc_dnet,1))),(nr_NetSelP1+N(INDEX(sc_dnet,1)))))))</f>
        <v/>
      </c>
      <c r="U4092" s="208">
        <f>IF(nr_NetMode,$T4092,$N4092)</f>
        <v/>
      </c>
    </row>
    <row r="4093">
      <c r="A4093" s="145" t="n">
        <v>43</v>
      </c>
      <c r="B4093" s="204">
        <f>EDATE($B4092,1)</f>
        <v/>
      </c>
      <c r="C4093" s="205">
        <f>EOMONTH($B4093,0)</f>
        <v/>
      </c>
      <c r="D4093" s="201">
        <f>$C4093-$B4093+1</f>
        <v/>
      </c>
      <c r="E4093" s="201">
        <f>MONTH($B4093)</f>
        <v/>
      </c>
      <c r="F4093" s="235">
        <f>($B4093+$C4093+1)/2</f>
        <v/>
      </c>
      <c r="G4093" s="201">
        <f>YEAR($B4093)*12+MONTH($B4093)-1</f>
        <v/>
      </c>
      <c r="H4093" s="207">
        <f>IF(OR(nr_SeasonOn="OFF",re_srow=0,re_ssum=0),1,12*INDEX(se_block,re_srow,$E4093)/re_ssum)</f>
        <v/>
      </c>
      <c r="I4093" s="208">
        <f>EXP(SUMPRODUCT(($A$3806:$A$4045&lt;$B4093)*(rl_key=nr_SelKey)*$E$3806:$E$4045))</f>
        <v/>
      </c>
      <c r="J4093" s="208">
        <f>EXP(SUMPRODUCT(($A$3806:$A$4045&lt;=$C4093)*(rl_key=nr_SelKey)*$E$3806:$E$4045))</f>
        <v/>
      </c>
      <c r="K4093" s="201">
        <f>COUNTIFS(rl_key,nr_SelKey,$A$3806:$A$4045,"&gt;="&amp;$B4093,$A$3806:$A$4045,"&lt;="&amp;$C4093)</f>
        <v/>
      </c>
      <c r="L4093" s="201">
        <f>SUMIFS($F$3806:$F$4045,rl_key,nr_SelKey,$B$3806:$B$4045,$B4093,$I$3806:$I$4045,1)</f>
        <v/>
      </c>
      <c r="M4093" s="209">
        <f>IF($K4093=0,0,MIN(1,$L4093/$D4093))</f>
        <v/>
      </c>
      <c r="N4093" s="208">
        <f>IF($K4093=0,$J4093,(1-$M4093)*$I4093+$M4093*$J4093)</f>
        <v/>
      </c>
      <c r="O4093" s="209">
        <f>IF($F4093&lt;$B$4049,$E$4049+$I$4049*($F4093-$A$4049),IF($F4093&lt;$C$4049,$F$4049+$J$4049*($F4093-$B$4049),$G$4049+$K$4049*($F4093-$C$4049)))</f>
        <v/>
      </c>
      <c r="P4093" s="208">
        <f>MIN(1,MAX(0,(nr_MEndPm1-$G4093+0.5)/nr_TermMonths))-MIN(1,MAX(0,(nr_MStartPm1-1-$G4093+0.5)/nr_TermMonths))</f>
        <v/>
      </c>
      <c r="Q4093" s="208">
        <f>MIN(1,MAX(0,(nr_MEndP-$G4093+0.5)/nr_TermMonths))-MIN(1,MAX(0,(nr_MStartP-1-$G4093+0.5)/nr_TermMonths))</f>
        <v/>
      </c>
      <c r="R4093" s="208">
        <f>MIN(1,MAX(0,(nr_MEndP1-$G4093+0.5)/nr_TermMonths))-MIN(1,MAX(0,(nr_MStartP1-1-$G4093+0.5)/nr_TermMonths))</f>
        <v/>
      </c>
      <c r="S4093" s="208">
        <f>IF(nr_NetMode,$N4093*IF(nr_ModAdjEff="ON",$O4093/nr_MInd,1),"")</f>
        <v/>
      </c>
      <c r="T4093" s="208">
        <f>IF(NOT(nr_NetMode),"",IF($G4093&lt;nr_MStartP,$S4093,$T4081*(1+IF($G4093&lt;nr_MStartP1,(nr_NetSelP+N(INDEX(sc_dnet,1))),(nr_NetSelP1+N(INDEX(sc_dnet,1)))))))</f>
        <v/>
      </c>
      <c r="U4093" s="208">
        <f>IF(nr_NetMode,$T4093,$N4093)</f>
        <v/>
      </c>
    </row>
    <row r="4094">
      <c r="A4094" s="145" t="n">
        <v>44</v>
      </c>
      <c r="B4094" s="204">
        <f>EDATE($B4093,1)</f>
        <v/>
      </c>
      <c r="C4094" s="205">
        <f>EOMONTH($B4094,0)</f>
        <v/>
      </c>
      <c r="D4094" s="201">
        <f>$C4094-$B4094+1</f>
        <v/>
      </c>
      <c r="E4094" s="201">
        <f>MONTH($B4094)</f>
        <v/>
      </c>
      <c r="F4094" s="235">
        <f>($B4094+$C4094+1)/2</f>
        <v/>
      </c>
      <c r="G4094" s="201">
        <f>YEAR($B4094)*12+MONTH($B4094)-1</f>
        <v/>
      </c>
      <c r="H4094" s="207">
        <f>IF(OR(nr_SeasonOn="OFF",re_srow=0,re_ssum=0),1,12*INDEX(se_block,re_srow,$E4094)/re_ssum)</f>
        <v/>
      </c>
      <c r="I4094" s="208">
        <f>EXP(SUMPRODUCT(($A$3806:$A$4045&lt;$B4094)*(rl_key=nr_SelKey)*$E$3806:$E$4045))</f>
        <v/>
      </c>
      <c r="J4094" s="208">
        <f>EXP(SUMPRODUCT(($A$3806:$A$4045&lt;=$C4094)*(rl_key=nr_SelKey)*$E$3806:$E$4045))</f>
        <v/>
      </c>
      <c r="K4094" s="201">
        <f>COUNTIFS(rl_key,nr_SelKey,$A$3806:$A$4045,"&gt;="&amp;$B4094,$A$3806:$A$4045,"&lt;="&amp;$C4094)</f>
        <v/>
      </c>
      <c r="L4094" s="201">
        <f>SUMIFS($F$3806:$F$4045,rl_key,nr_SelKey,$B$3806:$B$4045,$B4094,$I$3806:$I$4045,1)</f>
        <v/>
      </c>
      <c r="M4094" s="209">
        <f>IF($K4094=0,0,MIN(1,$L4094/$D4094))</f>
        <v/>
      </c>
      <c r="N4094" s="208">
        <f>IF($K4094=0,$J4094,(1-$M4094)*$I4094+$M4094*$J4094)</f>
        <v/>
      </c>
      <c r="O4094" s="209">
        <f>IF($F4094&lt;$B$4049,$E$4049+$I$4049*($F4094-$A$4049),IF($F4094&lt;$C$4049,$F$4049+$J$4049*($F4094-$B$4049),$G$4049+$K$4049*($F4094-$C$4049)))</f>
        <v/>
      </c>
      <c r="P4094" s="208">
        <f>MIN(1,MAX(0,(nr_MEndPm1-$G4094+0.5)/nr_TermMonths))-MIN(1,MAX(0,(nr_MStartPm1-1-$G4094+0.5)/nr_TermMonths))</f>
        <v/>
      </c>
      <c r="Q4094" s="208">
        <f>MIN(1,MAX(0,(nr_MEndP-$G4094+0.5)/nr_TermMonths))-MIN(1,MAX(0,(nr_MStartP-1-$G4094+0.5)/nr_TermMonths))</f>
        <v/>
      </c>
      <c r="R4094" s="208">
        <f>MIN(1,MAX(0,(nr_MEndP1-$G4094+0.5)/nr_TermMonths))-MIN(1,MAX(0,(nr_MStartP1-1-$G4094+0.5)/nr_TermMonths))</f>
        <v/>
      </c>
      <c r="S4094" s="208">
        <f>IF(nr_NetMode,$N4094*IF(nr_ModAdjEff="ON",$O4094/nr_MInd,1),"")</f>
        <v/>
      </c>
      <c r="T4094" s="208">
        <f>IF(NOT(nr_NetMode),"",IF($G4094&lt;nr_MStartP,$S4094,$T4082*(1+IF($G4094&lt;nr_MStartP1,(nr_NetSelP+N(INDEX(sc_dnet,1))),(nr_NetSelP1+N(INDEX(sc_dnet,1)))))))</f>
        <v/>
      </c>
      <c r="U4094" s="208">
        <f>IF(nr_NetMode,$T4094,$N4094)</f>
        <v/>
      </c>
    </row>
    <row r="4095">
      <c r="A4095" s="145" t="n">
        <v>45</v>
      </c>
      <c r="B4095" s="204">
        <f>EDATE($B4094,1)</f>
        <v/>
      </c>
      <c r="C4095" s="205">
        <f>EOMONTH($B4095,0)</f>
        <v/>
      </c>
      <c r="D4095" s="201">
        <f>$C4095-$B4095+1</f>
        <v/>
      </c>
      <c r="E4095" s="201">
        <f>MONTH($B4095)</f>
        <v/>
      </c>
      <c r="F4095" s="235">
        <f>($B4095+$C4095+1)/2</f>
        <v/>
      </c>
      <c r="G4095" s="201">
        <f>YEAR($B4095)*12+MONTH($B4095)-1</f>
        <v/>
      </c>
      <c r="H4095" s="207">
        <f>IF(OR(nr_SeasonOn="OFF",re_srow=0,re_ssum=0),1,12*INDEX(se_block,re_srow,$E4095)/re_ssum)</f>
        <v/>
      </c>
      <c r="I4095" s="208">
        <f>EXP(SUMPRODUCT(($A$3806:$A$4045&lt;$B4095)*(rl_key=nr_SelKey)*$E$3806:$E$4045))</f>
        <v/>
      </c>
      <c r="J4095" s="208">
        <f>EXP(SUMPRODUCT(($A$3806:$A$4045&lt;=$C4095)*(rl_key=nr_SelKey)*$E$3806:$E$4045))</f>
        <v/>
      </c>
      <c r="K4095" s="201">
        <f>COUNTIFS(rl_key,nr_SelKey,$A$3806:$A$4045,"&gt;="&amp;$B4095,$A$3806:$A$4045,"&lt;="&amp;$C4095)</f>
        <v/>
      </c>
      <c r="L4095" s="201">
        <f>SUMIFS($F$3806:$F$4045,rl_key,nr_SelKey,$B$3806:$B$4045,$B4095,$I$3806:$I$4045,1)</f>
        <v/>
      </c>
      <c r="M4095" s="209">
        <f>IF($K4095=0,0,MIN(1,$L4095/$D4095))</f>
        <v/>
      </c>
      <c r="N4095" s="208">
        <f>IF($K4095=0,$J4095,(1-$M4095)*$I4095+$M4095*$J4095)</f>
        <v/>
      </c>
      <c r="O4095" s="209">
        <f>IF($F4095&lt;$B$4049,$E$4049+$I$4049*($F4095-$A$4049),IF($F4095&lt;$C$4049,$F$4049+$J$4049*($F4095-$B$4049),$G$4049+$K$4049*($F4095-$C$4049)))</f>
        <v/>
      </c>
      <c r="P4095" s="208">
        <f>MIN(1,MAX(0,(nr_MEndPm1-$G4095+0.5)/nr_TermMonths))-MIN(1,MAX(0,(nr_MStartPm1-1-$G4095+0.5)/nr_TermMonths))</f>
        <v/>
      </c>
      <c r="Q4095" s="208">
        <f>MIN(1,MAX(0,(nr_MEndP-$G4095+0.5)/nr_TermMonths))-MIN(1,MAX(0,(nr_MStartP-1-$G4095+0.5)/nr_TermMonths))</f>
        <v/>
      </c>
      <c r="R4095" s="208">
        <f>MIN(1,MAX(0,(nr_MEndP1-$G4095+0.5)/nr_TermMonths))-MIN(1,MAX(0,(nr_MStartP1-1-$G4095+0.5)/nr_TermMonths))</f>
        <v/>
      </c>
      <c r="S4095" s="208">
        <f>IF(nr_NetMode,$N4095*IF(nr_ModAdjEff="ON",$O4095/nr_MInd,1),"")</f>
        <v/>
      </c>
      <c r="T4095" s="208">
        <f>IF(NOT(nr_NetMode),"",IF($G4095&lt;nr_MStartP,$S4095,$T4083*(1+IF($G4095&lt;nr_MStartP1,(nr_NetSelP+N(INDEX(sc_dnet,1))),(nr_NetSelP1+N(INDEX(sc_dnet,1)))))))</f>
        <v/>
      </c>
      <c r="U4095" s="208">
        <f>IF(nr_NetMode,$T4095,$N4095)</f>
        <v/>
      </c>
    </row>
    <row r="4096">
      <c r="A4096" s="145" t="n">
        <v>46</v>
      </c>
      <c r="B4096" s="204">
        <f>EDATE($B4095,1)</f>
        <v/>
      </c>
      <c r="C4096" s="205">
        <f>EOMONTH($B4096,0)</f>
        <v/>
      </c>
      <c r="D4096" s="201">
        <f>$C4096-$B4096+1</f>
        <v/>
      </c>
      <c r="E4096" s="201">
        <f>MONTH($B4096)</f>
        <v/>
      </c>
      <c r="F4096" s="235">
        <f>($B4096+$C4096+1)/2</f>
        <v/>
      </c>
      <c r="G4096" s="201">
        <f>YEAR($B4096)*12+MONTH($B4096)-1</f>
        <v/>
      </c>
      <c r="H4096" s="207">
        <f>IF(OR(nr_SeasonOn="OFF",re_srow=0,re_ssum=0),1,12*INDEX(se_block,re_srow,$E4096)/re_ssum)</f>
        <v/>
      </c>
      <c r="I4096" s="208">
        <f>EXP(SUMPRODUCT(($A$3806:$A$4045&lt;$B4096)*(rl_key=nr_SelKey)*$E$3806:$E$4045))</f>
        <v/>
      </c>
      <c r="J4096" s="208">
        <f>EXP(SUMPRODUCT(($A$3806:$A$4045&lt;=$C4096)*(rl_key=nr_SelKey)*$E$3806:$E$4045))</f>
        <v/>
      </c>
      <c r="K4096" s="201">
        <f>COUNTIFS(rl_key,nr_SelKey,$A$3806:$A$4045,"&gt;="&amp;$B4096,$A$3806:$A$4045,"&lt;="&amp;$C4096)</f>
        <v/>
      </c>
      <c r="L4096" s="201">
        <f>SUMIFS($F$3806:$F$4045,rl_key,nr_SelKey,$B$3806:$B$4045,$B4096,$I$3806:$I$4045,1)</f>
        <v/>
      </c>
      <c r="M4096" s="209">
        <f>IF($K4096=0,0,MIN(1,$L4096/$D4096))</f>
        <v/>
      </c>
      <c r="N4096" s="208">
        <f>IF($K4096=0,$J4096,(1-$M4096)*$I4096+$M4096*$J4096)</f>
        <v/>
      </c>
      <c r="O4096" s="209">
        <f>IF($F4096&lt;$B$4049,$E$4049+$I$4049*($F4096-$A$4049),IF($F4096&lt;$C$4049,$F$4049+$J$4049*($F4096-$B$4049),$G$4049+$K$4049*($F4096-$C$4049)))</f>
        <v/>
      </c>
      <c r="P4096" s="208">
        <f>MIN(1,MAX(0,(nr_MEndPm1-$G4096+0.5)/nr_TermMonths))-MIN(1,MAX(0,(nr_MStartPm1-1-$G4096+0.5)/nr_TermMonths))</f>
        <v/>
      </c>
      <c r="Q4096" s="208">
        <f>MIN(1,MAX(0,(nr_MEndP-$G4096+0.5)/nr_TermMonths))-MIN(1,MAX(0,(nr_MStartP-1-$G4096+0.5)/nr_TermMonths))</f>
        <v/>
      </c>
      <c r="R4096" s="208">
        <f>MIN(1,MAX(0,(nr_MEndP1-$G4096+0.5)/nr_TermMonths))-MIN(1,MAX(0,(nr_MStartP1-1-$G4096+0.5)/nr_TermMonths))</f>
        <v/>
      </c>
      <c r="S4096" s="208">
        <f>IF(nr_NetMode,$N4096*IF(nr_ModAdjEff="ON",$O4096/nr_MInd,1),"")</f>
        <v/>
      </c>
      <c r="T4096" s="208">
        <f>IF(NOT(nr_NetMode),"",IF($G4096&lt;nr_MStartP,$S4096,$T4084*(1+IF($G4096&lt;nr_MStartP1,(nr_NetSelP+N(INDEX(sc_dnet,1))),(nr_NetSelP1+N(INDEX(sc_dnet,1)))))))</f>
        <v/>
      </c>
      <c r="U4096" s="208">
        <f>IF(nr_NetMode,$T4096,$N4096)</f>
        <v/>
      </c>
    </row>
    <row r="4097">
      <c r="A4097" s="145" t="n">
        <v>47</v>
      </c>
      <c r="B4097" s="204">
        <f>EDATE($B4096,1)</f>
        <v/>
      </c>
      <c r="C4097" s="205">
        <f>EOMONTH($B4097,0)</f>
        <v/>
      </c>
      <c r="D4097" s="201">
        <f>$C4097-$B4097+1</f>
        <v/>
      </c>
      <c r="E4097" s="201">
        <f>MONTH($B4097)</f>
        <v/>
      </c>
      <c r="F4097" s="235">
        <f>($B4097+$C4097+1)/2</f>
        <v/>
      </c>
      <c r="G4097" s="201">
        <f>YEAR($B4097)*12+MONTH($B4097)-1</f>
        <v/>
      </c>
      <c r="H4097" s="207">
        <f>IF(OR(nr_SeasonOn="OFF",re_srow=0,re_ssum=0),1,12*INDEX(se_block,re_srow,$E4097)/re_ssum)</f>
        <v/>
      </c>
      <c r="I4097" s="208">
        <f>EXP(SUMPRODUCT(($A$3806:$A$4045&lt;$B4097)*(rl_key=nr_SelKey)*$E$3806:$E$4045))</f>
        <v/>
      </c>
      <c r="J4097" s="208">
        <f>EXP(SUMPRODUCT(($A$3806:$A$4045&lt;=$C4097)*(rl_key=nr_SelKey)*$E$3806:$E$4045))</f>
        <v/>
      </c>
      <c r="K4097" s="201">
        <f>COUNTIFS(rl_key,nr_SelKey,$A$3806:$A$4045,"&gt;="&amp;$B4097,$A$3806:$A$4045,"&lt;="&amp;$C4097)</f>
        <v/>
      </c>
      <c r="L4097" s="201">
        <f>SUMIFS($F$3806:$F$4045,rl_key,nr_SelKey,$B$3806:$B$4045,$B4097,$I$3806:$I$4045,1)</f>
        <v/>
      </c>
      <c r="M4097" s="209">
        <f>IF($K4097=0,0,MIN(1,$L4097/$D4097))</f>
        <v/>
      </c>
      <c r="N4097" s="208">
        <f>IF($K4097=0,$J4097,(1-$M4097)*$I4097+$M4097*$J4097)</f>
        <v/>
      </c>
      <c r="O4097" s="209">
        <f>IF($F4097&lt;$B$4049,$E$4049+$I$4049*($F4097-$A$4049),IF($F4097&lt;$C$4049,$F$4049+$J$4049*($F4097-$B$4049),$G$4049+$K$4049*($F4097-$C$4049)))</f>
        <v/>
      </c>
      <c r="P4097" s="208">
        <f>MIN(1,MAX(0,(nr_MEndPm1-$G4097+0.5)/nr_TermMonths))-MIN(1,MAX(0,(nr_MStartPm1-1-$G4097+0.5)/nr_TermMonths))</f>
        <v/>
      </c>
      <c r="Q4097" s="208">
        <f>MIN(1,MAX(0,(nr_MEndP-$G4097+0.5)/nr_TermMonths))-MIN(1,MAX(0,(nr_MStartP-1-$G4097+0.5)/nr_TermMonths))</f>
        <v/>
      </c>
      <c r="R4097" s="208">
        <f>MIN(1,MAX(0,(nr_MEndP1-$G4097+0.5)/nr_TermMonths))-MIN(1,MAX(0,(nr_MStartP1-1-$G4097+0.5)/nr_TermMonths))</f>
        <v/>
      </c>
      <c r="S4097" s="208">
        <f>IF(nr_NetMode,$N4097*IF(nr_ModAdjEff="ON",$O4097/nr_MInd,1),"")</f>
        <v/>
      </c>
      <c r="T4097" s="208">
        <f>IF(NOT(nr_NetMode),"",IF($G4097&lt;nr_MStartP,$S4097,$T4085*(1+IF($G4097&lt;nr_MStartP1,(nr_NetSelP+N(INDEX(sc_dnet,1))),(nr_NetSelP1+N(INDEX(sc_dnet,1)))))))</f>
        <v/>
      </c>
      <c r="U4097" s="208">
        <f>IF(nr_NetMode,$T4097,$N4097)</f>
        <v/>
      </c>
    </row>
    <row r="4098">
      <c r="A4098" s="145" t="n">
        <v>48</v>
      </c>
      <c r="B4098" s="204">
        <f>EDATE($B4097,1)</f>
        <v/>
      </c>
      <c r="C4098" s="205">
        <f>EOMONTH($B4098,0)</f>
        <v/>
      </c>
      <c r="D4098" s="201">
        <f>$C4098-$B4098+1</f>
        <v/>
      </c>
      <c r="E4098" s="201">
        <f>MONTH($B4098)</f>
        <v/>
      </c>
      <c r="F4098" s="235">
        <f>($B4098+$C4098+1)/2</f>
        <v/>
      </c>
      <c r="G4098" s="201">
        <f>YEAR($B4098)*12+MONTH($B4098)-1</f>
        <v/>
      </c>
      <c r="H4098" s="207">
        <f>IF(OR(nr_SeasonOn="OFF",re_srow=0,re_ssum=0),1,12*INDEX(se_block,re_srow,$E4098)/re_ssum)</f>
        <v/>
      </c>
      <c r="I4098" s="208">
        <f>EXP(SUMPRODUCT(($A$3806:$A$4045&lt;$B4098)*(rl_key=nr_SelKey)*$E$3806:$E$4045))</f>
        <v/>
      </c>
      <c r="J4098" s="208">
        <f>EXP(SUMPRODUCT(($A$3806:$A$4045&lt;=$C4098)*(rl_key=nr_SelKey)*$E$3806:$E$4045))</f>
        <v/>
      </c>
      <c r="K4098" s="201">
        <f>COUNTIFS(rl_key,nr_SelKey,$A$3806:$A$4045,"&gt;="&amp;$B4098,$A$3806:$A$4045,"&lt;="&amp;$C4098)</f>
        <v/>
      </c>
      <c r="L4098" s="201">
        <f>SUMIFS($F$3806:$F$4045,rl_key,nr_SelKey,$B$3806:$B$4045,$B4098,$I$3806:$I$4045,1)</f>
        <v/>
      </c>
      <c r="M4098" s="209">
        <f>IF($K4098=0,0,MIN(1,$L4098/$D4098))</f>
        <v/>
      </c>
      <c r="N4098" s="208">
        <f>IF($K4098=0,$J4098,(1-$M4098)*$I4098+$M4098*$J4098)</f>
        <v/>
      </c>
      <c r="O4098" s="209">
        <f>IF($F4098&lt;$B$4049,$E$4049+$I$4049*($F4098-$A$4049),IF($F4098&lt;$C$4049,$F$4049+$J$4049*($F4098-$B$4049),$G$4049+$K$4049*($F4098-$C$4049)))</f>
        <v/>
      </c>
      <c r="P4098" s="208">
        <f>MIN(1,MAX(0,(nr_MEndPm1-$G4098+0.5)/nr_TermMonths))-MIN(1,MAX(0,(nr_MStartPm1-1-$G4098+0.5)/nr_TermMonths))</f>
        <v/>
      </c>
      <c r="Q4098" s="208">
        <f>MIN(1,MAX(0,(nr_MEndP-$G4098+0.5)/nr_TermMonths))-MIN(1,MAX(0,(nr_MStartP-1-$G4098+0.5)/nr_TermMonths))</f>
        <v/>
      </c>
      <c r="R4098" s="208">
        <f>MIN(1,MAX(0,(nr_MEndP1-$G4098+0.5)/nr_TermMonths))-MIN(1,MAX(0,(nr_MStartP1-1-$G4098+0.5)/nr_TermMonths))</f>
        <v/>
      </c>
      <c r="S4098" s="208">
        <f>IF(nr_NetMode,$N4098*IF(nr_ModAdjEff="ON",$O4098/nr_MInd,1),"")</f>
        <v/>
      </c>
      <c r="T4098" s="208">
        <f>IF(NOT(nr_NetMode),"",IF($G4098&lt;nr_MStartP,$S4098,$T4086*(1+IF($G4098&lt;nr_MStartP1,(nr_NetSelP+N(INDEX(sc_dnet,1))),(nr_NetSelP1+N(INDEX(sc_dnet,1)))))))</f>
        <v/>
      </c>
      <c r="U4098" s="208">
        <f>IF(nr_NetMode,$T4098,$N4098)</f>
        <v/>
      </c>
    </row>
    <row r="4099">
      <c r="A4099" s="6" t="inlineStr">
        <is>
          <t>S1 results:</t>
        </is>
      </c>
      <c r="B4099" s="72">
        <f>SUMPRODUCT($H$4051:$H$4098,$Q$4051:$Q$4098,$U$4051:$U$4098)/SUMPRODUCT($H$4051:$H$4098,$Q$4051:$Q$4098)</f>
        <v/>
      </c>
      <c r="C4099" s="72">
        <f>SUMPRODUCT($H$4051:$H$4098,$R$4051:$R$4098,$U$4051:$U$4098)/SUMPRODUCT($H$4051:$H$4098,$R$4051:$R$4098)</f>
        <v/>
      </c>
      <c r="D4099" s="184">
        <f>SUMPRODUCT($H$4051:$H$4098,$Q$4051:$Q$4098,$O$4051:$O$4098)/SUMPRODUCT($H$4051:$H$4098,$Q$4051:$Q$4098)</f>
        <v/>
      </c>
    </row>
    <row r="4102">
      <c r="A4102" s="233"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145" t="n">
        <v>1</v>
      </c>
      <c r="B4105" s="204">
        <f>DATE(nr_PlanYear-2,1,1)</f>
        <v/>
      </c>
      <c r="C4105" s="205">
        <f>EOMONTH($B4105,0)</f>
        <v/>
      </c>
      <c r="D4105" s="201">
        <f>$C4105-$B4105+1</f>
        <v/>
      </c>
      <c r="E4105" s="201">
        <f>MONTH($B4105)</f>
        <v/>
      </c>
      <c r="F4105" s="235">
        <f>($B4105+$C4105+1)/2</f>
        <v/>
      </c>
      <c r="G4105" s="201">
        <f>YEAR($B4105)*12+MONTH($B4105)-1</f>
        <v/>
      </c>
      <c r="H4105" s="207">
        <f>IF(OR(nr_SeasonOn="OFF",re_srow=0,re_ssum=0),1,12*INDEX(se_block,re_srow,$E4105)/re_ssum)</f>
        <v/>
      </c>
      <c r="I4105" s="208">
        <f>EXP(SUMPRODUCT(($K$3806:$K$4045&lt;$B4105)*(rl_key=nr_SelKey)*$O$3806:$O$4045))</f>
        <v/>
      </c>
      <c r="J4105" s="208">
        <f>EXP(SUMPRODUCT(($K$3806:$K$4045&lt;=$C4105)*(rl_key=nr_SelKey)*$O$3806:$O$4045))</f>
        <v/>
      </c>
      <c r="K4105" s="201">
        <f>COUNTIFS(rl_key,nr_SelKey,$K$3806:$K$4045,"&gt;="&amp;$B4105,$K$3806:$K$4045,"&lt;="&amp;$C4105)</f>
        <v/>
      </c>
      <c r="L4105" s="201">
        <f>SUMIFS($P$3806:$P$4045,rl_key,nr_SelKey,$L$3806:$L$4045,$B4105,$S$3806:$S$4045,1)</f>
        <v/>
      </c>
      <c r="M4105" s="209">
        <f>IF($K4105=0,0,MIN(1,$L4105/$D4105))</f>
        <v/>
      </c>
      <c r="N4105" s="208">
        <f>IF($K4105=0,$J4105,(1-$M4105)*$I4105+$M4105*$J4105)</f>
        <v/>
      </c>
      <c r="O4105" s="209">
        <f>IF($F4105&lt;$B$4103,$E$4103+$I$4103*($F4105-$A$4103),IF($F4105&lt;$C$4103,$F$4103+$J$4103*($F4105-$B$4103),$G$4103+$K$4103*($F4105-$C$4103)))</f>
        <v/>
      </c>
      <c r="P4105" s="208">
        <f>MIN(1,MAX(0,(nr_MEndPm1-$G4105+0.5)/nr_TermMonths))-MIN(1,MAX(0,(nr_MStartPm1-1-$G4105+0.5)/nr_TermMonths))</f>
        <v/>
      </c>
      <c r="Q4105" s="208">
        <f>MIN(1,MAX(0,(nr_MEndP-$G4105+0.5)/nr_TermMonths))-MIN(1,MAX(0,(nr_MStartP-1-$G4105+0.5)/nr_TermMonths))</f>
        <v/>
      </c>
      <c r="R4105" s="208">
        <f>MIN(1,MAX(0,(nr_MEndP1-$G4105+0.5)/nr_TermMonths))-MIN(1,MAX(0,(nr_MStartP1-1-$G4105+0.5)/nr_TermMonths))</f>
        <v/>
      </c>
      <c r="S4105" s="208">
        <f>IF(nr_NetMode,$N4105*IF(nr_ModAdjEff="ON",$O4105/nr_MInd,1),"")</f>
        <v/>
      </c>
      <c r="T4105" s="208">
        <f>IF(NOT(nr_NetMode),"",IF($G4105&lt;nr_MStartP,$S4105,$T4093*(1+IF($G4105&lt;nr_MStartP1,(nr_NetSelP+N(INDEX(sc_dnet,2))),(nr_NetSelP1+N(INDEX(sc_dnet,2)))))))</f>
        <v/>
      </c>
      <c r="U4105" s="208">
        <f>IF(nr_NetMode,$T4105,$N4105)</f>
        <v/>
      </c>
    </row>
    <row r="4106">
      <c r="A4106" s="145" t="n">
        <v>2</v>
      </c>
      <c r="B4106" s="204">
        <f>EDATE($B4105,1)</f>
        <v/>
      </c>
      <c r="C4106" s="205">
        <f>EOMONTH($B4106,0)</f>
        <v/>
      </c>
      <c r="D4106" s="201">
        <f>$C4106-$B4106+1</f>
        <v/>
      </c>
      <c r="E4106" s="201">
        <f>MONTH($B4106)</f>
        <v/>
      </c>
      <c r="F4106" s="235">
        <f>($B4106+$C4106+1)/2</f>
        <v/>
      </c>
      <c r="G4106" s="201">
        <f>YEAR($B4106)*12+MONTH($B4106)-1</f>
        <v/>
      </c>
      <c r="H4106" s="207">
        <f>IF(OR(nr_SeasonOn="OFF",re_srow=0,re_ssum=0),1,12*INDEX(se_block,re_srow,$E4106)/re_ssum)</f>
        <v/>
      </c>
      <c r="I4106" s="208">
        <f>EXP(SUMPRODUCT(($K$3806:$K$4045&lt;$B4106)*(rl_key=nr_SelKey)*$O$3806:$O$4045))</f>
        <v/>
      </c>
      <c r="J4106" s="208">
        <f>EXP(SUMPRODUCT(($K$3806:$K$4045&lt;=$C4106)*(rl_key=nr_SelKey)*$O$3806:$O$4045))</f>
        <v/>
      </c>
      <c r="K4106" s="201">
        <f>COUNTIFS(rl_key,nr_SelKey,$K$3806:$K$4045,"&gt;="&amp;$B4106,$K$3806:$K$4045,"&lt;="&amp;$C4106)</f>
        <v/>
      </c>
      <c r="L4106" s="201">
        <f>SUMIFS($P$3806:$P$4045,rl_key,nr_SelKey,$L$3806:$L$4045,$B4106,$S$3806:$S$4045,1)</f>
        <v/>
      </c>
      <c r="M4106" s="209">
        <f>IF($K4106=0,0,MIN(1,$L4106/$D4106))</f>
        <v/>
      </c>
      <c r="N4106" s="208">
        <f>IF($K4106=0,$J4106,(1-$M4106)*$I4106+$M4106*$J4106)</f>
        <v/>
      </c>
      <c r="O4106" s="209">
        <f>IF($F4106&lt;$B$4103,$E$4103+$I$4103*($F4106-$A$4103),IF($F4106&lt;$C$4103,$F$4103+$J$4103*($F4106-$B$4103),$G$4103+$K$4103*($F4106-$C$4103)))</f>
        <v/>
      </c>
      <c r="P4106" s="208">
        <f>MIN(1,MAX(0,(nr_MEndPm1-$G4106+0.5)/nr_TermMonths))-MIN(1,MAX(0,(nr_MStartPm1-1-$G4106+0.5)/nr_TermMonths))</f>
        <v/>
      </c>
      <c r="Q4106" s="208">
        <f>MIN(1,MAX(0,(nr_MEndP-$G4106+0.5)/nr_TermMonths))-MIN(1,MAX(0,(nr_MStartP-1-$G4106+0.5)/nr_TermMonths))</f>
        <v/>
      </c>
      <c r="R4106" s="208">
        <f>MIN(1,MAX(0,(nr_MEndP1-$G4106+0.5)/nr_TermMonths))-MIN(1,MAX(0,(nr_MStartP1-1-$G4106+0.5)/nr_TermMonths))</f>
        <v/>
      </c>
      <c r="S4106" s="208">
        <f>IF(nr_NetMode,$N4106*IF(nr_ModAdjEff="ON",$O4106/nr_MInd,1),"")</f>
        <v/>
      </c>
      <c r="T4106" s="208">
        <f>IF(NOT(nr_NetMode),"",IF($G4106&lt;nr_MStartP,$S4106,$T4094*(1+IF($G4106&lt;nr_MStartP1,(nr_NetSelP+N(INDEX(sc_dnet,2))),(nr_NetSelP1+N(INDEX(sc_dnet,2)))))))</f>
        <v/>
      </c>
      <c r="U4106" s="208">
        <f>IF(nr_NetMode,$T4106,$N4106)</f>
        <v/>
      </c>
    </row>
    <row r="4107">
      <c r="A4107" s="145" t="n">
        <v>3</v>
      </c>
      <c r="B4107" s="204">
        <f>EDATE($B4106,1)</f>
        <v/>
      </c>
      <c r="C4107" s="205">
        <f>EOMONTH($B4107,0)</f>
        <v/>
      </c>
      <c r="D4107" s="201">
        <f>$C4107-$B4107+1</f>
        <v/>
      </c>
      <c r="E4107" s="201">
        <f>MONTH($B4107)</f>
        <v/>
      </c>
      <c r="F4107" s="235">
        <f>($B4107+$C4107+1)/2</f>
        <v/>
      </c>
      <c r="G4107" s="201">
        <f>YEAR($B4107)*12+MONTH($B4107)-1</f>
        <v/>
      </c>
      <c r="H4107" s="207">
        <f>IF(OR(nr_SeasonOn="OFF",re_srow=0,re_ssum=0),1,12*INDEX(se_block,re_srow,$E4107)/re_ssum)</f>
        <v/>
      </c>
      <c r="I4107" s="208">
        <f>EXP(SUMPRODUCT(($K$3806:$K$4045&lt;$B4107)*(rl_key=nr_SelKey)*$O$3806:$O$4045))</f>
        <v/>
      </c>
      <c r="J4107" s="208">
        <f>EXP(SUMPRODUCT(($K$3806:$K$4045&lt;=$C4107)*(rl_key=nr_SelKey)*$O$3806:$O$4045))</f>
        <v/>
      </c>
      <c r="K4107" s="201">
        <f>COUNTIFS(rl_key,nr_SelKey,$K$3806:$K$4045,"&gt;="&amp;$B4107,$K$3806:$K$4045,"&lt;="&amp;$C4107)</f>
        <v/>
      </c>
      <c r="L4107" s="201">
        <f>SUMIFS($P$3806:$P$4045,rl_key,nr_SelKey,$L$3806:$L$4045,$B4107,$S$3806:$S$4045,1)</f>
        <v/>
      </c>
      <c r="M4107" s="209">
        <f>IF($K4107=0,0,MIN(1,$L4107/$D4107))</f>
        <v/>
      </c>
      <c r="N4107" s="208">
        <f>IF($K4107=0,$J4107,(1-$M4107)*$I4107+$M4107*$J4107)</f>
        <v/>
      </c>
      <c r="O4107" s="209">
        <f>IF($F4107&lt;$B$4103,$E$4103+$I$4103*($F4107-$A$4103),IF($F4107&lt;$C$4103,$F$4103+$J$4103*($F4107-$B$4103),$G$4103+$K$4103*($F4107-$C$4103)))</f>
        <v/>
      </c>
      <c r="P4107" s="208">
        <f>MIN(1,MAX(0,(nr_MEndPm1-$G4107+0.5)/nr_TermMonths))-MIN(1,MAX(0,(nr_MStartPm1-1-$G4107+0.5)/nr_TermMonths))</f>
        <v/>
      </c>
      <c r="Q4107" s="208">
        <f>MIN(1,MAX(0,(nr_MEndP-$G4107+0.5)/nr_TermMonths))-MIN(1,MAX(0,(nr_MStartP-1-$G4107+0.5)/nr_TermMonths))</f>
        <v/>
      </c>
      <c r="R4107" s="208">
        <f>MIN(1,MAX(0,(nr_MEndP1-$G4107+0.5)/nr_TermMonths))-MIN(1,MAX(0,(nr_MStartP1-1-$G4107+0.5)/nr_TermMonths))</f>
        <v/>
      </c>
      <c r="S4107" s="208">
        <f>IF(nr_NetMode,$N4107*IF(nr_ModAdjEff="ON",$O4107/nr_MInd,1),"")</f>
        <v/>
      </c>
      <c r="T4107" s="208">
        <f>IF(NOT(nr_NetMode),"",IF($G4107&lt;nr_MStartP,$S4107,$T4095*(1+IF($G4107&lt;nr_MStartP1,(nr_NetSelP+N(INDEX(sc_dnet,2))),(nr_NetSelP1+N(INDEX(sc_dnet,2)))))))</f>
        <v/>
      </c>
      <c r="U4107" s="208">
        <f>IF(nr_NetMode,$T4107,$N4107)</f>
        <v/>
      </c>
    </row>
    <row r="4108">
      <c r="A4108" s="145" t="n">
        <v>4</v>
      </c>
      <c r="B4108" s="204">
        <f>EDATE($B4107,1)</f>
        <v/>
      </c>
      <c r="C4108" s="205">
        <f>EOMONTH($B4108,0)</f>
        <v/>
      </c>
      <c r="D4108" s="201">
        <f>$C4108-$B4108+1</f>
        <v/>
      </c>
      <c r="E4108" s="201">
        <f>MONTH($B4108)</f>
        <v/>
      </c>
      <c r="F4108" s="235">
        <f>($B4108+$C4108+1)/2</f>
        <v/>
      </c>
      <c r="G4108" s="201">
        <f>YEAR($B4108)*12+MONTH($B4108)-1</f>
        <v/>
      </c>
      <c r="H4108" s="207">
        <f>IF(OR(nr_SeasonOn="OFF",re_srow=0,re_ssum=0),1,12*INDEX(se_block,re_srow,$E4108)/re_ssum)</f>
        <v/>
      </c>
      <c r="I4108" s="208">
        <f>EXP(SUMPRODUCT(($K$3806:$K$4045&lt;$B4108)*(rl_key=nr_SelKey)*$O$3806:$O$4045))</f>
        <v/>
      </c>
      <c r="J4108" s="208">
        <f>EXP(SUMPRODUCT(($K$3806:$K$4045&lt;=$C4108)*(rl_key=nr_SelKey)*$O$3806:$O$4045))</f>
        <v/>
      </c>
      <c r="K4108" s="201">
        <f>COUNTIFS(rl_key,nr_SelKey,$K$3806:$K$4045,"&gt;="&amp;$B4108,$K$3806:$K$4045,"&lt;="&amp;$C4108)</f>
        <v/>
      </c>
      <c r="L4108" s="201">
        <f>SUMIFS($P$3806:$P$4045,rl_key,nr_SelKey,$L$3806:$L$4045,$B4108,$S$3806:$S$4045,1)</f>
        <v/>
      </c>
      <c r="M4108" s="209">
        <f>IF($K4108=0,0,MIN(1,$L4108/$D4108))</f>
        <v/>
      </c>
      <c r="N4108" s="208">
        <f>IF($K4108=0,$J4108,(1-$M4108)*$I4108+$M4108*$J4108)</f>
        <v/>
      </c>
      <c r="O4108" s="209">
        <f>IF($F4108&lt;$B$4103,$E$4103+$I$4103*($F4108-$A$4103),IF($F4108&lt;$C$4103,$F$4103+$J$4103*($F4108-$B$4103),$G$4103+$K$4103*($F4108-$C$4103)))</f>
        <v/>
      </c>
      <c r="P4108" s="208">
        <f>MIN(1,MAX(0,(nr_MEndPm1-$G4108+0.5)/nr_TermMonths))-MIN(1,MAX(0,(nr_MStartPm1-1-$G4108+0.5)/nr_TermMonths))</f>
        <v/>
      </c>
      <c r="Q4108" s="208">
        <f>MIN(1,MAX(0,(nr_MEndP-$G4108+0.5)/nr_TermMonths))-MIN(1,MAX(0,(nr_MStartP-1-$G4108+0.5)/nr_TermMonths))</f>
        <v/>
      </c>
      <c r="R4108" s="208">
        <f>MIN(1,MAX(0,(nr_MEndP1-$G4108+0.5)/nr_TermMonths))-MIN(1,MAX(0,(nr_MStartP1-1-$G4108+0.5)/nr_TermMonths))</f>
        <v/>
      </c>
      <c r="S4108" s="208">
        <f>IF(nr_NetMode,$N4108*IF(nr_ModAdjEff="ON",$O4108/nr_MInd,1),"")</f>
        <v/>
      </c>
      <c r="T4108" s="208">
        <f>IF(NOT(nr_NetMode),"",IF($G4108&lt;nr_MStartP,$S4108,$T4096*(1+IF($G4108&lt;nr_MStartP1,(nr_NetSelP+N(INDEX(sc_dnet,2))),(nr_NetSelP1+N(INDEX(sc_dnet,2)))))))</f>
        <v/>
      </c>
      <c r="U4108" s="208">
        <f>IF(nr_NetMode,$T4108,$N4108)</f>
        <v/>
      </c>
    </row>
    <row r="4109">
      <c r="A4109" s="145" t="n">
        <v>5</v>
      </c>
      <c r="B4109" s="204">
        <f>EDATE($B4108,1)</f>
        <v/>
      </c>
      <c r="C4109" s="205">
        <f>EOMONTH($B4109,0)</f>
        <v/>
      </c>
      <c r="D4109" s="201">
        <f>$C4109-$B4109+1</f>
        <v/>
      </c>
      <c r="E4109" s="201">
        <f>MONTH($B4109)</f>
        <v/>
      </c>
      <c r="F4109" s="235">
        <f>($B4109+$C4109+1)/2</f>
        <v/>
      </c>
      <c r="G4109" s="201">
        <f>YEAR($B4109)*12+MONTH($B4109)-1</f>
        <v/>
      </c>
      <c r="H4109" s="207">
        <f>IF(OR(nr_SeasonOn="OFF",re_srow=0,re_ssum=0),1,12*INDEX(se_block,re_srow,$E4109)/re_ssum)</f>
        <v/>
      </c>
      <c r="I4109" s="208">
        <f>EXP(SUMPRODUCT(($K$3806:$K$4045&lt;$B4109)*(rl_key=nr_SelKey)*$O$3806:$O$4045))</f>
        <v/>
      </c>
      <c r="J4109" s="208">
        <f>EXP(SUMPRODUCT(($K$3806:$K$4045&lt;=$C4109)*(rl_key=nr_SelKey)*$O$3806:$O$4045))</f>
        <v/>
      </c>
      <c r="K4109" s="201">
        <f>COUNTIFS(rl_key,nr_SelKey,$K$3806:$K$4045,"&gt;="&amp;$B4109,$K$3806:$K$4045,"&lt;="&amp;$C4109)</f>
        <v/>
      </c>
      <c r="L4109" s="201">
        <f>SUMIFS($P$3806:$P$4045,rl_key,nr_SelKey,$L$3806:$L$4045,$B4109,$S$3806:$S$4045,1)</f>
        <v/>
      </c>
      <c r="M4109" s="209">
        <f>IF($K4109=0,0,MIN(1,$L4109/$D4109))</f>
        <v/>
      </c>
      <c r="N4109" s="208">
        <f>IF($K4109=0,$J4109,(1-$M4109)*$I4109+$M4109*$J4109)</f>
        <v/>
      </c>
      <c r="O4109" s="209">
        <f>IF($F4109&lt;$B$4103,$E$4103+$I$4103*($F4109-$A$4103),IF($F4109&lt;$C$4103,$F$4103+$J$4103*($F4109-$B$4103),$G$4103+$K$4103*($F4109-$C$4103)))</f>
        <v/>
      </c>
      <c r="P4109" s="208">
        <f>MIN(1,MAX(0,(nr_MEndPm1-$G4109+0.5)/nr_TermMonths))-MIN(1,MAX(0,(nr_MStartPm1-1-$G4109+0.5)/nr_TermMonths))</f>
        <v/>
      </c>
      <c r="Q4109" s="208">
        <f>MIN(1,MAX(0,(nr_MEndP-$G4109+0.5)/nr_TermMonths))-MIN(1,MAX(0,(nr_MStartP-1-$G4109+0.5)/nr_TermMonths))</f>
        <v/>
      </c>
      <c r="R4109" s="208">
        <f>MIN(1,MAX(0,(nr_MEndP1-$G4109+0.5)/nr_TermMonths))-MIN(1,MAX(0,(nr_MStartP1-1-$G4109+0.5)/nr_TermMonths))</f>
        <v/>
      </c>
      <c r="S4109" s="208">
        <f>IF(nr_NetMode,$N4109*IF(nr_ModAdjEff="ON",$O4109/nr_MInd,1),"")</f>
        <v/>
      </c>
      <c r="T4109" s="208">
        <f>IF(NOT(nr_NetMode),"",IF($G4109&lt;nr_MStartP,$S4109,$T4097*(1+IF($G4109&lt;nr_MStartP1,(nr_NetSelP+N(INDEX(sc_dnet,2))),(nr_NetSelP1+N(INDEX(sc_dnet,2)))))))</f>
        <v/>
      </c>
      <c r="U4109" s="208">
        <f>IF(nr_NetMode,$T4109,$N4109)</f>
        <v/>
      </c>
    </row>
    <row r="4110">
      <c r="A4110" s="145" t="n">
        <v>6</v>
      </c>
      <c r="B4110" s="204">
        <f>EDATE($B4109,1)</f>
        <v/>
      </c>
      <c r="C4110" s="205">
        <f>EOMONTH($B4110,0)</f>
        <v/>
      </c>
      <c r="D4110" s="201">
        <f>$C4110-$B4110+1</f>
        <v/>
      </c>
      <c r="E4110" s="201">
        <f>MONTH($B4110)</f>
        <v/>
      </c>
      <c r="F4110" s="235">
        <f>($B4110+$C4110+1)/2</f>
        <v/>
      </c>
      <c r="G4110" s="201">
        <f>YEAR($B4110)*12+MONTH($B4110)-1</f>
        <v/>
      </c>
      <c r="H4110" s="207">
        <f>IF(OR(nr_SeasonOn="OFF",re_srow=0,re_ssum=0),1,12*INDEX(se_block,re_srow,$E4110)/re_ssum)</f>
        <v/>
      </c>
      <c r="I4110" s="208">
        <f>EXP(SUMPRODUCT(($K$3806:$K$4045&lt;$B4110)*(rl_key=nr_SelKey)*$O$3806:$O$4045))</f>
        <v/>
      </c>
      <c r="J4110" s="208">
        <f>EXP(SUMPRODUCT(($K$3806:$K$4045&lt;=$C4110)*(rl_key=nr_SelKey)*$O$3806:$O$4045))</f>
        <v/>
      </c>
      <c r="K4110" s="201">
        <f>COUNTIFS(rl_key,nr_SelKey,$K$3806:$K$4045,"&gt;="&amp;$B4110,$K$3806:$K$4045,"&lt;="&amp;$C4110)</f>
        <v/>
      </c>
      <c r="L4110" s="201">
        <f>SUMIFS($P$3806:$P$4045,rl_key,nr_SelKey,$L$3806:$L$4045,$B4110,$S$3806:$S$4045,1)</f>
        <v/>
      </c>
      <c r="M4110" s="209">
        <f>IF($K4110=0,0,MIN(1,$L4110/$D4110))</f>
        <v/>
      </c>
      <c r="N4110" s="208">
        <f>IF($K4110=0,$J4110,(1-$M4110)*$I4110+$M4110*$J4110)</f>
        <v/>
      </c>
      <c r="O4110" s="209">
        <f>IF($F4110&lt;$B$4103,$E$4103+$I$4103*($F4110-$A$4103),IF($F4110&lt;$C$4103,$F$4103+$J$4103*($F4110-$B$4103),$G$4103+$K$4103*($F4110-$C$4103)))</f>
        <v/>
      </c>
      <c r="P4110" s="208">
        <f>MIN(1,MAX(0,(nr_MEndPm1-$G4110+0.5)/nr_TermMonths))-MIN(1,MAX(0,(nr_MStartPm1-1-$G4110+0.5)/nr_TermMonths))</f>
        <v/>
      </c>
      <c r="Q4110" s="208">
        <f>MIN(1,MAX(0,(nr_MEndP-$G4110+0.5)/nr_TermMonths))-MIN(1,MAX(0,(nr_MStartP-1-$G4110+0.5)/nr_TermMonths))</f>
        <v/>
      </c>
      <c r="R4110" s="208">
        <f>MIN(1,MAX(0,(nr_MEndP1-$G4110+0.5)/nr_TermMonths))-MIN(1,MAX(0,(nr_MStartP1-1-$G4110+0.5)/nr_TermMonths))</f>
        <v/>
      </c>
      <c r="S4110" s="208">
        <f>IF(nr_NetMode,$N4110*IF(nr_ModAdjEff="ON",$O4110/nr_MInd,1),"")</f>
        <v/>
      </c>
      <c r="T4110" s="208">
        <f>IF(NOT(nr_NetMode),"",IF($G4110&lt;nr_MStartP,$S4110,$T4098*(1+IF($G4110&lt;nr_MStartP1,(nr_NetSelP+N(INDEX(sc_dnet,2))),(nr_NetSelP1+N(INDEX(sc_dnet,2)))))))</f>
        <v/>
      </c>
      <c r="U4110" s="208">
        <f>IF(nr_NetMode,$T4110,$N4110)</f>
        <v/>
      </c>
    </row>
    <row r="4111">
      <c r="A4111" s="145" t="n">
        <v>7</v>
      </c>
      <c r="B4111" s="204">
        <f>EDATE($B4110,1)</f>
        <v/>
      </c>
      <c r="C4111" s="205">
        <f>EOMONTH($B4111,0)</f>
        <v/>
      </c>
      <c r="D4111" s="201">
        <f>$C4111-$B4111+1</f>
        <v/>
      </c>
      <c r="E4111" s="201">
        <f>MONTH($B4111)</f>
        <v/>
      </c>
      <c r="F4111" s="235">
        <f>($B4111+$C4111+1)/2</f>
        <v/>
      </c>
      <c r="G4111" s="201">
        <f>YEAR($B4111)*12+MONTH($B4111)-1</f>
        <v/>
      </c>
      <c r="H4111" s="207">
        <f>IF(OR(nr_SeasonOn="OFF",re_srow=0,re_ssum=0),1,12*INDEX(se_block,re_srow,$E4111)/re_ssum)</f>
        <v/>
      </c>
      <c r="I4111" s="208">
        <f>EXP(SUMPRODUCT(($K$3806:$K$4045&lt;$B4111)*(rl_key=nr_SelKey)*$O$3806:$O$4045))</f>
        <v/>
      </c>
      <c r="J4111" s="208">
        <f>EXP(SUMPRODUCT(($K$3806:$K$4045&lt;=$C4111)*(rl_key=nr_SelKey)*$O$3806:$O$4045))</f>
        <v/>
      </c>
      <c r="K4111" s="201">
        <f>COUNTIFS(rl_key,nr_SelKey,$K$3806:$K$4045,"&gt;="&amp;$B4111,$K$3806:$K$4045,"&lt;="&amp;$C4111)</f>
        <v/>
      </c>
      <c r="L4111" s="201">
        <f>SUMIFS($P$3806:$P$4045,rl_key,nr_SelKey,$L$3806:$L$4045,$B4111,$S$3806:$S$4045,1)</f>
        <v/>
      </c>
      <c r="M4111" s="209">
        <f>IF($K4111=0,0,MIN(1,$L4111/$D4111))</f>
        <v/>
      </c>
      <c r="N4111" s="208">
        <f>IF($K4111=0,$J4111,(1-$M4111)*$I4111+$M4111*$J4111)</f>
        <v/>
      </c>
      <c r="O4111" s="209">
        <f>IF($F4111&lt;$B$4103,$E$4103+$I$4103*($F4111-$A$4103),IF($F4111&lt;$C$4103,$F$4103+$J$4103*($F4111-$B$4103),$G$4103+$K$4103*($F4111-$C$4103)))</f>
        <v/>
      </c>
      <c r="P4111" s="208">
        <f>MIN(1,MAX(0,(nr_MEndPm1-$G4111+0.5)/nr_TermMonths))-MIN(1,MAX(0,(nr_MStartPm1-1-$G4111+0.5)/nr_TermMonths))</f>
        <v/>
      </c>
      <c r="Q4111" s="208">
        <f>MIN(1,MAX(0,(nr_MEndP-$G4111+0.5)/nr_TermMonths))-MIN(1,MAX(0,(nr_MStartP-1-$G4111+0.5)/nr_TermMonths))</f>
        <v/>
      </c>
      <c r="R4111" s="208">
        <f>MIN(1,MAX(0,(nr_MEndP1-$G4111+0.5)/nr_TermMonths))-MIN(1,MAX(0,(nr_MStartP1-1-$G4111+0.5)/nr_TermMonths))</f>
        <v/>
      </c>
      <c r="S4111" s="208">
        <f>IF(nr_NetMode,$N4111*IF(nr_ModAdjEff="ON",$O4111/nr_MInd,1),"")</f>
        <v/>
      </c>
      <c r="T4111" s="208">
        <f>IF(NOT(nr_NetMode),"",IF($G4111&lt;nr_MStartP,$S4111,$T4099*(1+IF($G4111&lt;nr_MStartP1,(nr_NetSelP+N(INDEX(sc_dnet,2))),(nr_NetSelP1+N(INDEX(sc_dnet,2)))))))</f>
        <v/>
      </c>
      <c r="U4111" s="208">
        <f>IF(nr_NetMode,$T4111,$N4111)</f>
        <v/>
      </c>
    </row>
    <row r="4112">
      <c r="A4112" s="145" t="n">
        <v>8</v>
      </c>
      <c r="B4112" s="204">
        <f>EDATE($B4111,1)</f>
        <v/>
      </c>
      <c r="C4112" s="205">
        <f>EOMONTH($B4112,0)</f>
        <v/>
      </c>
      <c r="D4112" s="201">
        <f>$C4112-$B4112+1</f>
        <v/>
      </c>
      <c r="E4112" s="201">
        <f>MONTH($B4112)</f>
        <v/>
      </c>
      <c r="F4112" s="235">
        <f>($B4112+$C4112+1)/2</f>
        <v/>
      </c>
      <c r="G4112" s="201">
        <f>YEAR($B4112)*12+MONTH($B4112)-1</f>
        <v/>
      </c>
      <c r="H4112" s="207">
        <f>IF(OR(nr_SeasonOn="OFF",re_srow=0,re_ssum=0),1,12*INDEX(se_block,re_srow,$E4112)/re_ssum)</f>
        <v/>
      </c>
      <c r="I4112" s="208">
        <f>EXP(SUMPRODUCT(($K$3806:$K$4045&lt;$B4112)*(rl_key=nr_SelKey)*$O$3806:$O$4045))</f>
        <v/>
      </c>
      <c r="J4112" s="208">
        <f>EXP(SUMPRODUCT(($K$3806:$K$4045&lt;=$C4112)*(rl_key=nr_SelKey)*$O$3806:$O$4045))</f>
        <v/>
      </c>
      <c r="K4112" s="201">
        <f>COUNTIFS(rl_key,nr_SelKey,$K$3806:$K$4045,"&gt;="&amp;$B4112,$K$3806:$K$4045,"&lt;="&amp;$C4112)</f>
        <v/>
      </c>
      <c r="L4112" s="201">
        <f>SUMIFS($P$3806:$P$4045,rl_key,nr_SelKey,$L$3806:$L$4045,$B4112,$S$3806:$S$4045,1)</f>
        <v/>
      </c>
      <c r="M4112" s="209">
        <f>IF($K4112=0,0,MIN(1,$L4112/$D4112))</f>
        <v/>
      </c>
      <c r="N4112" s="208">
        <f>IF($K4112=0,$J4112,(1-$M4112)*$I4112+$M4112*$J4112)</f>
        <v/>
      </c>
      <c r="O4112" s="209">
        <f>IF($F4112&lt;$B$4103,$E$4103+$I$4103*($F4112-$A$4103),IF($F4112&lt;$C$4103,$F$4103+$J$4103*($F4112-$B$4103),$G$4103+$K$4103*($F4112-$C$4103)))</f>
        <v/>
      </c>
      <c r="P4112" s="208">
        <f>MIN(1,MAX(0,(nr_MEndPm1-$G4112+0.5)/nr_TermMonths))-MIN(1,MAX(0,(nr_MStartPm1-1-$G4112+0.5)/nr_TermMonths))</f>
        <v/>
      </c>
      <c r="Q4112" s="208">
        <f>MIN(1,MAX(0,(nr_MEndP-$G4112+0.5)/nr_TermMonths))-MIN(1,MAX(0,(nr_MStartP-1-$G4112+0.5)/nr_TermMonths))</f>
        <v/>
      </c>
      <c r="R4112" s="208">
        <f>MIN(1,MAX(0,(nr_MEndP1-$G4112+0.5)/nr_TermMonths))-MIN(1,MAX(0,(nr_MStartP1-1-$G4112+0.5)/nr_TermMonths))</f>
        <v/>
      </c>
      <c r="S4112" s="208">
        <f>IF(nr_NetMode,$N4112*IF(nr_ModAdjEff="ON",$O4112/nr_MInd,1),"")</f>
        <v/>
      </c>
      <c r="T4112" s="208">
        <f>IF(NOT(nr_NetMode),"",IF($G4112&lt;nr_MStartP,$S4112,$T4100*(1+IF($G4112&lt;nr_MStartP1,(nr_NetSelP+N(INDEX(sc_dnet,2))),(nr_NetSelP1+N(INDEX(sc_dnet,2)))))))</f>
        <v/>
      </c>
      <c r="U4112" s="208">
        <f>IF(nr_NetMode,$T4112,$N4112)</f>
        <v/>
      </c>
    </row>
    <row r="4113">
      <c r="A4113" s="145" t="n">
        <v>9</v>
      </c>
      <c r="B4113" s="204">
        <f>EDATE($B4112,1)</f>
        <v/>
      </c>
      <c r="C4113" s="205">
        <f>EOMONTH($B4113,0)</f>
        <v/>
      </c>
      <c r="D4113" s="201">
        <f>$C4113-$B4113+1</f>
        <v/>
      </c>
      <c r="E4113" s="201">
        <f>MONTH($B4113)</f>
        <v/>
      </c>
      <c r="F4113" s="235">
        <f>($B4113+$C4113+1)/2</f>
        <v/>
      </c>
      <c r="G4113" s="201">
        <f>YEAR($B4113)*12+MONTH($B4113)-1</f>
        <v/>
      </c>
      <c r="H4113" s="207">
        <f>IF(OR(nr_SeasonOn="OFF",re_srow=0,re_ssum=0),1,12*INDEX(se_block,re_srow,$E4113)/re_ssum)</f>
        <v/>
      </c>
      <c r="I4113" s="208">
        <f>EXP(SUMPRODUCT(($K$3806:$K$4045&lt;$B4113)*(rl_key=nr_SelKey)*$O$3806:$O$4045))</f>
        <v/>
      </c>
      <c r="J4113" s="208">
        <f>EXP(SUMPRODUCT(($K$3806:$K$4045&lt;=$C4113)*(rl_key=nr_SelKey)*$O$3806:$O$4045))</f>
        <v/>
      </c>
      <c r="K4113" s="201">
        <f>COUNTIFS(rl_key,nr_SelKey,$K$3806:$K$4045,"&gt;="&amp;$B4113,$K$3806:$K$4045,"&lt;="&amp;$C4113)</f>
        <v/>
      </c>
      <c r="L4113" s="201">
        <f>SUMIFS($P$3806:$P$4045,rl_key,nr_SelKey,$L$3806:$L$4045,$B4113,$S$3806:$S$4045,1)</f>
        <v/>
      </c>
      <c r="M4113" s="209">
        <f>IF($K4113=0,0,MIN(1,$L4113/$D4113))</f>
        <v/>
      </c>
      <c r="N4113" s="208">
        <f>IF($K4113=0,$J4113,(1-$M4113)*$I4113+$M4113*$J4113)</f>
        <v/>
      </c>
      <c r="O4113" s="209">
        <f>IF($F4113&lt;$B$4103,$E$4103+$I$4103*($F4113-$A$4103),IF($F4113&lt;$C$4103,$F$4103+$J$4103*($F4113-$B$4103),$G$4103+$K$4103*($F4113-$C$4103)))</f>
        <v/>
      </c>
      <c r="P4113" s="208">
        <f>MIN(1,MAX(0,(nr_MEndPm1-$G4113+0.5)/nr_TermMonths))-MIN(1,MAX(0,(nr_MStartPm1-1-$G4113+0.5)/nr_TermMonths))</f>
        <v/>
      </c>
      <c r="Q4113" s="208">
        <f>MIN(1,MAX(0,(nr_MEndP-$G4113+0.5)/nr_TermMonths))-MIN(1,MAX(0,(nr_MStartP-1-$G4113+0.5)/nr_TermMonths))</f>
        <v/>
      </c>
      <c r="R4113" s="208">
        <f>MIN(1,MAX(0,(nr_MEndP1-$G4113+0.5)/nr_TermMonths))-MIN(1,MAX(0,(nr_MStartP1-1-$G4113+0.5)/nr_TermMonths))</f>
        <v/>
      </c>
      <c r="S4113" s="208">
        <f>IF(nr_NetMode,$N4113*IF(nr_ModAdjEff="ON",$O4113/nr_MInd,1),"")</f>
        <v/>
      </c>
      <c r="T4113" s="208">
        <f>IF(NOT(nr_NetMode),"",IF($G4113&lt;nr_MStartP,$S4113,$T4101*(1+IF($G4113&lt;nr_MStartP1,(nr_NetSelP+N(INDEX(sc_dnet,2))),(nr_NetSelP1+N(INDEX(sc_dnet,2)))))))</f>
        <v/>
      </c>
      <c r="U4113" s="208">
        <f>IF(nr_NetMode,$T4113,$N4113)</f>
        <v/>
      </c>
    </row>
    <row r="4114">
      <c r="A4114" s="145" t="n">
        <v>10</v>
      </c>
      <c r="B4114" s="204">
        <f>EDATE($B4113,1)</f>
        <v/>
      </c>
      <c r="C4114" s="205">
        <f>EOMONTH($B4114,0)</f>
        <v/>
      </c>
      <c r="D4114" s="201">
        <f>$C4114-$B4114+1</f>
        <v/>
      </c>
      <c r="E4114" s="201">
        <f>MONTH($B4114)</f>
        <v/>
      </c>
      <c r="F4114" s="235">
        <f>($B4114+$C4114+1)/2</f>
        <v/>
      </c>
      <c r="G4114" s="201">
        <f>YEAR($B4114)*12+MONTH($B4114)-1</f>
        <v/>
      </c>
      <c r="H4114" s="207">
        <f>IF(OR(nr_SeasonOn="OFF",re_srow=0,re_ssum=0),1,12*INDEX(se_block,re_srow,$E4114)/re_ssum)</f>
        <v/>
      </c>
      <c r="I4114" s="208">
        <f>EXP(SUMPRODUCT(($K$3806:$K$4045&lt;$B4114)*(rl_key=nr_SelKey)*$O$3806:$O$4045))</f>
        <v/>
      </c>
      <c r="J4114" s="208">
        <f>EXP(SUMPRODUCT(($K$3806:$K$4045&lt;=$C4114)*(rl_key=nr_SelKey)*$O$3806:$O$4045))</f>
        <v/>
      </c>
      <c r="K4114" s="201">
        <f>COUNTIFS(rl_key,nr_SelKey,$K$3806:$K$4045,"&gt;="&amp;$B4114,$K$3806:$K$4045,"&lt;="&amp;$C4114)</f>
        <v/>
      </c>
      <c r="L4114" s="201">
        <f>SUMIFS($P$3806:$P$4045,rl_key,nr_SelKey,$L$3806:$L$4045,$B4114,$S$3806:$S$4045,1)</f>
        <v/>
      </c>
      <c r="M4114" s="209">
        <f>IF($K4114=0,0,MIN(1,$L4114/$D4114))</f>
        <v/>
      </c>
      <c r="N4114" s="208">
        <f>IF($K4114=0,$J4114,(1-$M4114)*$I4114+$M4114*$J4114)</f>
        <v/>
      </c>
      <c r="O4114" s="209">
        <f>IF($F4114&lt;$B$4103,$E$4103+$I$4103*($F4114-$A$4103),IF($F4114&lt;$C$4103,$F$4103+$J$4103*($F4114-$B$4103),$G$4103+$K$4103*($F4114-$C$4103)))</f>
        <v/>
      </c>
      <c r="P4114" s="208">
        <f>MIN(1,MAX(0,(nr_MEndPm1-$G4114+0.5)/nr_TermMonths))-MIN(1,MAX(0,(nr_MStartPm1-1-$G4114+0.5)/nr_TermMonths))</f>
        <v/>
      </c>
      <c r="Q4114" s="208">
        <f>MIN(1,MAX(0,(nr_MEndP-$G4114+0.5)/nr_TermMonths))-MIN(1,MAX(0,(nr_MStartP-1-$G4114+0.5)/nr_TermMonths))</f>
        <v/>
      </c>
      <c r="R4114" s="208">
        <f>MIN(1,MAX(0,(nr_MEndP1-$G4114+0.5)/nr_TermMonths))-MIN(1,MAX(0,(nr_MStartP1-1-$G4114+0.5)/nr_TermMonths))</f>
        <v/>
      </c>
      <c r="S4114" s="208">
        <f>IF(nr_NetMode,$N4114*IF(nr_ModAdjEff="ON",$O4114/nr_MInd,1),"")</f>
        <v/>
      </c>
      <c r="T4114" s="208">
        <f>IF(NOT(nr_NetMode),"",IF($G4114&lt;nr_MStartP,$S4114,$T4102*(1+IF($G4114&lt;nr_MStartP1,(nr_NetSelP+N(INDEX(sc_dnet,2))),(nr_NetSelP1+N(INDEX(sc_dnet,2)))))))</f>
        <v/>
      </c>
      <c r="U4114" s="208">
        <f>IF(nr_NetMode,$T4114,$N4114)</f>
        <v/>
      </c>
    </row>
    <row r="4115">
      <c r="A4115" s="145" t="n">
        <v>11</v>
      </c>
      <c r="B4115" s="204">
        <f>EDATE($B4114,1)</f>
        <v/>
      </c>
      <c r="C4115" s="205">
        <f>EOMONTH($B4115,0)</f>
        <v/>
      </c>
      <c r="D4115" s="201">
        <f>$C4115-$B4115+1</f>
        <v/>
      </c>
      <c r="E4115" s="201">
        <f>MONTH($B4115)</f>
        <v/>
      </c>
      <c r="F4115" s="235">
        <f>($B4115+$C4115+1)/2</f>
        <v/>
      </c>
      <c r="G4115" s="201">
        <f>YEAR($B4115)*12+MONTH($B4115)-1</f>
        <v/>
      </c>
      <c r="H4115" s="207">
        <f>IF(OR(nr_SeasonOn="OFF",re_srow=0,re_ssum=0),1,12*INDEX(se_block,re_srow,$E4115)/re_ssum)</f>
        <v/>
      </c>
      <c r="I4115" s="208">
        <f>EXP(SUMPRODUCT(($K$3806:$K$4045&lt;$B4115)*(rl_key=nr_SelKey)*$O$3806:$O$4045))</f>
        <v/>
      </c>
      <c r="J4115" s="208">
        <f>EXP(SUMPRODUCT(($K$3806:$K$4045&lt;=$C4115)*(rl_key=nr_SelKey)*$O$3806:$O$4045))</f>
        <v/>
      </c>
      <c r="K4115" s="201">
        <f>COUNTIFS(rl_key,nr_SelKey,$K$3806:$K$4045,"&gt;="&amp;$B4115,$K$3806:$K$4045,"&lt;="&amp;$C4115)</f>
        <v/>
      </c>
      <c r="L4115" s="201">
        <f>SUMIFS($P$3806:$P$4045,rl_key,nr_SelKey,$L$3806:$L$4045,$B4115,$S$3806:$S$4045,1)</f>
        <v/>
      </c>
      <c r="M4115" s="209">
        <f>IF($K4115=0,0,MIN(1,$L4115/$D4115))</f>
        <v/>
      </c>
      <c r="N4115" s="208">
        <f>IF($K4115=0,$J4115,(1-$M4115)*$I4115+$M4115*$J4115)</f>
        <v/>
      </c>
      <c r="O4115" s="209">
        <f>IF($F4115&lt;$B$4103,$E$4103+$I$4103*($F4115-$A$4103),IF($F4115&lt;$C$4103,$F$4103+$J$4103*($F4115-$B$4103),$G$4103+$K$4103*($F4115-$C$4103)))</f>
        <v/>
      </c>
      <c r="P4115" s="208">
        <f>MIN(1,MAX(0,(nr_MEndPm1-$G4115+0.5)/nr_TermMonths))-MIN(1,MAX(0,(nr_MStartPm1-1-$G4115+0.5)/nr_TermMonths))</f>
        <v/>
      </c>
      <c r="Q4115" s="208">
        <f>MIN(1,MAX(0,(nr_MEndP-$G4115+0.5)/nr_TermMonths))-MIN(1,MAX(0,(nr_MStartP-1-$G4115+0.5)/nr_TermMonths))</f>
        <v/>
      </c>
      <c r="R4115" s="208">
        <f>MIN(1,MAX(0,(nr_MEndP1-$G4115+0.5)/nr_TermMonths))-MIN(1,MAX(0,(nr_MStartP1-1-$G4115+0.5)/nr_TermMonths))</f>
        <v/>
      </c>
      <c r="S4115" s="208">
        <f>IF(nr_NetMode,$N4115*IF(nr_ModAdjEff="ON",$O4115/nr_MInd,1),"")</f>
        <v/>
      </c>
      <c r="T4115" s="208">
        <f>IF(NOT(nr_NetMode),"",IF($G4115&lt;nr_MStartP,$S4115,$T4103*(1+IF($G4115&lt;nr_MStartP1,(nr_NetSelP+N(INDEX(sc_dnet,2))),(nr_NetSelP1+N(INDEX(sc_dnet,2)))))))</f>
        <v/>
      </c>
      <c r="U4115" s="208">
        <f>IF(nr_NetMode,$T4115,$N4115)</f>
        <v/>
      </c>
    </row>
    <row r="4116">
      <c r="A4116" s="145" t="n">
        <v>12</v>
      </c>
      <c r="B4116" s="204">
        <f>EDATE($B4115,1)</f>
        <v/>
      </c>
      <c r="C4116" s="205">
        <f>EOMONTH($B4116,0)</f>
        <v/>
      </c>
      <c r="D4116" s="201">
        <f>$C4116-$B4116+1</f>
        <v/>
      </c>
      <c r="E4116" s="201">
        <f>MONTH($B4116)</f>
        <v/>
      </c>
      <c r="F4116" s="235">
        <f>($B4116+$C4116+1)/2</f>
        <v/>
      </c>
      <c r="G4116" s="201">
        <f>YEAR($B4116)*12+MONTH($B4116)-1</f>
        <v/>
      </c>
      <c r="H4116" s="207">
        <f>IF(OR(nr_SeasonOn="OFF",re_srow=0,re_ssum=0),1,12*INDEX(se_block,re_srow,$E4116)/re_ssum)</f>
        <v/>
      </c>
      <c r="I4116" s="208">
        <f>EXP(SUMPRODUCT(($K$3806:$K$4045&lt;$B4116)*(rl_key=nr_SelKey)*$O$3806:$O$4045))</f>
        <v/>
      </c>
      <c r="J4116" s="208">
        <f>EXP(SUMPRODUCT(($K$3806:$K$4045&lt;=$C4116)*(rl_key=nr_SelKey)*$O$3806:$O$4045))</f>
        <v/>
      </c>
      <c r="K4116" s="201">
        <f>COUNTIFS(rl_key,nr_SelKey,$K$3806:$K$4045,"&gt;="&amp;$B4116,$K$3806:$K$4045,"&lt;="&amp;$C4116)</f>
        <v/>
      </c>
      <c r="L4116" s="201">
        <f>SUMIFS($P$3806:$P$4045,rl_key,nr_SelKey,$L$3806:$L$4045,$B4116,$S$3806:$S$4045,1)</f>
        <v/>
      </c>
      <c r="M4116" s="209">
        <f>IF($K4116=0,0,MIN(1,$L4116/$D4116))</f>
        <v/>
      </c>
      <c r="N4116" s="208">
        <f>IF($K4116=0,$J4116,(1-$M4116)*$I4116+$M4116*$J4116)</f>
        <v/>
      </c>
      <c r="O4116" s="209">
        <f>IF($F4116&lt;$B$4103,$E$4103+$I$4103*($F4116-$A$4103),IF($F4116&lt;$C$4103,$F$4103+$J$4103*($F4116-$B$4103),$G$4103+$K$4103*($F4116-$C$4103)))</f>
        <v/>
      </c>
      <c r="P4116" s="208">
        <f>MIN(1,MAX(0,(nr_MEndPm1-$G4116+0.5)/nr_TermMonths))-MIN(1,MAX(0,(nr_MStartPm1-1-$G4116+0.5)/nr_TermMonths))</f>
        <v/>
      </c>
      <c r="Q4116" s="208">
        <f>MIN(1,MAX(0,(nr_MEndP-$G4116+0.5)/nr_TermMonths))-MIN(1,MAX(0,(nr_MStartP-1-$G4116+0.5)/nr_TermMonths))</f>
        <v/>
      </c>
      <c r="R4116" s="208">
        <f>MIN(1,MAX(0,(nr_MEndP1-$G4116+0.5)/nr_TermMonths))-MIN(1,MAX(0,(nr_MStartP1-1-$G4116+0.5)/nr_TermMonths))</f>
        <v/>
      </c>
      <c r="S4116" s="208">
        <f>IF(nr_NetMode,$N4116*IF(nr_ModAdjEff="ON",$O4116/nr_MInd,1),"")</f>
        <v/>
      </c>
      <c r="T4116" s="208">
        <f>IF(NOT(nr_NetMode),"",IF($G4116&lt;nr_MStartP,$S4116,$T4104*(1+IF($G4116&lt;nr_MStartP1,(nr_NetSelP+N(INDEX(sc_dnet,2))),(nr_NetSelP1+N(INDEX(sc_dnet,2)))))))</f>
        <v/>
      </c>
      <c r="U4116" s="208">
        <f>IF(nr_NetMode,$T4116,$N4116)</f>
        <v/>
      </c>
    </row>
    <row r="4117">
      <c r="A4117" s="145" t="n">
        <v>13</v>
      </c>
      <c r="B4117" s="204">
        <f>EDATE($B4116,1)</f>
        <v/>
      </c>
      <c r="C4117" s="205">
        <f>EOMONTH($B4117,0)</f>
        <v/>
      </c>
      <c r="D4117" s="201">
        <f>$C4117-$B4117+1</f>
        <v/>
      </c>
      <c r="E4117" s="201">
        <f>MONTH($B4117)</f>
        <v/>
      </c>
      <c r="F4117" s="235">
        <f>($B4117+$C4117+1)/2</f>
        <v/>
      </c>
      <c r="G4117" s="201">
        <f>YEAR($B4117)*12+MONTH($B4117)-1</f>
        <v/>
      </c>
      <c r="H4117" s="207">
        <f>IF(OR(nr_SeasonOn="OFF",re_srow=0,re_ssum=0),1,12*INDEX(se_block,re_srow,$E4117)/re_ssum)</f>
        <v/>
      </c>
      <c r="I4117" s="208">
        <f>EXP(SUMPRODUCT(($K$3806:$K$4045&lt;$B4117)*(rl_key=nr_SelKey)*$O$3806:$O$4045))</f>
        <v/>
      </c>
      <c r="J4117" s="208">
        <f>EXP(SUMPRODUCT(($K$3806:$K$4045&lt;=$C4117)*(rl_key=nr_SelKey)*$O$3806:$O$4045))</f>
        <v/>
      </c>
      <c r="K4117" s="201">
        <f>COUNTIFS(rl_key,nr_SelKey,$K$3806:$K$4045,"&gt;="&amp;$B4117,$K$3806:$K$4045,"&lt;="&amp;$C4117)</f>
        <v/>
      </c>
      <c r="L4117" s="201">
        <f>SUMIFS($P$3806:$P$4045,rl_key,nr_SelKey,$L$3806:$L$4045,$B4117,$S$3806:$S$4045,1)</f>
        <v/>
      </c>
      <c r="M4117" s="209">
        <f>IF($K4117=0,0,MIN(1,$L4117/$D4117))</f>
        <v/>
      </c>
      <c r="N4117" s="208">
        <f>IF($K4117=0,$J4117,(1-$M4117)*$I4117+$M4117*$J4117)</f>
        <v/>
      </c>
      <c r="O4117" s="209">
        <f>IF($F4117&lt;$B$4103,$E$4103+$I$4103*($F4117-$A$4103),IF($F4117&lt;$C$4103,$F$4103+$J$4103*($F4117-$B$4103),$G$4103+$K$4103*($F4117-$C$4103)))</f>
        <v/>
      </c>
      <c r="P4117" s="208">
        <f>MIN(1,MAX(0,(nr_MEndPm1-$G4117+0.5)/nr_TermMonths))-MIN(1,MAX(0,(nr_MStartPm1-1-$G4117+0.5)/nr_TermMonths))</f>
        <v/>
      </c>
      <c r="Q4117" s="208">
        <f>MIN(1,MAX(0,(nr_MEndP-$G4117+0.5)/nr_TermMonths))-MIN(1,MAX(0,(nr_MStartP-1-$G4117+0.5)/nr_TermMonths))</f>
        <v/>
      </c>
      <c r="R4117" s="208">
        <f>MIN(1,MAX(0,(nr_MEndP1-$G4117+0.5)/nr_TermMonths))-MIN(1,MAX(0,(nr_MStartP1-1-$G4117+0.5)/nr_TermMonths))</f>
        <v/>
      </c>
      <c r="S4117" s="208">
        <f>IF(nr_NetMode,$N4117*IF(nr_ModAdjEff="ON",$O4117/nr_MInd,1),"")</f>
        <v/>
      </c>
      <c r="T4117" s="208">
        <f>IF(NOT(nr_NetMode),"",IF($G4117&lt;nr_MStartP,$S4117,$T4105*(1+IF($G4117&lt;nr_MStartP1,(nr_NetSelP+N(INDEX(sc_dnet,2))),(nr_NetSelP1+N(INDEX(sc_dnet,2)))))))</f>
        <v/>
      </c>
      <c r="U4117" s="208">
        <f>IF(nr_NetMode,$T4117,$N4117)</f>
        <v/>
      </c>
    </row>
    <row r="4118">
      <c r="A4118" s="145" t="n">
        <v>14</v>
      </c>
      <c r="B4118" s="204">
        <f>EDATE($B4117,1)</f>
        <v/>
      </c>
      <c r="C4118" s="205">
        <f>EOMONTH($B4118,0)</f>
        <v/>
      </c>
      <c r="D4118" s="201">
        <f>$C4118-$B4118+1</f>
        <v/>
      </c>
      <c r="E4118" s="201">
        <f>MONTH($B4118)</f>
        <v/>
      </c>
      <c r="F4118" s="235">
        <f>($B4118+$C4118+1)/2</f>
        <v/>
      </c>
      <c r="G4118" s="201">
        <f>YEAR($B4118)*12+MONTH($B4118)-1</f>
        <v/>
      </c>
      <c r="H4118" s="207">
        <f>IF(OR(nr_SeasonOn="OFF",re_srow=0,re_ssum=0),1,12*INDEX(se_block,re_srow,$E4118)/re_ssum)</f>
        <v/>
      </c>
      <c r="I4118" s="208">
        <f>EXP(SUMPRODUCT(($K$3806:$K$4045&lt;$B4118)*(rl_key=nr_SelKey)*$O$3806:$O$4045))</f>
        <v/>
      </c>
      <c r="J4118" s="208">
        <f>EXP(SUMPRODUCT(($K$3806:$K$4045&lt;=$C4118)*(rl_key=nr_SelKey)*$O$3806:$O$4045))</f>
        <v/>
      </c>
      <c r="K4118" s="201">
        <f>COUNTIFS(rl_key,nr_SelKey,$K$3806:$K$4045,"&gt;="&amp;$B4118,$K$3806:$K$4045,"&lt;="&amp;$C4118)</f>
        <v/>
      </c>
      <c r="L4118" s="201">
        <f>SUMIFS($P$3806:$P$4045,rl_key,nr_SelKey,$L$3806:$L$4045,$B4118,$S$3806:$S$4045,1)</f>
        <v/>
      </c>
      <c r="M4118" s="209">
        <f>IF($K4118=0,0,MIN(1,$L4118/$D4118))</f>
        <v/>
      </c>
      <c r="N4118" s="208">
        <f>IF($K4118=0,$J4118,(1-$M4118)*$I4118+$M4118*$J4118)</f>
        <v/>
      </c>
      <c r="O4118" s="209">
        <f>IF($F4118&lt;$B$4103,$E$4103+$I$4103*($F4118-$A$4103),IF($F4118&lt;$C$4103,$F$4103+$J$4103*($F4118-$B$4103),$G$4103+$K$4103*($F4118-$C$4103)))</f>
        <v/>
      </c>
      <c r="P4118" s="208">
        <f>MIN(1,MAX(0,(nr_MEndPm1-$G4118+0.5)/nr_TermMonths))-MIN(1,MAX(0,(nr_MStartPm1-1-$G4118+0.5)/nr_TermMonths))</f>
        <v/>
      </c>
      <c r="Q4118" s="208">
        <f>MIN(1,MAX(0,(nr_MEndP-$G4118+0.5)/nr_TermMonths))-MIN(1,MAX(0,(nr_MStartP-1-$G4118+0.5)/nr_TermMonths))</f>
        <v/>
      </c>
      <c r="R4118" s="208">
        <f>MIN(1,MAX(0,(nr_MEndP1-$G4118+0.5)/nr_TermMonths))-MIN(1,MAX(0,(nr_MStartP1-1-$G4118+0.5)/nr_TermMonths))</f>
        <v/>
      </c>
      <c r="S4118" s="208">
        <f>IF(nr_NetMode,$N4118*IF(nr_ModAdjEff="ON",$O4118/nr_MInd,1),"")</f>
        <v/>
      </c>
      <c r="T4118" s="208">
        <f>IF(NOT(nr_NetMode),"",IF($G4118&lt;nr_MStartP,$S4118,$T4106*(1+IF($G4118&lt;nr_MStartP1,(nr_NetSelP+N(INDEX(sc_dnet,2))),(nr_NetSelP1+N(INDEX(sc_dnet,2)))))))</f>
        <v/>
      </c>
      <c r="U4118" s="208">
        <f>IF(nr_NetMode,$T4118,$N4118)</f>
        <v/>
      </c>
    </row>
    <row r="4119">
      <c r="A4119" s="145" t="n">
        <v>15</v>
      </c>
      <c r="B4119" s="204">
        <f>EDATE($B4118,1)</f>
        <v/>
      </c>
      <c r="C4119" s="205">
        <f>EOMONTH($B4119,0)</f>
        <v/>
      </c>
      <c r="D4119" s="201">
        <f>$C4119-$B4119+1</f>
        <v/>
      </c>
      <c r="E4119" s="201">
        <f>MONTH($B4119)</f>
        <v/>
      </c>
      <c r="F4119" s="235">
        <f>($B4119+$C4119+1)/2</f>
        <v/>
      </c>
      <c r="G4119" s="201">
        <f>YEAR($B4119)*12+MONTH($B4119)-1</f>
        <v/>
      </c>
      <c r="H4119" s="207">
        <f>IF(OR(nr_SeasonOn="OFF",re_srow=0,re_ssum=0),1,12*INDEX(se_block,re_srow,$E4119)/re_ssum)</f>
        <v/>
      </c>
      <c r="I4119" s="208">
        <f>EXP(SUMPRODUCT(($K$3806:$K$4045&lt;$B4119)*(rl_key=nr_SelKey)*$O$3806:$O$4045))</f>
        <v/>
      </c>
      <c r="J4119" s="208">
        <f>EXP(SUMPRODUCT(($K$3806:$K$4045&lt;=$C4119)*(rl_key=nr_SelKey)*$O$3806:$O$4045))</f>
        <v/>
      </c>
      <c r="K4119" s="201">
        <f>COUNTIFS(rl_key,nr_SelKey,$K$3806:$K$4045,"&gt;="&amp;$B4119,$K$3806:$K$4045,"&lt;="&amp;$C4119)</f>
        <v/>
      </c>
      <c r="L4119" s="201">
        <f>SUMIFS($P$3806:$P$4045,rl_key,nr_SelKey,$L$3806:$L$4045,$B4119,$S$3806:$S$4045,1)</f>
        <v/>
      </c>
      <c r="M4119" s="209">
        <f>IF($K4119=0,0,MIN(1,$L4119/$D4119))</f>
        <v/>
      </c>
      <c r="N4119" s="208">
        <f>IF($K4119=0,$J4119,(1-$M4119)*$I4119+$M4119*$J4119)</f>
        <v/>
      </c>
      <c r="O4119" s="209">
        <f>IF($F4119&lt;$B$4103,$E$4103+$I$4103*($F4119-$A$4103),IF($F4119&lt;$C$4103,$F$4103+$J$4103*($F4119-$B$4103),$G$4103+$K$4103*($F4119-$C$4103)))</f>
        <v/>
      </c>
      <c r="P4119" s="208">
        <f>MIN(1,MAX(0,(nr_MEndPm1-$G4119+0.5)/nr_TermMonths))-MIN(1,MAX(0,(nr_MStartPm1-1-$G4119+0.5)/nr_TermMonths))</f>
        <v/>
      </c>
      <c r="Q4119" s="208">
        <f>MIN(1,MAX(0,(nr_MEndP-$G4119+0.5)/nr_TermMonths))-MIN(1,MAX(0,(nr_MStartP-1-$G4119+0.5)/nr_TermMonths))</f>
        <v/>
      </c>
      <c r="R4119" s="208">
        <f>MIN(1,MAX(0,(nr_MEndP1-$G4119+0.5)/nr_TermMonths))-MIN(1,MAX(0,(nr_MStartP1-1-$G4119+0.5)/nr_TermMonths))</f>
        <v/>
      </c>
      <c r="S4119" s="208">
        <f>IF(nr_NetMode,$N4119*IF(nr_ModAdjEff="ON",$O4119/nr_MInd,1),"")</f>
        <v/>
      </c>
      <c r="T4119" s="208">
        <f>IF(NOT(nr_NetMode),"",IF($G4119&lt;nr_MStartP,$S4119,$T4107*(1+IF($G4119&lt;nr_MStartP1,(nr_NetSelP+N(INDEX(sc_dnet,2))),(nr_NetSelP1+N(INDEX(sc_dnet,2)))))))</f>
        <v/>
      </c>
      <c r="U4119" s="208">
        <f>IF(nr_NetMode,$T4119,$N4119)</f>
        <v/>
      </c>
    </row>
    <row r="4120">
      <c r="A4120" s="145" t="n">
        <v>16</v>
      </c>
      <c r="B4120" s="204">
        <f>EDATE($B4119,1)</f>
        <v/>
      </c>
      <c r="C4120" s="205">
        <f>EOMONTH($B4120,0)</f>
        <v/>
      </c>
      <c r="D4120" s="201">
        <f>$C4120-$B4120+1</f>
        <v/>
      </c>
      <c r="E4120" s="201">
        <f>MONTH($B4120)</f>
        <v/>
      </c>
      <c r="F4120" s="235">
        <f>($B4120+$C4120+1)/2</f>
        <v/>
      </c>
      <c r="G4120" s="201">
        <f>YEAR($B4120)*12+MONTH($B4120)-1</f>
        <v/>
      </c>
      <c r="H4120" s="207">
        <f>IF(OR(nr_SeasonOn="OFF",re_srow=0,re_ssum=0),1,12*INDEX(se_block,re_srow,$E4120)/re_ssum)</f>
        <v/>
      </c>
      <c r="I4120" s="208">
        <f>EXP(SUMPRODUCT(($K$3806:$K$4045&lt;$B4120)*(rl_key=nr_SelKey)*$O$3806:$O$4045))</f>
        <v/>
      </c>
      <c r="J4120" s="208">
        <f>EXP(SUMPRODUCT(($K$3806:$K$4045&lt;=$C4120)*(rl_key=nr_SelKey)*$O$3806:$O$4045))</f>
        <v/>
      </c>
      <c r="K4120" s="201">
        <f>COUNTIFS(rl_key,nr_SelKey,$K$3806:$K$4045,"&gt;="&amp;$B4120,$K$3806:$K$4045,"&lt;="&amp;$C4120)</f>
        <v/>
      </c>
      <c r="L4120" s="201">
        <f>SUMIFS($P$3806:$P$4045,rl_key,nr_SelKey,$L$3806:$L$4045,$B4120,$S$3806:$S$4045,1)</f>
        <v/>
      </c>
      <c r="M4120" s="209">
        <f>IF($K4120=0,0,MIN(1,$L4120/$D4120))</f>
        <v/>
      </c>
      <c r="N4120" s="208">
        <f>IF($K4120=0,$J4120,(1-$M4120)*$I4120+$M4120*$J4120)</f>
        <v/>
      </c>
      <c r="O4120" s="209">
        <f>IF($F4120&lt;$B$4103,$E$4103+$I$4103*($F4120-$A$4103),IF($F4120&lt;$C$4103,$F$4103+$J$4103*($F4120-$B$4103),$G$4103+$K$4103*($F4120-$C$4103)))</f>
        <v/>
      </c>
      <c r="P4120" s="208">
        <f>MIN(1,MAX(0,(nr_MEndPm1-$G4120+0.5)/nr_TermMonths))-MIN(1,MAX(0,(nr_MStartPm1-1-$G4120+0.5)/nr_TermMonths))</f>
        <v/>
      </c>
      <c r="Q4120" s="208">
        <f>MIN(1,MAX(0,(nr_MEndP-$G4120+0.5)/nr_TermMonths))-MIN(1,MAX(0,(nr_MStartP-1-$G4120+0.5)/nr_TermMonths))</f>
        <v/>
      </c>
      <c r="R4120" s="208">
        <f>MIN(1,MAX(0,(nr_MEndP1-$G4120+0.5)/nr_TermMonths))-MIN(1,MAX(0,(nr_MStartP1-1-$G4120+0.5)/nr_TermMonths))</f>
        <v/>
      </c>
      <c r="S4120" s="208">
        <f>IF(nr_NetMode,$N4120*IF(nr_ModAdjEff="ON",$O4120/nr_MInd,1),"")</f>
        <v/>
      </c>
      <c r="T4120" s="208">
        <f>IF(NOT(nr_NetMode),"",IF($G4120&lt;nr_MStartP,$S4120,$T4108*(1+IF($G4120&lt;nr_MStartP1,(nr_NetSelP+N(INDEX(sc_dnet,2))),(nr_NetSelP1+N(INDEX(sc_dnet,2)))))))</f>
        <v/>
      </c>
      <c r="U4120" s="208">
        <f>IF(nr_NetMode,$T4120,$N4120)</f>
        <v/>
      </c>
    </row>
    <row r="4121">
      <c r="A4121" s="145" t="n">
        <v>17</v>
      </c>
      <c r="B4121" s="204">
        <f>EDATE($B4120,1)</f>
        <v/>
      </c>
      <c r="C4121" s="205">
        <f>EOMONTH($B4121,0)</f>
        <v/>
      </c>
      <c r="D4121" s="201">
        <f>$C4121-$B4121+1</f>
        <v/>
      </c>
      <c r="E4121" s="201">
        <f>MONTH($B4121)</f>
        <v/>
      </c>
      <c r="F4121" s="235">
        <f>($B4121+$C4121+1)/2</f>
        <v/>
      </c>
      <c r="G4121" s="201">
        <f>YEAR($B4121)*12+MONTH($B4121)-1</f>
        <v/>
      </c>
      <c r="H4121" s="207">
        <f>IF(OR(nr_SeasonOn="OFF",re_srow=0,re_ssum=0),1,12*INDEX(se_block,re_srow,$E4121)/re_ssum)</f>
        <v/>
      </c>
      <c r="I4121" s="208">
        <f>EXP(SUMPRODUCT(($K$3806:$K$4045&lt;$B4121)*(rl_key=nr_SelKey)*$O$3806:$O$4045))</f>
        <v/>
      </c>
      <c r="J4121" s="208">
        <f>EXP(SUMPRODUCT(($K$3806:$K$4045&lt;=$C4121)*(rl_key=nr_SelKey)*$O$3806:$O$4045))</f>
        <v/>
      </c>
      <c r="K4121" s="201">
        <f>COUNTIFS(rl_key,nr_SelKey,$K$3806:$K$4045,"&gt;="&amp;$B4121,$K$3806:$K$4045,"&lt;="&amp;$C4121)</f>
        <v/>
      </c>
      <c r="L4121" s="201">
        <f>SUMIFS($P$3806:$P$4045,rl_key,nr_SelKey,$L$3806:$L$4045,$B4121,$S$3806:$S$4045,1)</f>
        <v/>
      </c>
      <c r="M4121" s="209">
        <f>IF($K4121=0,0,MIN(1,$L4121/$D4121))</f>
        <v/>
      </c>
      <c r="N4121" s="208">
        <f>IF($K4121=0,$J4121,(1-$M4121)*$I4121+$M4121*$J4121)</f>
        <v/>
      </c>
      <c r="O4121" s="209">
        <f>IF($F4121&lt;$B$4103,$E$4103+$I$4103*($F4121-$A$4103),IF($F4121&lt;$C$4103,$F$4103+$J$4103*($F4121-$B$4103),$G$4103+$K$4103*($F4121-$C$4103)))</f>
        <v/>
      </c>
      <c r="P4121" s="208">
        <f>MIN(1,MAX(0,(nr_MEndPm1-$G4121+0.5)/nr_TermMonths))-MIN(1,MAX(0,(nr_MStartPm1-1-$G4121+0.5)/nr_TermMonths))</f>
        <v/>
      </c>
      <c r="Q4121" s="208">
        <f>MIN(1,MAX(0,(nr_MEndP-$G4121+0.5)/nr_TermMonths))-MIN(1,MAX(0,(nr_MStartP-1-$G4121+0.5)/nr_TermMonths))</f>
        <v/>
      </c>
      <c r="R4121" s="208">
        <f>MIN(1,MAX(0,(nr_MEndP1-$G4121+0.5)/nr_TermMonths))-MIN(1,MAX(0,(nr_MStartP1-1-$G4121+0.5)/nr_TermMonths))</f>
        <v/>
      </c>
      <c r="S4121" s="208">
        <f>IF(nr_NetMode,$N4121*IF(nr_ModAdjEff="ON",$O4121/nr_MInd,1),"")</f>
        <v/>
      </c>
      <c r="T4121" s="208">
        <f>IF(NOT(nr_NetMode),"",IF($G4121&lt;nr_MStartP,$S4121,$T4109*(1+IF($G4121&lt;nr_MStartP1,(nr_NetSelP+N(INDEX(sc_dnet,2))),(nr_NetSelP1+N(INDEX(sc_dnet,2)))))))</f>
        <v/>
      </c>
      <c r="U4121" s="208">
        <f>IF(nr_NetMode,$T4121,$N4121)</f>
        <v/>
      </c>
    </row>
    <row r="4122">
      <c r="A4122" s="145" t="n">
        <v>18</v>
      </c>
      <c r="B4122" s="204">
        <f>EDATE($B4121,1)</f>
        <v/>
      </c>
      <c r="C4122" s="205">
        <f>EOMONTH($B4122,0)</f>
        <v/>
      </c>
      <c r="D4122" s="201">
        <f>$C4122-$B4122+1</f>
        <v/>
      </c>
      <c r="E4122" s="201">
        <f>MONTH($B4122)</f>
        <v/>
      </c>
      <c r="F4122" s="235">
        <f>($B4122+$C4122+1)/2</f>
        <v/>
      </c>
      <c r="G4122" s="201">
        <f>YEAR($B4122)*12+MONTH($B4122)-1</f>
        <v/>
      </c>
      <c r="H4122" s="207">
        <f>IF(OR(nr_SeasonOn="OFF",re_srow=0,re_ssum=0),1,12*INDEX(se_block,re_srow,$E4122)/re_ssum)</f>
        <v/>
      </c>
      <c r="I4122" s="208">
        <f>EXP(SUMPRODUCT(($K$3806:$K$4045&lt;$B4122)*(rl_key=nr_SelKey)*$O$3806:$O$4045))</f>
        <v/>
      </c>
      <c r="J4122" s="208">
        <f>EXP(SUMPRODUCT(($K$3806:$K$4045&lt;=$C4122)*(rl_key=nr_SelKey)*$O$3806:$O$4045))</f>
        <v/>
      </c>
      <c r="K4122" s="201">
        <f>COUNTIFS(rl_key,nr_SelKey,$K$3806:$K$4045,"&gt;="&amp;$B4122,$K$3806:$K$4045,"&lt;="&amp;$C4122)</f>
        <v/>
      </c>
      <c r="L4122" s="201">
        <f>SUMIFS($P$3806:$P$4045,rl_key,nr_SelKey,$L$3806:$L$4045,$B4122,$S$3806:$S$4045,1)</f>
        <v/>
      </c>
      <c r="M4122" s="209">
        <f>IF($K4122=0,0,MIN(1,$L4122/$D4122))</f>
        <v/>
      </c>
      <c r="N4122" s="208">
        <f>IF($K4122=0,$J4122,(1-$M4122)*$I4122+$M4122*$J4122)</f>
        <v/>
      </c>
      <c r="O4122" s="209">
        <f>IF($F4122&lt;$B$4103,$E$4103+$I$4103*($F4122-$A$4103),IF($F4122&lt;$C$4103,$F$4103+$J$4103*($F4122-$B$4103),$G$4103+$K$4103*($F4122-$C$4103)))</f>
        <v/>
      </c>
      <c r="P4122" s="208">
        <f>MIN(1,MAX(0,(nr_MEndPm1-$G4122+0.5)/nr_TermMonths))-MIN(1,MAX(0,(nr_MStartPm1-1-$G4122+0.5)/nr_TermMonths))</f>
        <v/>
      </c>
      <c r="Q4122" s="208">
        <f>MIN(1,MAX(0,(nr_MEndP-$G4122+0.5)/nr_TermMonths))-MIN(1,MAX(0,(nr_MStartP-1-$G4122+0.5)/nr_TermMonths))</f>
        <v/>
      </c>
      <c r="R4122" s="208">
        <f>MIN(1,MAX(0,(nr_MEndP1-$G4122+0.5)/nr_TermMonths))-MIN(1,MAX(0,(nr_MStartP1-1-$G4122+0.5)/nr_TermMonths))</f>
        <v/>
      </c>
      <c r="S4122" s="208">
        <f>IF(nr_NetMode,$N4122*IF(nr_ModAdjEff="ON",$O4122/nr_MInd,1),"")</f>
        <v/>
      </c>
      <c r="T4122" s="208">
        <f>IF(NOT(nr_NetMode),"",IF($G4122&lt;nr_MStartP,$S4122,$T4110*(1+IF($G4122&lt;nr_MStartP1,(nr_NetSelP+N(INDEX(sc_dnet,2))),(nr_NetSelP1+N(INDEX(sc_dnet,2)))))))</f>
        <v/>
      </c>
      <c r="U4122" s="208">
        <f>IF(nr_NetMode,$T4122,$N4122)</f>
        <v/>
      </c>
    </row>
    <row r="4123">
      <c r="A4123" s="145" t="n">
        <v>19</v>
      </c>
      <c r="B4123" s="204">
        <f>EDATE($B4122,1)</f>
        <v/>
      </c>
      <c r="C4123" s="205">
        <f>EOMONTH($B4123,0)</f>
        <v/>
      </c>
      <c r="D4123" s="201">
        <f>$C4123-$B4123+1</f>
        <v/>
      </c>
      <c r="E4123" s="201">
        <f>MONTH($B4123)</f>
        <v/>
      </c>
      <c r="F4123" s="235">
        <f>($B4123+$C4123+1)/2</f>
        <v/>
      </c>
      <c r="G4123" s="201">
        <f>YEAR($B4123)*12+MONTH($B4123)-1</f>
        <v/>
      </c>
      <c r="H4123" s="207">
        <f>IF(OR(nr_SeasonOn="OFF",re_srow=0,re_ssum=0),1,12*INDEX(se_block,re_srow,$E4123)/re_ssum)</f>
        <v/>
      </c>
      <c r="I4123" s="208">
        <f>EXP(SUMPRODUCT(($K$3806:$K$4045&lt;$B4123)*(rl_key=nr_SelKey)*$O$3806:$O$4045))</f>
        <v/>
      </c>
      <c r="J4123" s="208">
        <f>EXP(SUMPRODUCT(($K$3806:$K$4045&lt;=$C4123)*(rl_key=nr_SelKey)*$O$3806:$O$4045))</f>
        <v/>
      </c>
      <c r="K4123" s="201">
        <f>COUNTIFS(rl_key,nr_SelKey,$K$3806:$K$4045,"&gt;="&amp;$B4123,$K$3806:$K$4045,"&lt;="&amp;$C4123)</f>
        <v/>
      </c>
      <c r="L4123" s="201">
        <f>SUMIFS($P$3806:$P$4045,rl_key,nr_SelKey,$L$3806:$L$4045,$B4123,$S$3806:$S$4045,1)</f>
        <v/>
      </c>
      <c r="M4123" s="209">
        <f>IF($K4123=0,0,MIN(1,$L4123/$D4123))</f>
        <v/>
      </c>
      <c r="N4123" s="208">
        <f>IF($K4123=0,$J4123,(1-$M4123)*$I4123+$M4123*$J4123)</f>
        <v/>
      </c>
      <c r="O4123" s="209">
        <f>IF($F4123&lt;$B$4103,$E$4103+$I$4103*($F4123-$A$4103),IF($F4123&lt;$C$4103,$F$4103+$J$4103*($F4123-$B$4103),$G$4103+$K$4103*($F4123-$C$4103)))</f>
        <v/>
      </c>
      <c r="P4123" s="208">
        <f>MIN(1,MAX(0,(nr_MEndPm1-$G4123+0.5)/nr_TermMonths))-MIN(1,MAX(0,(nr_MStartPm1-1-$G4123+0.5)/nr_TermMonths))</f>
        <v/>
      </c>
      <c r="Q4123" s="208">
        <f>MIN(1,MAX(0,(nr_MEndP-$G4123+0.5)/nr_TermMonths))-MIN(1,MAX(0,(nr_MStartP-1-$G4123+0.5)/nr_TermMonths))</f>
        <v/>
      </c>
      <c r="R4123" s="208">
        <f>MIN(1,MAX(0,(nr_MEndP1-$G4123+0.5)/nr_TermMonths))-MIN(1,MAX(0,(nr_MStartP1-1-$G4123+0.5)/nr_TermMonths))</f>
        <v/>
      </c>
      <c r="S4123" s="208">
        <f>IF(nr_NetMode,$N4123*IF(nr_ModAdjEff="ON",$O4123/nr_MInd,1),"")</f>
        <v/>
      </c>
      <c r="T4123" s="208">
        <f>IF(NOT(nr_NetMode),"",IF($G4123&lt;nr_MStartP,$S4123,$T4111*(1+IF($G4123&lt;nr_MStartP1,(nr_NetSelP+N(INDEX(sc_dnet,2))),(nr_NetSelP1+N(INDEX(sc_dnet,2)))))))</f>
        <v/>
      </c>
      <c r="U4123" s="208">
        <f>IF(nr_NetMode,$T4123,$N4123)</f>
        <v/>
      </c>
    </row>
    <row r="4124">
      <c r="A4124" s="145" t="n">
        <v>20</v>
      </c>
      <c r="B4124" s="204">
        <f>EDATE($B4123,1)</f>
        <v/>
      </c>
      <c r="C4124" s="205">
        <f>EOMONTH($B4124,0)</f>
        <v/>
      </c>
      <c r="D4124" s="201">
        <f>$C4124-$B4124+1</f>
        <v/>
      </c>
      <c r="E4124" s="201">
        <f>MONTH($B4124)</f>
        <v/>
      </c>
      <c r="F4124" s="235">
        <f>($B4124+$C4124+1)/2</f>
        <v/>
      </c>
      <c r="G4124" s="201">
        <f>YEAR($B4124)*12+MONTH($B4124)-1</f>
        <v/>
      </c>
      <c r="H4124" s="207">
        <f>IF(OR(nr_SeasonOn="OFF",re_srow=0,re_ssum=0),1,12*INDEX(se_block,re_srow,$E4124)/re_ssum)</f>
        <v/>
      </c>
      <c r="I4124" s="208">
        <f>EXP(SUMPRODUCT(($K$3806:$K$4045&lt;$B4124)*(rl_key=nr_SelKey)*$O$3806:$O$4045))</f>
        <v/>
      </c>
      <c r="J4124" s="208">
        <f>EXP(SUMPRODUCT(($K$3806:$K$4045&lt;=$C4124)*(rl_key=nr_SelKey)*$O$3806:$O$4045))</f>
        <v/>
      </c>
      <c r="K4124" s="201">
        <f>COUNTIFS(rl_key,nr_SelKey,$K$3806:$K$4045,"&gt;="&amp;$B4124,$K$3806:$K$4045,"&lt;="&amp;$C4124)</f>
        <v/>
      </c>
      <c r="L4124" s="201">
        <f>SUMIFS($P$3806:$P$4045,rl_key,nr_SelKey,$L$3806:$L$4045,$B4124,$S$3806:$S$4045,1)</f>
        <v/>
      </c>
      <c r="M4124" s="209">
        <f>IF($K4124=0,0,MIN(1,$L4124/$D4124))</f>
        <v/>
      </c>
      <c r="N4124" s="208">
        <f>IF($K4124=0,$J4124,(1-$M4124)*$I4124+$M4124*$J4124)</f>
        <v/>
      </c>
      <c r="O4124" s="209">
        <f>IF($F4124&lt;$B$4103,$E$4103+$I$4103*($F4124-$A$4103),IF($F4124&lt;$C$4103,$F$4103+$J$4103*($F4124-$B$4103),$G$4103+$K$4103*($F4124-$C$4103)))</f>
        <v/>
      </c>
      <c r="P4124" s="208">
        <f>MIN(1,MAX(0,(nr_MEndPm1-$G4124+0.5)/nr_TermMonths))-MIN(1,MAX(0,(nr_MStartPm1-1-$G4124+0.5)/nr_TermMonths))</f>
        <v/>
      </c>
      <c r="Q4124" s="208">
        <f>MIN(1,MAX(0,(nr_MEndP-$G4124+0.5)/nr_TermMonths))-MIN(1,MAX(0,(nr_MStartP-1-$G4124+0.5)/nr_TermMonths))</f>
        <v/>
      </c>
      <c r="R4124" s="208">
        <f>MIN(1,MAX(0,(nr_MEndP1-$G4124+0.5)/nr_TermMonths))-MIN(1,MAX(0,(nr_MStartP1-1-$G4124+0.5)/nr_TermMonths))</f>
        <v/>
      </c>
      <c r="S4124" s="208">
        <f>IF(nr_NetMode,$N4124*IF(nr_ModAdjEff="ON",$O4124/nr_MInd,1),"")</f>
        <v/>
      </c>
      <c r="T4124" s="208">
        <f>IF(NOT(nr_NetMode),"",IF($G4124&lt;nr_MStartP,$S4124,$T4112*(1+IF($G4124&lt;nr_MStartP1,(nr_NetSelP+N(INDEX(sc_dnet,2))),(nr_NetSelP1+N(INDEX(sc_dnet,2)))))))</f>
        <v/>
      </c>
      <c r="U4124" s="208">
        <f>IF(nr_NetMode,$T4124,$N4124)</f>
        <v/>
      </c>
    </row>
    <row r="4125">
      <c r="A4125" s="145" t="n">
        <v>21</v>
      </c>
      <c r="B4125" s="204">
        <f>EDATE($B4124,1)</f>
        <v/>
      </c>
      <c r="C4125" s="205">
        <f>EOMONTH($B4125,0)</f>
        <v/>
      </c>
      <c r="D4125" s="201">
        <f>$C4125-$B4125+1</f>
        <v/>
      </c>
      <c r="E4125" s="201">
        <f>MONTH($B4125)</f>
        <v/>
      </c>
      <c r="F4125" s="235">
        <f>($B4125+$C4125+1)/2</f>
        <v/>
      </c>
      <c r="G4125" s="201">
        <f>YEAR($B4125)*12+MONTH($B4125)-1</f>
        <v/>
      </c>
      <c r="H4125" s="207">
        <f>IF(OR(nr_SeasonOn="OFF",re_srow=0,re_ssum=0),1,12*INDEX(se_block,re_srow,$E4125)/re_ssum)</f>
        <v/>
      </c>
      <c r="I4125" s="208">
        <f>EXP(SUMPRODUCT(($K$3806:$K$4045&lt;$B4125)*(rl_key=nr_SelKey)*$O$3806:$O$4045))</f>
        <v/>
      </c>
      <c r="J4125" s="208">
        <f>EXP(SUMPRODUCT(($K$3806:$K$4045&lt;=$C4125)*(rl_key=nr_SelKey)*$O$3806:$O$4045))</f>
        <v/>
      </c>
      <c r="K4125" s="201">
        <f>COUNTIFS(rl_key,nr_SelKey,$K$3806:$K$4045,"&gt;="&amp;$B4125,$K$3806:$K$4045,"&lt;="&amp;$C4125)</f>
        <v/>
      </c>
      <c r="L4125" s="201">
        <f>SUMIFS($P$3806:$P$4045,rl_key,nr_SelKey,$L$3806:$L$4045,$B4125,$S$3806:$S$4045,1)</f>
        <v/>
      </c>
      <c r="M4125" s="209">
        <f>IF($K4125=0,0,MIN(1,$L4125/$D4125))</f>
        <v/>
      </c>
      <c r="N4125" s="208">
        <f>IF($K4125=0,$J4125,(1-$M4125)*$I4125+$M4125*$J4125)</f>
        <v/>
      </c>
      <c r="O4125" s="209">
        <f>IF($F4125&lt;$B$4103,$E$4103+$I$4103*($F4125-$A$4103),IF($F4125&lt;$C$4103,$F$4103+$J$4103*($F4125-$B$4103),$G$4103+$K$4103*($F4125-$C$4103)))</f>
        <v/>
      </c>
      <c r="P4125" s="208">
        <f>MIN(1,MAX(0,(nr_MEndPm1-$G4125+0.5)/nr_TermMonths))-MIN(1,MAX(0,(nr_MStartPm1-1-$G4125+0.5)/nr_TermMonths))</f>
        <v/>
      </c>
      <c r="Q4125" s="208">
        <f>MIN(1,MAX(0,(nr_MEndP-$G4125+0.5)/nr_TermMonths))-MIN(1,MAX(0,(nr_MStartP-1-$G4125+0.5)/nr_TermMonths))</f>
        <v/>
      </c>
      <c r="R4125" s="208">
        <f>MIN(1,MAX(0,(nr_MEndP1-$G4125+0.5)/nr_TermMonths))-MIN(1,MAX(0,(nr_MStartP1-1-$G4125+0.5)/nr_TermMonths))</f>
        <v/>
      </c>
      <c r="S4125" s="208">
        <f>IF(nr_NetMode,$N4125*IF(nr_ModAdjEff="ON",$O4125/nr_MInd,1),"")</f>
        <v/>
      </c>
      <c r="T4125" s="208">
        <f>IF(NOT(nr_NetMode),"",IF($G4125&lt;nr_MStartP,$S4125,$T4113*(1+IF($G4125&lt;nr_MStartP1,(nr_NetSelP+N(INDEX(sc_dnet,2))),(nr_NetSelP1+N(INDEX(sc_dnet,2)))))))</f>
        <v/>
      </c>
      <c r="U4125" s="208">
        <f>IF(nr_NetMode,$T4125,$N4125)</f>
        <v/>
      </c>
    </row>
    <row r="4126">
      <c r="A4126" s="145" t="n">
        <v>22</v>
      </c>
      <c r="B4126" s="204">
        <f>EDATE($B4125,1)</f>
        <v/>
      </c>
      <c r="C4126" s="205">
        <f>EOMONTH($B4126,0)</f>
        <v/>
      </c>
      <c r="D4126" s="201">
        <f>$C4126-$B4126+1</f>
        <v/>
      </c>
      <c r="E4126" s="201">
        <f>MONTH($B4126)</f>
        <v/>
      </c>
      <c r="F4126" s="235">
        <f>($B4126+$C4126+1)/2</f>
        <v/>
      </c>
      <c r="G4126" s="201">
        <f>YEAR($B4126)*12+MONTH($B4126)-1</f>
        <v/>
      </c>
      <c r="H4126" s="207">
        <f>IF(OR(nr_SeasonOn="OFF",re_srow=0,re_ssum=0),1,12*INDEX(se_block,re_srow,$E4126)/re_ssum)</f>
        <v/>
      </c>
      <c r="I4126" s="208">
        <f>EXP(SUMPRODUCT(($K$3806:$K$4045&lt;$B4126)*(rl_key=nr_SelKey)*$O$3806:$O$4045))</f>
        <v/>
      </c>
      <c r="J4126" s="208">
        <f>EXP(SUMPRODUCT(($K$3806:$K$4045&lt;=$C4126)*(rl_key=nr_SelKey)*$O$3806:$O$4045))</f>
        <v/>
      </c>
      <c r="K4126" s="201">
        <f>COUNTIFS(rl_key,nr_SelKey,$K$3806:$K$4045,"&gt;="&amp;$B4126,$K$3806:$K$4045,"&lt;="&amp;$C4126)</f>
        <v/>
      </c>
      <c r="L4126" s="201">
        <f>SUMIFS($P$3806:$P$4045,rl_key,nr_SelKey,$L$3806:$L$4045,$B4126,$S$3806:$S$4045,1)</f>
        <v/>
      </c>
      <c r="M4126" s="209">
        <f>IF($K4126=0,0,MIN(1,$L4126/$D4126))</f>
        <v/>
      </c>
      <c r="N4126" s="208">
        <f>IF($K4126=0,$J4126,(1-$M4126)*$I4126+$M4126*$J4126)</f>
        <v/>
      </c>
      <c r="O4126" s="209">
        <f>IF($F4126&lt;$B$4103,$E$4103+$I$4103*($F4126-$A$4103),IF($F4126&lt;$C$4103,$F$4103+$J$4103*($F4126-$B$4103),$G$4103+$K$4103*($F4126-$C$4103)))</f>
        <v/>
      </c>
      <c r="P4126" s="208">
        <f>MIN(1,MAX(0,(nr_MEndPm1-$G4126+0.5)/nr_TermMonths))-MIN(1,MAX(0,(nr_MStartPm1-1-$G4126+0.5)/nr_TermMonths))</f>
        <v/>
      </c>
      <c r="Q4126" s="208">
        <f>MIN(1,MAX(0,(nr_MEndP-$G4126+0.5)/nr_TermMonths))-MIN(1,MAX(0,(nr_MStartP-1-$G4126+0.5)/nr_TermMonths))</f>
        <v/>
      </c>
      <c r="R4126" s="208">
        <f>MIN(1,MAX(0,(nr_MEndP1-$G4126+0.5)/nr_TermMonths))-MIN(1,MAX(0,(nr_MStartP1-1-$G4126+0.5)/nr_TermMonths))</f>
        <v/>
      </c>
      <c r="S4126" s="208">
        <f>IF(nr_NetMode,$N4126*IF(nr_ModAdjEff="ON",$O4126/nr_MInd,1),"")</f>
        <v/>
      </c>
      <c r="T4126" s="208">
        <f>IF(NOT(nr_NetMode),"",IF($G4126&lt;nr_MStartP,$S4126,$T4114*(1+IF($G4126&lt;nr_MStartP1,(nr_NetSelP+N(INDEX(sc_dnet,2))),(nr_NetSelP1+N(INDEX(sc_dnet,2)))))))</f>
        <v/>
      </c>
      <c r="U4126" s="208">
        <f>IF(nr_NetMode,$T4126,$N4126)</f>
        <v/>
      </c>
    </row>
    <row r="4127">
      <c r="A4127" s="145" t="n">
        <v>23</v>
      </c>
      <c r="B4127" s="204">
        <f>EDATE($B4126,1)</f>
        <v/>
      </c>
      <c r="C4127" s="205">
        <f>EOMONTH($B4127,0)</f>
        <v/>
      </c>
      <c r="D4127" s="201">
        <f>$C4127-$B4127+1</f>
        <v/>
      </c>
      <c r="E4127" s="201">
        <f>MONTH($B4127)</f>
        <v/>
      </c>
      <c r="F4127" s="235">
        <f>($B4127+$C4127+1)/2</f>
        <v/>
      </c>
      <c r="G4127" s="201">
        <f>YEAR($B4127)*12+MONTH($B4127)-1</f>
        <v/>
      </c>
      <c r="H4127" s="207">
        <f>IF(OR(nr_SeasonOn="OFF",re_srow=0,re_ssum=0),1,12*INDEX(se_block,re_srow,$E4127)/re_ssum)</f>
        <v/>
      </c>
      <c r="I4127" s="208">
        <f>EXP(SUMPRODUCT(($K$3806:$K$4045&lt;$B4127)*(rl_key=nr_SelKey)*$O$3806:$O$4045))</f>
        <v/>
      </c>
      <c r="J4127" s="208">
        <f>EXP(SUMPRODUCT(($K$3806:$K$4045&lt;=$C4127)*(rl_key=nr_SelKey)*$O$3806:$O$4045))</f>
        <v/>
      </c>
      <c r="K4127" s="201">
        <f>COUNTIFS(rl_key,nr_SelKey,$K$3806:$K$4045,"&gt;="&amp;$B4127,$K$3806:$K$4045,"&lt;="&amp;$C4127)</f>
        <v/>
      </c>
      <c r="L4127" s="201">
        <f>SUMIFS($P$3806:$P$4045,rl_key,nr_SelKey,$L$3806:$L$4045,$B4127,$S$3806:$S$4045,1)</f>
        <v/>
      </c>
      <c r="M4127" s="209">
        <f>IF($K4127=0,0,MIN(1,$L4127/$D4127))</f>
        <v/>
      </c>
      <c r="N4127" s="208">
        <f>IF($K4127=0,$J4127,(1-$M4127)*$I4127+$M4127*$J4127)</f>
        <v/>
      </c>
      <c r="O4127" s="209">
        <f>IF($F4127&lt;$B$4103,$E$4103+$I$4103*($F4127-$A$4103),IF($F4127&lt;$C$4103,$F$4103+$J$4103*($F4127-$B$4103),$G$4103+$K$4103*($F4127-$C$4103)))</f>
        <v/>
      </c>
      <c r="P4127" s="208">
        <f>MIN(1,MAX(0,(nr_MEndPm1-$G4127+0.5)/nr_TermMonths))-MIN(1,MAX(0,(nr_MStartPm1-1-$G4127+0.5)/nr_TermMonths))</f>
        <v/>
      </c>
      <c r="Q4127" s="208">
        <f>MIN(1,MAX(0,(nr_MEndP-$G4127+0.5)/nr_TermMonths))-MIN(1,MAX(0,(nr_MStartP-1-$G4127+0.5)/nr_TermMonths))</f>
        <v/>
      </c>
      <c r="R4127" s="208">
        <f>MIN(1,MAX(0,(nr_MEndP1-$G4127+0.5)/nr_TermMonths))-MIN(1,MAX(0,(nr_MStartP1-1-$G4127+0.5)/nr_TermMonths))</f>
        <v/>
      </c>
      <c r="S4127" s="208">
        <f>IF(nr_NetMode,$N4127*IF(nr_ModAdjEff="ON",$O4127/nr_MInd,1),"")</f>
        <v/>
      </c>
      <c r="T4127" s="208">
        <f>IF(NOT(nr_NetMode),"",IF($G4127&lt;nr_MStartP,$S4127,$T4115*(1+IF($G4127&lt;nr_MStartP1,(nr_NetSelP+N(INDEX(sc_dnet,2))),(nr_NetSelP1+N(INDEX(sc_dnet,2)))))))</f>
        <v/>
      </c>
      <c r="U4127" s="208">
        <f>IF(nr_NetMode,$T4127,$N4127)</f>
        <v/>
      </c>
    </row>
    <row r="4128">
      <c r="A4128" s="145" t="n">
        <v>24</v>
      </c>
      <c r="B4128" s="204">
        <f>EDATE($B4127,1)</f>
        <v/>
      </c>
      <c r="C4128" s="205">
        <f>EOMONTH($B4128,0)</f>
        <v/>
      </c>
      <c r="D4128" s="201">
        <f>$C4128-$B4128+1</f>
        <v/>
      </c>
      <c r="E4128" s="201">
        <f>MONTH($B4128)</f>
        <v/>
      </c>
      <c r="F4128" s="235">
        <f>($B4128+$C4128+1)/2</f>
        <v/>
      </c>
      <c r="G4128" s="201">
        <f>YEAR($B4128)*12+MONTH($B4128)-1</f>
        <v/>
      </c>
      <c r="H4128" s="207">
        <f>IF(OR(nr_SeasonOn="OFF",re_srow=0,re_ssum=0),1,12*INDEX(se_block,re_srow,$E4128)/re_ssum)</f>
        <v/>
      </c>
      <c r="I4128" s="208">
        <f>EXP(SUMPRODUCT(($K$3806:$K$4045&lt;$B4128)*(rl_key=nr_SelKey)*$O$3806:$O$4045))</f>
        <v/>
      </c>
      <c r="J4128" s="208">
        <f>EXP(SUMPRODUCT(($K$3806:$K$4045&lt;=$C4128)*(rl_key=nr_SelKey)*$O$3806:$O$4045))</f>
        <v/>
      </c>
      <c r="K4128" s="201">
        <f>COUNTIFS(rl_key,nr_SelKey,$K$3806:$K$4045,"&gt;="&amp;$B4128,$K$3806:$K$4045,"&lt;="&amp;$C4128)</f>
        <v/>
      </c>
      <c r="L4128" s="201">
        <f>SUMIFS($P$3806:$P$4045,rl_key,nr_SelKey,$L$3806:$L$4045,$B4128,$S$3806:$S$4045,1)</f>
        <v/>
      </c>
      <c r="M4128" s="209">
        <f>IF($K4128=0,0,MIN(1,$L4128/$D4128))</f>
        <v/>
      </c>
      <c r="N4128" s="208">
        <f>IF($K4128=0,$J4128,(1-$M4128)*$I4128+$M4128*$J4128)</f>
        <v/>
      </c>
      <c r="O4128" s="209">
        <f>IF($F4128&lt;$B$4103,$E$4103+$I$4103*($F4128-$A$4103),IF($F4128&lt;$C$4103,$F$4103+$J$4103*($F4128-$B$4103),$G$4103+$K$4103*($F4128-$C$4103)))</f>
        <v/>
      </c>
      <c r="P4128" s="208">
        <f>MIN(1,MAX(0,(nr_MEndPm1-$G4128+0.5)/nr_TermMonths))-MIN(1,MAX(0,(nr_MStartPm1-1-$G4128+0.5)/nr_TermMonths))</f>
        <v/>
      </c>
      <c r="Q4128" s="208">
        <f>MIN(1,MAX(0,(nr_MEndP-$G4128+0.5)/nr_TermMonths))-MIN(1,MAX(0,(nr_MStartP-1-$G4128+0.5)/nr_TermMonths))</f>
        <v/>
      </c>
      <c r="R4128" s="208">
        <f>MIN(1,MAX(0,(nr_MEndP1-$G4128+0.5)/nr_TermMonths))-MIN(1,MAX(0,(nr_MStartP1-1-$G4128+0.5)/nr_TermMonths))</f>
        <v/>
      </c>
      <c r="S4128" s="208">
        <f>IF(nr_NetMode,$N4128*IF(nr_ModAdjEff="ON",$O4128/nr_MInd,1),"")</f>
        <v/>
      </c>
      <c r="T4128" s="208">
        <f>IF(NOT(nr_NetMode),"",IF($G4128&lt;nr_MStartP,$S4128,$T4116*(1+IF($G4128&lt;nr_MStartP1,(nr_NetSelP+N(INDEX(sc_dnet,2))),(nr_NetSelP1+N(INDEX(sc_dnet,2)))))))</f>
        <v/>
      </c>
      <c r="U4128" s="208">
        <f>IF(nr_NetMode,$T4128,$N4128)</f>
        <v/>
      </c>
    </row>
    <row r="4129">
      <c r="A4129" s="145" t="n">
        <v>25</v>
      </c>
      <c r="B4129" s="204">
        <f>EDATE($B4128,1)</f>
        <v/>
      </c>
      <c r="C4129" s="205">
        <f>EOMONTH($B4129,0)</f>
        <v/>
      </c>
      <c r="D4129" s="201">
        <f>$C4129-$B4129+1</f>
        <v/>
      </c>
      <c r="E4129" s="201">
        <f>MONTH($B4129)</f>
        <v/>
      </c>
      <c r="F4129" s="235">
        <f>($B4129+$C4129+1)/2</f>
        <v/>
      </c>
      <c r="G4129" s="201">
        <f>YEAR($B4129)*12+MONTH($B4129)-1</f>
        <v/>
      </c>
      <c r="H4129" s="207">
        <f>IF(OR(nr_SeasonOn="OFF",re_srow=0,re_ssum=0),1,12*INDEX(se_block,re_srow,$E4129)/re_ssum)</f>
        <v/>
      </c>
      <c r="I4129" s="208">
        <f>EXP(SUMPRODUCT(($K$3806:$K$4045&lt;$B4129)*(rl_key=nr_SelKey)*$O$3806:$O$4045))</f>
        <v/>
      </c>
      <c r="J4129" s="208">
        <f>EXP(SUMPRODUCT(($K$3806:$K$4045&lt;=$C4129)*(rl_key=nr_SelKey)*$O$3806:$O$4045))</f>
        <v/>
      </c>
      <c r="K4129" s="201">
        <f>COUNTIFS(rl_key,nr_SelKey,$K$3806:$K$4045,"&gt;="&amp;$B4129,$K$3806:$K$4045,"&lt;="&amp;$C4129)</f>
        <v/>
      </c>
      <c r="L4129" s="201">
        <f>SUMIFS($P$3806:$P$4045,rl_key,nr_SelKey,$L$3806:$L$4045,$B4129,$S$3806:$S$4045,1)</f>
        <v/>
      </c>
      <c r="M4129" s="209">
        <f>IF($K4129=0,0,MIN(1,$L4129/$D4129))</f>
        <v/>
      </c>
      <c r="N4129" s="208">
        <f>IF($K4129=0,$J4129,(1-$M4129)*$I4129+$M4129*$J4129)</f>
        <v/>
      </c>
      <c r="O4129" s="209">
        <f>IF($F4129&lt;$B$4103,$E$4103+$I$4103*($F4129-$A$4103),IF($F4129&lt;$C$4103,$F$4103+$J$4103*($F4129-$B$4103),$G$4103+$K$4103*($F4129-$C$4103)))</f>
        <v/>
      </c>
      <c r="P4129" s="208">
        <f>MIN(1,MAX(0,(nr_MEndPm1-$G4129+0.5)/nr_TermMonths))-MIN(1,MAX(0,(nr_MStartPm1-1-$G4129+0.5)/nr_TermMonths))</f>
        <v/>
      </c>
      <c r="Q4129" s="208">
        <f>MIN(1,MAX(0,(nr_MEndP-$G4129+0.5)/nr_TermMonths))-MIN(1,MAX(0,(nr_MStartP-1-$G4129+0.5)/nr_TermMonths))</f>
        <v/>
      </c>
      <c r="R4129" s="208">
        <f>MIN(1,MAX(0,(nr_MEndP1-$G4129+0.5)/nr_TermMonths))-MIN(1,MAX(0,(nr_MStartP1-1-$G4129+0.5)/nr_TermMonths))</f>
        <v/>
      </c>
      <c r="S4129" s="208">
        <f>IF(nr_NetMode,$N4129*IF(nr_ModAdjEff="ON",$O4129/nr_MInd,1),"")</f>
        <v/>
      </c>
      <c r="T4129" s="208">
        <f>IF(NOT(nr_NetMode),"",IF($G4129&lt;nr_MStartP,$S4129,$T4117*(1+IF($G4129&lt;nr_MStartP1,(nr_NetSelP+N(INDEX(sc_dnet,2))),(nr_NetSelP1+N(INDEX(sc_dnet,2)))))))</f>
        <v/>
      </c>
      <c r="U4129" s="208">
        <f>IF(nr_NetMode,$T4129,$N4129)</f>
        <v/>
      </c>
    </row>
    <row r="4130">
      <c r="A4130" s="145" t="n">
        <v>26</v>
      </c>
      <c r="B4130" s="204">
        <f>EDATE($B4129,1)</f>
        <v/>
      </c>
      <c r="C4130" s="205">
        <f>EOMONTH($B4130,0)</f>
        <v/>
      </c>
      <c r="D4130" s="201">
        <f>$C4130-$B4130+1</f>
        <v/>
      </c>
      <c r="E4130" s="201">
        <f>MONTH($B4130)</f>
        <v/>
      </c>
      <c r="F4130" s="235">
        <f>($B4130+$C4130+1)/2</f>
        <v/>
      </c>
      <c r="G4130" s="201">
        <f>YEAR($B4130)*12+MONTH($B4130)-1</f>
        <v/>
      </c>
      <c r="H4130" s="207">
        <f>IF(OR(nr_SeasonOn="OFF",re_srow=0,re_ssum=0),1,12*INDEX(se_block,re_srow,$E4130)/re_ssum)</f>
        <v/>
      </c>
      <c r="I4130" s="208">
        <f>EXP(SUMPRODUCT(($K$3806:$K$4045&lt;$B4130)*(rl_key=nr_SelKey)*$O$3806:$O$4045))</f>
        <v/>
      </c>
      <c r="J4130" s="208">
        <f>EXP(SUMPRODUCT(($K$3806:$K$4045&lt;=$C4130)*(rl_key=nr_SelKey)*$O$3806:$O$4045))</f>
        <v/>
      </c>
      <c r="K4130" s="201">
        <f>COUNTIFS(rl_key,nr_SelKey,$K$3806:$K$4045,"&gt;="&amp;$B4130,$K$3806:$K$4045,"&lt;="&amp;$C4130)</f>
        <v/>
      </c>
      <c r="L4130" s="201">
        <f>SUMIFS($P$3806:$P$4045,rl_key,nr_SelKey,$L$3806:$L$4045,$B4130,$S$3806:$S$4045,1)</f>
        <v/>
      </c>
      <c r="M4130" s="209">
        <f>IF($K4130=0,0,MIN(1,$L4130/$D4130))</f>
        <v/>
      </c>
      <c r="N4130" s="208">
        <f>IF($K4130=0,$J4130,(1-$M4130)*$I4130+$M4130*$J4130)</f>
        <v/>
      </c>
      <c r="O4130" s="209">
        <f>IF($F4130&lt;$B$4103,$E$4103+$I$4103*($F4130-$A$4103),IF($F4130&lt;$C$4103,$F$4103+$J$4103*($F4130-$B$4103),$G$4103+$K$4103*($F4130-$C$4103)))</f>
        <v/>
      </c>
      <c r="P4130" s="208">
        <f>MIN(1,MAX(0,(nr_MEndPm1-$G4130+0.5)/nr_TermMonths))-MIN(1,MAX(0,(nr_MStartPm1-1-$G4130+0.5)/nr_TermMonths))</f>
        <v/>
      </c>
      <c r="Q4130" s="208">
        <f>MIN(1,MAX(0,(nr_MEndP-$G4130+0.5)/nr_TermMonths))-MIN(1,MAX(0,(nr_MStartP-1-$G4130+0.5)/nr_TermMonths))</f>
        <v/>
      </c>
      <c r="R4130" s="208">
        <f>MIN(1,MAX(0,(nr_MEndP1-$G4130+0.5)/nr_TermMonths))-MIN(1,MAX(0,(nr_MStartP1-1-$G4130+0.5)/nr_TermMonths))</f>
        <v/>
      </c>
      <c r="S4130" s="208">
        <f>IF(nr_NetMode,$N4130*IF(nr_ModAdjEff="ON",$O4130/nr_MInd,1),"")</f>
        <v/>
      </c>
      <c r="T4130" s="208">
        <f>IF(NOT(nr_NetMode),"",IF($G4130&lt;nr_MStartP,$S4130,$T4118*(1+IF($G4130&lt;nr_MStartP1,(nr_NetSelP+N(INDEX(sc_dnet,2))),(nr_NetSelP1+N(INDEX(sc_dnet,2)))))))</f>
        <v/>
      </c>
      <c r="U4130" s="208">
        <f>IF(nr_NetMode,$T4130,$N4130)</f>
        <v/>
      </c>
    </row>
    <row r="4131">
      <c r="A4131" s="145" t="n">
        <v>27</v>
      </c>
      <c r="B4131" s="204">
        <f>EDATE($B4130,1)</f>
        <v/>
      </c>
      <c r="C4131" s="205">
        <f>EOMONTH($B4131,0)</f>
        <v/>
      </c>
      <c r="D4131" s="201">
        <f>$C4131-$B4131+1</f>
        <v/>
      </c>
      <c r="E4131" s="201">
        <f>MONTH($B4131)</f>
        <v/>
      </c>
      <c r="F4131" s="235">
        <f>($B4131+$C4131+1)/2</f>
        <v/>
      </c>
      <c r="G4131" s="201">
        <f>YEAR($B4131)*12+MONTH($B4131)-1</f>
        <v/>
      </c>
      <c r="H4131" s="207">
        <f>IF(OR(nr_SeasonOn="OFF",re_srow=0,re_ssum=0),1,12*INDEX(se_block,re_srow,$E4131)/re_ssum)</f>
        <v/>
      </c>
      <c r="I4131" s="208">
        <f>EXP(SUMPRODUCT(($K$3806:$K$4045&lt;$B4131)*(rl_key=nr_SelKey)*$O$3806:$O$4045))</f>
        <v/>
      </c>
      <c r="J4131" s="208">
        <f>EXP(SUMPRODUCT(($K$3806:$K$4045&lt;=$C4131)*(rl_key=nr_SelKey)*$O$3806:$O$4045))</f>
        <v/>
      </c>
      <c r="K4131" s="201">
        <f>COUNTIFS(rl_key,nr_SelKey,$K$3806:$K$4045,"&gt;="&amp;$B4131,$K$3806:$K$4045,"&lt;="&amp;$C4131)</f>
        <v/>
      </c>
      <c r="L4131" s="201">
        <f>SUMIFS($P$3806:$P$4045,rl_key,nr_SelKey,$L$3806:$L$4045,$B4131,$S$3806:$S$4045,1)</f>
        <v/>
      </c>
      <c r="M4131" s="209">
        <f>IF($K4131=0,0,MIN(1,$L4131/$D4131))</f>
        <v/>
      </c>
      <c r="N4131" s="208">
        <f>IF($K4131=0,$J4131,(1-$M4131)*$I4131+$M4131*$J4131)</f>
        <v/>
      </c>
      <c r="O4131" s="209">
        <f>IF($F4131&lt;$B$4103,$E$4103+$I$4103*($F4131-$A$4103),IF($F4131&lt;$C$4103,$F$4103+$J$4103*($F4131-$B$4103),$G$4103+$K$4103*($F4131-$C$4103)))</f>
        <v/>
      </c>
      <c r="P4131" s="208">
        <f>MIN(1,MAX(0,(nr_MEndPm1-$G4131+0.5)/nr_TermMonths))-MIN(1,MAX(0,(nr_MStartPm1-1-$G4131+0.5)/nr_TermMonths))</f>
        <v/>
      </c>
      <c r="Q4131" s="208">
        <f>MIN(1,MAX(0,(nr_MEndP-$G4131+0.5)/nr_TermMonths))-MIN(1,MAX(0,(nr_MStartP-1-$G4131+0.5)/nr_TermMonths))</f>
        <v/>
      </c>
      <c r="R4131" s="208">
        <f>MIN(1,MAX(0,(nr_MEndP1-$G4131+0.5)/nr_TermMonths))-MIN(1,MAX(0,(nr_MStartP1-1-$G4131+0.5)/nr_TermMonths))</f>
        <v/>
      </c>
      <c r="S4131" s="208">
        <f>IF(nr_NetMode,$N4131*IF(nr_ModAdjEff="ON",$O4131/nr_MInd,1),"")</f>
        <v/>
      </c>
      <c r="T4131" s="208">
        <f>IF(NOT(nr_NetMode),"",IF($G4131&lt;nr_MStartP,$S4131,$T4119*(1+IF($G4131&lt;nr_MStartP1,(nr_NetSelP+N(INDEX(sc_dnet,2))),(nr_NetSelP1+N(INDEX(sc_dnet,2)))))))</f>
        <v/>
      </c>
      <c r="U4131" s="208">
        <f>IF(nr_NetMode,$T4131,$N4131)</f>
        <v/>
      </c>
    </row>
    <row r="4132">
      <c r="A4132" s="145" t="n">
        <v>28</v>
      </c>
      <c r="B4132" s="204">
        <f>EDATE($B4131,1)</f>
        <v/>
      </c>
      <c r="C4132" s="205">
        <f>EOMONTH($B4132,0)</f>
        <v/>
      </c>
      <c r="D4132" s="201">
        <f>$C4132-$B4132+1</f>
        <v/>
      </c>
      <c r="E4132" s="201">
        <f>MONTH($B4132)</f>
        <v/>
      </c>
      <c r="F4132" s="235">
        <f>($B4132+$C4132+1)/2</f>
        <v/>
      </c>
      <c r="G4132" s="201">
        <f>YEAR($B4132)*12+MONTH($B4132)-1</f>
        <v/>
      </c>
      <c r="H4132" s="207">
        <f>IF(OR(nr_SeasonOn="OFF",re_srow=0,re_ssum=0),1,12*INDEX(se_block,re_srow,$E4132)/re_ssum)</f>
        <v/>
      </c>
      <c r="I4132" s="208">
        <f>EXP(SUMPRODUCT(($K$3806:$K$4045&lt;$B4132)*(rl_key=nr_SelKey)*$O$3806:$O$4045))</f>
        <v/>
      </c>
      <c r="J4132" s="208">
        <f>EXP(SUMPRODUCT(($K$3806:$K$4045&lt;=$C4132)*(rl_key=nr_SelKey)*$O$3806:$O$4045))</f>
        <v/>
      </c>
      <c r="K4132" s="201">
        <f>COUNTIFS(rl_key,nr_SelKey,$K$3806:$K$4045,"&gt;="&amp;$B4132,$K$3806:$K$4045,"&lt;="&amp;$C4132)</f>
        <v/>
      </c>
      <c r="L4132" s="201">
        <f>SUMIFS($P$3806:$P$4045,rl_key,nr_SelKey,$L$3806:$L$4045,$B4132,$S$3806:$S$4045,1)</f>
        <v/>
      </c>
      <c r="M4132" s="209">
        <f>IF($K4132=0,0,MIN(1,$L4132/$D4132))</f>
        <v/>
      </c>
      <c r="N4132" s="208">
        <f>IF($K4132=0,$J4132,(1-$M4132)*$I4132+$M4132*$J4132)</f>
        <v/>
      </c>
      <c r="O4132" s="209">
        <f>IF($F4132&lt;$B$4103,$E$4103+$I$4103*($F4132-$A$4103),IF($F4132&lt;$C$4103,$F$4103+$J$4103*($F4132-$B$4103),$G$4103+$K$4103*($F4132-$C$4103)))</f>
        <v/>
      </c>
      <c r="P4132" s="208">
        <f>MIN(1,MAX(0,(nr_MEndPm1-$G4132+0.5)/nr_TermMonths))-MIN(1,MAX(0,(nr_MStartPm1-1-$G4132+0.5)/nr_TermMonths))</f>
        <v/>
      </c>
      <c r="Q4132" s="208">
        <f>MIN(1,MAX(0,(nr_MEndP-$G4132+0.5)/nr_TermMonths))-MIN(1,MAX(0,(nr_MStartP-1-$G4132+0.5)/nr_TermMonths))</f>
        <v/>
      </c>
      <c r="R4132" s="208">
        <f>MIN(1,MAX(0,(nr_MEndP1-$G4132+0.5)/nr_TermMonths))-MIN(1,MAX(0,(nr_MStartP1-1-$G4132+0.5)/nr_TermMonths))</f>
        <v/>
      </c>
      <c r="S4132" s="208">
        <f>IF(nr_NetMode,$N4132*IF(nr_ModAdjEff="ON",$O4132/nr_MInd,1),"")</f>
        <v/>
      </c>
      <c r="T4132" s="208">
        <f>IF(NOT(nr_NetMode),"",IF($G4132&lt;nr_MStartP,$S4132,$T4120*(1+IF($G4132&lt;nr_MStartP1,(nr_NetSelP+N(INDEX(sc_dnet,2))),(nr_NetSelP1+N(INDEX(sc_dnet,2)))))))</f>
        <v/>
      </c>
      <c r="U4132" s="208">
        <f>IF(nr_NetMode,$T4132,$N4132)</f>
        <v/>
      </c>
    </row>
    <row r="4133">
      <c r="A4133" s="145" t="n">
        <v>29</v>
      </c>
      <c r="B4133" s="204">
        <f>EDATE($B4132,1)</f>
        <v/>
      </c>
      <c r="C4133" s="205">
        <f>EOMONTH($B4133,0)</f>
        <v/>
      </c>
      <c r="D4133" s="201">
        <f>$C4133-$B4133+1</f>
        <v/>
      </c>
      <c r="E4133" s="201">
        <f>MONTH($B4133)</f>
        <v/>
      </c>
      <c r="F4133" s="235">
        <f>($B4133+$C4133+1)/2</f>
        <v/>
      </c>
      <c r="G4133" s="201">
        <f>YEAR($B4133)*12+MONTH($B4133)-1</f>
        <v/>
      </c>
      <c r="H4133" s="207">
        <f>IF(OR(nr_SeasonOn="OFF",re_srow=0,re_ssum=0),1,12*INDEX(se_block,re_srow,$E4133)/re_ssum)</f>
        <v/>
      </c>
      <c r="I4133" s="208">
        <f>EXP(SUMPRODUCT(($K$3806:$K$4045&lt;$B4133)*(rl_key=nr_SelKey)*$O$3806:$O$4045))</f>
        <v/>
      </c>
      <c r="J4133" s="208">
        <f>EXP(SUMPRODUCT(($K$3806:$K$4045&lt;=$C4133)*(rl_key=nr_SelKey)*$O$3806:$O$4045))</f>
        <v/>
      </c>
      <c r="K4133" s="201">
        <f>COUNTIFS(rl_key,nr_SelKey,$K$3806:$K$4045,"&gt;="&amp;$B4133,$K$3806:$K$4045,"&lt;="&amp;$C4133)</f>
        <v/>
      </c>
      <c r="L4133" s="201">
        <f>SUMIFS($P$3806:$P$4045,rl_key,nr_SelKey,$L$3806:$L$4045,$B4133,$S$3806:$S$4045,1)</f>
        <v/>
      </c>
      <c r="M4133" s="209">
        <f>IF($K4133=0,0,MIN(1,$L4133/$D4133))</f>
        <v/>
      </c>
      <c r="N4133" s="208">
        <f>IF($K4133=0,$J4133,(1-$M4133)*$I4133+$M4133*$J4133)</f>
        <v/>
      </c>
      <c r="O4133" s="209">
        <f>IF($F4133&lt;$B$4103,$E$4103+$I$4103*($F4133-$A$4103),IF($F4133&lt;$C$4103,$F$4103+$J$4103*($F4133-$B$4103),$G$4103+$K$4103*($F4133-$C$4103)))</f>
        <v/>
      </c>
      <c r="P4133" s="208">
        <f>MIN(1,MAX(0,(nr_MEndPm1-$G4133+0.5)/nr_TermMonths))-MIN(1,MAX(0,(nr_MStartPm1-1-$G4133+0.5)/nr_TermMonths))</f>
        <v/>
      </c>
      <c r="Q4133" s="208">
        <f>MIN(1,MAX(0,(nr_MEndP-$G4133+0.5)/nr_TermMonths))-MIN(1,MAX(0,(nr_MStartP-1-$G4133+0.5)/nr_TermMonths))</f>
        <v/>
      </c>
      <c r="R4133" s="208">
        <f>MIN(1,MAX(0,(nr_MEndP1-$G4133+0.5)/nr_TermMonths))-MIN(1,MAX(0,(nr_MStartP1-1-$G4133+0.5)/nr_TermMonths))</f>
        <v/>
      </c>
      <c r="S4133" s="208">
        <f>IF(nr_NetMode,$N4133*IF(nr_ModAdjEff="ON",$O4133/nr_MInd,1),"")</f>
        <v/>
      </c>
      <c r="T4133" s="208">
        <f>IF(NOT(nr_NetMode),"",IF($G4133&lt;nr_MStartP,$S4133,$T4121*(1+IF($G4133&lt;nr_MStartP1,(nr_NetSelP+N(INDEX(sc_dnet,2))),(nr_NetSelP1+N(INDEX(sc_dnet,2)))))))</f>
        <v/>
      </c>
      <c r="U4133" s="208">
        <f>IF(nr_NetMode,$T4133,$N4133)</f>
        <v/>
      </c>
    </row>
    <row r="4134">
      <c r="A4134" s="145" t="n">
        <v>30</v>
      </c>
      <c r="B4134" s="204">
        <f>EDATE($B4133,1)</f>
        <v/>
      </c>
      <c r="C4134" s="205">
        <f>EOMONTH($B4134,0)</f>
        <v/>
      </c>
      <c r="D4134" s="201">
        <f>$C4134-$B4134+1</f>
        <v/>
      </c>
      <c r="E4134" s="201">
        <f>MONTH($B4134)</f>
        <v/>
      </c>
      <c r="F4134" s="235">
        <f>($B4134+$C4134+1)/2</f>
        <v/>
      </c>
      <c r="G4134" s="201">
        <f>YEAR($B4134)*12+MONTH($B4134)-1</f>
        <v/>
      </c>
      <c r="H4134" s="207">
        <f>IF(OR(nr_SeasonOn="OFF",re_srow=0,re_ssum=0),1,12*INDEX(se_block,re_srow,$E4134)/re_ssum)</f>
        <v/>
      </c>
      <c r="I4134" s="208">
        <f>EXP(SUMPRODUCT(($K$3806:$K$4045&lt;$B4134)*(rl_key=nr_SelKey)*$O$3806:$O$4045))</f>
        <v/>
      </c>
      <c r="J4134" s="208">
        <f>EXP(SUMPRODUCT(($K$3806:$K$4045&lt;=$C4134)*(rl_key=nr_SelKey)*$O$3806:$O$4045))</f>
        <v/>
      </c>
      <c r="K4134" s="201">
        <f>COUNTIFS(rl_key,nr_SelKey,$K$3806:$K$4045,"&gt;="&amp;$B4134,$K$3806:$K$4045,"&lt;="&amp;$C4134)</f>
        <v/>
      </c>
      <c r="L4134" s="201">
        <f>SUMIFS($P$3806:$P$4045,rl_key,nr_SelKey,$L$3806:$L$4045,$B4134,$S$3806:$S$4045,1)</f>
        <v/>
      </c>
      <c r="M4134" s="209">
        <f>IF($K4134=0,0,MIN(1,$L4134/$D4134))</f>
        <v/>
      </c>
      <c r="N4134" s="208">
        <f>IF($K4134=0,$J4134,(1-$M4134)*$I4134+$M4134*$J4134)</f>
        <v/>
      </c>
      <c r="O4134" s="209">
        <f>IF($F4134&lt;$B$4103,$E$4103+$I$4103*($F4134-$A$4103),IF($F4134&lt;$C$4103,$F$4103+$J$4103*($F4134-$B$4103),$G$4103+$K$4103*($F4134-$C$4103)))</f>
        <v/>
      </c>
      <c r="P4134" s="208">
        <f>MIN(1,MAX(0,(nr_MEndPm1-$G4134+0.5)/nr_TermMonths))-MIN(1,MAX(0,(nr_MStartPm1-1-$G4134+0.5)/nr_TermMonths))</f>
        <v/>
      </c>
      <c r="Q4134" s="208">
        <f>MIN(1,MAX(0,(nr_MEndP-$G4134+0.5)/nr_TermMonths))-MIN(1,MAX(0,(nr_MStartP-1-$G4134+0.5)/nr_TermMonths))</f>
        <v/>
      </c>
      <c r="R4134" s="208">
        <f>MIN(1,MAX(0,(nr_MEndP1-$G4134+0.5)/nr_TermMonths))-MIN(1,MAX(0,(nr_MStartP1-1-$G4134+0.5)/nr_TermMonths))</f>
        <v/>
      </c>
      <c r="S4134" s="208">
        <f>IF(nr_NetMode,$N4134*IF(nr_ModAdjEff="ON",$O4134/nr_MInd,1),"")</f>
        <v/>
      </c>
      <c r="T4134" s="208">
        <f>IF(NOT(nr_NetMode),"",IF($G4134&lt;nr_MStartP,$S4134,$T4122*(1+IF($G4134&lt;nr_MStartP1,(nr_NetSelP+N(INDEX(sc_dnet,2))),(nr_NetSelP1+N(INDEX(sc_dnet,2)))))))</f>
        <v/>
      </c>
      <c r="U4134" s="208">
        <f>IF(nr_NetMode,$T4134,$N4134)</f>
        <v/>
      </c>
    </row>
    <row r="4135">
      <c r="A4135" s="145" t="n">
        <v>31</v>
      </c>
      <c r="B4135" s="204">
        <f>EDATE($B4134,1)</f>
        <v/>
      </c>
      <c r="C4135" s="205">
        <f>EOMONTH($B4135,0)</f>
        <v/>
      </c>
      <c r="D4135" s="201">
        <f>$C4135-$B4135+1</f>
        <v/>
      </c>
      <c r="E4135" s="201">
        <f>MONTH($B4135)</f>
        <v/>
      </c>
      <c r="F4135" s="235">
        <f>($B4135+$C4135+1)/2</f>
        <v/>
      </c>
      <c r="G4135" s="201">
        <f>YEAR($B4135)*12+MONTH($B4135)-1</f>
        <v/>
      </c>
      <c r="H4135" s="207">
        <f>IF(OR(nr_SeasonOn="OFF",re_srow=0,re_ssum=0),1,12*INDEX(se_block,re_srow,$E4135)/re_ssum)</f>
        <v/>
      </c>
      <c r="I4135" s="208">
        <f>EXP(SUMPRODUCT(($K$3806:$K$4045&lt;$B4135)*(rl_key=nr_SelKey)*$O$3806:$O$4045))</f>
        <v/>
      </c>
      <c r="J4135" s="208">
        <f>EXP(SUMPRODUCT(($K$3806:$K$4045&lt;=$C4135)*(rl_key=nr_SelKey)*$O$3806:$O$4045))</f>
        <v/>
      </c>
      <c r="K4135" s="201">
        <f>COUNTIFS(rl_key,nr_SelKey,$K$3806:$K$4045,"&gt;="&amp;$B4135,$K$3806:$K$4045,"&lt;="&amp;$C4135)</f>
        <v/>
      </c>
      <c r="L4135" s="201">
        <f>SUMIFS($P$3806:$P$4045,rl_key,nr_SelKey,$L$3806:$L$4045,$B4135,$S$3806:$S$4045,1)</f>
        <v/>
      </c>
      <c r="M4135" s="209">
        <f>IF($K4135=0,0,MIN(1,$L4135/$D4135))</f>
        <v/>
      </c>
      <c r="N4135" s="208">
        <f>IF($K4135=0,$J4135,(1-$M4135)*$I4135+$M4135*$J4135)</f>
        <v/>
      </c>
      <c r="O4135" s="209">
        <f>IF($F4135&lt;$B$4103,$E$4103+$I$4103*($F4135-$A$4103),IF($F4135&lt;$C$4103,$F$4103+$J$4103*($F4135-$B$4103),$G$4103+$K$4103*($F4135-$C$4103)))</f>
        <v/>
      </c>
      <c r="P4135" s="208">
        <f>MIN(1,MAX(0,(nr_MEndPm1-$G4135+0.5)/nr_TermMonths))-MIN(1,MAX(0,(nr_MStartPm1-1-$G4135+0.5)/nr_TermMonths))</f>
        <v/>
      </c>
      <c r="Q4135" s="208">
        <f>MIN(1,MAX(0,(nr_MEndP-$G4135+0.5)/nr_TermMonths))-MIN(1,MAX(0,(nr_MStartP-1-$G4135+0.5)/nr_TermMonths))</f>
        <v/>
      </c>
      <c r="R4135" s="208">
        <f>MIN(1,MAX(0,(nr_MEndP1-$G4135+0.5)/nr_TermMonths))-MIN(1,MAX(0,(nr_MStartP1-1-$G4135+0.5)/nr_TermMonths))</f>
        <v/>
      </c>
      <c r="S4135" s="208">
        <f>IF(nr_NetMode,$N4135*IF(nr_ModAdjEff="ON",$O4135/nr_MInd,1),"")</f>
        <v/>
      </c>
      <c r="T4135" s="208">
        <f>IF(NOT(nr_NetMode),"",IF($G4135&lt;nr_MStartP,$S4135,$T4123*(1+IF($G4135&lt;nr_MStartP1,(nr_NetSelP+N(INDEX(sc_dnet,2))),(nr_NetSelP1+N(INDEX(sc_dnet,2)))))))</f>
        <v/>
      </c>
      <c r="U4135" s="208">
        <f>IF(nr_NetMode,$T4135,$N4135)</f>
        <v/>
      </c>
    </row>
    <row r="4136">
      <c r="A4136" s="145" t="n">
        <v>32</v>
      </c>
      <c r="B4136" s="204">
        <f>EDATE($B4135,1)</f>
        <v/>
      </c>
      <c r="C4136" s="205">
        <f>EOMONTH($B4136,0)</f>
        <v/>
      </c>
      <c r="D4136" s="201">
        <f>$C4136-$B4136+1</f>
        <v/>
      </c>
      <c r="E4136" s="201">
        <f>MONTH($B4136)</f>
        <v/>
      </c>
      <c r="F4136" s="235">
        <f>($B4136+$C4136+1)/2</f>
        <v/>
      </c>
      <c r="G4136" s="201">
        <f>YEAR($B4136)*12+MONTH($B4136)-1</f>
        <v/>
      </c>
      <c r="H4136" s="207">
        <f>IF(OR(nr_SeasonOn="OFF",re_srow=0,re_ssum=0),1,12*INDEX(se_block,re_srow,$E4136)/re_ssum)</f>
        <v/>
      </c>
      <c r="I4136" s="208">
        <f>EXP(SUMPRODUCT(($K$3806:$K$4045&lt;$B4136)*(rl_key=nr_SelKey)*$O$3806:$O$4045))</f>
        <v/>
      </c>
      <c r="J4136" s="208">
        <f>EXP(SUMPRODUCT(($K$3806:$K$4045&lt;=$C4136)*(rl_key=nr_SelKey)*$O$3806:$O$4045))</f>
        <v/>
      </c>
      <c r="K4136" s="201">
        <f>COUNTIFS(rl_key,nr_SelKey,$K$3806:$K$4045,"&gt;="&amp;$B4136,$K$3806:$K$4045,"&lt;="&amp;$C4136)</f>
        <v/>
      </c>
      <c r="L4136" s="201">
        <f>SUMIFS($P$3806:$P$4045,rl_key,nr_SelKey,$L$3806:$L$4045,$B4136,$S$3806:$S$4045,1)</f>
        <v/>
      </c>
      <c r="M4136" s="209">
        <f>IF($K4136=0,0,MIN(1,$L4136/$D4136))</f>
        <v/>
      </c>
      <c r="N4136" s="208">
        <f>IF($K4136=0,$J4136,(1-$M4136)*$I4136+$M4136*$J4136)</f>
        <v/>
      </c>
      <c r="O4136" s="209">
        <f>IF($F4136&lt;$B$4103,$E$4103+$I$4103*($F4136-$A$4103),IF($F4136&lt;$C$4103,$F$4103+$J$4103*($F4136-$B$4103),$G$4103+$K$4103*($F4136-$C$4103)))</f>
        <v/>
      </c>
      <c r="P4136" s="208">
        <f>MIN(1,MAX(0,(nr_MEndPm1-$G4136+0.5)/nr_TermMonths))-MIN(1,MAX(0,(nr_MStartPm1-1-$G4136+0.5)/nr_TermMonths))</f>
        <v/>
      </c>
      <c r="Q4136" s="208">
        <f>MIN(1,MAX(0,(nr_MEndP-$G4136+0.5)/nr_TermMonths))-MIN(1,MAX(0,(nr_MStartP-1-$G4136+0.5)/nr_TermMonths))</f>
        <v/>
      </c>
      <c r="R4136" s="208">
        <f>MIN(1,MAX(0,(nr_MEndP1-$G4136+0.5)/nr_TermMonths))-MIN(1,MAX(0,(nr_MStartP1-1-$G4136+0.5)/nr_TermMonths))</f>
        <v/>
      </c>
      <c r="S4136" s="208">
        <f>IF(nr_NetMode,$N4136*IF(nr_ModAdjEff="ON",$O4136/nr_MInd,1),"")</f>
        <v/>
      </c>
      <c r="T4136" s="208">
        <f>IF(NOT(nr_NetMode),"",IF($G4136&lt;nr_MStartP,$S4136,$T4124*(1+IF($G4136&lt;nr_MStartP1,(nr_NetSelP+N(INDEX(sc_dnet,2))),(nr_NetSelP1+N(INDEX(sc_dnet,2)))))))</f>
        <v/>
      </c>
      <c r="U4136" s="208">
        <f>IF(nr_NetMode,$T4136,$N4136)</f>
        <v/>
      </c>
    </row>
    <row r="4137">
      <c r="A4137" s="145" t="n">
        <v>33</v>
      </c>
      <c r="B4137" s="204">
        <f>EDATE($B4136,1)</f>
        <v/>
      </c>
      <c r="C4137" s="205">
        <f>EOMONTH($B4137,0)</f>
        <v/>
      </c>
      <c r="D4137" s="201">
        <f>$C4137-$B4137+1</f>
        <v/>
      </c>
      <c r="E4137" s="201">
        <f>MONTH($B4137)</f>
        <v/>
      </c>
      <c r="F4137" s="235">
        <f>($B4137+$C4137+1)/2</f>
        <v/>
      </c>
      <c r="G4137" s="201">
        <f>YEAR($B4137)*12+MONTH($B4137)-1</f>
        <v/>
      </c>
      <c r="H4137" s="207">
        <f>IF(OR(nr_SeasonOn="OFF",re_srow=0,re_ssum=0),1,12*INDEX(se_block,re_srow,$E4137)/re_ssum)</f>
        <v/>
      </c>
      <c r="I4137" s="208">
        <f>EXP(SUMPRODUCT(($K$3806:$K$4045&lt;$B4137)*(rl_key=nr_SelKey)*$O$3806:$O$4045))</f>
        <v/>
      </c>
      <c r="J4137" s="208">
        <f>EXP(SUMPRODUCT(($K$3806:$K$4045&lt;=$C4137)*(rl_key=nr_SelKey)*$O$3806:$O$4045))</f>
        <v/>
      </c>
      <c r="K4137" s="201">
        <f>COUNTIFS(rl_key,nr_SelKey,$K$3806:$K$4045,"&gt;="&amp;$B4137,$K$3806:$K$4045,"&lt;="&amp;$C4137)</f>
        <v/>
      </c>
      <c r="L4137" s="201">
        <f>SUMIFS($P$3806:$P$4045,rl_key,nr_SelKey,$L$3806:$L$4045,$B4137,$S$3806:$S$4045,1)</f>
        <v/>
      </c>
      <c r="M4137" s="209">
        <f>IF($K4137=0,0,MIN(1,$L4137/$D4137))</f>
        <v/>
      </c>
      <c r="N4137" s="208">
        <f>IF($K4137=0,$J4137,(1-$M4137)*$I4137+$M4137*$J4137)</f>
        <v/>
      </c>
      <c r="O4137" s="209">
        <f>IF($F4137&lt;$B$4103,$E$4103+$I$4103*($F4137-$A$4103),IF($F4137&lt;$C$4103,$F$4103+$J$4103*($F4137-$B$4103),$G$4103+$K$4103*($F4137-$C$4103)))</f>
        <v/>
      </c>
      <c r="P4137" s="208">
        <f>MIN(1,MAX(0,(nr_MEndPm1-$G4137+0.5)/nr_TermMonths))-MIN(1,MAX(0,(nr_MStartPm1-1-$G4137+0.5)/nr_TermMonths))</f>
        <v/>
      </c>
      <c r="Q4137" s="208">
        <f>MIN(1,MAX(0,(nr_MEndP-$G4137+0.5)/nr_TermMonths))-MIN(1,MAX(0,(nr_MStartP-1-$G4137+0.5)/nr_TermMonths))</f>
        <v/>
      </c>
      <c r="R4137" s="208">
        <f>MIN(1,MAX(0,(nr_MEndP1-$G4137+0.5)/nr_TermMonths))-MIN(1,MAX(0,(nr_MStartP1-1-$G4137+0.5)/nr_TermMonths))</f>
        <v/>
      </c>
      <c r="S4137" s="208">
        <f>IF(nr_NetMode,$N4137*IF(nr_ModAdjEff="ON",$O4137/nr_MInd,1),"")</f>
        <v/>
      </c>
      <c r="T4137" s="208">
        <f>IF(NOT(nr_NetMode),"",IF($G4137&lt;nr_MStartP,$S4137,$T4125*(1+IF($G4137&lt;nr_MStartP1,(nr_NetSelP+N(INDEX(sc_dnet,2))),(nr_NetSelP1+N(INDEX(sc_dnet,2)))))))</f>
        <v/>
      </c>
      <c r="U4137" s="208">
        <f>IF(nr_NetMode,$T4137,$N4137)</f>
        <v/>
      </c>
    </row>
    <row r="4138">
      <c r="A4138" s="145" t="n">
        <v>34</v>
      </c>
      <c r="B4138" s="204">
        <f>EDATE($B4137,1)</f>
        <v/>
      </c>
      <c r="C4138" s="205">
        <f>EOMONTH($B4138,0)</f>
        <v/>
      </c>
      <c r="D4138" s="201">
        <f>$C4138-$B4138+1</f>
        <v/>
      </c>
      <c r="E4138" s="201">
        <f>MONTH($B4138)</f>
        <v/>
      </c>
      <c r="F4138" s="235">
        <f>($B4138+$C4138+1)/2</f>
        <v/>
      </c>
      <c r="G4138" s="201">
        <f>YEAR($B4138)*12+MONTH($B4138)-1</f>
        <v/>
      </c>
      <c r="H4138" s="207">
        <f>IF(OR(nr_SeasonOn="OFF",re_srow=0,re_ssum=0),1,12*INDEX(se_block,re_srow,$E4138)/re_ssum)</f>
        <v/>
      </c>
      <c r="I4138" s="208">
        <f>EXP(SUMPRODUCT(($K$3806:$K$4045&lt;$B4138)*(rl_key=nr_SelKey)*$O$3806:$O$4045))</f>
        <v/>
      </c>
      <c r="J4138" s="208">
        <f>EXP(SUMPRODUCT(($K$3806:$K$4045&lt;=$C4138)*(rl_key=nr_SelKey)*$O$3806:$O$4045))</f>
        <v/>
      </c>
      <c r="K4138" s="201">
        <f>COUNTIFS(rl_key,nr_SelKey,$K$3806:$K$4045,"&gt;="&amp;$B4138,$K$3806:$K$4045,"&lt;="&amp;$C4138)</f>
        <v/>
      </c>
      <c r="L4138" s="201">
        <f>SUMIFS($P$3806:$P$4045,rl_key,nr_SelKey,$L$3806:$L$4045,$B4138,$S$3806:$S$4045,1)</f>
        <v/>
      </c>
      <c r="M4138" s="209">
        <f>IF($K4138=0,0,MIN(1,$L4138/$D4138))</f>
        <v/>
      </c>
      <c r="N4138" s="208">
        <f>IF($K4138=0,$J4138,(1-$M4138)*$I4138+$M4138*$J4138)</f>
        <v/>
      </c>
      <c r="O4138" s="209">
        <f>IF($F4138&lt;$B$4103,$E$4103+$I$4103*($F4138-$A$4103),IF($F4138&lt;$C$4103,$F$4103+$J$4103*($F4138-$B$4103),$G$4103+$K$4103*($F4138-$C$4103)))</f>
        <v/>
      </c>
      <c r="P4138" s="208">
        <f>MIN(1,MAX(0,(nr_MEndPm1-$G4138+0.5)/nr_TermMonths))-MIN(1,MAX(0,(nr_MStartPm1-1-$G4138+0.5)/nr_TermMonths))</f>
        <v/>
      </c>
      <c r="Q4138" s="208">
        <f>MIN(1,MAX(0,(nr_MEndP-$G4138+0.5)/nr_TermMonths))-MIN(1,MAX(0,(nr_MStartP-1-$G4138+0.5)/nr_TermMonths))</f>
        <v/>
      </c>
      <c r="R4138" s="208">
        <f>MIN(1,MAX(0,(nr_MEndP1-$G4138+0.5)/nr_TermMonths))-MIN(1,MAX(0,(nr_MStartP1-1-$G4138+0.5)/nr_TermMonths))</f>
        <v/>
      </c>
      <c r="S4138" s="208">
        <f>IF(nr_NetMode,$N4138*IF(nr_ModAdjEff="ON",$O4138/nr_MInd,1),"")</f>
        <v/>
      </c>
      <c r="T4138" s="208">
        <f>IF(NOT(nr_NetMode),"",IF($G4138&lt;nr_MStartP,$S4138,$T4126*(1+IF($G4138&lt;nr_MStartP1,(nr_NetSelP+N(INDEX(sc_dnet,2))),(nr_NetSelP1+N(INDEX(sc_dnet,2)))))))</f>
        <v/>
      </c>
      <c r="U4138" s="208">
        <f>IF(nr_NetMode,$T4138,$N4138)</f>
        <v/>
      </c>
    </row>
    <row r="4139">
      <c r="A4139" s="145" t="n">
        <v>35</v>
      </c>
      <c r="B4139" s="204">
        <f>EDATE($B4138,1)</f>
        <v/>
      </c>
      <c r="C4139" s="205">
        <f>EOMONTH($B4139,0)</f>
        <v/>
      </c>
      <c r="D4139" s="201">
        <f>$C4139-$B4139+1</f>
        <v/>
      </c>
      <c r="E4139" s="201">
        <f>MONTH($B4139)</f>
        <v/>
      </c>
      <c r="F4139" s="235">
        <f>($B4139+$C4139+1)/2</f>
        <v/>
      </c>
      <c r="G4139" s="201">
        <f>YEAR($B4139)*12+MONTH($B4139)-1</f>
        <v/>
      </c>
      <c r="H4139" s="207">
        <f>IF(OR(nr_SeasonOn="OFF",re_srow=0,re_ssum=0),1,12*INDEX(se_block,re_srow,$E4139)/re_ssum)</f>
        <v/>
      </c>
      <c r="I4139" s="208">
        <f>EXP(SUMPRODUCT(($K$3806:$K$4045&lt;$B4139)*(rl_key=nr_SelKey)*$O$3806:$O$4045))</f>
        <v/>
      </c>
      <c r="J4139" s="208">
        <f>EXP(SUMPRODUCT(($K$3806:$K$4045&lt;=$C4139)*(rl_key=nr_SelKey)*$O$3806:$O$4045))</f>
        <v/>
      </c>
      <c r="K4139" s="201">
        <f>COUNTIFS(rl_key,nr_SelKey,$K$3806:$K$4045,"&gt;="&amp;$B4139,$K$3806:$K$4045,"&lt;="&amp;$C4139)</f>
        <v/>
      </c>
      <c r="L4139" s="201">
        <f>SUMIFS($P$3806:$P$4045,rl_key,nr_SelKey,$L$3806:$L$4045,$B4139,$S$3806:$S$4045,1)</f>
        <v/>
      </c>
      <c r="M4139" s="209">
        <f>IF($K4139=0,0,MIN(1,$L4139/$D4139))</f>
        <v/>
      </c>
      <c r="N4139" s="208">
        <f>IF($K4139=0,$J4139,(1-$M4139)*$I4139+$M4139*$J4139)</f>
        <v/>
      </c>
      <c r="O4139" s="209">
        <f>IF($F4139&lt;$B$4103,$E$4103+$I$4103*($F4139-$A$4103),IF($F4139&lt;$C$4103,$F$4103+$J$4103*($F4139-$B$4103),$G$4103+$K$4103*($F4139-$C$4103)))</f>
        <v/>
      </c>
      <c r="P4139" s="208">
        <f>MIN(1,MAX(0,(nr_MEndPm1-$G4139+0.5)/nr_TermMonths))-MIN(1,MAX(0,(nr_MStartPm1-1-$G4139+0.5)/nr_TermMonths))</f>
        <v/>
      </c>
      <c r="Q4139" s="208">
        <f>MIN(1,MAX(0,(nr_MEndP-$G4139+0.5)/nr_TermMonths))-MIN(1,MAX(0,(nr_MStartP-1-$G4139+0.5)/nr_TermMonths))</f>
        <v/>
      </c>
      <c r="R4139" s="208">
        <f>MIN(1,MAX(0,(nr_MEndP1-$G4139+0.5)/nr_TermMonths))-MIN(1,MAX(0,(nr_MStartP1-1-$G4139+0.5)/nr_TermMonths))</f>
        <v/>
      </c>
      <c r="S4139" s="208">
        <f>IF(nr_NetMode,$N4139*IF(nr_ModAdjEff="ON",$O4139/nr_MInd,1),"")</f>
        <v/>
      </c>
      <c r="T4139" s="208">
        <f>IF(NOT(nr_NetMode),"",IF($G4139&lt;nr_MStartP,$S4139,$T4127*(1+IF($G4139&lt;nr_MStartP1,(nr_NetSelP+N(INDEX(sc_dnet,2))),(nr_NetSelP1+N(INDEX(sc_dnet,2)))))))</f>
        <v/>
      </c>
      <c r="U4139" s="208">
        <f>IF(nr_NetMode,$T4139,$N4139)</f>
        <v/>
      </c>
    </row>
    <row r="4140">
      <c r="A4140" s="145" t="n">
        <v>36</v>
      </c>
      <c r="B4140" s="204">
        <f>EDATE($B4139,1)</f>
        <v/>
      </c>
      <c r="C4140" s="205">
        <f>EOMONTH($B4140,0)</f>
        <v/>
      </c>
      <c r="D4140" s="201">
        <f>$C4140-$B4140+1</f>
        <v/>
      </c>
      <c r="E4140" s="201">
        <f>MONTH($B4140)</f>
        <v/>
      </c>
      <c r="F4140" s="235">
        <f>($B4140+$C4140+1)/2</f>
        <v/>
      </c>
      <c r="G4140" s="201">
        <f>YEAR($B4140)*12+MONTH($B4140)-1</f>
        <v/>
      </c>
      <c r="H4140" s="207">
        <f>IF(OR(nr_SeasonOn="OFF",re_srow=0,re_ssum=0),1,12*INDEX(se_block,re_srow,$E4140)/re_ssum)</f>
        <v/>
      </c>
      <c r="I4140" s="208">
        <f>EXP(SUMPRODUCT(($K$3806:$K$4045&lt;$B4140)*(rl_key=nr_SelKey)*$O$3806:$O$4045))</f>
        <v/>
      </c>
      <c r="J4140" s="208">
        <f>EXP(SUMPRODUCT(($K$3806:$K$4045&lt;=$C4140)*(rl_key=nr_SelKey)*$O$3806:$O$4045))</f>
        <v/>
      </c>
      <c r="K4140" s="201">
        <f>COUNTIFS(rl_key,nr_SelKey,$K$3806:$K$4045,"&gt;="&amp;$B4140,$K$3806:$K$4045,"&lt;="&amp;$C4140)</f>
        <v/>
      </c>
      <c r="L4140" s="201">
        <f>SUMIFS($P$3806:$P$4045,rl_key,nr_SelKey,$L$3806:$L$4045,$B4140,$S$3806:$S$4045,1)</f>
        <v/>
      </c>
      <c r="M4140" s="209">
        <f>IF($K4140=0,0,MIN(1,$L4140/$D4140))</f>
        <v/>
      </c>
      <c r="N4140" s="208">
        <f>IF($K4140=0,$J4140,(1-$M4140)*$I4140+$M4140*$J4140)</f>
        <v/>
      </c>
      <c r="O4140" s="209">
        <f>IF($F4140&lt;$B$4103,$E$4103+$I$4103*($F4140-$A$4103),IF($F4140&lt;$C$4103,$F$4103+$J$4103*($F4140-$B$4103),$G$4103+$K$4103*($F4140-$C$4103)))</f>
        <v/>
      </c>
      <c r="P4140" s="208">
        <f>MIN(1,MAX(0,(nr_MEndPm1-$G4140+0.5)/nr_TermMonths))-MIN(1,MAX(0,(nr_MStartPm1-1-$G4140+0.5)/nr_TermMonths))</f>
        <v/>
      </c>
      <c r="Q4140" s="208">
        <f>MIN(1,MAX(0,(nr_MEndP-$G4140+0.5)/nr_TermMonths))-MIN(1,MAX(0,(nr_MStartP-1-$G4140+0.5)/nr_TermMonths))</f>
        <v/>
      </c>
      <c r="R4140" s="208">
        <f>MIN(1,MAX(0,(nr_MEndP1-$G4140+0.5)/nr_TermMonths))-MIN(1,MAX(0,(nr_MStartP1-1-$G4140+0.5)/nr_TermMonths))</f>
        <v/>
      </c>
      <c r="S4140" s="208">
        <f>IF(nr_NetMode,$N4140*IF(nr_ModAdjEff="ON",$O4140/nr_MInd,1),"")</f>
        <v/>
      </c>
      <c r="T4140" s="208">
        <f>IF(NOT(nr_NetMode),"",IF($G4140&lt;nr_MStartP,$S4140,$T4128*(1+IF($G4140&lt;nr_MStartP1,(nr_NetSelP+N(INDEX(sc_dnet,2))),(nr_NetSelP1+N(INDEX(sc_dnet,2)))))))</f>
        <v/>
      </c>
      <c r="U4140" s="208">
        <f>IF(nr_NetMode,$T4140,$N4140)</f>
        <v/>
      </c>
    </row>
    <row r="4141">
      <c r="A4141" s="145" t="n">
        <v>37</v>
      </c>
      <c r="B4141" s="204">
        <f>EDATE($B4140,1)</f>
        <v/>
      </c>
      <c r="C4141" s="205">
        <f>EOMONTH($B4141,0)</f>
        <v/>
      </c>
      <c r="D4141" s="201">
        <f>$C4141-$B4141+1</f>
        <v/>
      </c>
      <c r="E4141" s="201">
        <f>MONTH($B4141)</f>
        <v/>
      </c>
      <c r="F4141" s="235">
        <f>($B4141+$C4141+1)/2</f>
        <v/>
      </c>
      <c r="G4141" s="201">
        <f>YEAR($B4141)*12+MONTH($B4141)-1</f>
        <v/>
      </c>
      <c r="H4141" s="207">
        <f>IF(OR(nr_SeasonOn="OFF",re_srow=0,re_ssum=0),1,12*INDEX(se_block,re_srow,$E4141)/re_ssum)</f>
        <v/>
      </c>
      <c r="I4141" s="208">
        <f>EXP(SUMPRODUCT(($K$3806:$K$4045&lt;$B4141)*(rl_key=nr_SelKey)*$O$3806:$O$4045))</f>
        <v/>
      </c>
      <c r="J4141" s="208">
        <f>EXP(SUMPRODUCT(($K$3806:$K$4045&lt;=$C4141)*(rl_key=nr_SelKey)*$O$3806:$O$4045))</f>
        <v/>
      </c>
      <c r="K4141" s="201">
        <f>COUNTIFS(rl_key,nr_SelKey,$K$3806:$K$4045,"&gt;="&amp;$B4141,$K$3806:$K$4045,"&lt;="&amp;$C4141)</f>
        <v/>
      </c>
      <c r="L4141" s="201">
        <f>SUMIFS($P$3806:$P$4045,rl_key,nr_SelKey,$L$3806:$L$4045,$B4141,$S$3806:$S$4045,1)</f>
        <v/>
      </c>
      <c r="M4141" s="209">
        <f>IF($K4141=0,0,MIN(1,$L4141/$D4141))</f>
        <v/>
      </c>
      <c r="N4141" s="208">
        <f>IF($K4141=0,$J4141,(1-$M4141)*$I4141+$M4141*$J4141)</f>
        <v/>
      </c>
      <c r="O4141" s="209">
        <f>IF($F4141&lt;$B$4103,$E$4103+$I$4103*($F4141-$A$4103),IF($F4141&lt;$C$4103,$F$4103+$J$4103*($F4141-$B$4103),$G$4103+$K$4103*($F4141-$C$4103)))</f>
        <v/>
      </c>
      <c r="P4141" s="208">
        <f>MIN(1,MAX(0,(nr_MEndPm1-$G4141+0.5)/nr_TermMonths))-MIN(1,MAX(0,(nr_MStartPm1-1-$G4141+0.5)/nr_TermMonths))</f>
        <v/>
      </c>
      <c r="Q4141" s="208">
        <f>MIN(1,MAX(0,(nr_MEndP-$G4141+0.5)/nr_TermMonths))-MIN(1,MAX(0,(nr_MStartP-1-$G4141+0.5)/nr_TermMonths))</f>
        <v/>
      </c>
      <c r="R4141" s="208">
        <f>MIN(1,MAX(0,(nr_MEndP1-$G4141+0.5)/nr_TermMonths))-MIN(1,MAX(0,(nr_MStartP1-1-$G4141+0.5)/nr_TermMonths))</f>
        <v/>
      </c>
      <c r="S4141" s="208">
        <f>IF(nr_NetMode,$N4141*IF(nr_ModAdjEff="ON",$O4141/nr_MInd,1),"")</f>
        <v/>
      </c>
      <c r="T4141" s="208">
        <f>IF(NOT(nr_NetMode),"",IF($G4141&lt;nr_MStartP,$S4141,$T4129*(1+IF($G4141&lt;nr_MStartP1,(nr_NetSelP+N(INDEX(sc_dnet,2))),(nr_NetSelP1+N(INDEX(sc_dnet,2)))))))</f>
        <v/>
      </c>
      <c r="U4141" s="208">
        <f>IF(nr_NetMode,$T4141,$N4141)</f>
        <v/>
      </c>
    </row>
    <row r="4142">
      <c r="A4142" s="145" t="n">
        <v>38</v>
      </c>
      <c r="B4142" s="204">
        <f>EDATE($B4141,1)</f>
        <v/>
      </c>
      <c r="C4142" s="205">
        <f>EOMONTH($B4142,0)</f>
        <v/>
      </c>
      <c r="D4142" s="201">
        <f>$C4142-$B4142+1</f>
        <v/>
      </c>
      <c r="E4142" s="201">
        <f>MONTH($B4142)</f>
        <v/>
      </c>
      <c r="F4142" s="235">
        <f>($B4142+$C4142+1)/2</f>
        <v/>
      </c>
      <c r="G4142" s="201">
        <f>YEAR($B4142)*12+MONTH($B4142)-1</f>
        <v/>
      </c>
      <c r="H4142" s="207">
        <f>IF(OR(nr_SeasonOn="OFF",re_srow=0,re_ssum=0),1,12*INDEX(se_block,re_srow,$E4142)/re_ssum)</f>
        <v/>
      </c>
      <c r="I4142" s="208">
        <f>EXP(SUMPRODUCT(($K$3806:$K$4045&lt;$B4142)*(rl_key=nr_SelKey)*$O$3806:$O$4045))</f>
        <v/>
      </c>
      <c r="J4142" s="208">
        <f>EXP(SUMPRODUCT(($K$3806:$K$4045&lt;=$C4142)*(rl_key=nr_SelKey)*$O$3806:$O$4045))</f>
        <v/>
      </c>
      <c r="K4142" s="201">
        <f>COUNTIFS(rl_key,nr_SelKey,$K$3806:$K$4045,"&gt;="&amp;$B4142,$K$3806:$K$4045,"&lt;="&amp;$C4142)</f>
        <v/>
      </c>
      <c r="L4142" s="201">
        <f>SUMIFS($P$3806:$P$4045,rl_key,nr_SelKey,$L$3806:$L$4045,$B4142,$S$3806:$S$4045,1)</f>
        <v/>
      </c>
      <c r="M4142" s="209">
        <f>IF($K4142=0,0,MIN(1,$L4142/$D4142))</f>
        <v/>
      </c>
      <c r="N4142" s="208">
        <f>IF($K4142=0,$J4142,(1-$M4142)*$I4142+$M4142*$J4142)</f>
        <v/>
      </c>
      <c r="O4142" s="209">
        <f>IF($F4142&lt;$B$4103,$E$4103+$I$4103*($F4142-$A$4103),IF($F4142&lt;$C$4103,$F$4103+$J$4103*($F4142-$B$4103),$G$4103+$K$4103*($F4142-$C$4103)))</f>
        <v/>
      </c>
      <c r="P4142" s="208">
        <f>MIN(1,MAX(0,(nr_MEndPm1-$G4142+0.5)/nr_TermMonths))-MIN(1,MAX(0,(nr_MStartPm1-1-$G4142+0.5)/nr_TermMonths))</f>
        <v/>
      </c>
      <c r="Q4142" s="208">
        <f>MIN(1,MAX(0,(nr_MEndP-$G4142+0.5)/nr_TermMonths))-MIN(1,MAX(0,(nr_MStartP-1-$G4142+0.5)/nr_TermMonths))</f>
        <v/>
      </c>
      <c r="R4142" s="208">
        <f>MIN(1,MAX(0,(nr_MEndP1-$G4142+0.5)/nr_TermMonths))-MIN(1,MAX(0,(nr_MStartP1-1-$G4142+0.5)/nr_TermMonths))</f>
        <v/>
      </c>
      <c r="S4142" s="208">
        <f>IF(nr_NetMode,$N4142*IF(nr_ModAdjEff="ON",$O4142/nr_MInd,1),"")</f>
        <v/>
      </c>
      <c r="T4142" s="208">
        <f>IF(NOT(nr_NetMode),"",IF($G4142&lt;nr_MStartP,$S4142,$T4130*(1+IF($G4142&lt;nr_MStartP1,(nr_NetSelP+N(INDEX(sc_dnet,2))),(nr_NetSelP1+N(INDEX(sc_dnet,2)))))))</f>
        <v/>
      </c>
      <c r="U4142" s="208">
        <f>IF(nr_NetMode,$T4142,$N4142)</f>
        <v/>
      </c>
    </row>
    <row r="4143">
      <c r="A4143" s="145" t="n">
        <v>39</v>
      </c>
      <c r="B4143" s="204">
        <f>EDATE($B4142,1)</f>
        <v/>
      </c>
      <c r="C4143" s="205">
        <f>EOMONTH($B4143,0)</f>
        <v/>
      </c>
      <c r="D4143" s="201">
        <f>$C4143-$B4143+1</f>
        <v/>
      </c>
      <c r="E4143" s="201">
        <f>MONTH($B4143)</f>
        <v/>
      </c>
      <c r="F4143" s="235">
        <f>($B4143+$C4143+1)/2</f>
        <v/>
      </c>
      <c r="G4143" s="201">
        <f>YEAR($B4143)*12+MONTH($B4143)-1</f>
        <v/>
      </c>
      <c r="H4143" s="207">
        <f>IF(OR(nr_SeasonOn="OFF",re_srow=0,re_ssum=0),1,12*INDEX(se_block,re_srow,$E4143)/re_ssum)</f>
        <v/>
      </c>
      <c r="I4143" s="208">
        <f>EXP(SUMPRODUCT(($K$3806:$K$4045&lt;$B4143)*(rl_key=nr_SelKey)*$O$3806:$O$4045))</f>
        <v/>
      </c>
      <c r="J4143" s="208">
        <f>EXP(SUMPRODUCT(($K$3806:$K$4045&lt;=$C4143)*(rl_key=nr_SelKey)*$O$3806:$O$4045))</f>
        <v/>
      </c>
      <c r="K4143" s="201">
        <f>COUNTIFS(rl_key,nr_SelKey,$K$3806:$K$4045,"&gt;="&amp;$B4143,$K$3806:$K$4045,"&lt;="&amp;$C4143)</f>
        <v/>
      </c>
      <c r="L4143" s="201">
        <f>SUMIFS($P$3806:$P$4045,rl_key,nr_SelKey,$L$3806:$L$4045,$B4143,$S$3806:$S$4045,1)</f>
        <v/>
      </c>
      <c r="M4143" s="209">
        <f>IF($K4143=0,0,MIN(1,$L4143/$D4143))</f>
        <v/>
      </c>
      <c r="N4143" s="208">
        <f>IF($K4143=0,$J4143,(1-$M4143)*$I4143+$M4143*$J4143)</f>
        <v/>
      </c>
      <c r="O4143" s="209">
        <f>IF($F4143&lt;$B$4103,$E$4103+$I$4103*($F4143-$A$4103),IF($F4143&lt;$C$4103,$F$4103+$J$4103*($F4143-$B$4103),$G$4103+$K$4103*($F4143-$C$4103)))</f>
        <v/>
      </c>
      <c r="P4143" s="208">
        <f>MIN(1,MAX(0,(nr_MEndPm1-$G4143+0.5)/nr_TermMonths))-MIN(1,MAX(0,(nr_MStartPm1-1-$G4143+0.5)/nr_TermMonths))</f>
        <v/>
      </c>
      <c r="Q4143" s="208">
        <f>MIN(1,MAX(0,(nr_MEndP-$G4143+0.5)/nr_TermMonths))-MIN(1,MAX(0,(nr_MStartP-1-$G4143+0.5)/nr_TermMonths))</f>
        <v/>
      </c>
      <c r="R4143" s="208">
        <f>MIN(1,MAX(0,(nr_MEndP1-$G4143+0.5)/nr_TermMonths))-MIN(1,MAX(0,(nr_MStartP1-1-$G4143+0.5)/nr_TermMonths))</f>
        <v/>
      </c>
      <c r="S4143" s="208">
        <f>IF(nr_NetMode,$N4143*IF(nr_ModAdjEff="ON",$O4143/nr_MInd,1),"")</f>
        <v/>
      </c>
      <c r="T4143" s="208">
        <f>IF(NOT(nr_NetMode),"",IF($G4143&lt;nr_MStartP,$S4143,$T4131*(1+IF($G4143&lt;nr_MStartP1,(nr_NetSelP+N(INDEX(sc_dnet,2))),(nr_NetSelP1+N(INDEX(sc_dnet,2)))))))</f>
        <v/>
      </c>
      <c r="U4143" s="208">
        <f>IF(nr_NetMode,$T4143,$N4143)</f>
        <v/>
      </c>
    </row>
    <row r="4144">
      <c r="A4144" s="145" t="n">
        <v>40</v>
      </c>
      <c r="B4144" s="204">
        <f>EDATE($B4143,1)</f>
        <v/>
      </c>
      <c r="C4144" s="205">
        <f>EOMONTH($B4144,0)</f>
        <v/>
      </c>
      <c r="D4144" s="201">
        <f>$C4144-$B4144+1</f>
        <v/>
      </c>
      <c r="E4144" s="201">
        <f>MONTH($B4144)</f>
        <v/>
      </c>
      <c r="F4144" s="235">
        <f>($B4144+$C4144+1)/2</f>
        <v/>
      </c>
      <c r="G4144" s="201">
        <f>YEAR($B4144)*12+MONTH($B4144)-1</f>
        <v/>
      </c>
      <c r="H4144" s="207">
        <f>IF(OR(nr_SeasonOn="OFF",re_srow=0,re_ssum=0),1,12*INDEX(se_block,re_srow,$E4144)/re_ssum)</f>
        <v/>
      </c>
      <c r="I4144" s="208">
        <f>EXP(SUMPRODUCT(($K$3806:$K$4045&lt;$B4144)*(rl_key=nr_SelKey)*$O$3806:$O$4045))</f>
        <v/>
      </c>
      <c r="J4144" s="208">
        <f>EXP(SUMPRODUCT(($K$3806:$K$4045&lt;=$C4144)*(rl_key=nr_SelKey)*$O$3806:$O$4045))</f>
        <v/>
      </c>
      <c r="K4144" s="201">
        <f>COUNTIFS(rl_key,nr_SelKey,$K$3806:$K$4045,"&gt;="&amp;$B4144,$K$3806:$K$4045,"&lt;="&amp;$C4144)</f>
        <v/>
      </c>
      <c r="L4144" s="201">
        <f>SUMIFS($P$3806:$P$4045,rl_key,nr_SelKey,$L$3806:$L$4045,$B4144,$S$3806:$S$4045,1)</f>
        <v/>
      </c>
      <c r="M4144" s="209">
        <f>IF($K4144=0,0,MIN(1,$L4144/$D4144))</f>
        <v/>
      </c>
      <c r="N4144" s="208">
        <f>IF($K4144=0,$J4144,(1-$M4144)*$I4144+$M4144*$J4144)</f>
        <v/>
      </c>
      <c r="O4144" s="209">
        <f>IF($F4144&lt;$B$4103,$E$4103+$I$4103*($F4144-$A$4103),IF($F4144&lt;$C$4103,$F$4103+$J$4103*($F4144-$B$4103),$G$4103+$K$4103*($F4144-$C$4103)))</f>
        <v/>
      </c>
      <c r="P4144" s="208">
        <f>MIN(1,MAX(0,(nr_MEndPm1-$G4144+0.5)/nr_TermMonths))-MIN(1,MAX(0,(nr_MStartPm1-1-$G4144+0.5)/nr_TermMonths))</f>
        <v/>
      </c>
      <c r="Q4144" s="208">
        <f>MIN(1,MAX(0,(nr_MEndP-$G4144+0.5)/nr_TermMonths))-MIN(1,MAX(0,(nr_MStartP-1-$G4144+0.5)/nr_TermMonths))</f>
        <v/>
      </c>
      <c r="R4144" s="208">
        <f>MIN(1,MAX(0,(nr_MEndP1-$G4144+0.5)/nr_TermMonths))-MIN(1,MAX(0,(nr_MStartP1-1-$G4144+0.5)/nr_TermMonths))</f>
        <v/>
      </c>
      <c r="S4144" s="208">
        <f>IF(nr_NetMode,$N4144*IF(nr_ModAdjEff="ON",$O4144/nr_MInd,1),"")</f>
        <v/>
      </c>
      <c r="T4144" s="208">
        <f>IF(NOT(nr_NetMode),"",IF($G4144&lt;nr_MStartP,$S4144,$T4132*(1+IF($G4144&lt;nr_MStartP1,(nr_NetSelP+N(INDEX(sc_dnet,2))),(nr_NetSelP1+N(INDEX(sc_dnet,2)))))))</f>
        <v/>
      </c>
      <c r="U4144" s="208">
        <f>IF(nr_NetMode,$T4144,$N4144)</f>
        <v/>
      </c>
    </row>
    <row r="4145">
      <c r="A4145" s="145" t="n">
        <v>41</v>
      </c>
      <c r="B4145" s="204">
        <f>EDATE($B4144,1)</f>
        <v/>
      </c>
      <c r="C4145" s="205">
        <f>EOMONTH($B4145,0)</f>
        <v/>
      </c>
      <c r="D4145" s="201">
        <f>$C4145-$B4145+1</f>
        <v/>
      </c>
      <c r="E4145" s="201">
        <f>MONTH($B4145)</f>
        <v/>
      </c>
      <c r="F4145" s="235">
        <f>($B4145+$C4145+1)/2</f>
        <v/>
      </c>
      <c r="G4145" s="201">
        <f>YEAR($B4145)*12+MONTH($B4145)-1</f>
        <v/>
      </c>
      <c r="H4145" s="207">
        <f>IF(OR(nr_SeasonOn="OFF",re_srow=0,re_ssum=0),1,12*INDEX(se_block,re_srow,$E4145)/re_ssum)</f>
        <v/>
      </c>
      <c r="I4145" s="208">
        <f>EXP(SUMPRODUCT(($K$3806:$K$4045&lt;$B4145)*(rl_key=nr_SelKey)*$O$3806:$O$4045))</f>
        <v/>
      </c>
      <c r="J4145" s="208">
        <f>EXP(SUMPRODUCT(($K$3806:$K$4045&lt;=$C4145)*(rl_key=nr_SelKey)*$O$3806:$O$4045))</f>
        <v/>
      </c>
      <c r="K4145" s="201">
        <f>COUNTIFS(rl_key,nr_SelKey,$K$3806:$K$4045,"&gt;="&amp;$B4145,$K$3806:$K$4045,"&lt;="&amp;$C4145)</f>
        <v/>
      </c>
      <c r="L4145" s="201">
        <f>SUMIFS($P$3806:$P$4045,rl_key,nr_SelKey,$L$3806:$L$4045,$B4145,$S$3806:$S$4045,1)</f>
        <v/>
      </c>
      <c r="M4145" s="209">
        <f>IF($K4145=0,0,MIN(1,$L4145/$D4145))</f>
        <v/>
      </c>
      <c r="N4145" s="208">
        <f>IF($K4145=0,$J4145,(1-$M4145)*$I4145+$M4145*$J4145)</f>
        <v/>
      </c>
      <c r="O4145" s="209">
        <f>IF($F4145&lt;$B$4103,$E$4103+$I$4103*($F4145-$A$4103),IF($F4145&lt;$C$4103,$F$4103+$J$4103*($F4145-$B$4103),$G$4103+$K$4103*($F4145-$C$4103)))</f>
        <v/>
      </c>
      <c r="P4145" s="208">
        <f>MIN(1,MAX(0,(nr_MEndPm1-$G4145+0.5)/nr_TermMonths))-MIN(1,MAX(0,(nr_MStartPm1-1-$G4145+0.5)/nr_TermMonths))</f>
        <v/>
      </c>
      <c r="Q4145" s="208">
        <f>MIN(1,MAX(0,(nr_MEndP-$G4145+0.5)/nr_TermMonths))-MIN(1,MAX(0,(nr_MStartP-1-$G4145+0.5)/nr_TermMonths))</f>
        <v/>
      </c>
      <c r="R4145" s="208">
        <f>MIN(1,MAX(0,(nr_MEndP1-$G4145+0.5)/nr_TermMonths))-MIN(1,MAX(0,(nr_MStartP1-1-$G4145+0.5)/nr_TermMonths))</f>
        <v/>
      </c>
      <c r="S4145" s="208">
        <f>IF(nr_NetMode,$N4145*IF(nr_ModAdjEff="ON",$O4145/nr_MInd,1),"")</f>
        <v/>
      </c>
      <c r="T4145" s="208">
        <f>IF(NOT(nr_NetMode),"",IF($G4145&lt;nr_MStartP,$S4145,$T4133*(1+IF($G4145&lt;nr_MStartP1,(nr_NetSelP+N(INDEX(sc_dnet,2))),(nr_NetSelP1+N(INDEX(sc_dnet,2)))))))</f>
        <v/>
      </c>
      <c r="U4145" s="208">
        <f>IF(nr_NetMode,$T4145,$N4145)</f>
        <v/>
      </c>
    </row>
    <row r="4146">
      <c r="A4146" s="145" t="n">
        <v>42</v>
      </c>
      <c r="B4146" s="204">
        <f>EDATE($B4145,1)</f>
        <v/>
      </c>
      <c r="C4146" s="205">
        <f>EOMONTH($B4146,0)</f>
        <v/>
      </c>
      <c r="D4146" s="201">
        <f>$C4146-$B4146+1</f>
        <v/>
      </c>
      <c r="E4146" s="201">
        <f>MONTH($B4146)</f>
        <v/>
      </c>
      <c r="F4146" s="235">
        <f>($B4146+$C4146+1)/2</f>
        <v/>
      </c>
      <c r="G4146" s="201">
        <f>YEAR($B4146)*12+MONTH($B4146)-1</f>
        <v/>
      </c>
      <c r="H4146" s="207">
        <f>IF(OR(nr_SeasonOn="OFF",re_srow=0,re_ssum=0),1,12*INDEX(se_block,re_srow,$E4146)/re_ssum)</f>
        <v/>
      </c>
      <c r="I4146" s="208">
        <f>EXP(SUMPRODUCT(($K$3806:$K$4045&lt;$B4146)*(rl_key=nr_SelKey)*$O$3806:$O$4045))</f>
        <v/>
      </c>
      <c r="J4146" s="208">
        <f>EXP(SUMPRODUCT(($K$3806:$K$4045&lt;=$C4146)*(rl_key=nr_SelKey)*$O$3806:$O$4045))</f>
        <v/>
      </c>
      <c r="K4146" s="201">
        <f>COUNTIFS(rl_key,nr_SelKey,$K$3806:$K$4045,"&gt;="&amp;$B4146,$K$3806:$K$4045,"&lt;="&amp;$C4146)</f>
        <v/>
      </c>
      <c r="L4146" s="201">
        <f>SUMIFS($P$3806:$P$4045,rl_key,nr_SelKey,$L$3806:$L$4045,$B4146,$S$3806:$S$4045,1)</f>
        <v/>
      </c>
      <c r="M4146" s="209">
        <f>IF($K4146=0,0,MIN(1,$L4146/$D4146))</f>
        <v/>
      </c>
      <c r="N4146" s="208">
        <f>IF($K4146=0,$J4146,(1-$M4146)*$I4146+$M4146*$J4146)</f>
        <v/>
      </c>
      <c r="O4146" s="209">
        <f>IF($F4146&lt;$B$4103,$E$4103+$I$4103*($F4146-$A$4103),IF($F4146&lt;$C$4103,$F$4103+$J$4103*($F4146-$B$4103),$G$4103+$K$4103*($F4146-$C$4103)))</f>
        <v/>
      </c>
      <c r="P4146" s="208">
        <f>MIN(1,MAX(0,(nr_MEndPm1-$G4146+0.5)/nr_TermMonths))-MIN(1,MAX(0,(nr_MStartPm1-1-$G4146+0.5)/nr_TermMonths))</f>
        <v/>
      </c>
      <c r="Q4146" s="208">
        <f>MIN(1,MAX(0,(nr_MEndP-$G4146+0.5)/nr_TermMonths))-MIN(1,MAX(0,(nr_MStartP-1-$G4146+0.5)/nr_TermMonths))</f>
        <v/>
      </c>
      <c r="R4146" s="208">
        <f>MIN(1,MAX(0,(nr_MEndP1-$G4146+0.5)/nr_TermMonths))-MIN(1,MAX(0,(nr_MStartP1-1-$G4146+0.5)/nr_TermMonths))</f>
        <v/>
      </c>
      <c r="S4146" s="208">
        <f>IF(nr_NetMode,$N4146*IF(nr_ModAdjEff="ON",$O4146/nr_MInd,1),"")</f>
        <v/>
      </c>
      <c r="T4146" s="208">
        <f>IF(NOT(nr_NetMode),"",IF($G4146&lt;nr_MStartP,$S4146,$T4134*(1+IF($G4146&lt;nr_MStartP1,(nr_NetSelP+N(INDEX(sc_dnet,2))),(nr_NetSelP1+N(INDEX(sc_dnet,2)))))))</f>
        <v/>
      </c>
      <c r="U4146" s="208">
        <f>IF(nr_NetMode,$T4146,$N4146)</f>
        <v/>
      </c>
    </row>
    <row r="4147">
      <c r="A4147" s="145" t="n">
        <v>43</v>
      </c>
      <c r="B4147" s="204">
        <f>EDATE($B4146,1)</f>
        <v/>
      </c>
      <c r="C4147" s="205">
        <f>EOMONTH($B4147,0)</f>
        <v/>
      </c>
      <c r="D4147" s="201">
        <f>$C4147-$B4147+1</f>
        <v/>
      </c>
      <c r="E4147" s="201">
        <f>MONTH($B4147)</f>
        <v/>
      </c>
      <c r="F4147" s="235">
        <f>($B4147+$C4147+1)/2</f>
        <v/>
      </c>
      <c r="G4147" s="201">
        <f>YEAR($B4147)*12+MONTH($B4147)-1</f>
        <v/>
      </c>
      <c r="H4147" s="207">
        <f>IF(OR(nr_SeasonOn="OFF",re_srow=0,re_ssum=0),1,12*INDEX(se_block,re_srow,$E4147)/re_ssum)</f>
        <v/>
      </c>
      <c r="I4147" s="208">
        <f>EXP(SUMPRODUCT(($K$3806:$K$4045&lt;$B4147)*(rl_key=nr_SelKey)*$O$3806:$O$4045))</f>
        <v/>
      </c>
      <c r="J4147" s="208">
        <f>EXP(SUMPRODUCT(($K$3806:$K$4045&lt;=$C4147)*(rl_key=nr_SelKey)*$O$3806:$O$4045))</f>
        <v/>
      </c>
      <c r="K4147" s="201">
        <f>COUNTIFS(rl_key,nr_SelKey,$K$3806:$K$4045,"&gt;="&amp;$B4147,$K$3806:$K$4045,"&lt;="&amp;$C4147)</f>
        <v/>
      </c>
      <c r="L4147" s="201">
        <f>SUMIFS($P$3806:$P$4045,rl_key,nr_SelKey,$L$3806:$L$4045,$B4147,$S$3806:$S$4045,1)</f>
        <v/>
      </c>
      <c r="M4147" s="209">
        <f>IF($K4147=0,0,MIN(1,$L4147/$D4147))</f>
        <v/>
      </c>
      <c r="N4147" s="208">
        <f>IF($K4147=0,$J4147,(1-$M4147)*$I4147+$M4147*$J4147)</f>
        <v/>
      </c>
      <c r="O4147" s="209">
        <f>IF($F4147&lt;$B$4103,$E$4103+$I$4103*($F4147-$A$4103),IF($F4147&lt;$C$4103,$F$4103+$J$4103*($F4147-$B$4103),$G$4103+$K$4103*($F4147-$C$4103)))</f>
        <v/>
      </c>
      <c r="P4147" s="208">
        <f>MIN(1,MAX(0,(nr_MEndPm1-$G4147+0.5)/nr_TermMonths))-MIN(1,MAX(0,(nr_MStartPm1-1-$G4147+0.5)/nr_TermMonths))</f>
        <v/>
      </c>
      <c r="Q4147" s="208">
        <f>MIN(1,MAX(0,(nr_MEndP-$G4147+0.5)/nr_TermMonths))-MIN(1,MAX(0,(nr_MStartP-1-$G4147+0.5)/nr_TermMonths))</f>
        <v/>
      </c>
      <c r="R4147" s="208">
        <f>MIN(1,MAX(0,(nr_MEndP1-$G4147+0.5)/nr_TermMonths))-MIN(1,MAX(0,(nr_MStartP1-1-$G4147+0.5)/nr_TermMonths))</f>
        <v/>
      </c>
      <c r="S4147" s="208">
        <f>IF(nr_NetMode,$N4147*IF(nr_ModAdjEff="ON",$O4147/nr_MInd,1),"")</f>
        <v/>
      </c>
      <c r="T4147" s="208">
        <f>IF(NOT(nr_NetMode),"",IF($G4147&lt;nr_MStartP,$S4147,$T4135*(1+IF($G4147&lt;nr_MStartP1,(nr_NetSelP+N(INDEX(sc_dnet,2))),(nr_NetSelP1+N(INDEX(sc_dnet,2)))))))</f>
        <v/>
      </c>
      <c r="U4147" s="208">
        <f>IF(nr_NetMode,$T4147,$N4147)</f>
        <v/>
      </c>
    </row>
    <row r="4148">
      <c r="A4148" s="145" t="n">
        <v>44</v>
      </c>
      <c r="B4148" s="204">
        <f>EDATE($B4147,1)</f>
        <v/>
      </c>
      <c r="C4148" s="205">
        <f>EOMONTH($B4148,0)</f>
        <v/>
      </c>
      <c r="D4148" s="201">
        <f>$C4148-$B4148+1</f>
        <v/>
      </c>
      <c r="E4148" s="201">
        <f>MONTH($B4148)</f>
        <v/>
      </c>
      <c r="F4148" s="235">
        <f>($B4148+$C4148+1)/2</f>
        <v/>
      </c>
      <c r="G4148" s="201">
        <f>YEAR($B4148)*12+MONTH($B4148)-1</f>
        <v/>
      </c>
      <c r="H4148" s="207">
        <f>IF(OR(nr_SeasonOn="OFF",re_srow=0,re_ssum=0),1,12*INDEX(se_block,re_srow,$E4148)/re_ssum)</f>
        <v/>
      </c>
      <c r="I4148" s="208">
        <f>EXP(SUMPRODUCT(($K$3806:$K$4045&lt;$B4148)*(rl_key=nr_SelKey)*$O$3806:$O$4045))</f>
        <v/>
      </c>
      <c r="J4148" s="208">
        <f>EXP(SUMPRODUCT(($K$3806:$K$4045&lt;=$C4148)*(rl_key=nr_SelKey)*$O$3806:$O$4045))</f>
        <v/>
      </c>
      <c r="K4148" s="201">
        <f>COUNTIFS(rl_key,nr_SelKey,$K$3806:$K$4045,"&gt;="&amp;$B4148,$K$3806:$K$4045,"&lt;="&amp;$C4148)</f>
        <v/>
      </c>
      <c r="L4148" s="201">
        <f>SUMIFS($P$3806:$P$4045,rl_key,nr_SelKey,$L$3806:$L$4045,$B4148,$S$3806:$S$4045,1)</f>
        <v/>
      </c>
      <c r="M4148" s="209">
        <f>IF($K4148=0,0,MIN(1,$L4148/$D4148))</f>
        <v/>
      </c>
      <c r="N4148" s="208">
        <f>IF($K4148=0,$J4148,(1-$M4148)*$I4148+$M4148*$J4148)</f>
        <v/>
      </c>
      <c r="O4148" s="209">
        <f>IF($F4148&lt;$B$4103,$E$4103+$I$4103*($F4148-$A$4103),IF($F4148&lt;$C$4103,$F$4103+$J$4103*($F4148-$B$4103),$G$4103+$K$4103*($F4148-$C$4103)))</f>
        <v/>
      </c>
      <c r="P4148" s="208">
        <f>MIN(1,MAX(0,(nr_MEndPm1-$G4148+0.5)/nr_TermMonths))-MIN(1,MAX(0,(nr_MStartPm1-1-$G4148+0.5)/nr_TermMonths))</f>
        <v/>
      </c>
      <c r="Q4148" s="208">
        <f>MIN(1,MAX(0,(nr_MEndP-$G4148+0.5)/nr_TermMonths))-MIN(1,MAX(0,(nr_MStartP-1-$G4148+0.5)/nr_TermMonths))</f>
        <v/>
      </c>
      <c r="R4148" s="208">
        <f>MIN(1,MAX(0,(nr_MEndP1-$G4148+0.5)/nr_TermMonths))-MIN(1,MAX(0,(nr_MStartP1-1-$G4148+0.5)/nr_TermMonths))</f>
        <v/>
      </c>
      <c r="S4148" s="208">
        <f>IF(nr_NetMode,$N4148*IF(nr_ModAdjEff="ON",$O4148/nr_MInd,1),"")</f>
        <v/>
      </c>
      <c r="T4148" s="208">
        <f>IF(NOT(nr_NetMode),"",IF($G4148&lt;nr_MStartP,$S4148,$T4136*(1+IF($G4148&lt;nr_MStartP1,(nr_NetSelP+N(INDEX(sc_dnet,2))),(nr_NetSelP1+N(INDEX(sc_dnet,2)))))))</f>
        <v/>
      </c>
      <c r="U4148" s="208">
        <f>IF(nr_NetMode,$T4148,$N4148)</f>
        <v/>
      </c>
    </row>
    <row r="4149">
      <c r="A4149" s="145" t="n">
        <v>45</v>
      </c>
      <c r="B4149" s="204">
        <f>EDATE($B4148,1)</f>
        <v/>
      </c>
      <c r="C4149" s="205">
        <f>EOMONTH($B4149,0)</f>
        <v/>
      </c>
      <c r="D4149" s="201">
        <f>$C4149-$B4149+1</f>
        <v/>
      </c>
      <c r="E4149" s="201">
        <f>MONTH($B4149)</f>
        <v/>
      </c>
      <c r="F4149" s="235">
        <f>($B4149+$C4149+1)/2</f>
        <v/>
      </c>
      <c r="G4149" s="201">
        <f>YEAR($B4149)*12+MONTH($B4149)-1</f>
        <v/>
      </c>
      <c r="H4149" s="207">
        <f>IF(OR(nr_SeasonOn="OFF",re_srow=0,re_ssum=0),1,12*INDEX(se_block,re_srow,$E4149)/re_ssum)</f>
        <v/>
      </c>
      <c r="I4149" s="208">
        <f>EXP(SUMPRODUCT(($K$3806:$K$4045&lt;$B4149)*(rl_key=nr_SelKey)*$O$3806:$O$4045))</f>
        <v/>
      </c>
      <c r="J4149" s="208">
        <f>EXP(SUMPRODUCT(($K$3806:$K$4045&lt;=$C4149)*(rl_key=nr_SelKey)*$O$3806:$O$4045))</f>
        <v/>
      </c>
      <c r="K4149" s="201">
        <f>COUNTIFS(rl_key,nr_SelKey,$K$3806:$K$4045,"&gt;="&amp;$B4149,$K$3806:$K$4045,"&lt;="&amp;$C4149)</f>
        <v/>
      </c>
      <c r="L4149" s="201">
        <f>SUMIFS($P$3806:$P$4045,rl_key,nr_SelKey,$L$3806:$L$4045,$B4149,$S$3806:$S$4045,1)</f>
        <v/>
      </c>
      <c r="M4149" s="209">
        <f>IF($K4149=0,0,MIN(1,$L4149/$D4149))</f>
        <v/>
      </c>
      <c r="N4149" s="208">
        <f>IF($K4149=0,$J4149,(1-$M4149)*$I4149+$M4149*$J4149)</f>
        <v/>
      </c>
      <c r="O4149" s="209">
        <f>IF($F4149&lt;$B$4103,$E$4103+$I$4103*($F4149-$A$4103),IF($F4149&lt;$C$4103,$F$4103+$J$4103*($F4149-$B$4103),$G$4103+$K$4103*($F4149-$C$4103)))</f>
        <v/>
      </c>
      <c r="P4149" s="208">
        <f>MIN(1,MAX(0,(nr_MEndPm1-$G4149+0.5)/nr_TermMonths))-MIN(1,MAX(0,(nr_MStartPm1-1-$G4149+0.5)/nr_TermMonths))</f>
        <v/>
      </c>
      <c r="Q4149" s="208">
        <f>MIN(1,MAX(0,(nr_MEndP-$G4149+0.5)/nr_TermMonths))-MIN(1,MAX(0,(nr_MStartP-1-$G4149+0.5)/nr_TermMonths))</f>
        <v/>
      </c>
      <c r="R4149" s="208">
        <f>MIN(1,MAX(0,(nr_MEndP1-$G4149+0.5)/nr_TermMonths))-MIN(1,MAX(0,(nr_MStartP1-1-$G4149+0.5)/nr_TermMonths))</f>
        <v/>
      </c>
      <c r="S4149" s="208">
        <f>IF(nr_NetMode,$N4149*IF(nr_ModAdjEff="ON",$O4149/nr_MInd,1),"")</f>
        <v/>
      </c>
      <c r="T4149" s="208">
        <f>IF(NOT(nr_NetMode),"",IF($G4149&lt;nr_MStartP,$S4149,$T4137*(1+IF($G4149&lt;nr_MStartP1,(nr_NetSelP+N(INDEX(sc_dnet,2))),(nr_NetSelP1+N(INDEX(sc_dnet,2)))))))</f>
        <v/>
      </c>
      <c r="U4149" s="208">
        <f>IF(nr_NetMode,$T4149,$N4149)</f>
        <v/>
      </c>
    </row>
    <row r="4150">
      <c r="A4150" s="145" t="n">
        <v>46</v>
      </c>
      <c r="B4150" s="204">
        <f>EDATE($B4149,1)</f>
        <v/>
      </c>
      <c r="C4150" s="205">
        <f>EOMONTH($B4150,0)</f>
        <v/>
      </c>
      <c r="D4150" s="201">
        <f>$C4150-$B4150+1</f>
        <v/>
      </c>
      <c r="E4150" s="201">
        <f>MONTH($B4150)</f>
        <v/>
      </c>
      <c r="F4150" s="235">
        <f>($B4150+$C4150+1)/2</f>
        <v/>
      </c>
      <c r="G4150" s="201">
        <f>YEAR($B4150)*12+MONTH($B4150)-1</f>
        <v/>
      </c>
      <c r="H4150" s="207">
        <f>IF(OR(nr_SeasonOn="OFF",re_srow=0,re_ssum=0),1,12*INDEX(se_block,re_srow,$E4150)/re_ssum)</f>
        <v/>
      </c>
      <c r="I4150" s="208">
        <f>EXP(SUMPRODUCT(($K$3806:$K$4045&lt;$B4150)*(rl_key=nr_SelKey)*$O$3806:$O$4045))</f>
        <v/>
      </c>
      <c r="J4150" s="208">
        <f>EXP(SUMPRODUCT(($K$3806:$K$4045&lt;=$C4150)*(rl_key=nr_SelKey)*$O$3806:$O$4045))</f>
        <v/>
      </c>
      <c r="K4150" s="201">
        <f>COUNTIFS(rl_key,nr_SelKey,$K$3806:$K$4045,"&gt;="&amp;$B4150,$K$3806:$K$4045,"&lt;="&amp;$C4150)</f>
        <v/>
      </c>
      <c r="L4150" s="201">
        <f>SUMIFS($P$3806:$P$4045,rl_key,nr_SelKey,$L$3806:$L$4045,$B4150,$S$3806:$S$4045,1)</f>
        <v/>
      </c>
      <c r="M4150" s="209">
        <f>IF($K4150=0,0,MIN(1,$L4150/$D4150))</f>
        <v/>
      </c>
      <c r="N4150" s="208">
        <f>IF($K4150=0,$J4150,(1-$M4150)*$I4150+$M4150*$J4150)</f>
        <v/>
      </c>
      <c r="O4150" s="209">
        <f>IF($F4150&lt;$B$4103,$E$4103+$I$4103*($F4150-$A$4103),IF($F4150&lt;$C$4103,$F$4103+$J$4103*($F4150-$B$4103),$G$4103+$K$4103*($F4150-$C$4103)))</f>
        <v/>
      </c>
      <c r="P4150" s="208">
        <f>MIN(1,MAX(0,(nr_MEndPm1-$G4150+0.5)/nr_TermMonths))-MIN(1,MAX(0,(nr_MStartPm1-1-$G4150+0.5)/nr_TermMonths))</f>
        <v/>
      </c>
      <c r="Q4150" s="208">
        <f>MIN(1,MAX(0,(nr_MEndP-$G4150+0.5)/nr_TermMonths))-MIN(1,MAX(0,(nr_MStartP-1-$G4150+0.5)/nr_TermMonths))</f>
        <v/>
      </c>
      <c r="R4150" s="208">
        <f>MIN(1,MAX(0,(nr_MEndP1-$G4150+0.5)/nr_TermMonths))-MIN(1,MAX(0,(nr_MStartP1-1-$G4150+0.5)/nr_TermMonths))</f>
        <v/>
      </c>
      <c r="S4150" s="208">
        <f>IF(nr_NetMode,$N4150*IF(nr_ModAdjEff="ON",$O4150/nr_MInd,1),"")</f>
        <v/>
      </c>
      <c r="T4150" s="208">
        <f>IF(NOT(nr_NetMode),"",IF($G4150&lt;nr_MStartP,$S4150,$T4138*(1+IF($G4150&lt;nr_MStartP1,(nr_NetSelP+N(INDEX(sc_dnet,2))),(nr_NetSelP1+N(INDEX(sc_dnet,2)))))))</f>
        <v/>
      </c>
      <c r="U4150" s="208">
        <f>IF(nr_NetMode,$T4150,$N4150)</f>
        <v/>
      </c>
    </row>
    <row r="4151">
      <c r="A4151" s="145" t="n">
        <v>47</v>
      </c>
      <c r="B4151" s="204">
        <f>EDATE($B4150,1)</f>
        <v/>
      </c>
      <c r="C4151" s="205">
        <f>EOMONTH($B4151,0)</f>
        <v/>
      </c>
      <c r="D4151" s="201">
        <f>$C4151-$B4151+1</f>
        <v/>
      </c>
      <c r="E4151" s="201">
        <f>MONTH($B4151)</f>
        <v/>
      </c>
      <c r="F4151" s="235">
        <f>($B4151+$C4151+1)/2</f>
        <v/>
      </c>
      <c r="G4151" s="201">
        <f>YEAR($B4151)*12+MONTH($B4151)-1</f>
        <v/>
      </c>
      <c r="H4151" s="207">
        <f>IF(OR(nr_SeasonOn="OFF",re_srow=0,re_ssum=0),1,12*INDEX(se_block,re_srow,$E4151)/re_ssum)</f>
        <v/>
      </c>
      <c r="I4151" s="208">
        <f>EXP(SUMPRODUCT(($K$3806:$K$4045&lt;$B4151)*(rl_key=nr_SelKey)*$O$3806:$O$4045))</f>
        <v/>
      </c>
      <c r="J4151" s="208">
        <f>EXP(SUMPRODUCT(($K$3806:$K$4045&lt;=$C4151)*(rl_key=nr_SelKey)*$O$3806:$O$4045))</f>
        <v/>
      </c>
      <c r="K4151" s="201">
        <f>COUNTIFS(rl_key,nr_SelKey,$K$3806:$K$4045,"&gt;="&amp;$B4151,$K$3806:$K$4045,"&lt;="&amp;$C4151)</f>
        <v/>
      </c>
      <c r="L4151" s="201">
        <f>SUMIFS($P$3806:$P$4045,rl_key,nr_SelKey,$L$3806:$L$4045,$B4151,$S$3806:$S$4045,1)</f>
        <v/>
      </c>
      <c r="M4151" s="209">
        <f>IF($K4151=0,0,MIN(1,$L4151/$D4151))</f>
        <v/>
      </c>
      <c r="N4151" s="208">
        <f>IF($K4151=0,$J4151,(1-$M4151)*$I4151+$M4151*$J4151)</f>
        <v/>
      </c>
      <c r="O4151" s="209">
        <f>IF($F4151&lt;$B$4103,$E$4103+$I$4103*($F4151-$A$4103),IF($F4151&lt;$C$4103,$F$4103+$J$4103*($F4151-$B$4103),$G$4103+$K$4103*($F4151-$C$4103)))</f>
        <v/>
      </c>
      <c r="P4151" s="208">
        <f>MIN(1,MAX(0,(nr_MEndPm1-$G4151+0.5)/nr_TermMonths))-MIN(1,MAX(0,(nr_MStartPm1-1-$G4151+0.5)/nr_TermMonths))</f>
        <v/>
      </c>
      <c r="Q4151" s="208">
        <f>MIN(1,MAX(0,(nr_MEndP-$G4151+0.5)/nr_TermMonths))-MIN(1,MAX(0,(nr_MStartP-1-$G4151+0.5)/nr_TermMonths))</f>
        <v/>
      </c>
      <c r="R4151" s="208">
        <f>MIN(1,MAX(0,(nr_MEndP1-$G4151+0.5)/nr_TermMonths))-MIN(1,MAX(0,(nr_MStartP1-1-$G4151+0.5)/nr_TermMonths))</f>
        <v/>
      </c>
      <c r="S4151" s="208">
        <f>IF(nr_NetMode,$N4151*IF(nr_ModAdjEff="ON",$O4151/nr_MInd,1),"")</f>
        <v/>
      </c>
      <c r="T4151" s="208">
        <f>IF(NOT(nr_NetMode),"",IF($G4151&lt;nr_MStartP,$S4151,$T4139*(1+IF($G4151&lt;nr_MStartP1,(nr_NetSelP+N(INDEX(sc_dnet,2))),(nr_NetSelP1+N(INDEX(sc_dnet,2)))))))</f>
        <v/>
      </c>
      <c r="U4151" s="208">
        <f>IF(nr_NetMode,$T4151,$N4151)</f>
        <v/>
      </c>
    </row>
    <row r="4152">
      <c r="A4152" s="145" t="n">
        <v>48</v>
      </c>
      <c r="B4152" s="204">
        <f>EDATE($B4151,1)</f>
        <v/>
      </c>
      <c r="C4152" s="205">
        <f>EOMONTH($B4152,0)</f>
        <v/>
      </c>
      <c r="D4152" s="201">
        <f>$C4152-$B4152+1</f>
        <v/>
      </c>
      <c r="E4152" s="201">
        <f>MONTH($B4152)</f>
        <v/>
      </c>
      <c r="F4152" s="235">
        <f>($B4152+$C4152+1)/2</f>
        <v/>
      </c>
      <c r="G4152" s="201">
        <f>YEAR($B4152)*12+MONTH($B4152)-1</f>
        <v/>
      </c>
      <c r="H4152" s="207">
        <f>IF(OR(nr_SeasonOn="OFF",re_srow=0,re_ssum=0),1,12*INDEX(se_block,re_srow,$E4152)/re_ssum)</f>
        <v/>
      </c>
      <c r="I4152" s="208">
        <f>EXP(SUMPRODUCT(($K$3806:$K$4045&lt;$B4152)*(rl_key=nr_SelKey)*$O$3806:$O$4045))</f>
        <v/>
      </c>
      <c r="J4152" s="208">
        <f>EXP(SUMPRODUCT(($K$3806:$K$4045&lt;=$C4152)*(rl_key=nr_SelKey)*$O$3806:$O$4045))</f>
        <v/>
      </c>
      <c r="K4152" s="201">
        <f>COUNTIFS(rl_key,nr_SelKey,$K$3806:$K$4045,"&gt;="&amp;$B4152,$K$3806:$K$4045,"&lt;="&amp;$C4152)</f>
        <v/>
      </c>
      <c r="L4152" s="201">
        <f>SUMIFS($P$3806:$P$4045,rl_key,nr_SelKey,$L$3806:$L$4045,$B4152,$S$3806:$S$4045,1)</f>
        <v/>
      </c>
      <c r="M4152" s="209">
        <f>IF($K4152=0,0,MIN(1,$L4152/$D4152))</f>
        <v/>
      </c>
      <c r="N4152" s="208">
        <f>IF($K4152=0,$J4152,(1-$M4152)*$I4152+$M4152*$J4152)</f>
        <v/>
      </c>
      <c r="O4152" s="209">
        <f>IF($F4152&lt;$B$4103,$E$4103+$I$4103*($F4152-$A$4103),IF($F4152&lt;$C$4103,$F$4103+$J$4103*($F4152-$B$4103),$G$4103+$K$4103*($F4152-$C$4103)))</f>
        <v/>
      </c>
      <c r="P4152" s="208">
        <f>MIN(1,MAX(0,(nr_MEndPm1-$G4152+0.5)/nr_TermMonths))-MIN(1,MAX(0,(nr_MStartPm1-1-$G4152+0.5)/nr_TermMonths))</f>
        <v/>
      </c>
      <c r="Q4152" s="208">
        <f>MIN(1,MAX(0,(nr_MEndP-$G4152+0.5)/nr_TermMonths))-MIN(1,MAX(0,(nr_MStartP-1-$G4152+0.5)/nr_TermMonths))</f>
        <v/>
      </c>
      <c r="R4152" s="208">
        <f>MIN(1,MAX(0,(nr_MEndP1-$G4152+0.5)/nr_TermMonths))-MIN(1,MAX(0,(nr_MStartP1-1-$G4152+0.5)/nr_TermMonths))</f>
        <v/>
      </c>
      <c r="S4152" s="208">
        <f>IF(nr_NetMode,$N4152*IF(nr_ModAdjEff="ON",$O4152/nr_MInd,1),"")</f>
        <v/>
      </c>
      <c r="T4152" s="208">
        <f>IF(NOT(nr_NetMode),"",IF($G4152&lt;nr_MStartP,$S4152,$T4140*(1+IF($G4152&lt;nr_MStartP1,(nr_NetSelP+N(INDEX(sc_dnet,2))),(nr_NetSelP1+N(INDEX(sc_dnet,2)))))))</f>
        <v/>
      </c>
      <c r="U4152" s="208">
        <f>IF(nr_NetMode,$T4152,$N4152)</f>
        <v/>
      </c>
    </row>
    <row r="4153">
      <c r="A4153" s="6" t="inlineStr">
        <is>
          <t>S2 results:</t>
        </is>
      </c>
      <c r="B4153" s="72">
        <f>SUMPRODUCT($H$4105:$H$4152,$Q$4105:$Q$4152,$U$4105:$U$4152)/SUMPRODUCT($H$4105:$H$4152,$Q$4105:$Q$4152)</f>
        <v/>
      </c>
      <c r="C4153" s="72">
        <f>SUMPRODUCT($H$4105:$H$4152,$R$4105:$R$4152,$U$4105:$U$4152)/SUMPRODUCT($H$4105:$H$4152,$R$4105:$R$4152)</f>
        <v/>
      </c>
      <c r="D4153" s="184">
        <f>SUMPRODUCT($H$4105:$H$4152,$Q$4105:$Q$4152,$O$4105:$O$4152)/SUMPRODUCT($H$4105:$H$4152,$Q$4105:$Q$4152)</f>
        <v/>
      </c>
    </row>
    <row r="4156">
      <c r="A4156" s="233"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145" t="n">
        <v>1</v>
      </c>
      <c r="B4159" s="204">
        <f>DATE(nr_PlanYear-2,1,1)</f>
        <v/>
      </c>
      <c r="C4159" s="205">
        <f>EOMONTH($B4159,0)</f>
        <v/>
      </c>
      <c r="D4159" s="201">
        <f>$C4159-$B4159+1</f>
        <v/>
      </c>
      <c r="E4159" s="201">
        <f>MONTH($B4159)</f>
        <v/>
      </c>
      <c r="F4159" s="235">
        <f>($B4159+$C4159+1)/2</f>
        <v/>
      </c>
      <c r="G4159" s="201">
        <f>YEAR($B4159)*12+MONTH($B4159)-1</f>
        <v/>
      </c>
      <c r="H4159" s="207">
        <f>IF(OR(nr_SeasonOn="OFF",re_srow=0,re_ssum=0),1,12*INDEX(se_block,re_srow,$E4159)/re_ssum)</f>
        <v/>
      </c>
      <c r="I4159" s="208">
        <f>EXP(SUMPRODUCT(($U$3806:$U$4045&lt;$B4159)*(rl_key=nr_SelKey)*$Y$3806:$Y$4045))</f>
        <v/>
      </c>
      <c r="J4159" s="208">
        <f>EXP(SUMPRODUCT(($U$3806:$U$4045&lt;=$C4159)*(rl_key=nr_SelKey)*$Y$3806:$Y$4045))</f>
        <v/>
      </c>
      <c r="K4159" s="201">
        <f>COUNTIFS(rl_key,nr_SelKey,$U$3806:$U$4045,"&gt;="&amp;$B4159,$U$3806:$U$4045,"&lt;="&amp;$C4159)</f>
        <v/>
      </c>
      <c r="L4159" s="201">
        <f>SUMIFS($Z$3806:$Z$4045,rl_key,nr_SelKey,$V$3806:$V$4045,$B4159,$AC$3806:$AC$4045,1)</f>
        <v/>
      </c>
      <c r="M4159" s="209">
        <f>IF($K4159=0,0,MIN(1,$L4159/$D4159))</f>
        <v/>
      </c>
      <c r="N4159" s="208">
        <f>IF($K4159=0,$J4159,(1-$M4159)*$I4159+$M4159*$J4159)</f>
        <v/>
      </c>
      <c r="O4159" s="209">
        <f>IF($F4159&lt;$B$4157,$E$4157+$I$4157*($F4159-$A$4157),IF($F4159&lt;$C$4157,$F$4157+$J$4157*($F4159-$B$4157),$G$4157+$K$4157*($F4159-$C$4157)))</f>
        <v/>
      </c>
      <c r="P4159" s="208">
        <f>MIN(1,MAX(0,(nr_MEndPm1-$G4159+0.5)/nr_TermMonths))-MIN(1,MAX(0,(nr_MStartPm1-1-$G4159+0.5)/nr_TermMonths))</f>
        <v/>
      </c>
      <c r="Q4159" s="208">
        <f>MIN(1,MAX(0,(nr_MEndP-$G4159+0.5)/nr_TermMonths))-MIN(1,MAX(0,(nr_MStartP-1-$G4159+0.5)/nr_TermMonths))</f>
        <v/>
      </c>
      <c r="R4159" s="208">
        <f>MIN(1,MAX(0,(nr_MEndP1-$G4159+0.5)/nr_TermMonths))-MIN(1,MAX(0,(nr_MStartP1-1-$G4159+0.5)/nr_TermMonths))</f>
        <v/>
      </c>
      <c r="S4159" s="208">
        <f>IF(nr_NetMode,$N4159*IF(nr_ModAdjEff="ON",$O4159/nr_MInd,1),"")</f>
        <v/>
      </c>
      <c r="T4159" s="208">
        <f>IF(NOT(nr_NetMode),"",IF($G4159&lt;nr_MStartP,$S4159,$T4147*(1+IF($G4159&lt;nr_MStartP1,(nr_NetSelP+N(INDEX(sc_dnet,3))),(nr_NetSelP1+N(INDEX(sc_dnet,3)))))))</f>
        <v/>
      </c>
      <c r="U4159" s="208">
        <f>IF(nr_NetMode,$T4159,$N4159)</f>
        <v/>
      </c>
    </row>
    <row r="4160">
      <c r="A4160" s="145" t="n">
        <v>2</v>
      </c>
      <c r="B4160" s="204">
        <f>EDATE($B4159,1)</f>
        <v/>
      </c>
      <c r="C4160" s="205">
        <f>EOMONTH($B4160,0)</f>
        <v/>
      </c>
      <c r="D4160" s="201">
        <f>$C4160-$B4160+1</f>
        <v/>
      </c>
      <c r="E4160" s="201">
        <f>MONTH($B4160)</f>
        <v/>
      </c>
      <c r="F4160" s="235">
        <f>($B4160+$C4160+1)/2</f>
        <v/>
      </c>
      <c r="G4160" s="201">
        <f>YEAR($B4160)*12+MONTH($B4160)-1</f>
        <v/>
      </c>
      <c r="H4160" s="207">
        <f>IF(OR(nr_SeasonOn="OFF",re_srow=0,re_ssum=0),1,12*INDEX(se_block,re_srow,$E4160)/re_ssum)</f>
        <v/>
      </c>
      <c r="I4160" s="208">
        <f>EXP(SUMPRODUCT(($U$3806:$U$4045&lt;$B4160)*(rl_key=nr_SelKey)*$Y$3806:$Y$4045))</f>
        <v/>
      </c>
      <c r="J4160" s="208">
        <f>EXP(SUMPRODUCT(($U$3806:$U$4045&lt;=$C4160)*(rl_key=nr_SelKey)*$Y$3806:$Y$4045))</f>
        <v/>
      </c>
      <c r="K4160" s="201">
        <f>COUNTIFS(rl_key,nr_SelKey,$U$3806:$U$4045,"&gt;="&amp;$B4160,$U$3806:$U$4045,"&lt;="&amp;$C4160)</f>
        <v/>
      </c>
      <c r="L4160" s="201">
        <f>SUMIFS($Z$3806:$Z$4045,rl_key,nr_SelKey,$V$3806:$V$4045,$B4160,$AC$3806:$AC$4045,1)</f>
        <v/>
      </c>
      <c r="M4160" s="209">
        <f>IF($K4160=0,0,MIN(1,$L4160/$D4160))</f>
        <v/>
      </c>
      <c r="N4160" s="208">
        <f>IF($K4160=0,$J4160,(1-$M4160)*$I4160+$M4160*$J4160)</f>
        <v/>
      </c>
      <c r="O4160" s="209">
        <f>IF($F4160&lt;$B$4157,$E$4157+$I$4157*($F4160-$A$4157),IF($F4160&lt;$C$4157,$F$4157+$J$4157*($F4160-$B$4157),$G$4157+$K$4157*($F4160-$C$4157)))</f>
        <v/>
      </c>
      <c r="P4160" s="208">
        <f>MIN(1,MAX(0,(nr_MEndPm1-$G4160+0.5)/nr_TermMonths))-MIN(1,MAX(0,(nr_MStartPm1-1-$G4160+0.5)/nr_TermMonths))</f>
        <v/>
      </c>
      <c r="Q4160" s="208">
        <f>MIN(1,MAX(0,(nr_MEndP-$G4160+0.5)/nr_TermMonths))-MIN(1,MAX(0,(nr_MStartP-1-$G4160+0.5)/nr_TermMonths))</f>
        <v/>
      </c>
      <c r="R4160" s="208">
        <f>MIN(1,MAX(0,(nr_MEndP1-$G4160+0.5)/nr_TermMonths))-MIN(1,MAX(0,(nr_MStartP1-1-$G4160+0.5)/nr_TermMonths))</f>
        <v/>
      </c>
      <c r="S4160" s="208">
        <f>IF(nr_NetMode,$N4160*IF(nr_ModAdjEff="ON",$O4160/nr_MInd,1),"")</f>
        <v/>
      </c>
      <c r="T4160" s="208">
        <f>IF(NOT(nr_NetMode),"",IF($G4160&lt;nr_MStartP,$S4160,$T4148*(1+IF($G4160&lt;nr_MStartP1,(nr_NetSelP+N(INDEX(sc_dnet,3))),(nr_NetSelP1+N(INDEX(sc_dnet,3)))))))</f>
        <v/>
      </c>
      <c r="U4160" s="208">
        <f>IF(nr_NetMode,$T4160,$N4160)</f>
        <v/>
      </c>
    </row>
    <row r="4161">
      <c r="A4161" s="145" t="n">
        <v>3</v>
      </c>
      <c r="B4161" s="204">
        <f>EDATE($B4160,1)</f>
        <v/>
      </c>
      <c r="C4161" s="205">
        <f>EOMONTH($B4161,0)</f>
        <v/>
      </c>
      <c r="D4161" s="201">
        <f>$C4161-$B4161+1</f>
        <v/>
      </c>
      <c r="E4161" s="201">
        <f>MONTH($B4161)</f>
        <v/>
      </c>
      <c r="F4161" s="235">
        <f>($B4161+$C4161+1)/2</f>
        <v/>
      </c>
      <c r="G4161" s="201">
        <f>YEAR($B4161)*12+MONTH($B4161)-1</f>
        <v/>
      </c>
      <c r="H4161" s="207">
        <f>IF(OR(nr_SeasonOn="OFF",re_srow=0,re_ssum=0),1,12*INDEX(se_block,re_srow,$E4161)/re_ssum)</f>
        <v/>
      </c>
      <c r="I4161" s="208">
        <f>EXP(SUMPRODUCT(($U$3806:$U$4045&lt;$B4161)*(rl_key=nr_SelKey)*$Y$3806:$Y$4045))</f>
        <v/>
      </c>
      <c r="J4161" s="208">
        <f>EXP(SUMPRODUCT(($U$3806:$U$4045&lt;=$C4161)*(rl_key=nr_SelKey)*$Y$3806:$Y$4045))</f>
        <v/>
      </c>
      <c r="K4161" s="201">
        <f>COUNTIFS(rl_key,nr_SelKey,$U$3806:$U$4045,"&gt;="&amp;$B4161,$U$3806:$U$4045,"&lt;="&amp;$C4161)</f>
        <v/>
      </c>
      <c r="L4161" s="201">
        <f>SUMIFS($Z$3806:$Z$4045,rl_key,nr_SelKey,$V$3806:$V$4045,$B4161,$AC$3806:$AC$4045,1)</f>
        <v/>
      </c>
      <c r="M4161" s="209">
        <f>IF($K4161=0,0,MIN(1,$L4161/$D4161))</f>
        <v/>
      </c>
      <c r="N4161" s="208">
        <f>IF($K4161=0,$J4161,(1-$M4161)*$I4161+$M4161*$J4161)</f>
        <v/>
      </c>
      <c r="O4161" s="209">
        <f>IF($F4161&lt;$B$4157,$E$4157+$I$4157*($F4161-$A$4157),IF($F4161&lt;$C$4157,$F$4157+$J$4157*($F4161-$B$4157),$G$4157+$K$4157*($F4161-$C$4157)))</f>
        <v/>
      </c>
      <c r="P4161" s="208">
        <f>MIN(1,MAX(0,(nr_MEndPm1-$G4161+0.5)/nr_TermMonths))-MIN(1,MAX(0,(nr_MStartPm1-1-$G4161+0.5)/nr_TermMonths))</f>
        <v/>
      </c>
      <c r="Q4161" s="208">
        <f>MIN(1,MAX(0,(nr_MEndP-$G4161+0.5)/nr_TermMonths))-MIN(1,MAX(0,(nr_MStartP-1-$G4161+0.5)/nr_TermMonths))</f>
        <v/>
      </c>
      <c r="R4161" s="208">
        <f>MIN(1,MAX(0,(nr_MEndP1-$G4161+0.5)/nr_TermMonths))-MIN(1,MAX(0,(nr_MStartP1-1-$G4161+0.5)/nr_TermMonths))</f>
        <v/>
      </c>
      <c r="S4161" s="208">
        <f>IF(nr_NetMode,$N4161*IF(nr_ModAdjEff="ON",$O4161/nr_MInd,1),"")</f>
        <v/>
      </c>
      <c r="T4161" s="208">
        <f>IF(NOT(nr_NetMode),"",IF($G4161&lt;nr_MStartP,$S4161,$T4149*(1+IF($G4161&lt;nr_MStartP1,(nr_NetSelP+N(INDEX(sc_dnet,3))),(nr_NetSelP1+N(INDEX(sc_dnet,3)))))))</f>
        <v/>
      </c>
      <c r="U4161" s="208">
        <f>IF(nr_NetMode,$T4161,$N4161)</f>
        <v/>
      </c>
    </row>
    <row r="4162">
      <c r="A4162" s="145" t="n">
        <v>4</v>
      </c>
      <c r="B4162" s="204">
        <f>EDATE($B4161,1)</f>
        <v/>
      </c>
      <c r="C4162" s="205">
        <f>EOMONTH($B4162,0)</f>
        <v/>
      </c>
      <c r="D4162" s="201">
        <f>$C4162-$B4162+1</f>
        <v/>
      </c>
      <c r="E4162" s="201">
        <f>MONTH($B4162)</f>
        <v/>
      </c>
      <c r="F4162" s="235">
        <f>($B4162+$C4162+1)/2</f>
        <v/>
      </c>
      <c r="G4162" s="201">
        <f>YEAR($B4162)*12+MONTH($B4162)-1</f>
        <v/>
      </c>
      <c r="H4162" s="207">
        <f>IF(OR(nr_SeasonOn="OFF",re_srow=0,re_ssum=0),1,12*INDEX(se_block,re_srow,$E4162)/re_ssum)</f>
        <v/>
      </c>
      <c r="I4162" s="208">
        <f>EXP(SUMPRODUCT(($U$3806:$U$4045&lt;$B4162)*(rl_key=nr_SelKey)*$Y$3806:$Y$4045))</f>
        <v/>
      </c>
      <c r="J4162" s="208">
        <f>EXP(SUMPRODUCT(($U$3806:$U$4045&lt;=$C4162)*(rl_key=nr_SelKey)*$Y$3806:$Y$4045))</f>
        <v/>
      </c>
      <c r="K4162" s="201">
        <f>COUNTIFS(rl_key,nr_SelKey,$U$3806:$U$4045,"&gt;="&amp;$B4162,$U$3806:$U$4045,"&lt;="&amp;$C4162)</f>
        <v/>
      </c>
      <c r="L4162" s="201">
        <f>SUMIFS($Z$3806:$Z$4045,rl_key,nr_SelKey,$V$3806:$V$4045,$B4162,$AC$3806:$AC$4045,1)</f>
        <v/>
      </c>
      <c r="M4162" s="209">
        <f>IF($K4162=0,0,MIN(1,$L4162/$D4162))</f>
        <v/>
      </c>
      <c r="N4162" s="208">
        <f>IF($K4162=0,$J4162,(1-$M4162)*$I4162+$M4162*$J4162)</f>
        <v/>
      </c>
      <c r="O4162" s="209">
        <f>IF($F4162&lt;$B$4157,$E$4157+$I$4157*($F4162-$A$4157),IF($F4162&lt;$C$4157,$F$4157+$J$4157*($F4162-$B$4157),$G$4157+$K$4157*($F4162-$C$4157)))</f>
        <v/>
      </c>
      <c r="P4162" s="208">
        <f>MIN(1,MAX(0,(nr_MEndPm1-$G4162+0.5)/nr_TermMonths))-MIN(1,MAX(0,(nr_MStartPm1-1-$G4162+0.5)/nr_TermMonths))</f>
        <v/>
      </c>
      <c r="Q4162" s="208">
        <f>MIN(1,MAX(0,(nr_MEndP-$G4162+0.5)/nr_TermMonths))-MIN(1,MAX(0,(nr_MStartP-1-$G4162+0.5)/nr_TermMonths))</f>
        <v/>
      </c>
      <c r="R4162" s="208">
        <f>MIN(1,MAX(0,(nr_MEndP1-$G4162+0.5)/nr_TermMonths))-MIN(1,MAX(0,(nr_MStartP1-1-$G4162+0.5)/nr_TermMonths))</f>
        <v/>
      </c>
      <c r="S4162" s="208">
        <f>IF(nr_NetMode,$N4162*IF(nr_ModAdjEff="ON",$O4162/nr_MInd,1),"")</f>
        <v/>
      </c>
      <c r="T4162" s="208">
        <f>IF(NOT(nr_NetMode),"",IF($G4162&lt;nr_MStartP,$S4162,$T4150*(1+IF($G4162&lt;nr_MStartP1,(nr_NetSelP+N(INDEX(sc_dnet,3))),(nr_NetSelP1+N(INDEX(sc_dnet,3)))))))</f>
        <v/>
      </c>
      <c r="U4162" s="208">
        <f>IF(nr_NetMode,$T4162,$N4162)</f>
        <v/>
      </c>
    </row>
    <row r="4163">
      <c r="A4163" s="145" t="n">
        <v>5</v>
      </c>
      <c r="B4163" s="204">
        <f>EDATE($B4162,1)</f>
        <v/>
      </c>
      <c r="C4163" s="205">
        <f>EOMONTH($B4163,0)</f>
        <v/>
      </c>
      <c r="D4163" s="201">
        <f>$C4163-$B4163+1</f>
        <v/>
      </c>
      <c r="E4163" s="201">
        <f>MONTH($B4163)</f>
        <v/>
      </c>
      <c r="F4163" s="235">
        <f>($B4163+$C4163+1)/2</f>
        <v/>
      </c>
      <c r="G4163" s="201">
        <f>YEAR($B4163)*12+MONTH($B4163)-1</f>
        <v/>
      </c>
      <c r="H4163" s="207">
        <f>IF(OR(nr_SeasonOn="OFF",re_srow=0,re_ssum=0),1,12*INDEX(se_block,re_srow,$E4163)/re_ssum)</f>
        <v/>
      </c>
      <c r="I4163" s="208">
        <f>EXP(SUMPRODUCT(($U$3806:$U$4045&lt;$B4163)*(rl_key=nr_SelKey)*$Y$3806:$Y$4045))</f>
        <v/>
      </c>
      <c r="J4163" s="208">
        <f>EXP(SUMPRODUCT(($U$3806:$U$4045&lt;=$C4163)*(rl_key=nr_SelKey)*$Y$3806:$Y$4045))</f>
        <v/>
      </c>
      <c r="K4163" s="201">
        <f>COUNTIFS(rl_key,nr_SelKey,$U$3806:$U$4045,"&gt;="&amp;$B4163,$U$3806:$U$4045,"&lt;="&amp;$C4163)</f>
        <v/>
      </c>
      <c r="L4163" s="201">
        <f>SUMIFS($Z$3806:$Z$4045,rl_key,nr_SelKey,$V$3806:$V$4045,$B4163,$AC$3806:$AC$4045,1)</f>
        <v/>
      </c>
      <c r="M4163" s="209">
        <f>IF($K4163=0,0,MIN(1,$L4163/$D4163))</f>
        <v/>
      </c>
      <c r="N4163" s="208">
        <f>IF($K4163=0,$J4163,(1-$M4163)*$I4163+$M4163*$J4163)</f>
        <v/>
      </c>
      <c r="O4163" s="209">
        <f>IF($F4163&lt;$B$4157,$E$4157+$I$4157*($F4163-$A$4157),IF($F4163&lt;$C$4157,$F$4157+$J$4157*($F4163-$B$4157),$G$4157+$K$4157*($F4163-$C$4157)))</f>
        <v/>
      </c>
      <c r="P4163" s="208">
        <f>MIN(1,MAX(0,(nr_MEndPm1-$G4163+0.5)/nr_TermMonths))-MIN(1,MAX(0,(nr_MStartPm1-1-$G4163+0.5)/nr_TermMonths))</f>
        <v/>
      </c>
      <c r="Q4163" s="208">
        <f>MIN(1,MAX(0,(nr_MEndP-$G4163+0.5)/nr_TermMonths))-MIN(1,MAX(0,(nr_MStartP-1-$G4163+0.5)/nr_TermMonths))</f>
        <v/>
      </c>
      <c r="R4163" s="208">
        <f>MIN(1,MAX(0,(nr_MEndP1-$G4163+0.5)/nr_TermMonths))-MIN(1,MAX(0,(nr_MStartP1-1-$G4163+0.5)/nr_TermMonths))</f>
        <v/>
      </c>
      <c r="S4163" s="208">
        <f>IF(nr_NetMode,$N4163*IF(nr_ModAdjEff="ON",$O4163/nr_MInd,1),"")</f>
        <v/>
      </c>
      <c r="T4163" s="208">
        <f>IF(NOT(nr_NetMode),"",IF($G4163&lt;nr_MStartP,$S4163,$T4151*(1+IF($G4163&lt;nr_MStartP1,(nr_NetSelP+N(INDEX(sc_dnet,3))),(nr_NetSelP1+N(INDEX(sc_dnet,3)))))))</f>
        <v/>
      </c>
      <c r="U4163" s="208">
        <f>IF(nr_NetMode,$T4163,$N4163)</f>
        <v/>
      </c>
    </row>
    <row r="4164">
      <c r="A4164" s="145" t="n">
        <v>6</v>
      </c>
      <c r="B4164" s="204">
        <f>EDATE($B4163,1)</f>
        <v/>
      </c>
      <c r="C4164" s="205">
        <f>EOMONTH($B4164,0)</f>
        <v/>
      </c>
      <c r="D4164" s="201">
        <f>$C4164-$B4164+1</f>
        <v/>
      </c>
      <c r="E4164" s="201">
        <f>MONTH($B4164)</f>
        <v/>
      </c>
      <c r="F4164" s="235">
        <f>($B4164+$C4164+1)/2</f>
        <v/>
      </c>
      <c r="G4164" s="201">
        <f>YEAR($B4164)*12+MONTH($B4164)-1</f>
        <v/>
      </c>
      <c r="H4164" s="207">
        <f>IF(OR(nr_SeasonOn="OFF",re_srow=0,re_ssum=0),1,12*INDEX(se_block,re_srow,$E4164)/re_ssum)</f>
        <v/>
      </c>
      <c r="I4164" s="208">
        <f>EXP(SUMPRODUCT(($U$3806:$U$4045&lt;$B4164)*(rl_key=nr_SelKey)*$Y$3806:$Y$4045))</f>
        <v/>
      </c>
      <c r="J4164" s="208">
        <f>EXP(SUMPRODUCT(($U$3806:$U$4045&lt;=$C4164)*(rl_key=nr_SelKey)*$Y$3806:$Y$4045))</f>
        <v/>
      </c>
      <c r="K4164" s="201">
        <f>COUNTIFS(rl_key,nr_SelKey,$U$3806:$U$4045,"&gt;="&amp;$B4164,$U$3806:$U$4045,"&lt;="&amp;$C4164)</f>
        <v/>
      </c>
      <c r="L4164" s="201">
        <f>SUMIFS($Z$3806:$Z$4045,rl_key,nr_SelKey,$V$3806:$V$4045,$B4164,$AC$3806:$AC$4045,1)</f>
        <v/>
      </c>
      <c r="M4164" s="209">
        <f>IF($K4164=0,0,MIN(1,$L4164/$D4164))</f>
        <v/>
      </c>
      <c r="N4164" s="208">
        <f>IF($K4164=0,$J4164,(1-$M4164)*$I4164+$M4164*$J4164)</f>
        <v/>
      </c>
      <c r="O4164" s="209">
        <f>IF($F4164&lt;$B$4157,$E$4157+$I$4157*($F4164-$A$4157),IF($F4164&lt;$C$4157,$F$4157+$J$4157*($F4164-$B$4157),$G$4157+$K$4157*($F4164-$C$4157)))</f>
        <v/>
      </c>
      <c r="P4164" s="208">
        <f>MIN(1,MAX(0,(nr_MEndPm1-$G4164+0.5)/nr_TermMonths))-MIN(1,MAX(0,(nr_MStartPm1-1-$G4164+0.5)/nr_TermMonths))</f>
        <v/>
      </c>
      <c r="Q4164" s="208">
        <f>MIN(1,MAX(0,(nr_MEndP-$G4164+0.5)/nr_TermMonths))-MIN(1,MAX(0,(nr_MStartP-1-$G4164+0.5)/nr_TermMonths))</f>
        <v/>
      </c>
      <c r="R4164" s="208">
        <f>MIN(1,MAX(0,(nr_MEndP1-$G4164+0.5)/nr_TermMonths))-MIN(1,MAX(0,(nr_MStartP1-1-$G4164+0.5)/nr_TermMonths))</f>
        <v/>
      </c>
      <c r="S4164" s="208">
        <f>IF(nr_NetMode,$N4164*IF(nr_ModAdjEff="ON",$O4164/nr_MInd,1),"")</f>
        <v/>
      </c>
      <c r="T4164" s="208">
        <f>IF(NOT(nr_NetMode),"",IF($G4164&lt;nr_MStartP,$S4164,$T4152*(1+IF($G4164&lt;nr_MStartP1,(nr_NetSelP+N(INDEX(sc_dnet,3))),(nr_NetSelP1+N(INDEX(sc_dnet,3)))))))</f>
        <v/>
      </c>
      <c r="U4164" s="208">
        <f>IF(nr_NetMode,$T4164,$N4164)</f>
        <v/>
      </c>
    </row>
    <row r="4165">
      <c r="A4165" s="145" t="n">
        <v>7</v>
      </c>
      <c r="B4165" s="204">
        <f>EDATE($B4164,1)</f>
        <v/>
      </c>
      <c r="C4165" s="205">
        <f>EOMONTH($B4165,0)</f>
        <v/>
      </c>
      <c r="D4165" s="201">
        <f>$C4165-$B4165+1</f>
        <v/>
      </c>
      <c r="E4165" s="201">
        <f>MONTH($B4165)</f>
        <v/>
      </c>
      <c r="F4165" s="235">
        <f>($B4165+$C4165+1)/2</f>
        <v/>
      </c>
      <c r="G4165" s="201">
        <f>YEAR($B4165)*12+MONTH($B4165)-1</f>
        <v/>
      </c>
      <c r="H4165" s="207">
        <f>IF(OR(nr_SeasonOn="OFF",re_srow=0,re_ssum=0),1,12*INDEX(se_block,re_srow,$E4165)/re_ssum)</f>
        <v/>
      </c>
      <c r="I4165" s="208">
        <f>EXP(SUMPRODUCT(($U$3806:$U$4045&lt;$B4165)*(rl_key=nr_SelKey)*$Y$3806:$Y$4045))</f>
        <v/>
      </c>
      <c r="J4165" s="208">
        <f>EXP(SUMPRODUCT(($U$3806:$U$4045&lt;=$C4165)*(rl_key=nr_SelKey)*$Y$3806:$Y$4045))</f>
        <v/>
      </c>
      <c r="K4165" s="201">
        <f>COUNTIFS(rl_key,nr_SelKey,$U$3806:$U$4045,"&gt;="&amp;$B4165,$U$3806:$U$4045,"&lt;="&amp;$C4165)</f>
        <v/>
      </c>
      <c r="L4165" s="201">
        <f>SUMIFS($Z$3806:$Z$4045,rl_key,nr_SelKey,$V$3806:$V$4045,$B4165,$AC$3806:$AC$4045,1)</f>
        <v/>
      </c>
      <c r="M4165" s="209">
        <f>IF($K4165=0,0,MIN(1,$L4165/$D4165))</f>
        <v/>
      </c>
      <c r="N4165" s="208">
        <f>IF($K4165=0,$J4165,(1-$M4165)*$I4165+$M4165*$J4165)</f>
        <v/>
      </c>
      <c r="O4165" s="209">
        <f>IF($F4165&lt;$B$4157,$E$4157+$I$4157*($F4165-$A$4157),IF($F4165&lt;$C$4157,$F$4157+$J$4157*($F4165-$B$4157),$G$4157+$K$4157*($F4165-$C$4157)))</f>
        <v/>
      </c>
      <c r="P4165" s="208">
        <f>MIN(1,MAX(0,(nr_MEndPm1-$G4165+0.5)/nr_TermMonths))-MIN(1,MAX(0,(nr_MStartPm1-1-$G4165+0.5)/nr_TermMonths))</f>
        <v/>
      </c>
      <c r="Q4165" s="208">
        <f>MIN(1,MAX(0,(nr_MEndP-$G4165+0.5)/nr_TermMonths))-MIN(1,MAX(0,(nr_MStartP-1-$G4165+0.5)/nr_TermMonths))</f>
        <v/>
      </c>
      <c r="R4165" s="208">
        <f>MIN(1,MAX(0,(nr_MEndP1-$G4165+0.5)/nr_TermMonths))-MIN(1,MAX(0,(nr_MStartP1-1-$G4165+0.5)/nr_TermMonths))</f>
        <v/>
      </c>
      <c r="S4165" s="208">
        <f>IF(nr_NetMode,$N4165*IF(nr_ModAdjEff="ON",$O4165/nr_MInd,1),"")</f>
        <v/>
      </c>
      <c r="T4165" s="208">
        <f>IF(NOT(nr_NetMode),"",IF($G4165&lt;nr_MStartP,$S4165,$T4153*(1+IF($G4165&lt;nr_MStartP1,(nr_NetSelP+N(INDEX(sc_dnet,3))),(nr_NetSelP1+N(INDEX(sc_dnet,3)))))))</f>
        <v/>
      </c>
      <c r="U4165" s="208">
        <f>IF(nr_NetMode,$T4165,$N4165)</f>
        <v/>
      </c>
    </row>
    <row r="4166">
      <c r="A4166" s="145" t="n">
        <v>8</v>
      </c>
      <c r="B4166" s="204">
        <f>EDATE($B4165,1)</f>
        <v/>
      </c>
      <c r="C4166" s="205">
        <f>EOMONTH($B4166,0)</f>
        <v/>
      </c>
      <c r="D4166" s="201">
        <f>$C4166-$B4166+1</f>
        <v/>
      </c>
      <c r="E4166" s="201">
        <f>MONTH($B4166)</f>
        <v/>
      </c>
      <c r="F4166" s="235">
        <f>($B4166+$C4166+1)/2</f>
        <v/>
      </c>
      <c r="G4166" s="201">
        <f>YEAR($B4166)*12+MONTH($B4166)-1</f>
        <v/>
      </c>
      <c r="H4166" s="207">
        <f>IF(OR(nr_SeasonOn="OFF",re_srow=0,re_ssum=0),1,12*INDEX(se_block,re_srow,$E4166)/re_ssum)</f>
        <v/>
      </c>
      <c r="I4166" s="208">
        <f>EXP(SUMPRODUCT(($U$3806:$U$4045&lt;$B4166)*(rl_key=nr_SelKey)*$Y$3806:$Y$4045))</f>
        <v/>
      </c>
      <c r="J4166" s="208">
        <f>EXP(SUMPRODUCT(($U$3806:$U$4045&lt;=$C4166)*(rl_key=nr_SelKey)*$Y$3806:$Y$4045))</f>
        <v/>
      </c>
      <c r="K4166" s="201">
        <f>COUNTIFS(rl_key,nr_SelKey,$U$3806:$U$4045,"&gt;="&amp;$B4166,$U$3806:$U$4045,"&lt;="&amp;$C4166)</f>
        <v/>
      </c>
      <c r="L4166" s="201">
        <f>SUMIFS($Z$3806:$Z$4045,rl_key,nr_SelKey,$V$3806:$V$4045,$B4166,$AC$3806:$AC$4045,1)</f>
        <v/>
      </c>
      <c r="M4166" s="209">
        <f>IF($K4166=0,0,MIN(1,$L4166/$D4166))</f>
        <v/>
      </c>
      <c r="N4166" s="208">
        <f>IF($K4166=0,$J4166,(1-$M4166)*$I4166+$M4166*$J4166)</f>
        <v/>
      </c>
      <c r="O4166" s="209">
        <f>IF($F4166&lt;$B$4157,$E$4157+$I$4157*($F4166-$A$4157),IF($F4166&lt;$C$4157,$F$4157+$J$4157*($F4166-$B$4157),$G$4157+$K$4157*($F4166-$C$4157)))</f>
        <v/>
      </c>
      <c r="P4166" s="208">
        <f>MIN(1,MAX(0,(nr_MEndPm1-$G4166+0.5)/nr_TermMonths))-MIN(1,MAX(0,(nr_MStartPm1-1-$G4166+0.5)/nr_TermMonths))</f>
        <v/>
      </c>
      <c r="Q4166" s="208">
        <f>MIN(1,MAX(0,(nr_MEndP-$G4166+0.5)/nr_TermMonths))-MIN(1,MAX(0,(nr_MStartP-1-$G4166+0.5)/nr_TermMonths))</f>
        <v/>
      </c>
      <c r="R4166" s="208">
        <f>MIN(1,MAX(0,(nr_MEndP1-$G4166+0.5)/nr_TermMonths))-MIN(1,MAX(0,(nr_MStartP1-1-$G4166+0.5)/nr_TermMonths))</f>
        <v/>
      </c>
      <c r="S4166" s="208">
        <f>IF(nr_NetMode,$N4166*IF(nr_ModAdjEff="ON",$O4166/nr_MInd,1),"")</f>
        <v/>
      </c>
      <c r="T4166" s="208">
        <f>IF(NOT(nr_NetMode),"",IF($G4166&lt;nr_MStartP,$S4166,$T4154*(1+IF($G4166&lt;nr_MStartP1,(nr_NetSelP+N(INDEX(sc_dnet,3))),(nr_NetSelP1+N(INDEX(sc_dnet,3)))))))</f>
        <v/>
      </c>
      <c r="U4166" s="208">
        <f>IF(nr_NetMode,$T4166,$N4166)</f>
        <v/>
      </c>
    </row>
    <row r="4167">
      <c r="A4167" s="145" t="n">
        <v>9</v>
      </c>
      <c r="B4167" s="204">
        <f>EDATE($B4166,1)</f>
        <v/>
      </c>
      <c r="C4167" s="205">
        <f>EOMONTH($B4167,0)</f>
        <v/>
      </c>
      <c r="D4167" s="201">
        <f>$C4167-$B4167+1</f>
        <v/>
      </c>
      <c r="E4167" s="201">
        <f>MONTH($B4167)</f>
        <v/>
      </c>
      <c r="F4167" s="235">
        <f>($B4167+$C4167+1)/2</f>
        <v/>
      </c>
      <c r="G4167" s="201">
        <f>YEAR($B4167)*12+MONTH($B4167)-1</f>
        <v/>
      </c>
      <c r="H4167" s="207">
        <f>IF(OR(nr_SeasonOn="OFF",re_srow=0,re_ssum=0),1,12*INDEX(se_block,re_srow,$E4167)/re_ssum)</f>
        <v/>
      </c>
      <c r="I4167" s="208">
        <f>EXP(SUMPRODUCT(($U$3806:$U$4045&lt;$B4167)*(rl_key=nr_SelKey)*$Y$3806:$Y$4045))</f>
        <v/>
      </c>
      <c r="J4167" s="208">
        <f>EXP(SUMPRODUCT(($U$3806:$U$4045&lt;=$C4167)*(rl_key=nr_SelKey)*$Y$3806:$Y$4045))</f>
        <v/>
      </c>
      <c r="K4167" s="201">
        <f>COUNTIFS(rl_key,nr_SelKey,$U$3806:$U$4045,"&gt;="&amp;$B4167,$U$3806:$U$4045,"&lt;="&amp;$C4167)</f>
        <v/>
      </c>
      <c r="L4167" s="201">
        <f>SUMIFS($Z$3806:$Z$4045,rl_key,nr_SelKey,$V$3806:$V$4045,$B4167,$AC$3806:$AC$4045,1)</f>
        <v/>
      </c>
      <c r="M4167" s="209">
        <f>IF($K4167=0,0,MIN(1,$L4167/$D4167))</f>
        <v/>
      </c>
      <c r="N4167" s="208">
        <f>IF($K4167=0,$J4167,(1-$M4167)*$I4167+$M4167*$J4167)</f>
        <v/>
      </c>
      <c r="O4167" s="209">
        <f>IF($F4167&lt;$B$4157,$E$4157+$I$4157*($F4167-$A$4157),IF($F4167&lt;$C$4157,$F$4157+$J$4157*($F4167-$B$4157),$G$4157+$K$4157*($F4167-$C$4157)))</f>
        <v/>
      </c>
      <c r="P4167" s="208">
        <f>MIN(1,MAX(0,(nr_MEndPm1-$G4167+0.5)/nr_TermMonths))-MIN(1,MAX(0,(nr_MStartPm1-1-$G4167+0.5)/nr_TermMonths))</f>
        <v/>
      </c>
      <c r="Q4167" s="208">
        <f>MIN(1,MAX(0,(nr_MEndP-$G4167+0.5)/nr_TermMonths))-MIN(1,MAX(0,(nr_MStartP-1-$G4167+0.5)/nr_TermMonths))</f>
        <v/>
      </c>
      <c r="R4167" s="208">
        <f>MIN(1,MAX(0,(nr_MEndP1-$G4167+0.5)/nr_TermMonths))-MIN(1,MAX(0,(nr_MStartP1-1-$G4167+0.5)/nr_TermMonths))</f>
        <v/>
      </c>
      <c r="S4167" s="208">
        <f>IF(nr_NetMode,$N4167*IF(nr_ModAdjEff="ON",$O4167/nr_MInd,1),"")</f>
        <v/>
      </c>
      <c r="T4167" s="208">
        <f>IF(NOT(nr_NetMode),"",IF($G4167&lt;nr_MStartP,$S4167,$T4155*(1+IF($G4167&lt;nr_MStartP1,(nr_NetSelP+N(INDEX(sc_dnet,3))),(nr_NetSelP1+N(INDEX(sc_dnet,3)))))))</f>
        <v/>
      </c>
      <c r="U4167" s="208">
        <f>IF(nr_NetMode,$T4167,$N4167)</f>
        <v/>
      </c>
    </row>
    <row r="4168">
      <c r="A4168" s="145" t="n">
        <v>10</v>
      </c>
      <c r="B4168" s="204">
        <f>EDATE($B4167,1)</f>
        <v/>
      </c>
      <c r="C4168" s="205">
        <f>EOMONTH($B4168,0)</f>
        <v/>
      </c>
      <c r="D4168" s="201">
        <f>$C4168-$B4168+1</f>
        <v/>
      </c>
      <c r="E4168" s="201">
        <f>MONTH($B4168)</f>
        <v/>
      </c>
      <c r="F4168" s="235">
        <f>($B4168+$C4168+1)/2</f>
        <v/>
      </c>
      <c r="G4168" s="201">
        <f>YEAR($B4168)*12+MONTH($B4168)-1</f>
        <v/>
      </c>
      <c r="H4168" s="207">
        <f>IF(OR(nr_SeasonOn="OFF",re_srow=0,re_ssum=0),1,12*INDEX(se_block,re_srow,$E4168)/re_ssum)</f>
        <v/>
      </c>
      <c r="I4168" s="208">
        <f>EXP(SUMPRODUCT(($U$3806:$U$4045&lt;$B4168)*(rl_key=nr_SelKey)*$Y$3806:$Y$4045))</f>
        <v/>
      </c>
      <c r="J4168" s="208">
        <f>EXP(SUMPRODUCT(($U$3806:$U$4045&lt;=$C4168)*(rl_key=nr_SelKey)*$Y$3806:$Y$4045))</f>
        <v/>
      </c>
      <c r="K4168" s="201">
        <f>COUNTIFS(rl_key,nr_SelKey,$U$3806:$U$4045,"&gt;="&amp;$B4168,$U$3806:$U$4045,"&lt;="&amp;$C4168)</f>
        <v/>
      </c>
      <c r="L4168" s="201">
        <f>SUMIFS($Z$3806:$Z$4045,rl_key,nr_SelKey,$V$3806:$V$4045,$B4168,$AC$3806:$AC$4045,1)</f>
        <v/>
      </c>
      <c r="M4168" s="209">
        <f>IF($K4168=0,0,MIN(1,$L4168/$D4168))</f>
        <v/>
      </c>
      <c r="N4168" s="208">
        <f>IF($K4168=0,$J4168,(1-$M4168)*$I4168+$M4168*$J4168)</f>
        <v/>
      </c>
      <c r="O4168" s="209">
        <f>IF($F4168&lt;$B$4157,$E$4157+$I$4157*($F4168-$A$4157),IF($F4168&lt;$C$4157,$F$4157+$J$4157*($F4168-$B$4157),$G$4157+$K$4157*($F4168-$C$4157)))</f>
        <v/>
      </c>
      <c r="P4168" s="208">
        <f>MIN(1,MAX(0,(nr_MEndPm1-$G4168+0.5)/nr_TermMonths))-MIN(1,MAX(0,(nr_MStartPm1-1-$G4168+0.5)/nr_TermMonths))</f>
        <v/>
      </c>
      <c r="Q4168" s="208">
        <f>MIN(1,MAX(0,(nr_MEndP-$G4168+0.5)/nr_TermMonths))-MIN(1,MAX(0,(nr_MStartP-1-$G4168+0.5)/nr_TermMonths))</f>
        <v/>
      </c>
      <c r="R4168" s="208">
        <f>MIN(1,MAX(0,(nr_MEndP1-$G4168+0.5)/nr_TermMonths))-MIN(1,MAX(0,(nr_MStartP1-1-$G4168+0.5)/nr_TermMonths))</f>
        <v/>
      </c>
      <c r="S4168" s="208">
        <f>IF(nr_NetMode,$N4168*IF(nr_ModAdjEff="ON",$O4168/nr_MInd,1),"")</f>
        <v/>
      </c>
      <c r="T4168" s="208">
        <f>IF(NOT(nr_NetMode),"",IF($G4168&lt;nr_MStartP,$S4168,$T4156*(1+IF($G4168&lt;nr_MStartP1,(nr_NetSelP+N(INDEX(sc_dnet,3))),(nr_NetSelP1+N(INDEX(sc_dnet,3)))))))</f>
        <v/>
      </c>
      <c r="U4168" s="208">
        <f>IF(nr_NetMode,$T4168,$N4168)</f>
        <v/>
      </c>
    </row>
    <row r="4169">
      <c r="A4169" s="145" t="n">
        <v>11</v>
      </c>
      <c r="B4169" s="204">
        <f>EDATE($B4168,1)</f>
        <v/>
      </c>
      <c r="C4169" s="205">
        <f>EOMONTH($B4169,0)</f>
        <v/>
      </c>
      <c r="D4169" s="201">
        <f>$C4169-$B4169+1</f>
        <v/>
      </c>
      <c r="E4169" s="201">
        <f>MONTH($B4169)</f>
        <v/>
      </c>
      <c r="F4169" s="235">
        <f>($B4169+$C4169+1)/2</f>
        <v/>
      </c>
      <c r="G4169" s="201">
        <f>YEAR($B4169)*12+MONTH($B4169)-1</f>
        <v/>
      </c>
      <c r="H4169" s="207">
        <f>IF(OR(nr_SeasonOn="OFF",re_srow=0,re_ssum=0),1,12*INDEX(se_block,re_srow,$E4169)/re_ssum)</f>
        <v/>
      </c>
      <c r="I4169" s="208">
        <f>EXP(SUMPRODUCT(($U$3806:$U$4045&lt;$B4169)*(rl_key=nr_SelKey)*$Y$3806:$Y$4045))</f>
        <v/>
      </c>
      <c r="J4169" s="208">
        <f>EXP(SUMPRODUCT(($U$3806:$U$4045&lt;=$C4169)*(rl_key=nr_SelKey)*$Y$3806:$Y$4045))</f>
        <v/>
      </c>
      <c r="K4169" s="201">
        <f>COUNTIFS(rl_key,nr_SelKey,$U$3806:$U$4045,"&gt;="&amp;$B4169,$U$3806:$U$4045,"&lt;="&amp;$C4169)</f>
        <v/>
      </c>
      <c r="L4169" s="201">
        <f>SUMIFS($Z$3806:$Z$4045,rl_key,nr_SelKey,$V$3806:$V$4045,$B4169,$AC$3806:$AC$4045,1)</f>
        <v/>
      </c>
      <c r="M4169" s="209">
        <f>IF($K4169=0,0,MIN(1,$L4169/$D4169))</f>
        <v/>
      </c>
      <c r="N4169" s="208">
        <f>IF($K4169=0,$J4169,(1-$M4169)*$I4169+$M4169*$J4169)</f>
        <v/>
      </c>
      <c r="O4169" s="209">
        <f>IF($F4169&lt;$B$4157,$E$4157+$I$4157*($F4169-$A$4157),IF($F4169&lt;$C$4157,$F$4157+$J$4157*($F4169-$B$4157),$G$4157+$K$4157*($F4169-$C$4157)))</f>
        <v/>
      </c>
      <c r="P4169" s="208">
        <f>MIN(1,MAX(0,(nr_MEndPm1-$G4169+0.5)/nr_TermMonths))-MIN(1,MAX(0,(nr_MStartPm1-1-$G4169+0.5)/nr_TermMonths))</f>
        <v/>
      </c>
      <c r="Q4169" s="208">
        <f>MIN(1,MAX(0,(nr_MEndP-$G4169+0.5)/nr_TermMonths))-MIN(1,MAX(0,(nr_MStartP-1-$G4169+0.5)/nr_TermMonths))</f>
        <v/>
      </c>
      <c r="R4169" s="208">
        <f>MIN(1,MAX(0,(nr_MEndP1-$G4169+0.5)/nr_TermMonths))-MIN(1,MAX(0,(nr_MStartP1-1-$G4169+0.5)/nr_TermMonths))</f>
        <v/>
      </c>
      <c r="S4169" s="208">
        <f>IF(nr_NetMode,$N4169*IF(nr_ModAdjEff="ON",$O4169/nr_MInd,1),"")</f>
        <v/>
      </c>
      <c r="T4169" s="208">
        <f>IF(NOT(nr_NetMode),"",IF($G4169&lt;nr_MStartP,$S4169,$T4157*(1+IF($G4169&lt;nr_MStartP1,(nr_NetSelP+N(INDEX(sc_dnet,3))),(nr_NetSelP1+N(INDEX(sc_dnet,3)))))))</f>
        <v/>
      </c>
      <c r="U4169" s="208">
        <f>IF(nr_NetMode,$T4169,$N4169)</f>
        <v/>
      </c>
    </row>
    <row r="4170">
      <c r="A4170" s="145" t="n">
        <v>12</v>
      </c>
      <c r="B4170" s="204">
        <f>EDATE($B4169,1)</f>
        <v/>
      </c>
      <c r="C4170" s="205">
        <f>EOMONTH($B4170,0)</f>
        <v/>
      </c>
      <c r="D4170" s="201">
        <f>$C4170-$B4170+1</f>
        <v/>
      </c>
      <c r="E4170" s="201">
        <f>MONTH($B4170)</f>
        <v/>
      </c>
      <c r="F4170" s="235">
        <f>($B4170+$C4170+1)/2</f>
        <v/>
      </c>
      <c r="G4170" s="201">
        <f>YEAR($B4170)*12+MONTH($B4170)-1</f>
        <v/>
      </c>
      <c r="H4170" s="207">
        <f>IF(OR(nr_SeasonOn="OFF",re_srow=0,re_ssum=0),1,12*INDEX(se_block,re_srow,$E4170)/re_ssum)</f>
        <v/>
      </c>
      <c r="I4170" s="208">
        <f>EXP(SUMPRODUCT(($U$3806:$U$4045&lt;$B4170)*(rl_key=nr_SelKey)*$Y$3806:$Y$4045))</f>
        <v/>
      </c>
      <c r="J4170" s="208">
        <f>EXP(SUMPRODUCT(($U$3806:$U$4045&lt;=$C4170)*(rl_key=nr_SelKey)*$Y$3806:$Y$4045))</f>
        <v/>
      </c>
      <c r="K4170" s="201">
        <f>COUNTIFS(rl_key,nr_SelKey,$U$3806:$U$4045,"&gt;="&amp;$B4170,$U$3806:$U$4045,"&lt;="&amp;$C4170)</f>
        <v/>
      </c>
      <c r="L4170" s="201">
        <f>SUMIFS($Z$3806:$Z$4045,rl_key,nr_SelKey,$V$3806:$V$4045,$B4170,$AC$3806:$AC$4045,1)</f>
        <v/>
      </c>
      <c r="M4170" s="209">
        <f>IF($K4170=0,0,MIN(1,$L4170/$D4170))</f>
        <v/>
      </c>
      <c r="N4170" s="208">
        <f>IF($K4170=0,$J4170,(1-$M4170)*$I4170+$M4170*$J4170)</f>
        <v/>
      </c>
      <c r="O4170" s="209">
        <f>IF($F4170&lt;$B$4157,$E$4157+$I$4157*($F4170-$A$4157),IF($F4170&lt;$C$4157,$F$4157+$J$4157*($F4170-$B$4157),$G$4157+$K$4157*($F4170-$C$4157)))</f>
        <v/>
      </c>
      <c r="P4170" s="208">
        <f>MIN(1,MAX(0,(nr_MEndPm1-$G4170+0.5)/nr_TermMonths))-MIN(1,MAX(0,(nr_MStartPm1-1-$G4170+0.5)/nr_TermMonths))</f>
        <v/>
      </c>
      <c r="Q4170" s="208">
        <f>MIN(1,MAX(0,(nr_MEndP-$G4170+0.5)/nr_TermMonths))-MIN(1,MAX(0,(nr_MStartP-1-$G4170+0.5)/nr_TermMonths))</f>
        <v/>
      </c>
      <c r="R4170" s="208">
        <f>MIN(1,MAX(0,(nr_MEndP1-$G4170+0.5)/nr_TermMonths))-MIN(1,MAX(0,(nr_MStartP1-1-$G4170+0.5)/nr_TermMonths))</f>
        <v/>
      </c>
      <c r="S4170" s="208">
        <f>IF(nr_NetMode,$N4170*IF(nr_ModAdjEff="ON",$O4170/nr_MInd,1),"")</f>
        <v/>
      </c>
      <c r="T4170" s="208">
        <f>IF(NOT(nr_NetMode),"",IF($G4170&lt;nr_MStartP,$S4170,$T4158*(1+IF($G4170&lt;nr_MStartP1,(nr_NetSelP+N(INDEX(sc_dnet,3))),(nr_NetSelP1+N(INDEX(sc_dnet,3)))))))</f>
        <v/>
      </c>
      <c r="U4170" s="208">
        <f>IF(nr_NetMode,$T4170,$N4170)</f>
        <v/>
      </c>
    </row>
    <row r="4171">
      <c r="A4171" s="145" t="n">
        <v>13</v>
      </c>
      <c r="B4171" s="204">
        <f>EDATE($B4170,1)</f>
        <v/>
      </c>
      <c r="C4171" s="205">
        <f>EOMONTH($B4171,0)</f>
        <v/>
      </c>
      <c r="D4171" s="201">
        <f>$C4171-$B4171+1</f>
        <v/>
      </c>
      <c r="E4171" s="201">
        <f>MONTH($B4171)</f>
        <v/>
      </c>
      <c r="F4171" s="235">
        <f>($B4171+$C4171+1)/2</f>
        <v/>
      </c>
      <c r="G4171" s="201">
        <f>YEAR($B4171)*12+MONTH($B4171)-1</f>
        <v/>
      </c>
      <c r="H4171" s="207">
        <f>IF(OR(nr_SeasonOn="OFF",re_srow=0,re_ssum=0),1,12*INDEX(se_block,re_srow,$E4171)/re_ssum)</f>
        <v/>
      </c>
      <c r="I4171" s="208">
        <f>EXP(SUMPRODUCT(($U$3806:$U$4045&lt;$B4171)*(rl_key=nr_SelKey)*$Y$3806:$Y$4045))</f>
        <v/>
      </c>
      <c r="J4171" s="208">
        <f>EXP(SUMPRODUCT(($U$3806:$U$4045&lt;=$C4171)*(rl_key=nr_SelKey)*$Y$3806:$Y$4045))</f>
        <v/>
      </c>
      <c r="K4171" s="201">
        <f>COUNTIFS(rl_key,nr_SelKey,$U$3806:$U$4045,"&gt;="&amp;$B4171,$U$3806:$U$4045,"&lt;="&amp;$C4171)</f>
        <v/>
      </c>
      <c r="L4171" s="201">
        <f>SUMIFS($Z$3806:$Z$4045,rl_key,nr_SelKey,$V$3806:$V$4045,$B4171,$AC$3806:$AC$4045,1)</f>
        <v/>
      </c>
      <c r="M4171" s="209">
        <f>IF($K4171=0,0,MIN(1,$L4171/$D4171))</f>
        <v/>
      </c>
      <c r="N4171" s="208">
        <f>IF($K4171=0,$J4171,(1-$M4171)*$I4171+$M4171*$J4171)</f>
        <v/>
      </c>
      <c r="O4171" s="209">
        <f>IF($F4171&lt;$B$4157,$E$4157+$I$4157*($F4171-$A$4157),IF($F4171&lt;$C$4157,$F$4157+$J$4157*($F4171-$B$4157),$G$4157+$K$4157*($F4171-$C$4157)))</f>
        <v/>
      </c>
      <c r="P4171" s="208">
        <f>MIN(1,MAX(0,(nr_MEndPm1-$G4171+0.5)/nr_TermMonths))-MIN(1,MAX(0,(nr_MStartPm1-1-$G4171+0.5)/nr_TermMonths))</f>
        <v/>
      </c>
      <c r="Q4171" s="208">
        <f>MIN(1,MAX(0,(nr_MEndP-$G4171+0.5)/nr_TermMonths))-MIN(1,MAX(0,(nr_MStartP-1-$G4171+0.5)/nr_TermMonths))</f>
        <v/>
      </c>
      <c r="R4171" s="208">
        <f>MIN(1,MAX(0,(nr_MEndP1-$G4171+0.5)/nr_TermMonths))-MIN(1,MAX(0,(nr_MStartP1-1-$G4171+0.5)/nr_TermMonths))</f>
        <v/>
      </c>
      <c r="S4171" s="208">
        <f>IF(nr_NetMode,$N4171*IF(nr_ModAdjEff="ON",$O4171/nr_MInd,1),"")</f>
        <v/>
      </c>
      <c r="T4171" s="208">
        <f>IF(NOT(nr_NetMode),"",IF($G4171&lt;nr_MStartP,$S4171,$T4159*(1+IF($G4171&lt;nr_MStartP1,(nr_NetSelP+N(INDEX(sc_dnet,3))),(nr_NetSelP1+N(INDEX(sc_dnet,3)))))))</f>
        <v/>
      </c>
      <c r="U4171" s="208">
        <f>IF(nr_NetMode,$T4171,$N4171)</f>
        <v/>
      </c>
    </row>
    <row r="4172">
      <c r="A4172" s="145" t="n">
        <v>14</v>
      </c>
      <c r="B4172" s="204">
        <f>EDATE($B4171,1)</f>
        <v/>
      </c>
      <c r="C4172" s="205">
        <f>EOMONTH($B4172,0)</f>
        <v/>
      </c>
      <c r="D4172" s="201">
        <f>$C4172-$B4172+1</f>
        <v/>
      </c>
      <c r="E4172" s="201">
        <f>MONTH($B4172)</f>
        <v/>
      </c>
      <c r="F4172" s="235">
        <f>($B4172+$C4172+1)/2</f>
        <v/>
      </c>
      <c r="G4172" s="201">
        <f>YEAR($B4172)*12+MONTH($B4172)-1</f>
        <v/>
      </c>
      <c r="H4172" s="207">
        <f>IF(OR(nr_SeasonOn="OFF",re_srow=0,re_ssum=0),1,12*INDEX(se_block,re_srow,$E4172)/re_ssum)</f>
        <v/>
      </c>
      <c r="I4172" s="208">
        <f>EXP(SUMPRODUCT(($U$3806:$U$4045&lt;$B4172)*(rl_key=nr_SelKey)*$Y$3806:$Y$4045))</f>
        <v/>
      </c>
      <c r="J4172" s="208">
        <f>EXP(SUMPRODUCT(($U$3806:$U$4045&lt;=$C4172)*(rl_key=nr_SelKey)*$Y$3806:$Y$4045))</f>
        <v/>
      </c>
      <c r="K4172" s="201">
        <f>COUNTIFS(rl_key,nr_SelKey,$U$3806:$U$4045,"&gt;="&amp;$B4172,$U$3806:$U$4045,"&lt;="&amp;$C4172)</f>
        <v/>
      </c>
      <c r="L4172" s="201">
        <f>SUMIFS($Z$3806:$Z$4045,rl_key,nr_SelKey,$V$3806:$V$4045,$B4172,$AC$3806:$AC$4045,1)</f>
        <v/>
      </c>
      <c r="M4172" s="209">
        <f>IF($K4172=0,0,MIN(1,$L4172/$D4172))</f>
        <v/>
      </c>
      <c r="N4172" s="208">
        <f>IF($K4172=0,$J4172,(1-$M4172)*$I4172+$M4172*$J4172)</f>
        <v/>
      </c>
      <c r="O4172" s="209">
        <f>IF($F4172&lt;$B$4157,$E$4157+$I$4157*($F4172-$A$4157),IF($F4172&lt;$C$4157,$F$4157+$J$4157*($F4172-$B$4157),$G$4157+$K$4157*($F4172-$C$4157)))</f>
        <v/>
      </c>
      <c r="P4172" s="208">
        <f>MIN(1,MAX(0,(nr_MEndPm1-$G4172+0.5)/nr_TermMonths))-MIN(1,MAX(0,(nr_MStartPm1-1-$G4172+0.5)/nr_TermMonths))</f>
        <v/>
      </c>
      <c r="Q4172" s="208">
        <f>MIN(1,MAX(0,(nr_MEndP-$G4172+0.5)/nr_TermMonths))-MIN(1,MAX(0,(nr_MStartP-1-$G4172+0.5)/nr_TermMonths))</f>
        <v/>
      </c>
      <c r="R4172" s="208">
        <f>MIN(1,MAX(0,(nr_MEndP1-$G4172+0.5)/nr_TermMonths))-MIN(1,MAX(0,(nr_MStartP1-1-$G4172+0.5)/nr_TermMonths))</f>
        <v/>
      </c>
      <c r="S4172" s="208">
        <f>IF(nr_NetMode,$N4172*IF(nr_ModAdjEff="ON",$O4172/nr_MInd,1),"")</f>
        <v/>
      </c>
      <c r="T4172" s="208">
        <f>IF(NOT(nr_NetMode),"",IF($G4172&lt;nr_MStartP,$S4172,$T4160*(1+IF($G4172&lt;nr_MStartP1,(nr_NetSelP+N(INDEX(sc_dnet,3))),(nr_NetSelP1+N(INDEX(sc_dnet,3)))))))</f>
        <v/>
      </c>
      <c r="U4172" s="208">
        <f>IF(nr_NetMode,$T4172,$N4172)</f>
        <v/>
      </c>
    </row>
    <row r="4173">
      <c r="A4173" s="145" t="n">
        <v>15</v>
      </c>
      <c r="B4173" s="204">
        <f>EDATE($B4172,1)</f>
        <v/>
      </c>
      <c r="C4173" s="205">
        <f>EOMONTH($B4173,0)</f>
        <v/>
      </c>
      <c r="D4173" s="201">
        <f>$C4173-$B4173+1</f>
        <v/>
      </c>
      <c r="E4173" s="201">
        <f>MONTH($B4173)</f>
        <v/>
      </c>
      <c r="F4173" s="235">
        <f>($B4173+$C4173+1)/2</f>
        <v/>
      </c>
      <c r="G4173" s="201">
        <f>YEAR($B4173)*12+MONTH($B4173)-1</f>
        <v/>
      </c>
      <c r="H4173" s="207">
        <f>IF(OR(nr_SeasonOn="OFF",re_srow=0,re_ssum=0),1,12*INDEX(se_block,re_srow,$E4173)/re_ssum)</f>
        <v/>
      </c>
      <c r="I4173" s="208">
        <f>EXP(SUMPRODUCT(($U$3806:$U$4045&lt;$B4173)*(rl_key=nr_SelKey)*$Y$3806:$Y$4045))</f>
        <v/>
      </c>
      <c r="J4173" s="208">
        <f>EXP(SUMPRODUCT(($U$3806:$U$4045&lt;=$C4173)*(rl_key=nr_SelKey)*$Y$3806:$Y$4045))</f>
        <v/>
      </c>
      <c r="K4173" s="201">
        <f>COUNTIFS(rl_key,nr_SelKey,$U$3806:$U$4045,"&gt;="&amp;$B4173,$U$3806:$U$4045,"&lt;="&amp;$C4173)</f>
        <v/>
      </c>
      <c r="L4173" s="201">
        <f>SUMIFS($Z$3806:$Z$4045,rl_key,nr_SelKey,$V$3806:$V$4045,$B4173,$AC$3806:$AC$4045,1)</f>
        <v/>
      </c>
      <c r="M4173" s="209">
        <f>IF($K4173=0,0,MIN(1,$L4173/$D4173))</f>
        <v/>
      </c>
      <c r="N4173" s="208">
        <f>IF($K4173=0,$J4173,(1-$M4173)*$I4173+$M4173*$J4173)</f>
        <v/>
      </c>
      <c r="O4173" s="209">
        <f>IF($F4173&lt;$B$4157,$E$4157+$I$4157*($F4173-$A$4157),IF($F4173&lt;$C$4157,$F$4157+$J$4157*($F4173-$B$4157),$G$4157+$K$4157*($F4173-$C$4157)))</f>
        <v/>
      </c>
      <c r="P4173" s="208">
        <f>MIN(1,MAX(0,(nr_MEndPm1-$G4173+0.5)/nr_TermMonths))-MIN(1,MAX(0,(nr_MStartPm1-1-$G4173+0.5)/nr_TermMonths))</f>
        <v/>
      </c>
      <c r="Q4173" s="208">
        <f>MIN(1,MAX(0,(nr_MEndP-$G4173+0.5)/nr_TermMonths))-MIN(1,MAX(0,(nr_MStartP-1-$G4173+0.5)/nr_TermMonths))</f>
        <v/>
      </c>
      <c r="R4173" s="208">
        <f>MIN(1,MAX(0,(nr_MEndP1-$G4173+0.5)/nr_TermMonths))-MIN(1,MAX(0,(nr_MStartP1-1-$G4173+0.5)/nr_TermMonths))</f>
        <v/>
      </c>
      <c r="S4173" s="208">
        <f>IF(nr_NetMode,$N4173*IF(nr_ModAdjEff="ON",$O4173/nr_MInd,1),"")</f>
        <v/>
      </c>
      <c r="T4173" s="208">
        <f>IF(NOT(nr_NetMode),"",IF($G4173&lt;nr_MStartP,$S4173,$T4161*(1+IF($G4173&lt;nr_MStartP1,(nr_NetSelP+N(INDEX(sc_dnet,3))),(nr_NetSelP1+N(INDEX(sc_dnet,3)))))))</f>
        <v/>
      </c>
      <c r="U4173" s="208">
        <f>IF(nr_NetMode,$T4173,$N4173)</f>
        <v/>
      </c>
    </row>
    <row r="4174">
      <c r="A4174" s="145" t="n">
        <v>16</v>
      </c>
      <c r="B4174" s="204">
        <f>EDATE($B4173,1)</f>
        <v/>
      </c>
      <c r="C4174" s="205">
        <f>EOMONTH($B4174,0)</f>
        <v/>
      </c>
      <c r="D4174" s="201">
        <f>$C4174-$B4174+1</f>
        <v/>
      </c>
      <c r="E4174" s="201">
        <f>MONTH($B4174)</f>
        <v/>
      </c>
      <c r="F4174" s="235">
        <f>($B4174+$C4174+1)/2</f>
        <v/>
      </c>
      <c r="G4174" s="201">
        <f>YEAR($B4174)*12+MONTH($B4174)-1</f>
        <v/>
      </c>
      <c r="H4174" s="207">
        <f>IF(OR(nr_SeasonOn="OFF",re_srow=0,re_ssum=0),1,12*INDEX(se_block,re_srow,$E4174)/re_ssum)</f>
        <v/>
      </c>
      <c r="I4174" s="208">
        <f>EXP(SUMPRODUCT(($U$3806:$U$4045&lt;$B4174)*(rl_key=nr_SelKey)*$Y$3806:$Y$4045))</f>
        <v/>
      </c>
      <c r="J4174" s="208">
        <f>EXP(SUMPRODUCT(($U$3806:$U$4045&lt;=$C4174)*(rl_key=nr_SelKey)*$Y$3806:$Y$4045))</f>
        <v/>
      </c>
      <c r="K4174" s="201">
        <f>COUNTIFS(rl_key,nr_SelKey,$U$3806:$U$4045,"&gt;="&amp;$B4174,$U$3806:$U$4045,"&lt;="&amp;$C4174)</f>
        <v/>
      </c>
      <c r="L4174" s="201">
        <f>SUMIFS($Z$3806:$Z$4045,rl_key,nr_SelKey,$V$3806:$V$4045,$B4174,$AC$3806:$AC$4045,1)</f>
        <v/>
      </c>
      <c r="M4174" s="209">
        <f>IF($K4174=0,0,MIN(1,$L4174/$D4174))</f>
        <v/>
      </c>
      <c r="N4174" s="208">
        <f>IF($K4174=0,$J4174,(1-$M4174)*$I4174+$M4174*$J4174)</f>
        <v/>
      </c>
      <c r="O4174" s="209">
        <f>IF($F4174&lt;$B$4157,$E$4157+$I$4157*($F4174-$A$4157),IF($F4174&lt;$C$4157,$F$4157+$J$4157*($F4174-$B$4157),$G$4157+$K$4157*($F4174-$C$4157)))</f>
        <v/>
      </c>
      <c r="P4174" s="208">
        <f>MIN(1,MAX(0,(nr_MEndPm1-$G4174+0.5)/nr_TermMonths))-MIN(1,MAX(0,(nr_MStartPm1-1-$G4174+0.5)/nr_TermMonths))</f>
        <v/>
      </c>
      <c r="Q4174" s="208">
        <f>MIN(1,MAX(0,(nr_MEndP-$G4174+0.5)/nr_TermMonths))-MIN(1,MAX(0,(nr_MStartP-1-$G4174+0.5)/nr_TermMonths))</f>
        <v/>
      </c>
      <c r="R4174" s="208">
        <f>MIN(1,MAX(0,(nr_MEndP1-$G4174+0.5)/nr_TermMonths))-MIN(1,MAX(0,(nr_MStartP1-1-$G4174+0.5)/nr_TermMonths))</f>
        <v/>
      </c>
      <c r="S4174" s="208">
        <f>IF(nr_NetMode,$N4174*IF(nr_ModAdjEff="ON",$O4174/nr_MInd,1),"")</f>
        <v/>
      </c>
      <c r="T4174" s="208">
        <f>IF(NOT(nr_NetMode),"",IF($G4174&lt;nr_MStartP,$S4174,$T4162*(1+IF($G4174&lt;nr_MStartP1,(nr_NetSelP+N(INDEX(sc_dnet,3))),(nr_NetSelP1+N(INDEX(sc_dnet,3)))))))</f>
        <v/>
      </c>
      <c r="U4174" s="208">
        <f>IF(nr_NetMode,$T4174,$N4174)</f>
        <v/>
      </c>
    </row>
    <row r="4175">
      <c r="A4175" s="145" t="n">
        <v>17</v>
      </c>
      <c r="B4175" s="204">
        <f>EDATE($B4174,1)</f>
        <v/>
      </c>
      <c r="C4175" s="205">
        <f>EOMONTH($B4175,0)</f>
        <v/>
      </c>
      <c r="D4175" s="201">
        <f>$C4175-$B4175+1</f>
        <v/>
      </c>
      <c r="E4175" s="201">
        <f>MONTH($B4175)</f>
        <v/>
      </c>
      <c r="F4175" s="235">
        <f>($B4175+$C4175+1)/2</f>
        <v/>
      </c>
      <c r="G4175" s="201">
        <f>YEAR($B4175)*12+MONTH($B4175)-1</f>
        <v/>
      </c>
      <c r="H4175" s="207">
        <f>IF(OR(nr_SeasonOn="OFF",re_srow=0,re_ssum=0),1,12*INDEX(se_block,re_srow,$E4175)/re_ssum)</f>
        <v/>
      </c>
      <c r="I4175" s="208">
        <f>EXP(SUMPRODUCT(($U$3806:$U$4045&lt;$B4175)*(rl_key=nr_SelKey)*$Y$3806:$Y$4045))</f>
        <v/>
      </c>
      <c r="J4175" s="208">
        <f>EXP(SUMPRODUCT(($U$3806:$U$4045&lt;=$C4175)*(rl_key=nr_SelKey)*$Y$3806:$Y$4045))</f>
        <v/>
      </c>
      <c r="K4175" s="201">
        <f>COUNTIFS(rl_key,nr_SelKey,$U$3806:$U$4045,"&gt;="&amp;$B4175,$U$3806:$U$4045,"&lt;="&amp;$C4175)</f>
        <v/>
      </c>
      <c r="L4175" s="201">
        <f>SUMIFS($Z$3806:$Z$4045,rl_key,nr_SelKey,$V$3806:$V$4045,$B4175,$AC$3806:$AC$4045,1)</f>
        <v/>
      </c>
      <c r="M4175" s="209">
        <f>IF($K4175=0,0,MIN(1,$L4175/$D4175))</f>
        <v/>
      </c>
      <c r="N4175" s="208">
        <f>IF($K4175=0,$J4175,(1-$M4175)*$I4175+$M4175*$J4175)</f>
        <v/>
      </c>
      <c r="O4175" s="209">
        <f>IF($F4175&lt;$B$4157,$E$4157+$I$4157*($F4175-$A$4157),IF($F4175&lt;$C$4157,$F$4157+$J$4157*($F4175-$B$4157),$G$4157+$K$4157*($F4175-$C$4157)))</f>
        <v/>
      </c>
      <c r="P4175" s="208">
        <f>MIN(1,MAX(0,(nr_MEndPm1-$G4175+0.5)/nr_TermMonths))-MIN(1,MAX(0,(nr_MStartPm1-1-$G4175+0.5)/nr_TermMonths))</f>
        <v/>
      </c>
      <c r="Q4175" s="208">
        <f>MIN(1,MAX(0,(nr_MEndP-$G4175+0.5)/nr_TermMonths))-MIN(1,MAX(0,(nr_MStartP-1-$G4175+0.5)/nr_TermMonths))</f>
        <v/>
      </c>
      <c r="R4175" s="208">
        <f>MIN(1,MAX(0,(nr_MEndP1-$G4175+0.5)/nr_TermMonths))-MIN(1,MAX(0,(nr_MStartP1-1-$G4175+0.5)/nr_TermMonths))</f>
        <v/>
      </c>
      <c r="S4175" s="208">
        <f>IF(nr_NetMode,$N4175*IF(nr_ModAdjEff="ON",$O4175/nr_MInd,1),"")</f>
        <v/>
      </c>
      <c r="T4175" s="208">
        <f>IF(NOT(nr_NetMode),"",IF($G4175&lt;nr_MStartP,$S4175,$T4163*(1+IF($G4175&lt;nr_MStartP1,(nr_NetSelP+N(INDEX(sc_dnet,3))),(nr_NetSelP1+N(INDEX(sc_dnet,3)))))))</f>
        <v/>
      </c>
      <c r="U4175" s="208">
        <f>IF(nr_NetMode,$T4175,$N4175)</f>
        <v/>
      </c>
    </row>
    <row r="4176">
      <c r="A4176" s="145" t="n">
        <v>18</v>
      </c>
      <c r="B4176" s="204">
        <f>EDATE($B4175,1)</f>
        <v/>
      </c>
      <c r="C4176" s="205">
        <f>EOMONTH($B4176,0)</f>
        <v/>
      </c>
      <c r="D4176" s="201">
        <f>$C4176-$B4176+1</f>
        <v/>
      </c>
      <c r="E4176" s="201">
        <f>MONTH($B4176)</f>
        <v/>
      </c>
      <c r="F4176" s="235">
        <f>($B4176+$C4176+1)/2</f>
        <v/>
      </c>
      <c r="G4176" s="201">
        <f>YEAR($B4176)*12+MONTH($B4176)-1</f>
        <v/>
      </c>
      <c r="H4176" s="207">
        <f>IF(OR(nr_SeasonOn="OFF",re_srow=0,re_ssum=0),1,12*INDEX(se_block,re_srow,$E4176)/re_ssum)</f>
        <v/>
      </c>
      <c r="I4176" s="208">
        <f>EXP(SUMPRODUCT(($U$3806:$U$4045&lt;$B4176)*(rl_key=nr_SelKey)*$Y$3806:$Y$4045))</f>
        <v/>
      </c>
      <c r="J4176" s="208">
        <f>EXP(SUMPRODUCT(($U$3806:$U$4045&lt;=$C4176)*(rl_key=nr_SelKey)*$Y$3806:$Y$4045))</f>
        <v/>
      </c>
      <c r="K4176" s="201">
        <f>COUNTIFS(rl_key,nr_SelKey,$U$3806:$U$4045,"&gt;="&amp;$B4176,$U$3806:$U$4045,"&lt;="&amp;$C4176)</f>
        <v/>
      </c>
      <c r="L4176" s="201">
        <f>SUMIFS($Z$3806:$Z$4045,rl_key,nr_SelKey,$V$3806:$V$4045,$B4176,$AC$3806:$AC$4045,1)</f>
        <v/>
      </c>
      <c r="M4176" s="209">
        <f>IF($K4176=0,0,MIN(1,$L4176/$D4176))</f>
        <v/>
      </c>
      <c r="N4176" s="208">
        <f>IF($K4176=0,$J4176,(1-$M4176)*$I4176+$M4176*$J4176)</f>
        <v/>
      </c>
      <c r="O4176" s="209">
        <f>IF($F4176&lt;$B$4157,$E$4157+$I$4157*($F4176-$A$4157),IF($F4176&lt;$C$4157,$F$4157+$J$4157*($F4176-$B$4157),$G$4157+$K$4157*($F4176-$C$4157)))</f>
        <v/>
      </c>
      <c r="P4176" s="208">
        <f>MIN(1,MAX(0,(nr_MEndPm1-$G4176+0.5)/nr_TermMonths))-MIN(1,MAX(0,(nr_MStartPm1-1-$G4176+0.5)/nr_TermMonths))</f>
        <v/>
      </c>
      <c r="Q4176" s="208">
        <f>MIN(1,MAX(0,(nr_MEndP-$G4176+0.5)/nr_TermMonths))-MIN(1,MAX(0,(nr_MStartP-1-$G4176+0.5)/nr_TermMonths))</f>
        <v/>
      </c>
      <c r="R4176" s="208">
        <f>MIN(1,MAX(0,(nr_MEndP1-$G4176+0.5)/nr_TermMonths))-MIN(1,MAX(0,(nr_MStartP1-1-$G4176+0.5)/nr_TermMonths))</f>
        <v/>
      </c>
      <c r="S4176" s="208">
        <f>IF(nr_NetMode,$N4176*IF(nr_ModAdjEff="ON",$O4176/nr_MInd,1),"")</f>
        <v/>
      </c>
      <c r="T4176" s="208">
        <f>IF(NOT(nr_NetMode),"",IF($G4176&lt;nr_MStartP,$S4176,$T4164*(1+IF($G4176&lt;nr_MStartP1,(nr_NetSelP+N(INDEX(sc_dnet,3))),(nr_NetSelP1+N(INDEX(sc_dnet,3)))))))</f>
        <v/>
      </c>
      <c r="U4176" s="208">
        <f>IF(nr_NetMode,$T4176,$N4176)</f>
        <v/>
      </c>
    </row>
    <row r="4177">
      <c r="A4177" s="145" t="n">
        <v>19</v>
      </c>
      <c r="B4177" s="204">
        <f>EDATE($B4176,1)</f>
        <v/>
      </c>
      <c r="C4177" s="205">
        <f>EOMONTH($B4177,0)</f>
        <v/>
      </c>
      <c r="D4177" s="201">
        <f>$C4177-$B4177+1</f>
        <v/>
      </c>
      <c r="E4177" s="201">
        <f>MONTH($B4177)</f>
        <v/>
      </c>
      <c r="F4177" s="235">
        <f>($B4177+$C4177+1)/2</f>
        <v/>
      </c>
      <c r="G4177" s="201">
        <f>YEAR($B4177)*12+MONTH($B4177)-1</f>
        <v/>
      </c>
      <c r="H4177" s="207">
        <f>IF(OR(nr_SeasonOn="OFF",re_srow=0,re_ssum=0),1,12*INDEX(se_block,re_srow,$E4177)/re_ssum)</f>
        <v/>
      </c>
      <c r="I4177" s="208">
        <f>EXP(SUMPRODUCT(($U$3806:$U$4045&lt;$B4177)*(rl_key=nr_SelKey)*$Y$3806:$Y$4045))</f>
        <v/>
      </c>
      <c r="J4177" s="208">
        <f>EXP(SUMPRODUCT(($U$3806:$U$4045&lt;=$C4177)*(rl_key=nr_SelKey)*$Y$3806:$Y$4045))</f>
        <v/>
      </c>
      <c r="K4177" s="201">
        <f>COUNTIFS(rl_key,nr_SelKey,$U$3806:$U$4045,"&gt;="&amp;$B4177,$U$3806:$U$4045,"&lt;="&amp;$C4177)</f>
        <v/>
      </c>
      <c r="L4177" s="201">
        <f>SUMIFS($Z$3806:$Z$4045,rl_key,nr_SelKey,$V$3806:$V$4045,$B4177,$AC$3806:$AC$4045,1)</f>
        <v/>
      </c>
      <c r="M4177" s="209">
        <f>IF($K4177=0,0,MIN(1,$L4177/$D4177))</f>
        <v/>
      </c>
      <c r="N4177" s="208">
        <f>IF($K4177=0,$J4177,(1-$M4177)*$I4177+$M4177*$J4177)</f>
        <v/>
      </c>
      <c r="O4177" s="209">
        <f>IF($F4177&lt;$B$4157,$E$4157+$I$4157*($F4177-$A$4157),IF($F4177&lt;$C$4157,$F$4157+$J$4157*($F4177-$B$4157),$G$4157+$K$4157*($F4177-$C$4157)))</f>
        <v/>
      </c>
      <c r="P4177" s="208">
        <f>MIN(1,MAX(0,(nr_MEndPm1-$G4177+0.5)/nr_TermMonths))-MIN(1,MAX(0,(nr_MStartPm1-1-$G4177+0.5)/nr_TermMonths))</f>
        <v/>
      </c>
      <c r="Q4177" s="208">
        <f>MIN(1,MAX(0,(nr_MEndP-$G4177+0.5)/nr_TermMonths))-MIN(1,MAX(0,(nr_MStartP-1-$G4177+0.5)/nr_TermMonths))</f>
        <v/>
      </c>
      <c r="R4177" s="208">
        <f>MIN(1,MAX(0,(nr_MEndP1-$G4177+0.5)/nr_TermMonths))-MIN(1,MAX(0,(nr_MStartP1-1-$G4177+0.5)/nr_TermMonths))</f>
        <v/>
      </c>
      <c r="S4177" s="208">
        <f>IF(nr_NetMode,$N4177*IF(nr_ModAdjEff="ON",$O4177/nr_MInd,1),"")</f>
        <v/>
      </c>
      <c r="T4177" s="208">
        <f>IF(NOT(nr_NetMode),"",IF($G4177&lt;nr_MStartP,$S4177,$T4165*(1+IF($G4177&lt;nr_MStartP1,(nr_NetSelP+N(INDEX(sc_dnet,3))),(nr_NetSelP1+N(INDEX(sc_dnet,3)))))))</f>
        <v/>
      </c>
      <c r="U4177" s="208">
        <f>IF(nr_NetMode,$T4177,$N4177)</f>
        <v/>
      </c>
    </row>
    <row r="4178">
      <c r="A4178" s="145" t="n">
        <v>20</v>
      </c>
      <c r="B4178" s="204">
        <f>EDATE($B4177,1)</f>
        <v/>
      </c>
      <c r="C4178" s="205">
        <f>EOMONTH($B4178,0)</f>
        <v/>
      </c>
      <c r="D4178" s="201">
        <f>$C4178-$B4178+1</f>
        <v/>
      </c>
      <c r="E4178" s="201">
        <f>MONTH($B4178)</f>
        <v/>
      </c>
      <c r="F4178" s="235">
        <f>($B4178+$C4178+1)/2</f>
        <v/>
      </c>
      <c r="G4178" s="201">
        <f>YEAR($B4178)*12+MONTH($B4178)-1</f>
        <v/>
      </c>
      <c r="H4178" s="207">
        <f>IF(OR(nr_SeasonOn="OFF",re_srow=0,re_ssum=0),1,12*INDEX(se_block,re_srow,$E4178)/re_ssum)</f>
        <v/>
      </c>
      <c r="I4178" s="208">
        <f>EXP(SUMPRODUCT(($U$3806:$U$4045&lt;$B4178)*(rl_key=nr_SelKey)*$Y$3806:$Y$4045))</f>
        <v/>
      </c>
      <c r="J4178" s="208">
        <f>EXP(SUMPRODUCT(($U$3806:$U$4045&lt;=$C4178)*(rl_key=nr_SelKey)*$Y$3806:$Y$4045))</f>
        <v/>
      </c>
      <c r="K4178" s="201">
        <f>COUNTIFS(rl_key,nr_SelKey,$U$3806:$U$4045,"&gt;="&amp;$B4178,$U$3806:$U$4045,"&lt;="&amp;$C4178)</f>
        <v/>
      </c>
      <c r="L4178" s="201">
        <f>SUMIFS($Z$3806:$Z$4045,rl_key,nr_SelKey,$V$3806:$V$4045,$B4178,$AC$3806:$AC$4045,1)</f>
        <v/>
      </c>
      <c r="M4178" s="209">
        <f>IF($K4178=0,0,MIN(1,$L4178/$D4178))</f>
        <v/>
      </c>
      <c r="N4178" s="208">
        <f>IF($K4178=0,$J4178,(1-$M4178)*$I4178+$M4178*$J4178)</f>
        <v/>
      </c>
      <c r="O4178" s="209">
        <f>IF($F4178&lt;$B$4157,$E$4157+$I$4157*($F4178-$A$4157),IF($F4178&lt;$C$4157,$F$4157+$J$4157*($F4178-$B$4157),$G$4157+$K$4157*($F4178-$C$4157)))</f>
        <v/>
      </c>
      <c r="P4178" s="208">
        <f>MIN(1,MAX(0,(nr_MEndPm1-$G4178+0.5)/nr_TermMonths))-MIN(1,MAX(0,(nr_MStartPm1-1-$G4178+0.5)/nr_TermMonths))</f>
        <v/>
      </c>
      <c r="Q4178" s="208">
        <f>MIN(1,MAX(0,(nr_MEndP-$G4178+0.5)/nr_TermMonths))-MIN(1,MAX(0,(nr_MStartP-1-$G4178+0.5)/nr_TermMonths))</f>
        <v/>
      </c>
      <c r="R4178" s="208">
        <f>MIN(1,MAX(0,(nr_MEndP1-$G4178+0.5)/nr_TermMonths))-MIN(1,MAX(0,(nr_MStartP1-1-$G4178+0.5)/nr_TermMonths))</f>
        <v/>
      </c>
      <c r="S4178" s="208">
        <f>IF(nr_NetMode,$N4178*IF(nr_ModAdjEff="ON",$O4178/nr_MInd,1),"")</f>
        <v/>
      </c>
      <c r="T4178" s="208">
        <f>IF(NOT(nr_NetMode),"",IF($G4178&lt;nr_MStartP,$S4178,$T4166*(1+IF($G4178&lt;nr_MStartP1,(nr_NetSelP+N(INDEX(sc_dnet,3))),(nr_NetSelP1+N(INDEX(sc_dnet,3)))))))</f>
        <v/>
      </c>
      <c r="U4178" s="208">
        <f>IF(nr_NetMode,$T4178,$N4178)</f>
        <v/>
      </c>
    </row>
    <row r="4179">
      <c r="A4179" s="145" t="n">
        <v>21</v>
      </c>
      <c r="B4179" s="204">
        <f>EDATE($B4178,1)</f>
        <v/>
      </c>
      <c r="C4179" s="205">
        <f>EOMONTH($B4179,0)</f>
        <v/>
      </c>
      <c r="D4179" s="201">
        <f>$C4179-$B4179+1</f>
        <v/>
      </c>
      <c r="E4179" s="201">
        <f>MONTH($B4179)</f>
        <v/>
      </c>
      <c r="F4179" s="235">
        <f>($B4179+$C4179+1)/2</f>
        <v/>
      </c>
      <c r="G4179" s="201">
        <f>YEAR($B4179)*12+MONTH($B4179)-1</f>
        <v/>
      </c>
      <c r="H4179" s="207">
        <f>IF(OR(nr_SeasonOn="OFF",re_srow=0,re_ssum=0),1,12*INDEX(se_block,re_srow,$E4179)/re_ssum)</f>
        <v/>
      </c>
      <c r="I4179" s="208">
        <f>EXP(SUMPRODUCT(($U$3806:$U$4045&lt;$B4179)*(rl_key=nr_SelKey)*$Y$3806:$Y$4045))</f>
        <v/>
      </c>
      <c r="J4179" s="208">
        <f>EXP(SUMPRODUCT(($U$3806:$U$4045&lt;=$C4179)*(rl_key=nr_SelKey)*$Y$3806:$Y$4045))</f>
        <v/>
      </c>
      <c r="K4179" s="201">
        <f>COUNTIFS(rl_key,nr_SelKey,$U$3806:$U$4045,"&gt;="&amp;$B4179,$U$3806:$U$4045,"&lt;="&amp;$C4179)</f>
        <v/>
      </c>
      <c r="L4179" s="201">
        <f>SUMIFS($Z$3806:$Z$4045,rl_key,nr_SelKey,$V$3806:$V$4045,$B4179,$AC$3806:$AC$4045,1)</f>
        <v/>
      </c>
      <c r="M4179" s="209">
        <f>IF($K4179=0,0,MIN(1,$L4179/$D4179))</f>
        <v/>
      </c>
      <c r="N4179" s="208">
        <f>IF($K4179=0,$J4179,(1-$M4179)*$I4179+$M4179*$J4179)</f>
        <v/>
      </c>
      <c r="O4179" s="209">
        <f>IF($F4179&lt;$B$4157,$E$4157+$I$4157*($F4179-$A$4157),IF($F4179&lt;$C$4157,$F$4157+$J$4157*($F4179-$B$4157),$G$4157+$K$4157*($F4179-$C$4157)))</f>
        <v/>
      </c>
      <c r="P4179" s="208">
        <f>MIN(1,MAX(0,(nr_MEndPm1-$G4179+0.5)/nr_TermMonths))-MIN(1,MAX(0,(nr_MStartPm1-1-$G4179+0.5)/nr_TermMonths))</f>
        <v/>
      </c>
      <c r="Q4179" s="208">
        <f>MIN(1,MAX(0,(nr_MEndP-$G4179+0.5)/nr_TermMonths))-MIN(1,MAX(0,(nr_MStartP-1-$G4179+0.5)/nr_TermMonths))</f>
        <v/>
      </c>
      <c r="R4179" s="208">
        <f>MIN(1,MAX(0,(nr_MEndP1-$G4179+0.5)/nr_TermMonths))-MIN(1,MAX(0,(nr_MStartP1-1-$G4179+0.5)/nr_TermMonths))</f>
        <v/>
      </c>
      <c r="S4179" s="208">
        <f>IF(nr_NetMode,$N4179*IF(nr_ModAdjEff="ON",$O4179/nr_MInd,1),"")</f>
        <v/>
      </c>
      <c r="T4179" s="208">
        <f>IF(NOT(nr_NetMode),"",IF($G4179&lt;nr_MStartP,$S4179,$T4167*(1+IF($G4179&lt;nr_MStartP1,(nr_NetSelP+N(INDEX(sc_dnet,3))),(nr_NetSelP1+N(INDEX(sc_dnet,3)))))))</f>
        <v/>
      </c>
      <c r="U4179" s="208">
        <f>IF(nr_NetMode,$T4179,$N4179)</f>
        <v/>
      </c>
    </row>
    <row r="4180">
      <c r="A4180" s="145" t="n">
        <v>22</v>
      </c>
      <c r="B4180" s="204">
        <f>EDATE($B4179,1)</f>
        <v/>
      </c>
      <c r="C4180" s="205">
        <f>EOMONTH($B4180,0)</f>
        <v/>
      </c>
      <c r="D4180" s="201">
        <f>$C4180-$B4180+1</f>
        <v/>
      </c>
      <c r="E4180" s="201">
        <f>MONTH($B4180)</f>
        <v/>
      </c>
      <c r="F4180" s="235">
        <f>($B4180+$C4180+1)/2</f>
        <v/>
      </c>
      <c r="G4180" s="201">
        <f>YEAR($B4180)*12+MONTH($B4180)-1</f>
        <v/>
      </c>
      <c r="H4180" s="207">
        <f>IF(OR(nr_SeasonOn="OFF",re_srow=0,re_ssum=0),1,12*INDEX(se_block,re_srow,$E4180)/re_ssum)</f>
        <v/>
      </c>
      <c r="I4180" s="208">
        <f>EXP(SUMPRODUCT(($U$3806:$U$4045&lt;$B4180)*(rl_key=nr_SelKey)*$Y$3806:$Y$4045))</f>
        <v/>
      </c>
      <c r="J4180" s="208">
        <f>EXP(SUMPRODUCT(($U$3806:$U$4045&lt;=$C4180)*(rl_key=nr_SelKey)*$Y$3806:$Y$4045))</f>
        <v/>
      </c>
      <c r="K4180" s="201">
        <f>COUNTIFS(rl_key,nr_SelKey,$U$3806:$U$4045,"&gt;="&amp;$B4180,$U$3806:$U$4045,"&lt;="&amp;$C4180)</f>
        <v/>
      </c>
      <c r="L4180" s="201">
        <f>SUMIFS($Z$3806:$Z$4045,rl_key,nr_SelKey,$V$3806:$V$4045,$B4180,$AC$3806:$AC$4045,1)</f>
        <v/>
      </c>
      <c r="M4180" s="209">
        <f>IF($K4180=0,0,MIN(1,$L4180/$D4180))</f>
        <v/>
      </c>
      <c r="N4180" s="208">
        <f>IF($K4180=0,$J4180,(1-$M4180)*$I4180+$M4180*$J4180)</f>
        <v/>
      </c>
      <c r="O4180" s="209">
        <f>IF($F4180&lt;$B$4157,$E$4157+$I$4157*($F4180-$A$4157),IF($F4180&lt;$C$4157,$F$4157+$J$4157*($F4180-$B$4157),$G$4157+$K$4157*($F4180-$C$4157)))</f>
        <v/>
      </c>
      <c r="P4180" s="208">
        <f>MIN(1,MAX(0,(nr_MEndPm1-$G4180+0.5)/nr_TermMonths))-MIN(1,MAX(0,(nr_MStartPm1-1-$G4180+0.5)/nr_TermMonths))</f>
        <v/>
      </c>
      <c r="Q4180" s="208">
        <f>MIN(1,MAX(0,(nr_MEndP-$G4180+0.5)/nr_TermMonths))-MIN(1,MAX(0,(nr_MStartP-1-$G4180+0.5)/nr_TermMonths))</f>
        <v/>
      </c>
      <c r="R4180" s="208">
        <f>MIN(1,MAX(0,(nr_MEndP1-$G4180+0.5)/nr_TermMonths))-MIN(1,MAX(0,(nr_MStartP1-1-$G4180+0.5)/nr_TermMonths))</f>
        <v/>
      </c>
      <c r="S4180" s="208">
        <f>IF(nr_NetMode,$N4180*IF(nr_ModAdjEff="ON",$O4180/nr_MInd,1),"")</f>
        <v/>
      </c>
      <c r="T4180" s="208">
        <f>IF(NOT(nr_NetMode),"",IF($G4180&lt;nr_MStartP,$S4180,$T4168*(1+IF($G4180&lt;nr_MStartP1,(nr_NetSelP+N(INDEX(sc_dnet,3))),(nr_NetSelP1+N(INDEX(sc_dnet,3)))))))</f>
        <v/>
      </c>
      <c r="U4180" s="208">
        <f>IF(nr_NetMode,$T4180,$N4180)</f>
        <v/>
      </c>
    </row>
    <row r="4181">
      <c r="A4181" s="145" t="n">
        <v>23</v>
      </c>
      <c r="B4181" s="204">
        <f>EDATE($B4180,1)</f>
        <v/>
      </c>
      <c r="C4181" s="205">
        <f>EOMONTH($B4181,0)</f>
        <v/>
      </c>
      <c r="D4181" s="201">
        <f>$C4181-$B4181+1</f>
        <v/>
      </c>
      <c r="E4181" s="201">
        <f>MONTH($B4181)</f>
        <v/>
      </c>
      <c r="F4181" s="235">
        <f>($B4181+$C4181+1)/2</f>
        <v/>
      </c>
      <c r="G4181" s="201">
        <f>YEAR($B4181)*12+MONTH($B4181)-1</f>
        <v/>
      </c>
      <c r="H4181" s="207">
        <f>IF(OR(nr_SeasonOn="OFF",re_srow=0,re_ssum=0),1,12*INDEX(se_block,re_srow,$E4181)/re_ssum)</f>
        <v/>
      </c>
      <c r="I4181" s="208">
        <f>EXP(SUMPRODUCT(($U$3806:$U$4045&lt;$B4181)*(rl_key=nr_SelKey)*$Y$3806:$Y$4045))</f>
        <v/>
      </c>
      <c r="J4181" s="208">
        <f>EXP(SUMPRODUCT(($U$3806:$U$4045&lt;=$C4181)*(rl_key=nr_SelKey)*$Y$3806:$Y$4045))</f>
        <v/>
      </c>
      <c r="K4181" s="201">
        <f>COUNTIFS(rl_key,nr_SelKey,$U$3806:$U$4045,"&gt;="&amp;$B4181,$U$3806:$U$4045,"&lt;="&amp;$C4181)</f>
        <v/>
      </c>
      <c r="L4181" s="201">
        <f>SUMIFS($Z$3806:$Z$4045,rl_key,nr_SelKey,$V$3806:$V$4045,$B4181,$AC$3806:$AC$4045,1)</f>
        <v/>
      </c>
      <c r="M4181" s="209">
        <f>IF($K4181=0,0,MIN(1,$L4181/$D4181))</f>
        <v/>
      </c>
      <c r="N4181" s="208">
        <f>IF($K4181=0,$J4181,(1-$M4181)*$I4181+$M4181*$J4181)</f>
        <v/>
      </c>
      <c r="O4181" s="209">
        <f>IF($F4181&lt;$B$4157,$E$4157+$I$4157*($F4181-$A$4157),IF($F4181&lt;$C$4157,$F$4157+$J$4157*($F4181-$B$4157),$G$4157+$K$4157*($F4181-$C$4157)))</f>
        <v/>
      </c>
      <c r="P4181" s="208">
        <f>MIN(1,MAX(0,(nr_MEndPm1-$G4181+0.5)/nr_TermMonths))-MIN(1,MAX(0,(nr_MStartPm1-1-$G4181+0.5)/nr_TermMonths))</f>
        <v/>
      </c>
      <c r="Q4181" s="208">
        <f>MIN(1,MAX(0,(nr_MEndP-$G4181+0.5)/nr_TermMonths))-MIN(1,MAX(0,(nr_MStartP-1-$G4181+0.5)/nr_TermMonths))</f>
        <v/>
      </c>
      <c r="R4181" s="208">
        <f>MIN(1,MAX(0,(nr_MEndP1-$G4181+0.5)/nr_TermMonths))-MIN(1,MAX(0,(nr_MStartP1-1-$G4181+0.5)/nr_TermMonths))</f>
        <v/>
      </c>
      <c r="S4181" s="208">
        <f>IF(nr_NetMode,$N4181*IF(nr_ModAdjEff="ON",$O4181/nr_MInd,1),"")</f>
        <v/>
      </c>
      <c r="T4181" s="208">
        <f>IF(NOT(nr_NetMode),"",IF($G4181&lt;nr_MStartP,$S4181,$T4169*(1+IF($G4181&lt;nr_MStartP1,(nr_NetSelP+N(INDEX(sc_dnet,3))),(nr_NetSelP1+N(INDEX(sc_dnet,3)))))))</f>
        <v/>
      </c>
      <c r="U4181" s="208">
        <f>IF(nr_NetMode,$T4181,$N4181)</f>
        <v/>
      </c>
    </row>
    <row r="4182">
      <c r="A4182" s="145" t="n">
        <v>24</v>
      </c>
      <c r="B4182" s="204">
        <f>EDATE($B4181,1)</f>
        <v/>
      </c>
      <c r="C4182" s="205">
        <f>EOMONTH($B4182,0)</f>
        <v/>
      </c>
      <c r="D4182" s="201">
        <f>$C4182-$B4182+1</f>
        <v/>
      </c>
      <c r="E4182" s="201">
        <f>MONTH($B4182)</f>
        <v/>
      </c>
      <c r="F4182" s="235">
        <f>($B4182+$C4182+1)/2</f>
        <v/>
      </c>
      <c r="G4182" s="201">
        <f>YEAR($B4182)*12+MONTH($B4182)-1</f>
        <v/>
      </c>
      <c r="H4182" s="207">
        <f>IF(OR(nr_SeasonOn="OFF",re_srow=0,re_ssum=0),1,12*INDEX(se_block,re_srow,$E4182)/re_ssum)</f>
        <v/>
      </c>
      <c r="I4182" s="208">
        <f>EXP(SUMPRODUCT(($U$3806:$U$4045&lt;$B4182)*(rl_key=nr_SelKey)*$Y$3806:$Y$4045))</f>
        <v/>
      </c>
      <c r="J4182" s="208">
        <f>EXP(SUMPRODUCT(($U$3806:$U$4045&lt;=$C4182)*(rl_key=nr_SelKey)*$Y$3806:$Y$4045))</f>
        <v/>
      </c>
      <c r="K4182" s="201">
        <f>COUNTIFS(rl_key,nr_SelKey,$U$3806:$U$4045,"&gt;="&amp;$B4182,$U$3806:$U$4045,"&lt;="&amp;$C4182)</f>
        <v/>
      </c>
      <c r="L4182" s="201">
        <f>SUMIFS($Z$3806:$Z$4045,rl_key,nr_SelKey,$V$3806:$V$4045,$B4182,$AC$3806:$AC$4045,1)</f>
        <v/>
      </c>
      <c r="M4182" s="209">
        <f>IF($K4182=0,0,MIN(1,$L4182/$D4182))</f>
        <v/>
      </c>
      <c r="N4182" s="208">
        <f>IF($K4182=0,$J4182,(1-$M4182)*$I4182+$M4182*$J4182)</f>
        <v/>
      </c>
      <c r="O4182" s="209">
        <f>IF($F4182&lt;$B$4157,$E$4157+$I$4157*($F4182-$A$4157),IF($F4182&lt;$C$4157,$F$4157+$J$4157*($F4182-$B$4157),$G$4157+$K$4157*($F4182-$C$4157)))</f>
        <v/>
      </c>
      <c r="P4182" s="208">
        <f>MIN(1,MAX(0,(nr_MEndPm1-$G4182+0.5)/nr_TermMonths))-MIN(1,MAX(0,(nr_MStartPm1-1-$G4182+0.5)/nr_TermMonths))</f>
        <v/>
      </c>
      <c r="Q4182" s="208">
        <f>MIN(1,MAX(0,(nr_MEndP-$G4182+0.5)/nr_TermMonths))-MIN(1,MAX(0,(nr_MStartP-1-$G4182+0.5)/nr_TermMonths))</f>
        <v/>
      </c>
      <c r="R4182" s="208">
        <f>MIN(1,MAX(0,(nr_MEndP1-$G4182+0.5)/nr_TermMonths))-MIN(1,MAX(0,(nr_MStartP1-1-$G4182+0.5)/nr_TermMonths))</f>
        <v/>
      </c>
      <c r="S4182" s="208">
        <f>IF(nr_NetMode,$N4182*IF(nr_ModAdjEff="ON",$O4182/nr_MInd,1),"")</f>
        <v/>
      </c>
      <c r="T4182" s="208">
        <f>IF(NOT(nr_NetMode),"",IF($G4182&lt;nr_MStartP,$S4182,$T4170*(1+IF($G4182&lt;nr_MStartP1,(nr_NetSelP+N(INDEX(sc_dnet,3))),(nr_NetSelP1+N(INDEX(sc_dnet,3)))))))</f>
        <v/>
      </c>
      <c r="U4182" s="208">
        <f>IF(nr_NetMode,$T4182,$N4182)</f>
        <v/>
      </c>
    </row>
    <row r="4183">
      <c r="A4183" s="145" t="n">
        <v>25</v>
      </c>
      <c r="B4183" s="204">
        <f>EDATE($B4182,1)</f>
        <v/>
      </c>
      <c r="C4183" s="205">
        <f>EOMONTH($B4183,0)</f>
        <v/>
      </c>
      <c r="D4183" s="201">
        <f>$C4183-$B4183+1</f>
        <v/>
      </c>
      <c r="E4183" s="201">
        <f>MONTH($B4183)</f>
        <v/>
      </c>
      <c r="F4183" s="235">
        <f>($B4183+$C4183+1)/2</f>
        <v/>
      </c>
      <c r="G4183" s="201">
        <f>YEAR($B4183)*12+MONTH($B4183)-1</f>
        <v/>
      </c>
      <c r="H4183" s="207">
        <f>IF(OR(nr_SeasonOn="OFF",re_srow=0,re_ssum=0),1,12*INDEX(se_block,re_srow,$E4183)/re_ssum)</f>
        <v/>
      </c>
      <c r="I4183" s="208">
        <f>EXP(SUMPRODUCT(($U$3806:$U$4045&lt;$B4183)*(rl_key=nr_SelKey)*$Y$3806:$Y$4045))</f>
        <v/>
      </c>
      <c r="J4183" s="208">
        <f>EXP(SUMPRODUCT(($U$3806:$U$4045&lt;=$C4183)*(rl_key=nr_SelKey)*$Y$3806:$Y$4045))</f>
        <v/>
      </c>
      <c r="K4183" s="201">
        <f>COUNTIFS(rl_key,nr_SelKey,$U$3806:$U$4045,"&gt;="&amp;$B4183,$U$3806:$U$4045,"&lt;="&amp;$C4183)</f>
        <v/>
      </c>
      <c r="L4183" s="201">
        <f>SUMIFS($Z$3806:$Z$4045,rl_key,nr_SelKey,$V$3806:$V$4045,$B4183,$AC$3806:$AC$4045,1)</f>
        <v/>
      </c>
      <c r="M4183" s="209">
        <f>IF($K4183=0,0,MIN(1,$L4183/$D4183))</f>
        <v/>
      </c>
      <c r="N4183" s="208">
        <f>IF($K4183=0,$J4183,(1-$M4183)*$I4183+$M4183*$J4183)</f>
        <v/>
      </c>
      <c r="O4183" s="209">
        <f>IF($F4183&lt;$B$4157,$E$4157+$I$4157*($F4183-$A$4157),IF($F4183&lt;$C$4157,$F$4157+$J$4157*($F4183-$B$4157),$G$4157+$K$4157*($F4183-$C$4157)))</f>
        <v/>
      </c>
      <c r="P4183" s="208">
        <f>MIN(1,MAX(0,(nr_MEndPm1-$G4183+0.5)/nr_TermMonths))-MIN(1,MAX(0,(nr_MStartPm1-1-$G4183+0.5)/nr_TermMonths))</f>
        <v/>
      </c>
      <c r="Q4183" s="208">
        <f>MIN(1,MAX(0,(nr_MEndP-$G4183+0.5)/nr_TermMonths))-MIN(1,MAX(0,(nr_MStartP-1-$G4183+0.5)/nr_TermMonths))</f>
        <v/>
      </c>
      <c r="R4183" s="208">
        <f>MIN(1,MAX(0,(nr_MEndP1-$G4183+0.5)/nr_TermMonths))-MIN(1,MAX(0,(nr_MStartP1-1-$G4183+0.5)/nr_TermMonths))</f>
        <v/>
      </c>
      <c r="S4183" s="208">
        <f>IF(nr_NetMode,$N4183*IF(nr_ModAdjEff="ON",$O4183/nr_MInd,1),"")</f>
        <v/>
      </c>
      <c r="T4183" s="208">
        <f>IF(NOT(nr_NetMode),"",IF($G4183&lt;nr_MStartP,$S4183,$T4171*(1+IF($G4183&lt;nr_MStartP1,(nr_NetSelP+N(INDEX(sc_dnet,3))),(nr_NetSelP1+N(INDEX(sc_dnet,3)))))))</f>
        <v/>
      </c>
      <c r="U4183" s="208">
        <f>IF(nr_NetMode,$T4183,$N4183)</f>
        <v/>
      </c>
    </row>
    <row r="4184">
      <c r="A4184" s="145" t="n">
        <v>26</v>
      </c>
      <c r="B4184" s="204">
        <f>EDATE($B4183,1)</f>
        <v/>
      </c>
      <c r="C4184" s="205">
        <f>EOMONTH($B4184,0)</f>
        <v/>
      </c>
      <c r="D4184" s="201">
        <f>$C4184-$B4184+1</f>
        <v/>
      </c>
      <c r="E4184" s="201">
        <f>MONTH($B4184)</f>
        <v/>
      </c>
      <c r="F4184" s="235">
        <f>($B4184+$C4184+1)/2</f>
        <v/>
      </c>
      <c r="G4184" s="201">
        <f>YEAR($B4184)*12+MONTH($B4184)-1</f>
        <v/>
      </c>
      <c r="H4184" s="207">
        <f>IF(OR(nr_SeasonOn="OFF",re_srow=0,re_ssum=0),1,12*INDEX(se_block,re_srow,$E4184)/re_ssum)</f>
        <v/>
      </c>
      <c r="I4184" s="208">
        <f>EXP(SUMPRODUCT(($U$3806:$U$4045&lt;$B4184)*(rl_key=nr_SelKey)*$Y$3806:$Y$4045))</f>
        <v/>
      </c>
      <c r="J4184" s="208">
        <f>EXP(SUMPRODUCT(($U$3806:$U$4045&lt;=$C4184)*(rl_key=nr_SelKey)*$Y$3806:$Y$4045))</f>
        <v/>
      </c>
      <c r="K4184" s="201">
        <f>COUNTIFS(rl_key,nr_SelKey,$U$3806:$U$4045,"&gt;="&amp;$B4184,$U$3806:$U$4045,"&lt;="&amp;$C4184)</f>
        <v/>
      </c>
      <c r="L4184" s="201">
        <f>SUMIFS($Z$3806:$Z$4045,rl_key,nr_SelKey,$V$3806:$V$4045,$B4184,$AC$3806:$AC$4045,1)</f>
        <v/>
      </c>
      <c r="M4184" s="209">
        <f>IF($K4184=0,0,MIN(1,$L4184/$D4184))</f>
        <v/>
      </c>
      <c r="N4184" s="208">
        <f>IF($K4184=0,$J4184,(1-$M4184)*$I4184+$M4184*$J4184)</f>
        <v/>
      </c>
      <c r="O4184" s="209">
        <f>IF($F4184&lt;$B$4157,$E$4157+$I$4157*($F4184-$A$4157),IF($F4184&lt;$C$4157,$F$4157+$J$4157*($F4184-$B$4157),$G$4157+$K$4157*($F4184-$C$4157)))</f>
        <v/>
      </c>
      <c r="P4184" s="208">
        <f>MIN(1,MAX(0,(nr_MEndPm1-$G4184+0.5)/nr_TermMonths))-MIN(1,MAX(0,(nr_MStartPm1-1-$G4184+0.5)/nr_TermMonths))</f>
        <v/>
      </c>
      <c r="Q4184" s="208">
        <f>MIN(1,MAX(0,(nr_MEndP-$G4184+0.5)/nr_TermMonths))-MIN(1,MAX(0,(nr_MStartP-1-$G4184+0.5)/nr_TermMonths))</f>
        <v/>
      </c>
      <c r="R4184" s="208">
        <f>MIN(1,MAX(0,(nr_MEndP1-$G4184+0.5)/nr_TermMonths))-MIN(1,MAX(0,(nr_MStartP1-1-$G4184+0.5)/nr_TermMonths))</f>
        <v/>
      </c>
      <c r="S4184" s="208">
        <f>IF(nr_NetMode,$N4184*IF(nr_ModAdjEff="ON",$O4184/nr_MInd,1),"")</f>
        <v/>
      </c>
      <c r="T4184" s="208">
        <f>IF(NOT(nr_NetMode),"",IF($G4184&lt;nr_MStartP,$S4184,$T4172*(1+IF($G4184&lt;nr_MStartP1,(nr_NetSelP+N(INDEX(sc_dnet,3))),(nr_NetSelP1+N(INDEX(sc_dnet,3)))))))</f>
        <v/>
      </c>
      <c r="U4184" s="208">
        <f>IF(nr_NetMode,$T4184,$N4184)</f>
        <v/>
      </c>
    </row>
    <row r="4185">
      <c r="A4185" s="145" t="n">
        <v>27</v>
      </c>
      <c r="B4185" s="204">
        <f>EDATE($B4184,1)</f>
        <v/>
      </c>
      <c r="C4185" s="205">
        <f>EOMONTH($B4185,0)</f>
        <v/>
      </c>
      <c r="D4185" s="201">
        <f>$C4185-$B4185+1</f>
        <v/>
      </c>
      <c r="E4185" s="201">
        <f>MONTH($B4185)</f>
        <v/>
      </c>
      <c r="F4185" s="235">
        <f>($B4185+$C4185+1)/2</f>
        <v/>
      </c>
      <c r="G4185" s="201">
        <f>YEAR($B4185)*12+MONTH($B4185)-1</f>
        <v/>
      </c>
      <c r="H4185" s="207">
        <f>IF(OR(nr_SeasonOn="OFF",re_srow=0,re_ssum=0),1,12*INDEX(se_block,re_srow,$E4185)/re_ssum)</f>
        <v/>
      </c>
      <c r="I4185" s="208">
        <f>EXP(SUMPRODUCT(($U$3806:$U$4045&lt;$B4185)*(rl_key=nr_SelKey)*$Y$3806:$Y$4045))</f>
        <v/>
      </c>
      <c r="J4185" s="208">
        <f>EXP(SUMPRODUCT(($U$3806:$U$4045&lt;=$C4185)*(rl_key=nr_SelKey)*$Y$3806:$Y$4045))</f>
        <v/>
      </c>
      <c r="K4185" s="201">
        <f>COUNTIFS(rl_key,nr_SelKey,$U$3806:$U$4045,"&gt;="&amp;$B4185,$U$3806:$U$4045,"&lt;="&amp;$C4185)</f>
        <v/>
      </c>
      <c r="L4185" s="201">
        <f>SUMIFS($Z$3806:$Z$4045,rl_key,nr_SelKey,$V$3806:$V$4045,$B4185,$AC$3806:$AC$4045,1)</f>
        <v/>
      </c>
      <c r="M4185" s="209">
        <f>IF($K4185=0,0,MIN(1,$L4185/$D4185))</f>
        <v/>
      </c>
      <c r="N4185" s="208">
        <f>IF($K4185=0,$J4185,(1-$M4185)*$I4185+$M4185*$J4185)</f>
        <v/>
      </c>
      <c r="O4185" s="209">
        <f>IF($F4185&lt;$B$4157,$E$4157+$I$4157*($F4185-$A$4157),IF($F4185&lt;$C$4157,$F$4157+$J$4157*($F4185-$B$4157),$G$4157+$K$4157*($F4185-$C$4157)))</f>
        <v/>
      </c>
      <c r="P4185" s="208">
        <f>MIN(1,MAX(0,(nr_MEndPm1-$G4185+0.5)/nr_TermMonths))-MIN(1,MAX(0,(nr_MStartPm1-1-$G4185+0.5)/nr_TermMonths))</f>
        <v/>
      </c>
      <c r="Q4185" s="208">
        <f>MIN(1,MAX(0,(nr_MEndP-$G4185+0.5)/nr_TermMonths))-MIN(1,MAX(0,(nr_MStartP-1-$G4185+0.5)/nr_TermMonths))</f>
        <v/>
      </c>
      <c r="R4185" s="208">
        <f>MIN(1,MAX(0,(nr_MEndP1-$G4185+0.5)/nr_TermMonths))-MIN(1,MAX(0,(nr_MStartP1-1-$G4185+0.5)/nr_TermMonths))</f>
        <v/>
      </c>
      <c r="S4185" s="208">
        <f>IF(nr_NetMode,$N4185*IF(nr_ModAdjEff="ON",$O4185/nr_MInd,1),"")</f>
        <v/>
      </c>
      <c r="T4185" s="208">
        <f>IF(NOT(nr_NetMode),"",IF($G4185&lt;nr_MStartP,$S4185,$T4173*(1+IF($G4185&lt;nr_MStartP1,(nr_NetSelP+N(INDEX(sc_dnet,3))),(nr_NetSelP1+N(INDEX(sc_dnet,3)))))))</f>
        <v/>
      </c>
      <c r="U4185" s="208">
        <f>IF(nr_NetMode,$T4185,$N4185)</f>
        <v/>
      </c>
    </row>
    <row r="4186">
      <c r="A4186" s="145" t="n">
        <v>28</v>
      </c>
      <c r="B4186" s="204">
        <f>EDATE($B4185,1)</f>
        <v/>
      </c>
      <c r="C4186" s="205">
        <f>EOMONTH($B4186,0)</f>
        <v/>
      </c>
      <c r="D4186" s="201">
        <f>$C4186-$B4186+1</f>
        <v/>
      </c>
      <c r="E4186" s="201">
        <f>MONTH($B4186)</f>
        <v/>
      </c>
      <c r="F4186" s="235">
        <f>($B4186+$C4186+1)/2</f>
        <v/>
      </c>
      <c r="G4186" s="201">
        <f>YEAR($B4186)*12+MONTH($B4186)-1</f>
        <v/>
      </c>
      <c r="H4186" s="207">
        <f>IF(OR(nr_SeasonOn="OFF",re_srow=0,re_ssum=0),1,12*INDEX(se_block,re_srow,$E4186)/re_ssum)</f>
        <v/>
      </c>
      <c r="I4186" s="208">
        <f>EXP(SUMPRODUCT(($U$3806:$U$4045&lt;$B4186)*(rl_key=nr_SelKey)*$Y$3806:$Y$4045))</f>
        <v/>
      </c>
      <c r="J4186" s="208">
        <f>EXP(SUMPRODUCT(($U$3806:$U$4045&lt;=$C4186)*(rl_key=nr_SelKey)*$Y$3806:$Y$4045))</f>
        <v/>
      </c>
      <c r="K4186" s="201">
        <f>COUNTIFS(rl_key,nr_SelKey,$U$3806:$U$4045,"&gt;="&amp;$B4186,$U$3806:$U$4045,"&lt;="&amp;$C4186)</f>
        <v/>
      </c>
      <c r="L4186" s="201">
        <f>SUMIFS($Z$3806:$Z$4045,rl_key,nr_SelKey,$V$3806:$V$4045,$B4186,$AC$3806:$AC$4045,1)</f>
        <v/>
      </c>
      <c r="M4186" s="209">
        <f>IF($K4186=0,0,MIN(1,$L4186/$D4186))</f>
        <v/>
      </c>
      <c r="N4186" s="208">
        <f>IF($K4186=0,$J4186,(1-$M4186)*$I4186+$M4186*$J4186)</f>
        <v/>
      </c>
      <c r="O4186" s="209">
        <f>IF($F4186&lt;$B$4157,$E$4157+$I$4157*($F4186-$A$4157),IF($F4186&lt;$C$4157,$F$4157+$J$4157*($F4186-$B$4157),$G$4157+$K$4157*($F4186-$C$4157)))</f>
        <v/>
      </c>
      <c r="P4186" s="208">
        <f>MIN(1,MAX(0,(nr_MEndPm1-$G4186+0.5)/nr_TermMonths))-MIN(1,MAX(0,(nr_MStartPm1-1-$G4186+0.5)/nr_TermMonths))</f>
        <v/>
      </c>
      <c r="Q4186" s="208">
        <f>MIN(1,MAX(0,(nr_MEndP-$G4186+0.5)/nr_TermMonths))-MIN(1,MAX(0,(nr_MStartP-1-$G4186+0.5)/nr_TermMonths))</f>
        <v/>
      </c>
      <c r="R4186" s="208">
        <f>MIN(1,MAX(0,(nr_MEndP1-$G4186+0.5)/nr_TermMonths))-MIN(1,MAX(0,(nr_MStartP1-1-$G4186+0.5)/nr_TermMonths))</f>
        <v/>
      </c>
      <c r="S4186" s="208">
        <f>IF(nr_NetMode,$N4186*IF(nr_ModAdjEff="ON",$O4186/nr_MInd,1),"")</f>
        <v/>
      </c>
      <c r="T4186" s="208">
        <f>IF(NOT(nr_NetMode),"",IF($G4186&lt;nr_MStartP,$S4186,$T4174*(1+IF($G4186&lt;nr_MStartP1,(nr_NetSelP+N(INDEX(sc_dnet,3))),(nr_NetSelP1+N(INDEX(sc_dnet,3)))))))</f>
        <v/>
      </c>
      <c r="U4186" s="208">
        <f>IF(nr_NetMode,$T4186,$N4186)</f>
        <v/>
      </c>
    </row>
    <row r="4187">
      <c r="A4187" s="145" t="n">
        <v>29</v>
      </c>
      <c r="B4187" s="204">
        <f>EDATE($B4186,1)</f>
        <v/>
      </c>
      <c r="C4187" s="205">
        <f>EOMONTH($B4187,0)</f>
        <v/>
      </c>
      <c r="D4187" s="201">
        <f>$C4187-$B4187+1</f>
        <v/>
      </c>
      <c r="E4187" s="201">
        <f>MONTH($B4187)</f>
        <v/>
      </c>
      <c r="F4187" s="235">
        <f>($B4187+$C4187+1)/2</f>
        <v/>
      </c>
      <c r="G4187" s="201">
        <f>YEAR($B4187)*12+MONTH($B4187)-1</f>
        <v/>
      </c>
      <c r="H4187" s="207">
        <f>IF(OR(nr_SeasonOn="OFF",re_srow=0,re_ssum=0),1,12*INDEX(se_block,re_srow,$E4187)/re_ssum)</f>
        <v/>
      </c>
      <c r="I4187" s="208">
        <f>EXP(SUMPRODUCT(($U$3806:$U$4045&lt;$B4187)*(rl_key=nr_SelKey)*$Y$3806:$Y$4045))</f>
        <v/>
      </c>
      <c r="J4187" s="208">
        <f>EXP(SUMPRODUCT(($U$3806:$U$4045&lt;=$C4187)*(rl_key=nr_SelKey)*$Y$3806:$Y$4045))</f>
        <v/>
      </c>
      <c r="K4187" s="201">
        <f>COUNTIFS(rl_key,nr_SelKey,$U$3806:$U$4045,"&gt;="&amp;$B4187,$U$3806:$U$4045,"&lt;="&amp;$C4187)</f>
        <v/>
      </c>
      <c r="L4187" s="201">
        <f>SUMIFS($Z$3806:$Z$4045,rl_key,nr_SelKey,$V$3806:$V$4045,$B4187,$AC$3806:$AC$4045,1)</f>
        <v/>
      </c>
      <c r="M4187" s="209">
        <f>IF($K4187=0,0,MIN(1,$L4187/$D4187))</f>
        <v/>
      </c>
      <c r="N4187" s="208">
        <f>IF($K4187=0,$J4187,(1-$M4187)*$I4187+$M4187*$J4187)</f>
        <v/>
      </c>
      <c r="O4187" s="209">
        <f>IF($F4187&lt;$B$4157,$E$4157+$I$4157*($F4187-$A$4157),IF($F4187&lt;$C$4157,$F$4157+$J$4157*($F4187-$B$4157),$G$4157+$K$4157*($F4187-$C$4157)))</f>
        <v/>
      </c>
      <c r="P4187" s="208">
        <f>MIN(1,MAX(0,(nr_MEndPm1-$G4187+0.5)/nr_TermMonths))-MIN(1,MAX(0,(nr_MStartPm1-1-$G4187+0.5)/nr_TermMonths))</f>
        <v/>
      </c>
      <c r="Q4187" s="208">
        <f>MIN(1,MAX(0,(nr_MEndP-$G4187+0.5)/nr_TermMonths))-MIN(1,MAX(0,(nr_MStartP-1-$G4187+0.5)/nr_TermMonths))</f>
        <v/>
      </c>
      <c r="R4187" s="208">
        <f>MIN(1,MAX(0,(nr_MEndP1-$G4187+0.5)/nr_TermMonths))-MIN(1,MAX(0,(nr_MStartP1-1-$G4187+0.5)/nr_TermMonths))</f>
        <v/>
      </c>
      <c r="S4187" s="208">
        <f>IF(nr_NetMode,$N4187*IF(nr_ModAdjEff="ON",$O4187/nr_MInd,1),"")</f>
        <v/>
      </c>
      <c r="T4187" s="208">
        <f>IF(NOT(nr_NetMode),"",IF($G4187&lt;nr_MStartP,$S4187,$T4175*(1+IF($G4187&lt;nr_MStartP1,(nr_NetSelP+N(INDEX(sc_dnet,3))),(nr_NetSelP1+N(INDEX(sc_dnet,3)))))))</f>
        <v/>
      </c>
      <c r="U4187" s="208">
        <f>IF(nr_NetMode,$T4187,$N4187)</f>
        <v/>
      </c>
    </row>
    <row r="4188">
      <c r="A4188" s="145" t="n">
        <v>30</v>
      </c>
      <c r="B4188" s="204">
        <f>EDATE($B4187,1)</f>
        <v/>
      </c>
      <c r="C4188" s="205">
        <f>EOMONTH($B4188,0)</f>
        <v/>
      </c>
      <c r="D4188" s="201">
        <f>$C4188-$B4188+1</f>
        <v/>
      </c>
      <c r="E4188" s="201">
        <f>MONTH($B4188)</f>
        <v/>
      </c>
      <c r="F4188" s="235">
        <f>($B4188+$C4188+1)/2</f>
        <v/>
      </c>
      <c r="G4188" s="201">
        <f>YEAR($B4188)*12+MONTH($B4188)-1</f>
        <v/>
      </c>
      <c r="H4188" s="207">
        <f>IF(OR(nr_SeasonOn="OFF",re_srow=0,re_ssum=0),1,12*INDEX(se_block,re_srow,$E4188)/re_ssum)</f>
        <v/>
      </c>
      <c r="I4188" s="208">
        <f>EXP(SUMPRODUCT(($U$3806:$U$4045&lt;$B4188)*(rl_key=nr_SelKey)*$Y$3806:$Y$4045))</f>
        <v/>
      </c>
      <c r="J4188" s="208">
        <f>EXP(SUMPRODUCT(($U$3806:$U$4045&lt;=$C4188)*(rl_key=nr_SelKey)*$Y$3806:$Y$4045))</f>
        <v/>
      </c>
      <c r="K4188" s="201">
        <f>COUNTIFS(rl_key,nr_SelKey,$U$3806:$U$4045,"&gt;="&amp;$B4188,$U$3806:$U$4045,"&lt;="&amp;$C4188)</f>
        <v/>
      </c>
      <c r="L4188" s="201">
        <f>SUMIFS($Z$3806:$Z$4045,rl_key,nr_SelKey,$V$3806:$V$4045,$B4188,$AC$3806:$AC$4045,1)</f>
        <v/>
      </c>
      <c r="M4188" s="209">
        <f>IF($K4188=0,0,MIN(1,$L4188/$D4188))</f>
        <v/>
      </c>
      <c r="N4188" s="208">
        <f>IF($K4188=0,$J4188,(1-$M4188)*$I4188+$M4188*$J4188)</f>
        <v/>
      </c>
      <c r="O4188" s="209">
        <f>IF($F4188&lt;$B$4157,$E$4157+$I$4157*($F4188-$A$4157),IF($F4188&lt;$C$4157,$F$4157+$J$4157*($F4188-$B$4157),$G$4157+$K$4157*($F4188-$C$4157)))</f>
        <v/>
      </c>
      <c r="P4188" s="208">
        <f>MIN(1,MAX(0,(nr_MEndPm1-$G4188+0.5)/nr_TermMonths))-MIN(1,MAX(0,(nr_MStartPm1-1-$G4188+0.5)/nr_TermMonths))</f>
        <v/>
      </c>
      <c r="Q4188" s="208">
        <f>MIN(1,MAX(0,(nr_MEndP-$G4188+0.5)/nr_TermMonths))-MIN(1,MAX(0,(nr_MStartP-1-$G4188+0.5)/nr_TermMonths))</f>
        <v/>
      </c>
      <c r="R4188" s="208">
        <f>MIN(1,MAX(0,(nr_MEndP1-$G4188+0.5)/nr_TermMonths))-MIN(1,MAX(0,(nr_MStartP1-1-$G4188+0.5)/nr_TermMonths))</f>
        <v/>
      </c>
      <c r="S4188" s="208">
        <f>IF(nr_NetMode,$N4188*IF(nr_ModAdjEff="ON",$O4188/nr_MInd,1),"")</f>
        <v/>
      </c>
      <c r="T4188" s="208">
        <f>IF(NOT(nr_NetMode),"",IF($G4188&lt;nr_MStartP,$S4188,$T4176*(1+IF($G4188&lt;nr_MStartP1,(nr_NetSelP+N(INDEX(sc_dnet,3))),(nr_NetSelP1+N(INDEX(sc_dnet,3)))))))</f>
        <v/>
      </c>
      <c r="U4188" s="208">
        <f>IF(nr_NetMode,$T4188,$N4188)</f>
        <v/>
      </c>
    </row>
    <row r="4189">
      <c r="A4189" s="145" t="n">
        <v>31</v>
      </c>
      <c r="B4189" s="204">
        <f>EDATE($B4188,1)</f>
        <v/>
      </c>
      <c r="C4189" s="205">
        <f>EOMONTH($B4189,0)</f>
        <v/>
      </c>
      <c r="D4189" s="201">
        <f>$C4189-$B4189+1</f>
        <v/>
      </c>
      <c r="E4189" s="201">
        <f>MONTH($B4189)</f>
        <v/>
      </c>
      <c r="F4189" s="235">
        <f>($B4189+$C4189+1)/2</f>
        <v/>
      </c>
      <c r="G4189" s="201">
        <f>YEAR($B4189)*12+MONTH($B4189)-1</f>
        <v/>
      </c>
      <c r="H4189" s="207">
        <f>IF(OR(nr_SeasonOn="OFF",re_srow=0,re_ssum=0),1,12*INDEX(se_block,re_srow,$E4189)/re_ssum)</f>
        <v/>
      </c>
      <c r="I4189" s="208">
        <f>EXP(SUMPRODUCT(($U$3806:$U$4045&lt;$B4189)*(rl_key=nr_SelKey)*$Y$3806:$Y$4045))</f>
        <v/>
      </c>
      <c r="J4189" s="208">
        <f>EXP(SUMPRODUCT(($U$3806:$U$4045&lt;=$C4189)*(rl_key=nr_SelKey)*$Y$3806:$Y$4045))</f>
        <v/>
      </c>
      <c r="K4189" s="201">
        <f>COUNTIFS(rl_key,nr_SelKey,$U$3806:$U$4045,"&gt;="&amp;$B4189,$U$3806:$U$4045,"&lt;="&amp;$C4189)</f>
        <v/>
      </c>
      <c r="L4189" s="201">
        <f>SUMIFS($Z$3806:$Z$4045,rl_key,nr_SelKey,$V$3806:$V$4045,$B4189,$AC$3806:$AC$4045,1)</f>
        <v/>
      </c>
      <c r="M4189" s="209">
        <f>IF($K4189=0,0,MIN(1,$L4189/$D4189))</f>
        <v/>
      </c>
      <c r="N4189" s="208">
        <f>IF($K4189=0,$J4189,(1-$M4189)*$I4189+$M4189*$J4189)</f>
        <v/>
      </c>
      <c r="O4189" s="209">
        <f>IF($F4189&lt;$B$4157,$E$4157+$I$4157*($F4189-$A$4157),IF($F4189&lt;$C$4157,$F$4157+$J$4157*($F4189-$B$4157),$G$4157+$K$4157*($F4189-$C$4157)))</f>
        <v/>
      </c>
      <c r="P4189" s="208">
        <f>MIN(1,MAX(0,(nr_MEndPm1-$G4189+0.5)/nr_TermMonths))-MIN(1,MAX(0,(nr_MStartPm1-1-$G4189+0.5)/nr_TermMonths))</f>
        <v/>
      </c>
      <c r="Q4189" s="208">
        <f>MIN(1,MAX(0,(nr_MEndP-$G4189+0.5)/nr_TermMonths))-MIN(1,MAX(0,(nr_MStartP-1-$G4189+0.5)/nr_TermMonths))</f>
        <v/>
      </c>
      <c r="R4189" s="208">
        <f>MIN(1,MAX(0,(nr_MEndP1-$G4189+0.5)/nr_TermMonths))-MIN(1,MAX(0,(nr_MStartP1-1-$G4189+0.5)/nr_TermMonths))</f>
        <v/>
      </c>
      <c r="S4189" s="208">
        <f>IF(nr_NetMode,$N4189*IF(nr_ModAdjEff="ON",$O4189/nr_MInd,1),"")</f>
        <v/>
      </c>
      <c r="T4189" s="208">
        <f>IF(NOT(nr_NetMode),"",IF($G4189&lt;nr_MStartP,$S4189,$T4177*(1+IF($G4189&lt;nr_MStartP1,(nr_NetSelP+N(INDEX(sc_dnet,3))),(nr_NetSelP1+N(INDEX(sc_dnet,3)))))))</f>
        <v/>
      </c>
      <c r="U4189" s="208">
        <f>IF(nr_NetMode,$T4189,$N4189)</f>
        <v/>
      </c>
    </row>
    <row r="4190">
      <c r="A4190" s="145" t="n">
        <v>32</v>
      </c>
      <c r="B4190" s="204">
        <f>EDATE($B4189,1)</f>
        <v/>
      </c>
      <c r="C4190" s="205">
        <f>EOMONTH($B4190,0)</f>
        <v/>
      </c>
      <c r="D4190" s="201">
        <f>$C4190-$B4190+1</f>
        <v/>
      </c>
      <c r="E4190" s="201">
        <f>MONTH($B4190)</f>
        <v/>
      </c>
      <c r="F4190" s="235">
        <f>($B4190+$C4190+1)/2</f>
        <v/>
      </c>
      <c r="G4190" s="201">
        <f>YEAR($B4190)*12+MONTH($B4190)-1</f>
        <v/>
      </c>
      <c r="H4190" s="207">
        <f>IF(OR(nr_SeasonOn="OFF",re_srow=0,re_ssum=0),1,12*INDEX(se_block,re_srow,$E4190)/re_ssum)</f>
        <v/>
      </c>
      <c r="I4190" s="208">
        <f>EXP(SUMPRODUCT(($U$3806:$U$4045&lt;$B4190)*(rl_key=nr_SelKey)*$Y$3806:$Y$4045))</f>
        <v/>
      </c>
      <c r="J4190" s="208">
        <f>EXP(SUMPRODUCT(($U$3806:$U$4045&lt;=$C4190)*(rl_key=nr_SelKey)*$Y$3806:$Y$4045))</f>
        <v/>
      </c>
      <c r="K4190" s="201">
        <f>COUNTIFS(rl_key,nr_SelKey,$U$3806:$U$4045,"&gt;="&amp;$B4190,$U$3806:$U$4045,"&lt;="&amp;$C4190)</f>
        <v/>
      </c>
      <c r="L4190" s="201">
        <f>SUMIFS($Z$3806:$Z$4045,rl_key,nr_SelKey,$V$3806:$V$4045,$B4190,$AC$3806:$AC$4045,1)</f>
        <v/>
      </c>
      <c r="M4190" s="209">
        <f>IF($K4190=0,0,MIN(1,$L4190/$D4190))</f>
        <v/>
      </c>
      <c r="N4190" s="208">
        <f>IF($K4190=0,$J4190,(1-$M4190)*$I4190+$M4190*$J4190)</f>
        <v/>
      </c>
      <c r="O4190" s="209">
        <f>IF($F4190&lt;$B$4157,$E$4157+$I$4157*($F4190-$A$4157),IF($F4190&lt;$C$4157,$F$4157+$J$4157*($F4190-$B$4157),$G$4157+$K$4157*($F4190-$C$4157)))</f>
        <v/>
      </c>
      <c r="P4190" s="208">
        <f>MIN(1,MAX(0,(nr_MEndPm1-$G4190+0.5)/nr_TermMonths))-MIN(1,MAX(0,(nr_MStartPm1-1-$G4190+0.5)/nr_TermMonths))</f>
        <v/>
      </c>
      <c r="Q4190" s="208">
        <f>MIN(1,MAX(0,(nr_MEndP-$G4190+0.5)/nr_TermMonths))-MIN(1,MAX(0,(nr_MStartP-1-$G4190+0.5)/nr_TermMonths))</f>
        <v/>
      </c>
      <c r="R4190" s="208">
        <f>MIN(1,MAX(0,(nr_MEndP1-$G4190+0.5)/nr_TermMonths))-MIN(1,MAX(0,(nr_MStartP1-1-$G4190+0.5)/nr_TermMonths))</f>
        <v/>
      </c>
      <c r="S4190" s="208">
        <f>IF(nr_NetMode,$N4190*IF(nr_ModAdjEff="ON",$O4190/nr_MInd,1),"")</f>
        <v/>
      </c>
      <c r="T4190" s="208">
        <f>IF(NOT(nr_NetMode),"",IF($G4190&lt;nr_MStartP,$S4190,$T4178*(1+IF($G4190&lt;nr_MStartP1,(nr_NetSelP+N(INDEX(sc_dnet,3))),(nr_NetSelP1+N(INDEX(sc_dnet,3)))))))</f>
        <v/>
      </c>
      <c r="U4190" s="208">
        <f>IF(nr_NetMode,$T4190,$N4190)</f>
        <v/>
      </c>
    </row>
    <row r="4191">
      <c r="A4191" s="145" t="n">
        <v>33</v>
      </c>
      <c r="B4191" s="204">
        <f>EDATE($B4190,1)</f>
        <v/>
      </c>
      <c r="C4191" s="205">
        <f>EOMONTH($B4191,0)</f>
        <v/>
      </c>
      <c r="D4191" s="201">
        <f>$C4191-$B4191+1</f>
        <v/>
      </c>
      <c r="E4191" s="201">
        <f>MONTH($B4191)</f>
        <v/>
      </c>
      <c r="F4191" s="235">
        <f>($B4191+$C4191+1)/2</f>
        <v/>
      </c>
      <c r="G4191" s="201">
        <f>YEAR($B4191)*12+MONTH($B4191)-1</f>
        <v/>
      </c>
      <c r="H4191" s="207">
        <f>IF(OR(nr_SeasonOn="OFF",re_srow=0,re_ssum=0),1,12*INDEX(se_block,re_srow,$E4191)/re_ssum)</f>
        <v/>
      </c>
      <c r="I4191" s="208">
        <f>EXP(SUMPRODUCT(($U$3806:$U$4045&lt;$B4191)*(rl_key=nr_SelKey)*$Y$3806:$Y$4045))</f>
        <v/>
      </c>
      <c r="J4191" s="208">
        <f>EXP(SUMPRODUCT(($U$3806:$U$4045&lt;=$C4191)*(rl_key=nr_SelKey)*$Y$3806:$Y$4045))</f>
        <v/>
      </c>
      <c r="K4191" s="201">
        <f>COUNTIFS(rl_key,nr_SelKey,$U$3806:$U$4045,"&gt;="&amp;$B4191,$U$3806:$U$4045,"&lt;="&amp;$C4191)</f>
        <v/>
      </c>
      <c r="L4191" s="201">
        <f>SUMIFS($Z$3806:$Z$4045,rl_key,nr_SelKey,$V$3806:$V$4045,$B4191,$AC$3806:$AC$4045,1)</f>
        <v/>
      </c>
      <c r="M4191" s="209">
        <f>IF($K4191=0,0,MIN(1,$L4191/$D4191))</f>
        <v/>
      </c>
      <c r="N4191" s="208">
        <f>IF($K4191=0,$J4191,(1-$M4191)*$I4191+$M4191*$J4191)</f>
        <v/>
      </c>
      <c r="O4191" s="209">
        <f>IF($F4191&lt;$B$4157,$E$4157+$I$4157*($F4191-$A$4157),IF($F4191&lt;$C$4157,$F$4157+$J$4157*($F4191-$B$4157),$G$4157+$K$4157*($F4191-$C$4157)))</f>
        <v/>
      </c>
      <c r="P4191" s="208">
        <f>MIN(1,MAX(0,(nr_MEndPm1-$G4191+0.5)/nr_TermMonths))-MIN(1,MAX(0,(nr_MStartPm1-1-$G4191+0.5)/nr_TermMonths))</f>
        <v/>
      </c>
      <c r="Q4191" s="208">
        <f>MIN(1,MAX(0,(nr_MEndP-$G4191+0.5)/nr_TermMonths))-MIN(1,MAX(0,(nr_MStartP-1-$G4191+0.5)/nr_TermMonths))</f>
        <v/>
      </c>
      <c r="R4191" s="208">
        <f>MIN(1,MAX(0,(nr_MEndP1-$G4191+0.5)/nr_TermMonths))-MIN(1,MAX(0,(nr_MStartP1-1-$G4191+0.5)/nr_TermMonths))</f>
        <v/>
      </c>
      <c r="S4191" s="208">
        <f>IF(nr_NetMode,$N4191*IF(nr_ModAdjEff="ON",$O4191/nr_MInd,1),"")</f>
        <v/>
      </c>
      <c r="T4191" s="208">
        <f>IF(NOT(nr_NetMode),"",IF($G4191&lt;nr_MStartP,$S4191,$T4179*(1+IF($G4191&lt;nr_MStartP1,(nr_NetSelP+N(INDEX(sc_dnet,3))),(nr_NetSelP1+N(INDEX(sc_dnet,3)))))))</f>
        <v/>
      </c>
      <c r="U4191" s="208">
        <f>IF(nr_NetMode,$T4191,$N4191)</f>
        <v/>
      </c>
    </row>
    <row r="4192">
      <c r="A4192" s="145" t="n">
        <v>34</v>
      </c>
      <c r="B4192" s="204">
        <f>EDATE($B4191,1)</f>
        <v/>
      </c>
      <c r="C4192" s="205">
        <f>EOMONTH($B4192,0)</f>
        <v/>
      </c>
      <c r="D4192" s="201">
        <f>$C4192-$B4192+1</f>
        <v/>
      </c>
      <c r="E4192" s="201">
        <f>MONTH($B4192)</f>
        <v/>
      </c>
      <c r="F4192" s="235">
        <f>($B4192+$C4192+1)/2</f>
        <v/>
      </c>
      <c r="G4192" s="201">
        <f>YEAR($B4192)*12+MONTH($B4192)-1</f>
        <v/>
      </c>
      <c r="H4192" s="207">
        <f>IF(OR(nr_SeasonOn="OFF",re_srow=0,re_ssum=0),1,12*INDEX(se_block,re_srow,$E4192)/re_ssum)</f>
        <v/>
      </c>
      <c r="I4192" s="208">
        <f>EXP(SUMPRODUCT(($U$3806:$U$4045&lt;$B4192)*(rl_key=nr_SelKey)*$Y$3806:$Y$4045))</f>
        <v/>
      </c>
      <c r="J4192" s="208">
        <f>EXP(SUMPRODUCT(($U$3806:$U$4045&lt;=$C4192)*(rl_key=nr_SelKey)*$Y$3806:$Y$4045))</f>
        <v/>
      </c>
      <c r="K4192" s="201">
        <f>COUNTIFS(rl_key,nr_SelKey,$U$3806:$U$4045,"&gt;="&amp;$B4192,$U$3806:$U$4045,"&lt;="&amp;$C4192)</f>
        <v/>
      </c>
      <c r="L4192" s="201">
        <f>SUMIFS($Z$3806:$Z$4045,rl_key,nr_SelKey,$V$3806:$V$4045,$B4192,$AC$3806:$AC$4045,1)</f>
        <v/>
      </c>
      <c r="M4192" s="209">
        <f>IF($K4192=0,0,MIN(1,$L4192/$D4192))</f>
        <v/>
      </c>
      <c r="N4192" s="208">
        <f>IF($K4192=0,$J4192,(1-$M4192)*$I4192+$M4192*$J4192)</f>
        <v/>
      </c>
      <c r="O4192" s="209">
        <f>IF($F4192&lt;$B$4157,$E$4157+$I$4157*($F4192-$A$4157),IF($F4192&lt;$C$4157,$F$4157+$J$4157*($F4192-$B$4157),$G$4157+$K$4157*($F4192-$C$4157)))</f>
        <v/>
      </c>
      <c r="P4192" s="208">
        <f>MIN(1,MAX(0,(nr_MEndPm1-$G4192+0.5)/nr_TermMonths))-MIN(1,MAX(0,(nr_MStartPm1-1-$G4192+0.5)/nr_TermMonths))</f>
        <v/>
      </c>
      <c r="Q4192" s="208">
        <f>MIN(1,MAX(0,(nr_MEndP-$G4192+0.5)/nr_TermMonths))-MIN(1,MAX(0,(nr_MStartP-1-$G4192+0.5)/nr_TermMonths))</f>
        <v/>
      </c>
      <c r="R4192" s="208">
        <f>MIN(1,MAX(0,(nr_MEndP1-$G4192+0.5)/nr_TermMonths))-MIN(1,MAX(0,(nr_MStartP1-1-$G4192+0.5)/nr_TermMonths))</f>
        <v/>
      </c>
      <c r="S4192" s="208">
        <f>IF(nr_NetMode,$N4192*IF(nr_ModAdjEff="ON",$O4192/nr_MInd,1),"")</f>
        <v/>
      </c>
      <c r="T4192" s="208">
        <f>IF(NOT(nr_NetMode),"",IF($G4192&lt;nr_MStartP,$S4192,$T4180*(1+IF($G4192&lt;nr_MStartP1,(nr_NetSelP+N(INDEX(sc_dnet,3))),(nr_NetSelP1+N(INDEX(sc_dnet,3)))))))</f>
        <v/>
      </c>
      <c r="U4192" s="208">
        <f>IF(nr_NetMode,$T4192,$N4192)</f>
        <v/>
      </c>
    </row>
    <row r="4193">
      <c r="A4193" s="145" t="n">
        <v>35</v>
      </c>
      <c r="B4193" s="204">
        <f>EDATE($B4192,1)</f>
        <v/>
      </c>
      <c r="C4193" s="205">
        <f>EOMONTH($B4193,0)</f>
        <v/>
      </c>
      <c r="D4193" s="201">
        <f>$C4193-$B4193+1</f>
        <v/>
      </c>
      <c r="E4193" s="201">
        <f>MONTH($B4193)</f>
        <v/>
      </c>
      <c r="F4193" s="235">
        <f>($B4193+$C4193+1)/2</f>
        <v/>
      </c>
      <c r="G4193" s="201">
        <f>YEAR($B4193)*12+MONTH($B4193)-1</f>
        <v/>
      </c>
      <c r="H4193" s="207">
        <f>IF(OR(nr_SeasonOn="OFF",re_srow=0,re_ssum=0),1,12*INDEX(se_block,re_srow,$E4193)/re_ssum)</f>
        <v/>
      </c>
      <c r="I4193" s="208">
        <f>EXP(SUMPRODUCT(($U$3806:$U$4045&lt;$B4193)*(rl_key=nr_SelKey)*$Y$3806:$Y$4045))</f>
        <v/>
      </c>
      <c r="J4193" s="208">
        <f>EXP(SUMPRODUCT(($U$3806:$U$4045&lt;=$C4193)*(rl_key=nr_SelKey)*$Y$3806:$Y$4045))</f>
        <v/>
      </c>
      <c r="K4193" s="201">
        <f>COUNTIFS(rl_key,nr_SelKey,$U$3806:$U$4045,"&gt;="&amp;$B4193,$U$3806:$U$4045,"&lt;="&amp;$C4193)</f>
        <v/>
      </c>
      <c r="L4193" s="201">
        <f>SUMIFS($Z$3806:$Z$4045,rl_key,nr_SelKey,$V$3806:$V$4045,$B4193,$AC$3806:$AC$4045,1)</f>
        <v/>
      </c>
      <c r="M4193" s="209">
        <f>IF($K4193=0,0,MIN(1,$L4193/$D4193))</f>
        <v/>
      </c>
      <c r="N4193" s="208">
        <f>IF($K4193=0,$J4193,(1-$M4193)*$I4193+$M4193*$J4193)</f>
        <v/>
      </c>
      <c r="O4193" s="209">
        <f>IF($F4193&lt;$B$4157,$E$4157+$I$4157*($F4193-$A$4157),IF($F4193&lt;$C$4157,$F$4157+$J$4157*($F4193-$B$4157),$G$4157+$K$4157*($F4193-$C$4157)))</f>
        <v/>
      </c>
      <c r="P4193" s="208">
        <f>MIN(1,MAX(0,(nr_MEndPm1-$G4193+0.5)/nr_TermMonths))-MIN(1,MAX(0,(nr_MStartPm1-1-$G4193+0.5)/nr_TermMonths))</f>
        <v/>
      </c>
      <c r="Q4193" s="208">
        <f>MIN(1,MAX(0,(nr_MEndP-$G4193+0.5)/nr_TermMonths))-MIN(1,MAX(0,(nr_MStartP-1-$G4193+0.5)/nr_TermMonths))</f>
        <v/>
      </c>
      <c r="R4193" s="208">
        <f>MIN(1,MAX(0,(nr_MEndP1-$G4193+0.5)/nr_TermMonths))-MIN(1,MAX(0,(nr_MStartP1-1-$G4193+0.5)/nr_TermMonths))</f>
        <v/>
      </c>
      <c r="S4193" s="208">
        <f>IF(nr_NetMode,$N4193*IF(nr_ModAdjEff="ON",$O4193/nr_MInd,1),"")</f>
        <v/>
      </c>
      <c r="T4193" s="208">
        <f>IF(NOT(nr_NetMode),"",IF($G4193&lt;nr_MStartP,$S4193,$T4181*(1+IF($G4193&lt;nr_MStartP1,(nr_NetSelP+N(INDEX(sc_dnet,3))),(nr_NetSelP1+N(INDEX(sc_dnet,3)))))))</f>
        <v/>
      </c>
      <c r="U4193" s="208">
        <f>IF(nr_NetMode,$T4193,$N4193)</f>
        <v/>
      </c>
    </row>
    <row r="4194">
      <c r="A4194" s="145" t="n">
        <v>36</v>
      </c>
      <c r="B4194" s="204">
        <f>EDATE($B4193,1)</f>
        <v/>
      </c>
      <c r="C4194" s="205">
        <f>EOMONTH($B4194,0)</f>
        <v/>
      </c>
      <c r="D4194" s="201">
        <f>$C4194-$B4194+1</f>
        <v/>
      </c>
      <c r="E4194" s="201">
        <f>MONTH($B4194)</f>
        <v/>
      </c>
      <c r="F4194" s="235">
        <f>($B4194+$C4194+1)/2</f>
        <v/>
      </c>
      <c r="G4194" s="201">
        <f>YEAR($B4194)*12+MONTH($B4194)-1</f>
        <v/>
      </c>
      <c r="H4194" s="207">
        <f>IF(OR(nr_SeasonOn="OFF",re_srow=0,re_ssum=0),1,12*INDEX(se_block,re_srow,$E4194)/re_ssum)</f>
        <v/>
      </c>
      <c r="I4194" s="208">
        <f>EXP(SUMPRODUCT(($U$3806:$U$4045&lt;$B4194)*(rl_key=nr_SelKey)*$Y$3806:$Y$4045))</f>
        <v/>
      </c>
      <c r="J4194" s="208">
        <f>EXP(SUMPRODUCT(($U$3806:$U$4045&lt;=$C4194)*(rl_key=nr_SelKey)*$Y$3806:$Y$4045))</f>
        <v/>
      </c>
      <c r="K4194" s="201">
        <f>COUNTIFS(rl_key,nr_SelKey,$U$3806:$U$4045,"&gt;="&amp;$B4194,$U$3806:$U$4045,"&lt;="&amp;$C4194)</f>
        <v/>
      </c>
      <c r="L4194" s="201">
        <f>SUMIFS($Z$3806:$Z$4045,rl_key,nr_SelKey,$V$3806:$V$4045,$B4194,$AC$3806:$AC$4045,1)</f>
        <v/>
      </c>
      <c r="M4194" s="209">
        <f>IF($K4194=0,0,MIN(1,$L4194/$D4194))</f>
        <v/>
      </c>
      <c r="N4194" s="208">
        <f>IF($K4194=0,$J4194,(1-$M4194)*$I4194+$M4194*$J4194)</f>
        <v/>
      </c>
      <c r="O4194" s="209">
        <f>IF($F4194&lt;$B$4157,$E$4157+$I$4157*($F4194-$A$4157),IF($F4194&lt;$C$4157,$F$4157+$J$4157*($F4194-$B$4157),$G$4157+$K$4157*($F4194-$C$4157)))</f>
        <v/>
      </c>
      <c r="P4194" s="208">
        <f>MIN(1,MAX(0,(nr_MEndPm1-$G4194+0.5)/nr_TermMonths))-MIN(1,MAX(0,(nr_MStartPm1-1-$G4194+0.5)/nr_TermMonths))</f>
        <v/>
      </c>
      <c r="Q4194" s="208">
        <f>MIN(1,MAX(0,(nr_MEndP-$G4194+0.5)/nr_TermMonths))-MIN(1,MAX(0,(nr_MStartP-1-$G4194+0.5)/nr_TermMonths))</f>
        <v/>
      </c>
      <c r="R4194" s="208">
        <f>MIN(1,MAX(0,(nr_MEndP1-$G4194+0.5)/nr_TermMonths))-MIN(1,MAX(0,(nr_MStartP1-1-$G4194+0.5)/nr_TermMonths))</f>
        <v/>
      </c>
      <c r="S4194" s="208">
        <f>IF(nr_NetMode,$N4194*IF(nr_ModAdjEff="ON",$O4194/nr_MInd,1),"")</f>
        <v/>
      </c>
      <c r="T4194" s="208">
        <f>IF(NOT(nr_NetMode),"",IF($G4194&lt;nr_MStartP,$S4194,$T4182*(1+IF($G4194&lt;nr_MStartP1,(nr_NetSelP+N(INDEX(sc_dnet,3))),(nr_NetSelP1+N(INDEX(sc_dnet,3)))))))</f>
        <v/>
      </c>
      <c r="U4194" s="208">
        <f>IF(nr_NetMode,$T4194,$N4194)</f>
        <v/>
      </c>
    </row>
    <row r="4195">
      <c r="A4195" s="145" t="n">
        <v>37</v>
      </c>
      <c r="B4195" s="204">
        <f>EDATE($B4194,1)</f>
        <v/>
      </c>
      <c r="C4195" s="205">
        <f>EOMONTH($B4195,0)</f>
        <v/>
      </c>
      <c r="D4195" s="201">
        <f>$C4195-$B4195+1</f>
        <v/>
      </c>
      <c r="E4195" s="201">
        <f>MONTH($B4195)</f>
        <v/>
      </c>
      <c r="F4195" s="235">
        <f>($B4195+$C4195+1)/2</f>
        <v/>
      </c>
      <c r="G4195" s="201">
        <f>YEAR($B4195)*12+MONTH($B4195)-1</f>
        <v/>
      </c>
      <c r="H4195" s="207">
        <f>IF(OR(nr_SeasonOn="OFF",re_srow=0,re_ssum=0),1,12*INDEX(se_block,re_srow,$E4195)/re_ssum)</f>
        <v/>
      </c>
      <c r="I4195" s="208">
        <f>EXP(SUMPRODUCT(($U$3806:$U$4045&lt;$B4195)*(rl_key=nr_SelKey)*$Y$3806:$Y$4045))</f>
        <v/>
      </c>
      <c r="J4195" s="208">
        <f>EXP(SUMPRODUCT(($U$3806:$U$4045&lt;=$C4195)*(rl_key=nr_SelKey)*$Y$3806:$Y$4045))</f>
        <v/>
      </c>
      <c r="K4195" s="201">
        <f>COUNTIFS(rl_key,nr_SelKey,$U$3806:$U$4045,"&gt;="&amp;$B4195,$U$3806:$U$4045,"&lt;="&amp;$C4195)</f>
        <v/>
      </c>
      <c r="L4195" s="201">
        <f>SUMIFS($Z$3806:$Z$4045,rl_key,nr_SelKey,$V$3806:$V$4045,$B4195,$AC$3806:$AC$4045,1)</f>
        <v/>
      </c>
      <c r="M4195" s="209">
        <f>IF($K4195=0,0,MIN(1,$L4195/$D4195))</f>
        <v/>
      </c>
      <c r="N4195" s="208">
        <f>IF($K4195=0,$J4195,(1-$M4195)*$I4195+$M4195*$J4195)</f>
        <v/>
      </c>
      <c r="O4195" s="209">
        <f>IF($F4195&lt;$B$4157,$E$4157+$I$4157*($F4195-$A$4157),IF($F4195&lt;$C$4157,$F$4157+$J$4157*($F4195-$B$4157),$G$4157+$K$4157*($F4195-$C$4157)))</f>
        <v/>
      </c>
      <c r="P4195" s="208">
        <f>MIN(1,MAX(0,(nr_MEndPm1-$G4195+0.5)/nr_TermMonths))-MIN(1,MAX(0,(nr_MStartPm1-1-$G4195+0.5)/nr_TermMonths))</f>
        <v/>
      </c>
      <c r="Q4195" s="208">
        <f>MIN(1,MAX(0,(nr_MEndP-$G4195+0.5)/nr_TermMonths))-MIN(1,MAX(0,(nr_MStartP-1-$G4195+0.5)/nr_TermMonths))</f>
        <v/>
      </c>
      <c r="R4195" s="208">
        <f>MIN(1,MAX(0,(nr_MEndP1-$G4195+0.5)/nr_TermMonths))-MIN(1,MAX(0,(nr_MStartP1-1-$G4195+0.5)/nr_TermMonths))</f>
        <v/>
      </c>
      <c r="S4195" s="208">
        <f>IF(nr_NetMode,$N4195*IF(nr_ModAdjEff="ON",$O4195/nr_MInd,1),"")</f>
        <v/>
      </c>
      <c r="T4195" s="208">
        <f>IF(NOT(nr_NetMode),"",IF($G4195&lt;nr_MStartP,$S4195,$T4183*(1+IF($G4195&lt;nr_MStartP1,(nr_NetSelP+N(INDEX(sc_dnet,3))),(nr_NetSelP1+N(INDEX(sc_dnet,3)))))))</f>
        <v/>
      </c>
      <c r="U4195" s="208">
        <f>IF(nr_NetMode,$T4195,$N4195)</f>
        <v/>
      </c>
    </row>
    <row r="4196">
      <c r="A4196" s="145" t="n">
        <v>38</v>
      </c>
      <c r="B4196" s="204">
        <f>EDATE($B4195,1)</f>
        <v/>
      </c>
      <c r="C4196" s="205">
        <f>EOMONTH($B4196,0)</f>
        <v/>
      </c>
      <c r="D4196" s="201">
        <f>$C4196-$B4196+1</f>
        <v/>
      </c>
      <c r="E4196" s="201">
        <f>MONTH($B4196)</f>
        <v/>
      </c>
      <c r="F4196" s="235">
        <f>($B4196+$C4196+1)/2</f>
        <v/>
      </c>
      <c r="G4196" s="201">
        <f>YEAR($B4196)*12+MONTH($B4196)-1</f>
        <v/>
      </c>
      <c r="H4196" s="207">
        <f>IF(OR(nr_SeasonOn="OFF",re_srow=0,re_ssum=0),1,12*INDEX(se_block,re_srow,$E4196)/re_ssum)</f>
        <v/>
      </c>
      <c r="I4196" s="208">
        <f>EXP(SUMPRODUCT(($U$3806:$U$4045&lt;$B4196)*(rl_key=nr_SelKey)*$Y$3806:$Y$4045))</f>
        <v/>
      </c>
      <c r="J4196" s="208">
        <f>EXP(SUMPRODUCT(($U$3806:$U$4045&lt;=$C4196)*(rl_key=nr_SelKey)*$Y$3806:$Y$4045))</f>
        <v/>
      </c>
      <c r="K4196" s="201">
        <f>COUNTIFS(rl_key,nr_SelKey,$U$3806:$U$4045,"&gt;="&amp;$B4196,$U$3806:$U$4045,"&lt;="&amp;$C4196)</f>
        <v/>
      </c>
      <c r="L4196" s="201">
        <f>SUMIFS($Z$3806:$Z$4045,rl_key,nr_SelKey,$V$3806:$V$4045,$B4196,$AC$3806:$AC$4045,1)</f>
        <v/>
      </c>
      <c r="M4196" s="209">
        <f>IF($K4196=0,0,MIN(1,$L4196/$D4196))</f>
        <v/>
      </c>
      <c r="N4196" s="208">
        <f>IF($K4196=0,$J4196,(1-$M4196)*$I4196+$M4196*$J4196)</f>
        <v/>
      </c>
      <c r="O4196" s="209">
        <f>IF($F4196&lt;$B$4157,$E$4157+$I$4157*($F4196-$A$4157),IF($F4196&lt;$C$4157,$F$4157+$J$4157*($F4196-$B$4157),$G$4157+$K$4157*($F4196-$C$4157)))</f>
        <v/>
      </c>
      <c r="P4196" s="208">
        <f>MIN(1,MAX(0,(nr_MEndPm1-$G4196+0.5)/nr_TermMonths))-MIN(1,MAX(0,(nr_MStartPm1-1-$G4196+0.5)/nr_TermMonths))</f>
        <v/>
      </c>
      <c r="Q4196" s="208">
        <f>MIN(1,MAX(0,(nr_MEndP-$G4196+0.5)/nr_TermMonths))-MIN(1,MAX(0,(nr_MStartP-1-$G4196+0.5)/nr_TermMonths))</f>
        <v/>
      </c>
      <c r="R4196" s="208">
        <f>MIN(1,MAX(0,(nr_MEndP1-$G4196+0.5)/nr_TermMonths))-MIN(1,MAX(0,(nr_MStartP1-1-$G4196+0.5)/nr_TermMonths))</f>
        <v/>
      </c>
      <c r="S4196" s="208">
        <f>IF(nr_NetMode,$N4196*IF(nr_ModAdjEff="ON",$O4196/nr_MInd,1),"")</f>
        <v/>
      </c>
      <c r="T4196" s="208">
        <f>IF(NOT(nr_NetMode),"",IF($G4196&lt;nr_MStartP,$S4196,$T4184*(1+IF($G4196&lt;nr_MStartP1,(nr_NetSelP+N(INDEX(sc_dnet,3))),(nr_NetSelP1+N(INDEX(sc_dnet,3)))))))</f>
        <v/>
      </c>
      <c r="U4196" s="208">
        <f>IF(nr_NetMode,$T4196,$N4196)</f>
        <v/>
      </c>
    </row>
    <row r="4197">
      <c r="A4197" s="145" t="n">
        <v>39</v>
      </c>
      <c r="B4197" s="204">
        <f>EDATE($B4196,1)</f>
        <v/>
      </c>
      <c r="C4197" s="205">
        <f>EOMONTH($B4197,0)</f>
        <v/>
      </c>
      <c r="D4197" s="201">
        <f>$C4197-$B4197+1</f>
        <v/>
      </c>
      <c r="E4197" s="201">
        <f>MONTH($B4197)</f>
        <v/>
      </c>
      <c r="F4197" s="235">
        <f>($B4197+$C4197+1)/2</f>
        <v/>
      </c>
      <c r="G4197" s="201">
        <f>YEAR($B4197)*12+MONTH($B4197)-1</f>
        <v/>
      </c>
      <c r="H4197" s="207">
        <f>IF(OR(nr_SeasonOn="OFF",re_srow=0,re_ssum=0),1,12*INDEX(se_block,re_srow,$E4197)/re_ssum)</f>
        <v/>
      </c>
      <c r="I4197" s="208">
        <f>EXP(SUMPRODUCT(($U$3806:$U$4045&lt;$B4197)*(rl_key=nr_SelKey)*$Y$3806:$Y$4045))</f>
        <v/>
      </c>
      <c r="J4197" s="208">
        <f>EXP(SUMPRODUCT(($U$3806:$U$4045&lt;=$C4197)*(rl_key=nr_SelKey)*$Y$3806:$Y$4045))</f>
        <v/>
      </c>
      <c r="K4197" s="201">
        <f>COUNTIFS(rl_key,nr_SelKey,$U$3806:$U$4045,"&gt;="&amp;$B4197,$U$3806:$U$4045,"&lt;="&amp;$C4197)</f>
        <v/>
      </c>
      <c r="L4197" s="201">
        <f>SUMIFS($Z$3806:$Z$4045,rl_key,nr_SelKey,$V$3806:$V$4045,$B4197,$AC$3806:$AC$4045,1)</f>
        <v/>
      </c>
      <c r="M4197" s="209">
        <f>IF($K4197=0,0,MIN(1,$L4197/$D4197))</f>
        <v/>
      </c>
      <c r="N4197" s="208">
        <f>IF($K4197=0,$J4197,(1-$M4197)*$I4197+$M4197*$J4197)</f>
        <v/>
      </c>
      <c r="O4197" s="209">
        <f>IF($F4197&lt;$B$4157,$E$4157+$I$4157*($F4197-$A$4157),IF($F4197&lt;$C$4157,$F$4157+$J$4157*($F4197-$B$4157),$G$4157+$K$4157*($F4197-$C$4157)))</f>
        <v/>
      </c>
      <c r="P4197" s="208">
        <f>MIN(1,MAX(0,(nr_MEndPm1-$G4197+0.5)/nr_TermMonths))-MIN(1,MAX(0,(nr_MStartPm1-1-$G4197+0.5)/nr_TermMonths))</f>
        <v/>
      </c>
      <c r="Q4197" s="208">
        <f>MIN(1,MAX(0,(nr_MEndP-$G4197+0.5)/nr_TermMonths))-MIN(1,MAX(0,(nr_MStartP-1-$G4197+0.5)/nr_TermMonths))</f>
        <v/>
      </c>
      <c r="R4197" s="208">
        <f>MIN(1,MAX(0,(nr_MEndP1-$G4197+0.5)/nr_TermMonths))-MIN(1,MAX(0,(nr_MStartP1-1-$G4197+0.5)/nr_TermMonths))</f>
        <v/>
      </c>
      <c r="S4197" s="208">
        <f>IF(nr_NetMode,$N4197*IF(nr_ModAdjEff="ON",$O4197/nr_MInd,1),"")</f>
        <v/>
      </c>
      <c r="T4197" s="208">
        <f>IF(NOT(nr_NetMode),"",IF($G4197&lt;nr_MStartP,$S4197,$T4185*(1+IF($G4197&lt;nr_MStartP1,(nr_NetSelP+N(INDEX(sc_dnet,3))),(nr_NetSelP1+N(INDEX(sc_dnet,3)))))))</f>
        <v/>
      </c>
      <c r="U4197" s="208">
        <f>IF(nr_NetMode,$T4197,$N4197)</f>
        <v/>
      </c>
    </row>
    <row r="4198">
      <c r="A4198" s="145" t="n">
        <v>40</v>
      </c>
      <c r="B4198" s="204">
        <f>EDATE($B4197,1)</f>
        <v/>
      </c>
      <c r="C4198" s="205">
        <f>EOMONTH($B4198,0)</f>
        <v/>
      </c>
      <c r="D4198" s="201">
        <f>$C4198-$B4198+1</f>
        <v/>
      </c>
      <c r="E4198" s="201">
        <f>MONTH($B4198)</f>
        <v/>
      </c>
      <c r="F4198" s="235">
        <f>($B4198+$C4198+1)/2</f>
        <v/>
      </c>
      <c r="G4198" s="201">
        <f>YEAR($B4198)*12+MONTH($B4198)-1</f>
        <v/>
      </c>
      <c r="H4198" s="207">
        <f>IF(OR(nr_SeasonOn="OFF",re_srow=0,re_ssum=0),1,12*INDEX(se_block,re_srow,$E4198)/re_ssum)</f>
        <v/>
      </c>
      <c r="I4198" s="208">
        <f>EXP(SUMPRODUCT(($U$3806:$U$4045&lt;$B4198)*(rl_key=nr_SelKey)*$Y$3806:$Y$4045))</f>
        <v/>
      </c>
      <c r="J4198" s="208">
        <f>EXP(SUMPRODUCT(($U$3806:$U$4045&lt;=$C4198)*(rl_key=nr_SelKey)*$Y$3806:$Y$4045))</f>
        <v/>
      </c>
      <c r="K4198" s="201">
        <f>COUNTIFS(rl_key,nr_SelKey,$U$3806:$U$4045,"&gt;="&amp;$B4198,$U$3806:$U$4045,"&lt;="&amp;$C4198)</f>
        <v/>
      </c>
      <c r="L4198" s="201">
        <f>SUMIFS($Z$3806:$Z$4045,rl_key,nr_SelKey,$V$3806:$V$4045,$B4198,$AC$3806:$AC$4045,1)</f>
        <v/>
      </c>
      <c r="M4198" s="209">
        <f>IF($K4198=0,0,MIN(1,$L4198/$D4198))</f>
        <v/>
      </c>
      <c r="N4198" s="208">
        <f>IF($K4198=0,$J4198,(1-$M4198)*$I4198+$M4198*$J4198)</f>
        <v/>
      </c>
      <c r="O4198" s="209">
        <f>IF($F4198&lt;$B$4157,$E$4157+$I$4157*($F4198-$A$4157),IF($F4198&lt;$C$4157,$F$4157+$J$4157*($F4198-$B$4157),$G$4157+$K$4157*($F4198-$C$4157)))</f>
        <v/>
      </c>
      <c r="P4198" s="208">
        <f>MIN(1,MAX(0,(nr_MEndPm1-$G4198+0.5)/nr_TermMonths))-MIN(1,MAX(0,(nr_MStartPm1-1-$G4198+0.5)/nr_TermMonths))</f>
        <v/>
      </c>
      <c r="Q4198" s="208">
        <f>MIN(1,MAX(0,(nr_MEndP-$G4198+0.5)/nr_TermMonths))-MIN(1,MAX(0,(nr_MStartP-1-$G4198+0.5)/nr_TermMonths))</f>
        <v/>
      </c>
      <c r="R4198" s="208">
        <f>MIN(1,MAX(0,(nr_MEndP1-$G4198+0.5)/nr_TermMonths))-MIN(1,MAX(0,(nr_MStartP1-1-$G4198+0.5)/nr_TermMonths))</f>
        <v/>
      </c>
      <c r="S4198" s="208">
        <f>IF(nr_NetMode,$N4198*IF(nr_ModAdjEff="ON",$O4198/nr_MInd,1),"")</f>
        <v/>
      </c>
      <c r="T4198" s="208">
        <f>IF(NOT(nr_NetMode),"",IF($G4198&lt;nr_MStartP,$S4198,$T4186*(1+IF($G4198&lt;nr_MStartP1,(nr_NetSelP+N(INDEX(sc_dnet,3))),(nr_NetSelP1+N(INDEX(sc_dnet,3)))))))</f>
        <v/>
      </c>
      <c r="U4198" s="208">
        <f>IF(nr_NetMode,$T4198,$N4198)</f>
        <v/>
      </c>
    </row>
    <row r="4199">
      <c r="A4199" s="145" t="n">
        <v>41</v>
      </c>
      <c r="B4199" s="204">
        <f>EDATE($B4198,1)</f>
        <v/>
      </c>
      <c r="C4199" s="205">
        <f>EOMONTH($B4199,0)</f>
        <v/>
      </c>
      <c r="D4199" s="201">
        <f>$C4199-$B4199+1</f>
        <v/>
      </c>
      <c r="E4199" s="201">
        <f>MONTH($B4199)</f>
        <v/>
      </c>
      <c r="F4199" s="235">
        <f>($B4199+$C4199+1)/2</f>
        <v/>
      </c>
      <c r="G4199" s="201">
        <f>YEAR($B4199)*12+MONTH($B4199)-1</f>
        <v/>
      </c>
      <c r="H4199" s="207">
        <f>IF(OR(nr_SeasonOn="OFF",re_srow=0,re_ssum=0),1,12*INDEX(se_block,re_srow,$E4199)/re_ssum)</f>
        <v/>
      </c>
      <c r="I4199" s="208">
        <f>EXP(SUMPRODUCT(($U$3806:$U$4045&lt;$B4199)*(rl_key=nr_SelKey)*$Y$3806:$Y$4045))</f>
        <v/>
      </c>
      <c r="J4199" s="208">
        <f>EXP(SUMPRODUCT(($U$3806:$U$4045&lt;=$C4199)*(rl_key=nr_SelKey)*$Y$3806:$Y$4045))</f>
        <v/>
      </c>
      <c r="K4199" s="201">
        <f>COUNTIFS(rl_key,nr_SelKey,$U$3806:$U$4045,"&gt;="&amp;$B4199,$U$3806:$U$4045,"&lt;="&amp;$C4199)</f>
        <v/>
      </c>
      <c r="L4199" s="201">
        <f>SUMIFS($Z$3806:$Z$4045,rl_key,nr_SelKey,$V$3806:$V$4045,$B4199,$AC$3806:$AC$4045,1)</f>
        <v/>
      </c>
      <c r="M4199" s="209">
        <f>IF($K4199=0,0,MIN(1,$L4199/$D4199))</f>
        <v/>
      </c>
      <c r="N4199" s="208">
        <f>IF($K4199=0,$J4199,(1-$M4199)*$I4199+$M4199*$J4199)</f>
        <v/>
      </c>
      <c r="O4199" s="209">
        <f>IF($F4199&lt;$B$4157,$E$4157+$I$4157*($F4199-$A$4157),IF($F4199&lt;$C$4157,$F$4157+$J$4157*($F4199-$B$4157),$G$4157+$K$4157*($F4199-$C$4157)))</f>
        <v/>
      </c>
      <c r="P4199" s="208">
        <f>MIN(1,MAX(0,(nr_MEndPm1-$G4199+0.5)/nr_TermMonths))-MIN(1,MAX(0,(nr_MStartPm1-1-$G4199+0.5)/nr_TermMonths))</f>
        <v/>
      </c>
      <c r="Q4199" s="208">
        <f>MIN(1,MAX(0,(nr_MEndP-$G4199+0.5)/nr_TermMonths))-MIN(1,MAX(0,(nr_MStartP-1-$G4199+0.5)/nr_TermMonths))</f>
        <v/>
      </c>
      <c r="R4199" s="208">
        <f>MIN(1,MAX(0,(nr_MEndP1-$G4199+0.5)/nr_TermMonths))-MIN(1,MAX(0,(nr_MStartP1-1-$G4199+0.5)/nr_TermMonths))</f>
        <v/>
      </c>
      <c r="S4199" s="208">
        <f>IF(nr_NetMode,$N4199*IF(nr_ModAdjEff="ON",$O4199/nr_MInd,1),"")</f>
        <v/>
      </c>
      <c r="T4199" s="208">
        <f>IF(NOT(nr_NetMode),"",IF($G4199&lt;nr_MStartP,$S4199,$T4187*(1+IF($G4199&lt;nr_MStartP1,(nr_NetSelP+N(INDEX(sc_dnet,3))),(nr_NetSelP1+N(INDEX(sc_dnet,3)))))))</f>
        <v/>
      </c>
      <c r="U4199" s="208">
        <f>IF(nr_NetMode,$T4199,$N4199)</f>
        <v/>
      </c>
    </row>
    <row r="4200">
      <c r="A4200" s="145" t="n">
        <v>42</v>
      </c>
      <c r="B4200" s="204">
        <f>EDATE($B4199,1)</f>
        <v/>
      </c>
      <c r="C4200" s="205">
        <f>EOMONTH($B4200,0)</f>
        <v/>
      </c>
      <c r="D4200" s="201">
        <f>$C4200-$B4200+1</f>
        <v/>
      </c>
      <c r="E4200" s="201">
        <f>MONTH($B4200)</f>
        <v/>
      </c>
      <c r="F4200" s="235">
        <f>($B4200+$C4200+1)/2</f>
        <v/>
      </c>
      <c r="G4200" s="201">
        <f>YEAR($B4200)*12+MONTH($B4200)-1</f>
        <v/>
      </c>
      <c r="H4200" s="207">
        <f>IF(OR(nr_SeasonOn="OFF",re_srow=0,re_ssum=0),1,12*INDEX(se_block,re_srow,$E4200)/re_ssum)</f>
        <v/>
      </c>
      <c r="I4200" s="208">
        <f>EXP(SUMPRODUCT(($U$3806:$U$4045&lt;$B4200)*(rl_key=nr_SelKey)*$Y$3806:$Y$4045))</f>
        <v/>
      </c>
      <c r="J4200" s="208">
        <f>EXP(SUMPRODUCT(($U$3806:$U$4045&lt;=$C4200)*(rl_key=nr_SelKey)*$Y$3806:$Y$4045))</f>
        <v/>
      </c>
      <c r="K4200" s="201">
        <f>COUNTIFS(rl_key,nr_SelKey,$U$3806:$U$4045,"&gt;="&amp;$B4200,$U$3806:$U$4045,"&lt;="&amp;$C4200)</f>
        <v/>
      </c>
      <c r="L4200" s="201">
        <f>SUMIFS($Z$3806:$Z$4045,rl_key,nr_SelKey,$V$3806:$V$4045,$B4200,$AC$3806:$AC$4045,1)</f>
        <v/>
      </c>
      <c r="M4200" s="209">
        <f>IF($K4200=0,0,MIN(1,$L4200/$D4200))</f>
        <v/>
      </c>
      <c r="N4200" s="208">
        <f>IF($K4200=0,$J4200,(1-$M4200)*$I4200+$M4200*$J4200)</f>
        <v/>
      </c>
      <c r="O4200" s="209">
        <f>IF($F4200&lt;$B$4157,$E$4157+$I$4157*($F4200-$A$4157),IF($F4200&lt;$C$4157,$F$4157+$J$4157*($F4200-$B$4157),$G$4157+$K$4157*($F4200-$C$4157)))</f>
        <v/>
      </c>
      <c r="P4200" s="208">
        <f>MIN(1,MAX(0,(nr_MEndPm1-$G4200+0.5)/nr_TermMonths))-MIN(1,MAX(0,(nr_MStartPm1-1-$G4200+0.5)/nr_TermMonths))</f>
        <v/>
      </c>
      <c r="Q4200" s="208">
        <f>MIN(1,MAX(0,(nr_MEndP-$G4200+0.5)/nr_TermMonths))-MIN(1,MAX(0,(nr_MStartP-1-$G4200+0.5)/nr_TermMonths))</f>
        <v/>
      </c>
      <c r="R4200" s="208">
        <f>MIN(1,MAX(0,(nr_MEndP1-$G4200+0.5)/nr_TermMonths))-MIN(1,MAX(0,(nr_MStartP1-1-$G4200+0.5)/nr_TermMonths))</f>
        <v/>
      </c>
      <c r="S4200" s="208">
        <f>IF(nr_NetMode,$N4200*IF(nr_ModAdjEff="ON",$O4200/nr_MInd,1),"")</f>
        <v/>
      </c>
      <c r="T4200" s="208">
        <f>IF(NOT(nr_NetMode),"",IF($G4200&lt;nr_MStartP,$S4200,$T4188*(1+IF($G4200&lt;nr_MStartP1,(nr_NetSelP+N(INDEX(sc_dnet,3))),(nr_NetSelP1+N(INDEX(sc_dnet,3)))))))</f>
        <v/>
      </c>
      <c r="U4200" s="208">
        <f>IF(nr_NetMode,$T4200,$N4200)</f>
        <v/>
      </c>
    </row>
    <row r="4201">
      <c r="A4201" s="145" t="n">
        <v>43</v>
      </c>
      <c r="B4201" s="204">
        <f>EDATE($B4200,1)</f>
        <v/>
      </c>
      <c r="C4201" s="205">
        <f>EOMONTH($B4201,0)</f>
        <v/>
      </c>
      <c r="D4201" s="201">
        <f>$C4201-$B4201+1</f>
        <v/>
      </c>
      <c r="E4201" s="201">
        <f>MONTH($B4201)</f>
        <v/>
      </c>
      <c r="F4201" s="235">
        <f>($B4201+$C4201+1)/2</f>
        <v/>
      </c>
      <c r="G4201" s="201">
        <f>YEAR($B4201)*12+MONTH($B4201)-1</f>
        <v/>
      </c>
      <c r="H4201" s="207">
        <f>IF(OR(nr_SeasonOn="OFF",re_srow=0,re_ssum=0),1,12*INDEX(se_block,re_srow,$E4201)/re_ssum)</f>
        <v/>
      </c>
      <c r="I4201" s="208">
        <f>EXP(SUMPRODUCT(($U$3806:$U$4045&lt;$B4201)*(rl_key=nr_SelKey)*$Y$3806:$Y$4045))</f>
        <v/>
      </c>
      <c r="J4201" s="208">
        <f>EXP(SUMPRODUCT(($U$3806:$U$4045&lt;=$C4201)*(rl_key=nr_SelKey)*$Y$3806:$Y$4045))</f>
        <v/>
      </c>
      <c r="K4201" s="201">
        <f>COUNTIFS(rl_key,nr_SelKey,$U$3806:$U$4045,"&gt;="&amp;$B4201,$U$3806:$U$4045,"&lt;="&amp;$C4201)</f>
        <v/>
      </c>
      <c r="L4201" s="201">
        <f>SUMIFS($Z$3806:$Z$4045,rl_key,nr_SelKey,$V$3806:$V$4045,$B4201,$AC$3806:$AC$4045,1)</f>
        <v/>
      </c>
      <c r="M4201" s="209">
        <f>IF($K4201=0,0,MIN(1,$L4201/$D4201))</f>
        <v/>
      </c>
      <c r="N4201" s="208">
        <f>IF($K4201=0,$J4201,(1-$M4201)*$I4201+$M4201*$J4201)</f>
        <v/>
      </c>
      <c r="O4201" s="209">
        <f>IF($F4201&lt;$B$4157,$E$4157+$I$4157*($F4201-$A$4157),IF($F4201&lt;$C$4157,$F$4157+$J$4157*($F4201-$B$4157),$G$4157+$K$4157*($F4201-$C$4157)))</f>
        <v/>
      </c>
      <c r="P4201" s="208">
        <f>MIN(1,MAX(0,(nr_MEndPm1-$G4201+0.5)/nr_TermMonths))-MIN(1,MAX(0,(nr_MStartPm1-1-$G4201+0.5)/nr_TermMonths))</f>
        <v/>
      </c>
      <c r="Q4201" s="208">
        <f>MIN(1,MAX(0,(nr_MEndP-$G4201+0.5)/nr_TermMonths))-MIN(1,MAX(0,(nr_MStartP-1-$G4201+0.5)/nr_TermMonths))</f>
        <v/>
      </c>
      <c r="R4201" s="208">
        <f>MIN(1,MAX(0,(nr_MEndP1-$G4201+0.5)/nr_TermMonths))-MIN(1,MAX(0,(nr_MStartP1-1-$G4201+0.5)/nr_TermMonths))</f>
        <v/>
      </c>
      <c r="S4201" s="208">
        <f>IF(nr_NetMode,$N4201*IF(nr_ModAdjEff="ON",$O4201/nr_MInd,1),"")</f>
        <v/>
      </c>
      <c r="T4201" s="208">
        <f>IF(NOT(nr_NetMode),"",IF($G4201&lt;nr_MStartP,$S4201,$T4189*(1+IF($G4201&lt;nr_MStartP1,(nr_NetSelP+N(INDEX(sc_dnet,3))),(nr_NetSelP1+N(INDEX(sc_dnet,3)))))))</f>
        <v/>
      </c>
      <c r="U4201" s="208">
        <f>IF(nr_NetMode,$T4201,$N4201)</f>
        <v/>
      </c>
    </row>
    <row r="4202">
      <c r="A4202" s="145" t="n">
        <v>44</v>
      </c>
      <c r="B4202" s="204">
        <f>EDATE($B4201,1)</f>
        <v/>
      </c>
      <c r="C4202" s="205">
        <f>EOMONTH($B4202,0)</f>
        <v/>
      </c>
      <c r="D4202" s="201">
        <f>$C4202-$B4202+1</f>
        <v/>
      </c>
      <c r="E4202" s="201">
        <f>MONTH($B4202)</f>
        <v/>
      </c>
      <c r="F4202" s="235">
        <f>($B4202+$C4202+1)/2</f>
        <v/>
      </c>
      <c r="G4202" s="201">
        <f>YEAR($B4202)*12+MONTH($B4202)-1</f>
        <v/>
      </c>
      <c r="H4202" s="207">
        <f>IF(OR(nr_SeasonOn="OFF",re_srow=0,re_ssum=0),1,12*INDEX(se_block,re_srow,$E4202)/re_ssum)</f>
        <v/>
      </c>
      <c r="I4202" s="208">
        <f>EXP(SUMPRODUCT(($U$3806:$U$4045&lt;$B4202)*(rl_key=nr_SelKey)*$Y$3806:$Y$4045))</f>
        <v/>
      </c>
      <c r="J4202" s="208">
        <f>EXP(SUMPRODUCT(($U$3806:$U$4045&lt;=$C4202)*(rl_key=nr_SelKey)*$Y$3806:$Y$4045))</f>
        <v/>
      </c>
      <c r="K4202" s="201">
        <f>COUNTIFS(rl_key,nr_SelKey,$U$3806:$U$4045,"&gt;="&amp;$B4202,$U$3806:$U$4045,"&lt;="&amp;$C4202)</f>
        <v/>
      </c>
      <c r="L4202" s="201">
        <f>SUMIFS($Z$3806:$Z$4045,rl_key,nr_SelKey,$V$3806:$V$4045,$B4202,$AC$3806:$AC$4045,1)</f>
        <v/>
      </c>
      <c r="M4202" s="209">
        <f>IF($K4202=0,0,MIN(1,$L4202/$D4202))</f>
        <v/>
      </c>
      <c r="N4202" s="208">
        <f>IF($K4202=0,$J4202,(1-$M4202)*$I4202+$M4202*$J4202)</f>
        <v/>
      </c>
      <c r="O4202" s="209">
        <f>IF($F4202&lt;$B$4157,$E$4157+$I$4157*($F4202-$A$4157),IF($F4202&lt;$C$4157,$F$4157+$J$4157*($F4202-$B$4157),$G$4157+$K$4157*($F4202-$C$4157)))</f>
        <v/>
      </c>
      <c r="P4202" s="208">
        <f>MIN(1,MAX(0,(nr_MEndPm1-$G4202+0.5)/nr_TermMonths))-MIN(1,MAX(0,(nr_MStartPm1-1-$G4202+0.5)/nr_TermMonths))</f>
        <v/>
      </c>
      <c r="Q4202" s="208">
        <f>MIN(1,MAX(0,(nr_MEndP-$G4202+0.5)/nr_TermMonths))-MIN(1,MAX(0,(nr_MStartP-1-$G4202+0.5)/nr_TermMonths))</f>
        <v/>
      </c>
      <c r="R4202" s="208">
        <f>MIN(1,MAX(0,(nr_MEndP1-$G4202+0.5)/nr_TermMonths))-MIN(1,MAX(0,(nr_MStartP1-1-$G4202+0.5)/nr_TermMonths))</f>
        <v/>
      </c>
      <c r="S4202" s="208">
        <f>IF(nr_NetMode,$N4202*IF(nr_ModAdjEff="ON",$O4202/nr_MInd,1),"")</f>
        <v/>
      </c>
      <c r="T4202" s="208">
        <f>IF(NOT(nr_NetMode),"",IF($G4202&lt;nr_MStartP,$S4202,$T4190*(1+IF($G4202&lt;nr_MStartP1,(nr_NetSelP+N(INDEX(sc_dnet,3))),(nr_NetSelP1+N(INDEX(sc_dnet,3)))))))</f>
        <v/>
      </c>
      <c r="U4202" s="208">
        <f>IF(nr_NetMode,$T4202,$N4202)</f>
        <v/>
      </c>
    </row>
    <row r="4203">
      <c r="A4203" s="145" t="n">
        <v>45</v>
      </c>
      <c r="B4203" s="204">
        <f>EDATE($B4202,1)</f>
        <v/>
      </c>
      <c r="C4203" s="205">
        <f>EOMONTH($B4203,0)</f>
        <v/>
      </c>
      <c r="D4203" s="201">
        <f>$C4203-$B4203+1</f>
        <v/>
      </c>
      <c r="E4203" s="201">
        <f>MONTH($B4203)</f>
        <v/>
      </c>
      <c r="F4203" s="235">
        <f>($B4203+$C4203+1)/2</f>
        <v/>
      </c>
      <c r="G4203" s="201">
        <f>YEAR($B4203)*12+MONTH($B4203)-1</f>
        <v/>
      </c>
      <c r="H4203" s="207">
        <f>IF(OR(nr_SeasonOn="OFF",re_srow=0,re_ssum=0),1,12*INDEX(se_block,re_srow,$E4203)/re_ssum)</f>
        <v/>
      </c>
      <c r="I4203" s="208">
        <f>EXP(SUMPRODUCT(($U$3806:$U$4045&lt;$B4203)*(rl_key=nr_SelKey)*$Y$3806:$Y$4045))</f>
        <v/>
      </c>
      <c r="J4203" s="208">
        <f>EXP(SUMPRODUCT(($U$3806:$U$4045&lt;=$C4203)*(rl_key=nr_SelKey)*$Y$3806:$Y$4045))</f>
        <v/>
      </c>
      <c r="K4203" s="201">
        <f>COUNTIFS(rl_key,nr_SelKey,$U$3806:$U$4045,"&gt;="&amp;$B4203,$U$3806:$U$4045,"&lt;="&amp;$C4203)</f>
        <v/>
      </c>
      <c r="L4203" s="201">
        <f>SUMIFS($Z$3806:$Z$4045,rl_key,nr_SelKey,$V$3806:$V$4045,$B4203,$AC$3806:$AC$4045,1)</f>
        <v/>
      </c>
      <c r="M4203" s="209">
        <f>IF($K4203=0,0,MIN(1,$L4203/$D4203))</f>
        <v/>
      </c>
      <c r="N4203" s="208">
        <f>IF($K4203=0,$J4203,(1-$M4203)*$I4203+$M4203*$J4203)</f>
        <v/>
      </c>
      <c r="O4203" s="209">
        <f>IF($F4203&lt;$B$4157,$E$4157+$I$4157*($F4203-$A$4157),IF($F4203&lt;$C$4157,$F$4157+$J$4157*($F4203-$B$4157),$G$4157+$K$4157*($F4203-$C$4157)))</f>
        <v/>
      </c>
      <c r="P4203" s="208">
        <f>MIN(1,MAX(0,(nr_MEndPm1-$G4203+0.5)/nr_TermMonths))-MIN(1,MAX(0,(nr_MStartPm1-1-$G4203+0.5)/nr_TermMonths))</f>
        <v/>
      </c>
      <c r="Q4203" s="208">
        <f>MIN(1,MAX(0,(nr_MEndP-$G4203+0.5)/nr_TermMonths))-MIN(1,MAX(0,(nr_MStartP-1-$G4203+0.5)/nr_TermMonths))</f>
        <v/>
      </c>
      <c r="R4203" s="208">
        <f>MIN(1,MAX(0,(nr_MEndP1-$G4203+0.5)/nr_TermMonths))-MIN(1,MAX(0,(nr_MStartP1-1-$G4203+0.5)/nr_TermMonths))</f>
        <v/>
      </c>
      <c r="S4203" s="208">
        <f>IF(nr_NetMode,$N4203*IF(nr_ModAdjEff="ON",$O4203/nr_MInd,1),"")</f>
        <v/>
      </c>
      <c r="T4203" s="208">
        <f>IF(NOT(nr_NetMode),"",IF($G4203&lt;nr_MStartP,$S4203,$T4191*(1+IF($G4203&lt;nr_MStartP1,(nr_NetSelP+N(INDEX(sc_dnet,3))),(nr_NetSelP1+N(INDEX(sc_dnet,3)))))))</f>
        <v/>
      </c>
      <c r="U4203" s="208">
        <f>IF(nr_NetMode,$T4203,$N4203)</f>
        <v/>
      </c>
    </row>
    <row r="4204">
      <c r="A4204" s="145" t="n">
        <v>46</v>
      </c>
      <c r="B4204" s="204">
        <f>EDATE($B4203,1)</f>
        <v/>
      </c>
      <c r="C4204" s="205">
        <f>EOMONTH($B4204,0)</f>
        <v/>
      </c>
      <c r="D4204" s="201">
        <f>$C4204-$B4204+1</f>
        <v/>
      </c>
      <c r="E4204" s="201">
        <f>MONTH($B4204)</f>
        <v/>
      </c>
      <c r="F4204" s="235">
        <f>($B4204+$C4204+1)/2</f>
        <v/>
      </c>
      <c r="G4204" s="201">
        <f>YEAR($B4204)*12+MONTH($B4204)-1</f>
        <v/>
      </c>
      <c r="H4204" s="207">
        <f>IF(OR(nr_SeasonOn="OFF",re_srow=0,re_ssum=0),1,12*INDEX(se_block,re_srow,$E4204)/re_ssum)</f>
        <v/>
      </c>
      <c r="I4204" s="208">
        <f>EXP(SUMPRODUCT(($U$3806:$U$4045&lt;$B4204)*(rl_key=nr_SelKey)*$Y$3806:$Y$4045))</f>
        <v/>
      </c>
      <c r="J4204" s="208">
        <f>EXP(SUMPRODUCT(($U$3806:$U$4045&lt;=$C4204)*(rl_key=nr_SelKey)*$Y$3806:$Y$4045))</f>
        <v/>
      </c>
      <c r="K4204" s="201">
        <f>COUNTIFS(rl_key,nr_SelKey,$U$3806:$U$4045,"&gt;="&amp;$B4204,$U$3806:$U$4045,"&lt;="&amp;$C4204)</f>
        <v/>
      </c>
      <c r="L4204" s="201">
        <f>SUMIFS($Z$3806:$Z$4045,rl_key,nr_SelKey,$V$3806:$V$4045,$B4204,$AC$3806:$AC$4045,1)</f>
        <v/>
      </c>
      <c r="M4204" s="209">
        <f>IF($K4204=0,0,MIN(1,$L4204/$D4204))</f>
        <v/>
      </c>
      <c r="N4204" s="208">
        <f>IF($K4204=0,$J4204,(1-$M4204)*$I4204+$M4204*$J4204)</f>
        <v/>
      </c>
      <c r="O4204" s="209">
        <f>IF($F4204&lt;$B$4157,$E$4157+$I$4157*($F4204-$A$4157),IF($F4204&lt;$C$4157,$F$4157+$J$4157*($F4204-$B$4157),$G$4157+$K$4157*($F4204-$C$4157)))</f>
        <v/>
      </c>
      <c r="P4204" s="208">
        <f>MIN(1,MAX(0,(nr_MEndPm1-$G4204+0.5)/nr_TermMonths))-MIN(1,MAX(0,(nr_MStartPm1-1-$G4204+0.5)/nr_TermMonths))</f>
        <v/>
      </c>
      <c r="Q4204" s="208">
        <f>MIN(1,MAX(0,(nr_MEndP-$G4204+0.5)/nr_TermMonths))-MIN(1,MAX(0,(nr_MStartP-1-$G4204+0.5)/nr_TermMonths))</f>
        <v/>
      </c>
      <c r="R4204" s="208">
        <f>MIN(1,MAX(0,(nr_MEndP1-$G4204+0.5)/nr_TermMonths))-MIN(1,MAX(0,(nr_MStartP1-1-$G4204+0.5)/nr_TermMonths))</f>
        <v/>
      </c>
      <c r="S4204" s="208">
        <f>IF(nr_NetMode,$N4204*IF(nr_ModAdjEff="ON",$O4204/nr_MInd,1),"")</f>
        <v/>
      </c>
      <c r="T4204" s="208">
        <f>IF(NOT(nr_NetMode),"",IF($G4204&lt;nr_MStartP,$S4204,$T4192*(1+IF($G4204&lt;nr_MStartP1,(nr_NetSelP+N(INDEX(sc_dnet,3))),(nr_NetSelP1+N(INDEX(sc_dnet,3)))))))</f>
        <v/>
      </c>
      <c r="U4204" s="208">
        <f>IF(nr_NetMode,$T4204,$N4204)</f>
        <v/>
      </c>
    </row>
    <row r="4205">
      <c r="A4205" s="145" t="n">
        <v>47</v>
      </c>
      <c r="B4205" s="204">
        <f>EDATE($B4204,1)</f>
        <v/>
      </c>
      <c r="C4205" s="205">
        <f>EOMONTH($B4205,0)</f>
        <v/>
      </c>
      <c r="D4205" s="201">
        <f>$C4205-$B4205+1</f>
        <v/>
      </c>
      <c r="E4205" s="201">
        <f>MONTH($B4205)</f>
        <v/>
      </c>
      <c r="F4205" s="235">
        <f>($B4205+$C4205+1)/2</f>
        <v/>
      </c>
      <c r="G4205" s="201">
        <f>YEAR($B4205)*12+MONTH($B4205)-1</f>
        <v/>
      </c>
      <c r="H4205" s="207">
        <f>IF(OR(nr_SeasonOn="OFF",re_srow=0,re_ssum=0),1,12*INDEX(se_block,re_srow,$E4205)/re_ssum)</f>
        <v/>
      </c>
      <c r="I4205" s="208">
        <f>EXP(SUMPRODUCT(($U$3806:$U$4045&lt;$B4205)*(rl_key=nr_SelKey)*$Y$3806:$Y$4045))</f>
        <v/>
      </c>
      <c r="J4205" s="208">
        <f>EXP(SUMPRODUCT(($U$3806:$U$4045&lt;=$C4205)*(rl_key=nr_SelKey)*$Y$3806:$Y$4045))</f>
        <v/>
      </c>
      <c r="K4205" s="201">
        <f>COUNTIFS(rl_key,nr_SelKey,$U$3806:$U$4045,"&gt;="&amp;$B4205,$U$3806:$U$4045,"&lt;="&amp;$C4205)</f>
        <v/>
      </c>
      <c r="L4205" s="201">
        <f>SUMIFS($Z$3806:$Z$4045,rl_key,nr_SelKey,$V$3806:$V$4045,$B4205,$AC$3806:$AC$4045,1)</f>
        <v/>
      </c>
      <c r="M4205" s="209">
        <f>IF($K4205=0,0,MIN(1,$L4205/$D4205))</f>
        <v/>
      </c>
      <c r="N4205" s="208">
        <f>IF($K4205=0,$J4205,(1-$M4205)*$I4205+$M4205*$J4205)</f>
        <v/>
      </c>
      <c r="O4205" s="209">
        <f>IF($F4205&lt;$B$4157,$E$4157+$I$4157*($F4205-$A$4157),IF($F4205&lt;$C$4157,$F$4157+$J$4157*($F4205-$B$4157),$G$4157+$K$4157*($F4205-$C$4157)))</f>
        <v/>
      </c>
      <c r="P4205" s="208">
        <f>MIN(1,MAX(0,(nr_MEndPm1-$G4205+0.5)/nr_TermMonths))-MIN(1,MAX(0,(nr_MStartPm1-1-$G4205+0.5)/nr_TermMonths))</f>
        <v/>
      </c>
      <c r="Q4205" s="208">
        <f>MIN(1,MAX(0,(nr_MEndP-$G4205+0.5)/nr_TermMonths))-MIN(1,MAX(0,(nr_MStartP-1-$G4205+0.5)/nr_TermMonths))</f>
        <v/>
      </c>
      <c r="R4205" s="208">
        <f>MIN(1,MAX(0,(nr_MEndP1-$G4205+0.5)/nr_TermMonths))-MIN(1,MAX(0,(nr_MStartP1-1-$G4205+0.5)/nr_TermMonths))</f>
        <v/>
      </c>
      <c r="S4205" s="208">
        <f>IF(nr_NetMode,$N4205*IF(nr_ModAdjEff="ON",$O4205/nr_MInd,1),"")</f>
        <v/>
      </c>
      <c r="T4205" s="208">
        <f>IF(NOT(nr_NetMode),"",IF($G4205&lt;nr_MStartP,$S4205,$T4193*(1+IF($G4205&lt;nr_MStartP1,(nr_NetSelP+N(INDEX(sc_dnet,3))),(nr_NetSelP1+N(INDEX(sc_dnet,3)))))))</f>
        <v/>
      </c>
      <c r="U4205" s="208">
        <f>IF(nr_NetMode,$T4205,$N4205)</f>
        <v/>
      </c>
    </row>
    <row r="4206">
      <c r="A4206" s="145" t="n">
        <v>48</v>
      </c>
      <c r="B4206" s="204">
        <f>EDATE($B4205,1)</f>
        <v/>
      </c>
      <c r="C4206" s="205">
        <f>EOMONTH($B4206,0)</f>
        <v/>
      </c>
      <c r="D4206" s="201">
        <f>$C4206-$B4206+1</f>
        <v/>
      </c>
      <c r="E4206" s="201">
        <f>MONTH($B4206)</f>
        <v/>
      </c>
      <c r="F4206" s="235">
        <f>($B4206+$C4206+1)/2</f>
        <v/>
      </c>
      <c r="G4206" s="201">
        <f>YEAR($B4206)*12+MONTH($B4206)-1</f>
        <v/>
      </c>
      <c r="H4206" s="207">
        <f>IF(OR(nr_SeasonOn="OFF",re_srow=0,re_ssum=0),1,12*INDEX(se_block,re_srow,$E4206)/re_ssum)</f>
        <v/>
      </c>
      <c r="I4206" s="208">
        <f>EXP(SUMPRODUCT(($U$3806:$U$4045&lt;$B4206)*(rl_key=nr_SelKey)*$Y$3806:$Y$4045))</f>
        <v/>
      </c>
      <c r="J4206" s="208">
        <f>EXP(SUMPRODUCT(($U$3806:$U$4045&lt;=$C4206)*(rl_key=nr_SelKey)*$Y$3806:$Y$4045))</f>
        <v/>
      </c>
      <c r="K4206" s="201">
        <f>COUNTIFS(rl_key,nr_SelKey,$U$3806:$U$4045,"&gt;="&amp;$B4206,$U$3806:$U$4045,"&lt;="&amp;$C4206)</f>
        <v/>
      </c>
      <c r="L4206" s="201">
        <f>SUMIFS($Z$3806:$Z$4045,rl_key,nr_SelKey,$V$3806:$V$4045,$B4206,$AC$3806:$AC$4045,1)</f>
        <v/>
      </c>
      <c r="M4206" s="209">
        <f>IF($K4206=0,0,MIN(1,$L4206/$D4206))</f>
        <v/>
      </c>
      <c r="N4206" s="208">
        <f>IF($K4206=0,$J4206,(1-$M4206)*$I4206+$M4206*$J4206)</f>
        <v/>
      </c>
      <c r="O4206" s="209">
        <f>IF($F4206&lt;$B$4157,$E$4157+$I$4157*($F4206-$A$4157),IF($F4206&lt;$C$4157,$F$4157+$J$4157*($F4206-$B$4157),$G$4157+$K$4157*($F4206-$C$4157)))</f>
        <v/>
      </c>
      <c r="P4206" s="208">
        <f>MIN(1,MAX(0,(nr_MEndPm1-$G4206+0.5)/nr_TermMonths))-MIN(1,MAX(0,(nr_MStartPm1-1-$G4206+0.5)/nr_TermMonths))</f>
        <v/>
      </c>
      <c r="Q4206" s="208">
        <f>MIN(1,MAX(0,(nr_MEndP-$G4206+0.5)/nr_TermMonths))-MIN(1,MAX(0,(nr_MStartP-1-$G4206+0.5)/nr_TermMonths))</f>
        <v/>
      </c>
      <c r="R4206" s="208">
        <f>MIN(1,MAX(0,(nr_MEndP1-$G4206+0.5)/nr_TermMonths))-MIN(1,MAX(0,(nr_MStartP1-1-$G4206+0.5)/nr_TermMonths))</f>
        <v/>
      </c>
      <c r="S4206" s="208">
        <f>IF(nr_NetMode,$N4206*IF(nr_ModAdjEff="ON",$O4206/nr_MInd,1),"")</f>
        <v/>
      </c>
      <c r="T4206" s="208">
        <f>IF(NOT(nr_NetMode),"",IF($G4206&lt;nr_MStartP,$S4206,$T4194*(1+IF($G4206&lt;nr_MStartP1,(nr_NetSelP+N(INDEX(sc_dnet,3))),(nr_NetSelP1+N(INDEX(sc_dnet,3)))))))</f>
        <v/>
      </c>
      <c r="U4206" s="208">
        <f>IF(nr_NetMode,$T4206,$N4206)</f>
        <v/>
      </c>
    </row>
    <row r="4207">
      <c r="A4207" s="6" t="inlineStr">
        <is>
          <t>S3 results:</t>
        </is>
      </c>
      <c r="B4207" s="72">
        <f>SUMPRODUCT($H$4159:$H$4206,$Q$4159:$Q$4206,$U$4159:$U$4206)/SUMPRODUCT($H$4159:$H$4206,$Q$4159:$Q$4206)</f>
        <v/>
      </c>
      <c r="C4207" s="72">
        <f>SUMPRODUCT($H$4159:$H$4206,$R$4159:$R$4206,$U$4159:$U$4206)/SUMPRODUCT($H$4159:$H$4206,$R$4159:$R$4206)</f>
        <v/>
      </c>
      <c r="D4207" s="184">
        <f>SUMPRODUCT($H$4159:$H$4206,$Q$4159:$Q$4206,$O$4159:$O$4206)/SUMPRODUCT($H$4159:$H$4206,$Q$4159:$Q$4206)</f>
        <v/>
      </c>
    </row>
    <row r="4210">
      <c r="A4210" s="233"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145" t="n">
        <v>1</v>
      </c>
      <c r="B4213" s="204">
        <f>DATE(nr_PlanYear-2,1,1)</f>
        <v/>
      </c>
      <c r="C4213" s="205">
        <f>EOMONTH($B4213,0)</f>
        <v/>
      </c>
      <c r="D4213" s="201">
        <f>$C4213-$B4213+1</f>
        <v/>
      </c>
      <c r="E4213" s="201">
        <f>MONTH($B4213)</f>
        <v/>
      </c>
      <c r="F4213" s="235">
        <f>($B4213+$C4213+1)/2</f>
        <v/>
      </c>
      <c r="G4213" s="201">
        <f>YEAR($B4213)*12+MONTH($B4213)-1</f>
        <v/>
      </c>
      <c r="H4213" s="207">
        <f>IF(OR(nr_SeasonOn="OFF",re_srow=0,re_ssum=0),1,12*INDEX(se_block,re_srow,$E4213)/re_ssum)</f>
        <v/>
      </c>
      <c r="I4213" s="208">
        <f>EXP(SUMPRODUCT(($AE$3806:$AE$4045&lt;$B4213)*(rl_key=nr_SelKey)*$AI$3806:$AI$4045))</f>
        <v/>
      </c>
      <c r="J4213" s="208">
        <f>EXP(SUMPRODUCT(($AE$3806:$AE$4045&lt;=$C4213)*(rl_key=nr_SelKey)*$AI$3806:$AI$4045))</f>
        <v/>
      </c>
      <c r="K4213" s="201">
        <f>COUNTIFS(rl_key,nr_SelKey,$AE$3806:$AE$4045,"&gt;="&amp;$B4213,$AE$3806:$AE$4045,"&lt;="&amp;$C4213)</f>
        <v/>
      </c>
      <c r="L4213" s="201">
        <f>SUMIFS($AJ$3806:$AJ$4045,rl_key,nr_SelKey,$AF$3806:$AF$4045,$B4213,$AM$3806:$AM$4045,1)</f>
        <v/>
      </c>
      <c r="M4213" s="209">
        <f>IF($K4213=0,0,MIN(1,$L4213/$D4213))</f>
        <v/>
      </c>
      <c r="N4213" s="208">
        <f>IF($K4213=0,$J4213,(1-$M4213)*$I4213+$M4213*$J4213)</f>
        <v/>
      </c>
      <c r="O4213" s="209">
        <f>IF($F4213&lt;$B$4211,$E$4211+$I$4211*($F4213-$A$4211),IF($F4213&lt;$C$4211,$F$4211+$J$4211*($F4213-$B$4211),$G$4211+$K$4211*($F4213-$C$4211)))</f>
        <v/>
      </c>
      <c r="P4213" s="208">
        <f>MIN(1,MAX(0,(nr_MEndPm1-$G4213+0.5)/nr_TermMonths))-MIN(1,MAX(0,(nr_MStartPm1-1-$G4213+0.5)/nr_TermMonths))</f>
        <v/>
      </c>
      <c r="Q4213" s="208">
        <f>MIN(1,MAX(0,(nr_MEndP-$G4213+0.5)/nr_TermMonths))-MIN(1,MAX(0,(nr_MStartP-1-$G4213+0.5)/nr_TermMonths))</f>
        <v/>
      </c>
      <c r="R4213" s="208">
        <f>MIN(1,MAX(0,(nr_MEndP1-$G4213+0.5)/nr_TermMonths))-MIN(1,MAX(0,(nr_MStartP1-1-$G4213+0.5)/nr_TermMonths))</f>
        <v/>
      </c>
      <c r="S4213" s="208">
        <f>IF(nr_NetMode,$N4213*IF(nr_ModAdjEff="ON",$O4213/nr_MInd,1),"")</f>
        <v/>
      </c>
      <c r="T4213" s="208">
        <f>IF(NOT(nr_NetMode),"",IF($G4213&lt;nr_MStartP,$S4213,$T4201*(1+IF($G4213&lt;nr_MStartP1,(nr_NetSelP+N(INDEX(sc_dnet,4))),(nr_NetSelP1+N(INDEX(sc_dnet,4)))))))</f>
        <v/>
      </c>
      <c r="U4213" s="208">
        <f>IF(nr_NetMode,$T4213,$N4213)</f>
        <v/>
      </c>
    </row>
    <row r="4214">
      <c r="A4214" s="145" t="n">
        <v>2</v>
      </c>
      <c r="B4214" s="204">
        <f>EDATE($B4213,1)</f>
        <v/>
      </c>
      <c r="C4214" s="205">
        <f>EOMONTH($B4214,0)</f>
        <v/>
      </c>
      <c r="D4214" s="201">
        <f>$C4214-$B4214+1</f>
        <v/>
      </c>
      <c r="E4214" s="201">
        <f>MONTH($B4214)</f>
        <v/>
      </c>
      <c r="F4214" s="235">
        <f>($B4214+$C4214+1)/2</f>
        <v/>
      </c>
      <c r="G4214" s="201">
        <f>YEAR($B4214)*12+MONTH($B4214)-1</f>
        <v/>
      </c>
      <c r="H4214" s="207">
        <f>IF(OR(nr_SeasonOn="OFF",re_srow=0,re_ssum=0),1,12*INDEX(se_block,re_srow,$E4214)/re_ssum)</f>
        <v/>
      </c>
      <c r="I4214" s="208">
        <f>EXP(SUMPRODUCT(($AE$3806:$AE$4045&lt;$B4214)*(rl_key=nr_SelKey)*$AI$3806:$AI$4045))</f>
        <v/>
      </c>
      <c r="J4214" s="208">
        <f>EXP(SUMPRODUCT(($AE$3806:$AE$4045&lt;=$C4214)*(rl_key=nr_SelKey)*$AI$3806:$AI$4045))</f>
        <v/>
      </c>
      <c r="K4214" s="201">
        <f>COUNTIFS(rl_key,nr_SelKey,$AE$3806:$AE$4045,"&gt;="&amp;$B4214,$AE$3806:$AE$4045,"&lt;="&amp;$C4214)</f>
        <v/>
      </c>
      <c r="L4214" s="201">
        <f>SUMIFS($AJ$3806:$AJ$4045,rl_key,nr_SelKey,$AF$3806:$AF$4045,$B4214,$AM$3806:$AM$4045,1)</f>
        <v/>
      </c>
      <c r="M4214" s="209">
        <f>IF($K4214=0,0,MIN(1,$L4214/$D4214))</f>
        <v/>
      </c>
      <c r="N4214" s="208">
        <f>IF($K4214=0,$J4214,(1-$M4214)*$I4214+$M4214*$J4214)</f>
        <v/>
      </c>
      <c r="O4214" s="209">
        <f>IF($F4214&lt;$B$4211,$E$4211+$I$4211*($F4214-$A$4211),IF($F4214&lt;$C$4211,$F$4211+$J$4211*($F4214-$B$4211),$G$4211+$K$4211*($F4214-$C$4211)))</f>
        <v/>
      </c>
      <c r="P4214" s="208">
        <f>MIN(1,MAX(0,(nr_MEndPm1-$G4214+0.5)/nr_TermMonths))-MIN(1,MAX(0,(nr_MStartPm1-1-$G4214+0.5)/nr_TermMonths))</f>
        <v/>
      </c>
      <c r="Q4214" s="208">
        <f>MIN(1,MAX(0,(nr_MEndP-$G4214+0.5)/nr_TermMonths))-MIN(1,MAX(0,(nr_MStartP-1-$G4214+0.5)/nr_TermMonths))</f>
        <v/>
      </c>
      <c r="R4214" s="208">
        <f>MIN(1,MAX(0,(nr_MEndP1-$G4214+0.5)/nr_TermMonths))-MIN(1,MAX(0,(nr_MStartP1-1-$G4214+0.5)/nr_TermMonths))</f>
        <v/>
      </c>
      <c r="S4214" s="208">
        <f>IF(nr_NetMode,$N4214*IF(nr_ModAdjEff="ON",$O4214/nr_MInd,1),"")</f>
        <v/>
      </c>
      <c r="T4214" s="208">
        <f>IF(NOT(nr_NetMode),"",IF($G4214&lt;nr_MStartP,$S4214,$T4202*(1+IF($G4214&lt;nr_MStartP1,(nr_NetSelP+N(INDEX(sc_dnet,4))),(nr_NetSelP1+N(INDEX(sc_dnet,4)))))))</f>
        <v/>
      </c>
      <c r="U4214" s="208">
        <f>IF(nr_NetMode,$T4214,$N4214)</f>
        <v/>
      </c>
    </row>
    <row r="4215">
      <c r="A4215" s="145" t="n">
        <v>3</v>
      </c>
      <c r="B4215" s="204">
        <f>EDATE($B4214,1)</f>
        <v/>
      </c>
      <c r="C4215" s="205">
        <f>EOMONTH($B4215,0)</f>
        <v/>
      </c>
      <c r="D4215" s="201">
        <f>$C4215-$B4215+1</f>
        <v/>
      </c>
      <c r="E4215" s="201">
        <f>MONTH($B4215)</f>
        <v/>
      </c>
      <c r="F4215" s="235">
        <f>($B4215+$C4215+1)/2</f>
        <v/>
      </c>
      <c r="G4215" s="201">
        <f>YEAR($B4215)*12+MONTH($B4215)-1</f>
        <v/>
      </c>
      <c r="H4215" s="207">
        <f>IF(OR(nr_SeasonOn="OFF",re_srow=0,re_ssum=0),1,12*INDEX(se_block,re_srow,$E4215)/re_ssum)</f>
        <v/>
      </c>
      <c r="I4215" s="208">
        <f>EXP(SUMPRODUCT(($AE$3806:$AE$4045&lt;$B4215)*(rl_key=nr_SelKey)*$AI$3806:$AI$4045))</f>
        <v/>
      </c>
      <c r="J4215" s="208">
        <f>EXP(SUMPRODUCT(($AE$3806:$AE$4045&lt;=$C4215)*(rl_key=nr_SelKey)*$AI$3806:$AI$4045))</f>
        <v/>
      </c>
      <c r="K4215" s="201">
        <f>COUNTIFS(rl_key,nr_SelKey,$AE$3806:$AE$4045,"&gt;="&amp;$B4215,$AE$3806:$AE$4045,"&lt;="&amp;$C4215)</f>
        <v/>
      </c>
      <c r="L4215" s="201">
        <f>SUMIFS($AJ$3806:$AJ$4045,rl_key,nr_SelKey,$AF$3806:$AF$4045,$B4215,$AM$3806:$AM$4045,1)</f>
        <v/>
      </c>
      <c r="M4215" s="209">
        <f>IF($K4215=0,0,MIN(1,$L4215/$D4215))</f>
        <v/>
      </c>
      <c r="N4215" s="208">
        <f>IF($K4215=0,$J4215,(1-$M4215)*$I4215+$M4215*$J4215)</f>
        <v/>
      </c>
      <c r="O4215" s="209">
        <f>IF($F4215&lt;$B$4211,$E$4211+$I$4211*($F4215-$A$4211),IF($F4215&lt;$C$4211,$F$4211+$J$4211*($F4215-$B$4211),$G$4211+$K$4211*($F4215-$C$4211)))</f>
        <v/>
      </c>
      <c r="P4215" s="208">
        <f>MIN(1,MAX(0,(nr_MEndPm1-$G4215+0.5)/nr_TermMonths))-MIN(1,MAX(0,(nr_MStartPm1-1-$G4215+0.5)/nr_TermMonths))</f>
        <v/>
      </c>
      <c r="Q4215" s="208">
        <f>MIN(1,MAX(0,(nr_MEndP-$G4215+0.5)/nr_TermMonths))-MIN(1,MAX(0,(nr_MStartP-1-$G4215+0.5)/nr_TermMonths))</f>
        <v/>
      </c>
      <c r="R4215" s="208">
        <f>MIN(1,MAX(0,(nr_MEndP1-$G4215+0.5)/nr_TermMonths))-MIN(1,MAX(0,(nr_MStartP1-1-$G4215+0.5)/nr_TermMonths))</f>
        <v/>
      </c>
      <c r="S4215" s="208">
        <f>IF(nr_NetMode,$N4215*IF(nr_ModAdjEff="ON",$O4215/nr_MInd,1),"")</f>
        <v/>
      </c>
      <c r="T4215" s="208">
        <f>IF(NOT(nr_NetMode),"",IF($G4215&lt;nr_MStartP,$S4215,$T4203*(1+IF($G4215&lt;nr_MStartP1,(nr_NetSelP+N(INDEX(sc_dnet,4))),(nr_NetSelP1+N(INDEX(sc_dnet,4)))))))</f>
        <v/>
      </c>
      <c r="U4215" s="208">
        <f>IF(nr_NetMode,$T4215,$N4215)</f>
        <v/>
      </c>
    </row>
    <row r="4216">
      <c r="A4216" s="145" t="n">
        <v>4</v>
      </c>
      <c r="B4216" s="204">
        <f>EDATE($B4215,1)</f>
        <v/>
      </c>
      <c r="C4216" s="205">
        <f>EOMONTH($B4216,0)</f>
        <v/>
      </c>
      <c r="D4216" s="201">
        <f>$C4216-$B4216+1</f>
        <v/>
      </c>
      <c r="E4216" s="201">
        <f>MONTH($B4216)</f>
        <v/>
      </c>
      <c r="F4216" s="235">
        <f>($B4216+$C4216+1)/2</f>
        <v/>
      </c>
      <c r="G4216" s="201">
        <f>YEAR($B4216)*12+MONTH($B4216)-1</f>
        <v/>
      </c>
      <c r="H4216" s="207">
        <f>IF(OR(nr_SeasonOn="OFF",re_srow=0,re_ssum=0),1,12*INDEX(se_block,re_srow,$E4216)/re_ssum)</f>
        <v/>
      </c>
      <c r="I4216" s="208">
        <f>EXP(SUMPRODUCT(($AE$3806:$AE$4045&lt;$B4216)*(rl_key=nr_SelKey)*$AI$3806:$AI$4045))</f>
        <v/>
      </c>
      <c r="J4216" s="208">
        <f>EXP(SUMPRODUCT(($AE$3806:$AE$4045&lt;=$C4216)*(rl_key=nr_SelKey)*$AI$3806:$AI$4045))</f>
        <v/>
      </c>
      <c r="K4216" s="201">
        <f>COUNTIFS(rl_key,nr_SelKey,$AE$3806:$AE$4045,"&gt;="&amp;$B4216,$AE$3806:$AE$4045,"&lt;="&amp;$C4216)</f>
        <v/>
      </c>
      <c r="L4216" s="201">
        <f>SUMIFS($AJ$3806:$AJ$4045,rl_key,nr_SelKey,$AF$3806:$AF$4045,$B4216,$AM$3806:$AM$4045,1)</f>
        <v/>
      </c>
      <c r="M4216" s="209">
        <f>IF($K4216=0,0,MIN(1,$L4216/$D4216))</f>
        <v/>
      </c>
      <c r="N4216" s="208">
        <f>IF($K4216=0,$J4216,(1-$M4216)*$I4216+$M4216*$J4216)</f>
        <v/>
      </c>
      <c r="O4216" s="209">
        <f>IF($F4216&lt;$B$4211,$E$4211+$I$4211*($F4216-$A$4211),IF($F4216&lt;$C$4211,$F$4211+$J$4211*($F4216-$B$4211),$G$4211+$K$4211*($F4216-$C$4211)))</f>
        <v/>
      </c>
      <c r="P4216" s="208">
        <f>MIN(1,MAX(0,(nr_MEndPm1-$G4216+0.5)/nr_TermMonths))-MIN(1,MAX(0,(nr_MStartPm1-1-$G4216+0.5)/nr_TermMonths))</f>
        <v/>
      </c>
      <c r="Q4216" s="208">
        <f>MIN(1,MAX(0,(nr_MEndP-$G4216+0.5)/nr_TermMonths))-MIN(1,MAX(0,(nr_MStartP-1-$G4216+0.5)/nr_TermMonths))</f>
        <v/>
      </c>
      <c r="R4216" s="208">
        <f>MIN(1,MAX(0,(nr_MEndP1-$G4216+0.5)/nr_TermMonths))-MIN(1,MAX(0,(nr_MStartP1-1-$G4216+0.5)/nr_TermMonths))</f>
        <v/>
      </c>
      <c r="S4216" s="208">
        <f>IF(nr_NetMode,$N4216*IF(nr_ModAdjEff="ON",$O4216/nr_MInd,1),"")</f>
        <v/>
      </c>
      <c r="T4216" s="208">
        <f>IF(NOT(nr_NetMode),"",IF($G4216&lt;nr_MStartP,$S4216,$T4204*(1+IF($G4216&lt;nr_MStartP1,(nr_NetSelP+N(INDEX(sc_dnet,4))),(nr_NetSelP1+N(INDEX(sc_dnet,4)))))))</f>
        <v/>
      </c>
      <c r="U4216" s="208">
        <f>IF(nr_NetMode,$T4216,$N4216)</f>
        <v/>
      </c>
    </row>
    <row r="4217">
      <c r="A4217" s="145" t="n">
        <v>5</v>
      </c>
      <c r="B4217" s="204">
        <f>EDATE($B4216,1)</f>
        <v/>
      </c>
      <c r="C4217" s="205">
        <f>EOMONTH($B4217,0)</f>
        <v/>
      </c>
      <c r="D4217" s="201">
        <f>$C4217-$B4217+1</f>
        <v/>
      </c>
      <c r="E4217" s="201">
        <f>MONTH($B4217)</f>
        <v/>
      </c>
      <c r="F4217" s="235">
        <f>($B4217+$C4217+1)/2</f>
        <v/>
      </c>
      <c r="G4217" s="201">
        <f>YEAR($B4217)*12+MONTH($B4217)-1</f>
        <v/>
      </c>
      <c r="H4217" s="207">
        <f>IF(OR(nr_SeasonOn="OFF",re_srow=0,re_ssum=0),1,12*INDEX(se_block,re_srow,$E4217)/re_ssum)</f>
        <v/>
      </c>
      <c r="I4217" s="208">
        <f>EXP(SUMPRODUCT(($AE$3806:$AE$4045&lt;$B4217)*(rl_key=nr_SelKey)*$AI$3806:$AI$4045))</f>
        <v/>
      </c>
      <c r="J4217" s="208">
        <f>EXP(SUMPRODUCT(($AE$3806:$AE$4045&lt;=$C4217)*(rl_key=nr_SelKey)*$AI$3806:$AI$4045))</f>
        <v/>
      </c>
      <c r="K4217" s="201">
        <f>COUNTIFS(rl_key,nr_SelKey,$AE$3806:$AE$4045,"&gt;="&amp;$B4217,$AE$3806:$AE$4045,"&lt;="&amp;$C4217)</f>
        <v/>
      </c>
      <c r="L4217" s="201">
        <f>SUMIFS($AJ$3806:$AJ$4045,rl_key,nr_SelKey,$AF$3806:$AF$4045,$B4217,$AM$3806:$AM$4045,1)</f>
        <v/>
      </c>
      <c r="M4217" s="209">
        <f>IF($K4217=0,0,MIN(1,$L4217/$D4217))</f>
        <v/>
      </c>
      <c r="N4217" s="208">
        <f>IF($K4217=0,$J4217,(1-$M4217)*$I4217+$M4217*$J4217)</f>
        <v/>
      </c>
      <c r="O4217" s="209">
        <f>IF($F4217&lt;$B$4211,$E$4211+$I$4211*($F4217-$A$4211),IF($F4217&lt;$C$4211,$F$4211+$J$4211*($F4217-$B$4211),$G$4211+$K$4211*($F4217-$C$4211)))</f>
        <v/>
      </c>
      <c r="P4217" s="208">
        <f>MIN(1,MAX(0,(nr_MEndPm1-$G4217+0.5)/nr_TermMonths))-MIN(1,MAX(0,(nr_MStartPm1-1-$G4217+0.5)/nr_TermMonths))</f>
        <v/>
      </c>
      <c r="Q4217" s="208">
        <f>MIN(1,MAX(0,(nr_MEndP-$G4217+0.5)/nr_TermMonths))-MIN(1,MAX(0,(nr_MStartP-1-$G4217+0.5)/nr_TermMonths))</f>
        <v/>
      </c>
      <c r="R4217" s="208">
        <f>MIN(1,MAX(0,(nr_MEndP1-$G4217+0.5)/nr_TermMonths))-MIN(1,MAX(0,(nr_MStartP1-1-$G4217+0.5)/nr_TermMonths))</f>
        <v/>
      </c>
      <c r="S4217" s="208">
        <f>IF(nr_NetMode,$N4217*IF(nr_ModAdjEff="ON",$O4217/nr_MInd,1),"")</f>
        <v/>
      </c>
      <c r="T4217" s="208">
        <f>IF(NOT(nr_NetMode),"",IF($G4217&lt;nr_MStartP,$S4217,$T4205*(1+IF($G4217&lt;nr_MStartP1,(nr_NetSelP+N(INDEX(sc_dnet,4))),(nr_NetSelP1+N(INDEX(sc_dnet,4)))))))</f>
        <v/>
      </c>
      <c r="U4217" s="208">
        <f>IF(nr_NetMode,$T4217,$N4217)</f>
        <v/>
      </c>
    </row>
    <row r="4218">
      <c r="A4218" s="145" t="n">
        <v>6</v>
      </c>
      <c r="B4218" s="204">
        <f>EDATE($B4217,1)</f>
        <v/>
      </c>
      <c r="C4218" s="205">
        <f>EOMONTH($B4218,0)</f>
        <v/>
      </c>
      <c r="D4218" s="201">
        <f>$C4218-$B4218+1</f>
        <v/>
      </c>
      <c r="E4218" s="201">
        <f>MONTH($B4218)</f>
        <v/>
      </c>
      <c r="F4218" s="235">
        <f>($B4218+$C4218+1)/2</f>
        <v/>
      </c>
      <c r="G4218" s="201">
        <f>YEAR($B4218)*12+MONTH($B4218)-1</f>
        <v/>
      </c>
      <c r="H4218" s="207">
        <f>IF(OR(nr_SeasonOn="OFF",re_srow=0,re_ssum=0),1,12*INDEX(se_block,re_srow,$E4218)/re_ssum)</f>
        <v/>
      </c>
      <c r="I4218" s="208">
        <f>EXP(SUMPRODUCT(($AE$3806:$AE$4045&lt;$B4218)*(rl_key=nr_SelKey)*$AI$3806:$AI$4045))</f>
        <v/>
      </c>
      <c r="J4218" s="208">
        <f>EXP(SUMPRODUCT(($AE$3806:$AE$4045&lt;=$C4218)*(rl_key=nr_SelKey)*$AI$3806:$AI$4045))</f>
        <v/>
      </c>
      <c r="K4218" s="201">
        <f>COUNTIFS(rl_key,nr_SelKey,$AE$3806:$AE$4045,"&gt;="&amp;$B4218,$AE$3806:$AE$4045,"&lt;="&amp;$C4218)</f>
        <v/>
      </c>
      <c r="L4218" s="201">
        <f>SUMIFS($AJ$3806:$AJ$4045,rl_key,nr_SelKey,$AF$3806:$AF$4045,$B4218,$AM$3806:$AM$4045,1)</f>
        <v/>
      </c>
      <c r="M4218" s="209">
        <f>IF($K4218=0,0,MIN(1,$L4218/$D4218))</f>
        <v/>
      </c>
      <c r="N4218" s="208">
        <f>IF($K4218=0,$J4218,(1-$M4218)*$I4218+$M4218*$J4218)</f>
        <v/>
      </c>
      <c r="O4218" s="209">
        <f>IF($F4218&lt;$B$4211,$E$4211+$I$4211*($F4218-$A$4211),IF($F4218&lt;$C$4211,$F$4211+$J$4211*($F4218-$B$4211),$G$4211+$K$4211*($F4218-$C$4211)))</f>
        <v/>
      </c>
      <c r="P4218" s="208">
        <f>MIN(1,MAX(0,(nr_MEndPm1-$G4218+0.5)/nr_TermMonths))-MIN(1,MAX(0,(nr_MStartPm1-1-$G4218+0.5)/nr_TermMonths))</f>
        <v/>
      </c>
      <c r="Q4218" s="208">
        <f>MIN(1,MAX(0,(nr_MEndP-$G4218+0.5)/nr_TermMonths))-MIN(1,MAX(0,(nr_MStartP-1-$G4218+0.5)/nr_TermMonths))</f>
        <v/>
      </c>
      <c r="R4218" s="208">
        <f>MIN(1,MAX(0,(nr_MEndP1-$G4218+0.5)/nr_TermMonths))-MIN(1,MAX(0,(nr_MStartP1-1-$G4218+0.5)/nr_TermMonths))</f>
        <v/>
      </c>
      <c r="S4218" s="208">
        <f>IF(nr_NetMode,$N4218*IF(nr_ModAdjEff="ON",$O4218/nr_MInd,1),"")</f>
        <v/>
      </c>
      <c r="T4218" s="208">
        <f>IF(NOT(nr_NetMode),"",IF($G4218&lt;nr_MStartP,$S4218,$T4206*(1+IF($G4218&lt;nr_MStartP1,(nr_NetSelP+N(INDEX(sc_dnet,4))),(nr_NetSelP1+N(INDEX(sc_dnet,4)))))))</f>
        <v/>
      </c>
      <c r="U4218" s="208">
        <f>IF(nr_NetMode,$T4218,$N4218)</f>
        <v/>
      </c>
    </row>
    <row r="4219">
      <c r="A4219" s="145" t="n">
        <v>7</v>
      </c>
      <c r="B4219" s="204">
        <f>EDATE($B4218,1)</f>
        <v/>
      </c>
      <c r="C4219" s="205">
        <f>EOMONTH($B4219,0)</f>
        <v/>
      </c>
      <c r="D4219" s="201">
        <f>$C4219-$B4219+1</f>
        <v/>
      </c>
      <c r="E4219" s="201">
        <f>MONTH($B4219)</f>
        <v/>
      </c>
      <c r="F4219" s="235">
        <f>($B4219+$C4219+1)/2</f>
        <v/>
      </c>
      <c r="G4219" s="201">
        <f>YEAR($B4219)*12+MONTH($B4219)-1</f>
        <v/>
      </c>
      <c r="H4219" s="207">
        <f>IF(OR(nr_SeasonOn="OFF",re_srow=0,re_ssum=0),1,12*INDEX(se_block,re_srow,$E4219)/re_ssum)</f>
        <v/>
      </c>
      <c r="I4219" s="208">
        <f>EXP(SUMPRODUCT(($AE$3806:$AE$4045&lt;$B4219)*(rl_key=nr_SelKey)*$AI$3806:$AI$4045))</f>
        <v/>
      </c>
      <c r="J4219" s="208">
        <f>EXP(SUMPRODUCT(($AE$3806:$AE$4045&lt;=$C4219)*(rl_key=nr_SelKey)*$AI$3806:$AI$4045))</f>
        <v/>
      </c>
      <c r="K4219" s="201">
        <f>COUNTIFS(rl_key,nr_SelKey,$AE$3806:$AE$4045,"&gt;="&amp;$B4219,$AE$3806:$AE$4045,"&lt;="&amp;$C4219)</f>
        <v/>
      </c>
      <c r="L4219" s="201">
        <f>SUMIFS($AJ$3806:$AJ$4045,rl_key,nr_SelKey,$AF$3806:$AF$4045,$B4219,$AM$3806:$AM$4045,1)</f>
        <v/>
      </c>
      <c r="M4219" s="209">
        <f>IF($K4219=0,0,MIN(1,$L4219/$D4219))</f>
        <v/>
      </c>
      <c r="N4219" s="208">
        <f>IF($K4219=0,$J4219,(1-$M4219)*$I4219+$M4219*$J4219)</f>
        <v/>
      </c>
      <c r="O4219" s="209">
        <f>IF($F4219&lt;$B$4211,$E$4211+$I$4211*($F4219-$A$4211),IF($F4219&lt;$C$4211,$F$4211+$J$4211*($F4219-$B$4211),$G$4211+$K$4211*($F4219-$C$4211)))</f>
        <v/>
      </c>
      <c r="P4219" s="208">
        <f>MIN(1,MAX(0,(nr_MEndPm1-$G4219+0.5)/nr_TermMonths))-MIN(1,MAX(0,(nr_MStartPm1-1-$G4219+0.5)/nr_TermMonths))</f>
        <v/>
      </c>
      <c r="Q4219" s="208">
        <f>MIN(1,MAX(0,(nr_MEndP-$G4219+0.5)/nr_TermMonths))-MIN(1,MAX(0,(nr_MStartP-1-$G4219+0.5)/nr_TermMonths))</f>
        <v/>
      </c>
      <c r="R4219" s="208">
        <f>MIN(1,MAX(0,(nr_MEndP1-$G4219+0.5)/nr_TermMonths))-MIN(1,MAX(0,(nr_MStartP1-1-$G4219+0.5)/nr_TermMonths))</f>
        <v/>
      </c>
      <c r="S4219" s="208">
        <f>IF(nr_NetMode,$N4219*IF(nr_ModAdjEff="ON",$O4219/nr_MInd,1),"")</f>
        <v/>
      </c>
      <c r="T4219" s="208">
        <f>IF(NOT(nr_NetMode),"",IF($G4219&lt;nr_MStartP,$S4219,$T4207*(1+IF($G4219&lt;nr_MStartP1,(nr_NetSelP+N(INDEX(sc_dnet,4))),(nr_NetSelP1+N(INDEX(sc_dnet,4)))))))</f>
        <v/>
      </c>
      <c r="U4219" s="208">
        <f>IF(nr_NetMode,$T4219,$N4219)</f>
        <v/>
      </c>
    </row>
    <row r="4220">
      <c r="A4220" s="145" t="n">
        <v>8</v>
      </c>
      <c r="B4220" s="204">
        <f>EDATE($B4219,1)</f>
        <v/>
      </c>
      <c r="C4220" s="205">
        <f>EOMONTH($B4220,0)</f>
        <v/>
      </c>
      <c r="D4220" s="201">
        <f>$C4220-$B4220+1</f>
        <v/>
      </c>
      <c r="E4220" s="201">
        <f>MONTH($B4220)</f>
        <v/>
      </c>
      <c r="F4220" s="235">
        <f>($B4220+$C4220+1)/2</f>
        <v/>
      </c>
      <c r="G4220" s="201">
        <f>YEAR($B4220)*12+MONTH($B4220)-1</f>
        <v/>
      </c>
      <c r="H4220" s="207">
        <f>IF(OR(nr_SeasonOn="OFF",re_srow=0,re_ssum=0),1,12*INDEX(se_block,re_srow,$E4220)/re_ssum)</f>
        <v/>
      </c>
      <c r="I4220" s="208">
        <f>EXP(SUMPRODUCT(($AE$3806:$AE$4045&lt;$B4220)*(rl_key=nr_SelKey)*$AI$3806:$AI$4045))</f>
        <v/>
      </c>
      <c r="J4220" s="208">
        <f>EXP(SUMPRODUCT(($AE$3806:$AE$4045&lt;=$C4220)*(rl_key=nr_SelKey)*$AI$3806:$AI$4045))</f>
        <v/>
      </c>
      <c r="K4220" s="201">
        <f>COUNTIFS(rl_key,nr_SelKey,$AE$3806:$AE$4045,"&gt;="&amp;$B4220,$AE$3806:$AE$4045,"&lt;="&amp;$C4220)</f>
        <v/>
      </c>
      <c r="L4220" s="201">
        <f>SUMIFS($AJ$3806:$AJ$4045,rl_key,nr_SelKey,$AF$3806:$AF$4045,$B4220,$AM$3806:$AM$4045,1)</f>
        <v/>
      </c>
      <c r="M4220" s="209">
        <f>IF($K4220=0,0,MIN(1,$L4220/$D4220))</f>
        <v/>
      </c>
      <c r="N4220" s="208">
        <f>IF($K4220=0,$J4220,(1-$M4220)*$I4220+$M4220*$J4220)</f>
        <v/>
      </c>
      <c r="O4220" s="209">
        <f>IF($F4220&lt;$B$4211,$E$4211+$I$4211*($F4220-$A$4211),IF($F4220&lt;$C$4211,$F$4211+$J$4211*($F4220-$B$4211),$G$4211+$K$4211*($F4220-$C$4211)))</f>
        <v/>
      </c>
      <c r="P4220" s="208">
        <f>MIN(1,MAX(0,(nr_MEndPm1-$G4220+0.5)/nr_TermMonths))-MIN(1,MAX(0,(nr_MStartPm1-1-$G4220+0.5)/nr_TermMonths))</f>
        <v/>
      </c>
      <c r="Q4220" s="208">
        <f>MIN(1,MAX(0,(nr_MEndP-$G4220+0.5)/nr_TermMonths))-MIN(1,MAX(0,(nr_MStartP-1-$G4220+0.5)/nr_TermMonths))</f>
        <v/>
      </c>
      <c r="R4220" s="208">
        <f>MIN(1,MAX(0,(nr_MEndP1-$G4220+0.5)/nr_TermMonths))-MIN(1,MAX(0,(nr_MStartP1-1-$G4220+0.5)/nr_TermMonths))</f>
        <v/>
      </c>
      <c r="S4220" s="208">
        <f>IF(nr_NetMode,$N4220*IF(nr_ModAdjEff="ON",$O4220/nr_MInd,1),"")</f>
        <v/>
      </c>
      <c r="T4220" s="208">
        <f>IF(NOT(nr_NetMode),"",IF($G4220&lt;nr_MStartP,$S4220,$T4208*(1+IF($G4220&lt;nr_MStartP1,(nr_NetSelP+N(INDEX(sc_dnet,4))),(nr_NetSelP1+N(INDEX(sc_dnet,4)))))))</f>
        <v/>
      </c>
      <c r="U4220" s="208">
        <f>IF(nr_NetMode,$T4220,$N4220)</f>
        <v/>
      </c>
    </row>
    <row r="4221">
      <c r="A4221" s="145" t="n">
        <v>9</v>
      </c>
      <c r="B4221" s="204">
        <f>EDATE($B4220,1)</f>
        <v/>
      </c>
      <c r="C4221" s="205">
        <f>EOMONTH($B4221,0)</f>
        <v/>
      </c>
      <c r="D4221" s="201">
        <f>$C4221-$B4221+1</f>
        <v/>
      </c>
      <c r="E4221" s="201">
        <f>MONTH($B4221)</f>
        <v/>
      </c>
      <c r="F4221" s="235">
        <f>($B4221+$C4221+1)/2</f>
        <v/>
      </c>
      <c r="G4221" s="201">
        <f>YEAR($B4221)*12+MONTH($B4221)-1</f>
        <v/>
      </c>
      <c r="H4221" s="207">
        <f>IF(OR(nr_SeasonOn="OFF",re_srow=0,re_ssum=0),1,12*INDEX(se_block,re_srow,$E4221)/re_ssum)</f>
        <v/>
      </c>
      <c r="I4221" s="208">
        <f>EXP(SUMPRODUCT(($AE$3806:$AE$4045&lt;$B4221)*(rl_key=nr_SelKey)*$AI$3806:$AI$4045))</f>
        <v/>
      </c>
      <c r="J4221" s="208">
        <f>EXP(SUMPRODUCT(($AE$3806:$AE$4045&lt;=$C4221)*(rl_key=nr_SelKey)*$AI$3806:$AI$4045))</f>
        <v/>
      </c>
      <c r="K4221" s="201">
        <f>COUNTIFS(rl_key,nr_SelKey,$AE$3806:$AE$4045,"&gt;="&amp;$B4221,$AE$3806:$AE$4045,"&lt;="&amp;$C4221)</f>
        <v/>
      </c>
      <c r="L4221" s="201">
        <f>SUMIFS($AJ$3806:$AJ$4045,rl_key,nr_SelKey,$AF$3806:$AF$4045,$B4221,$AM$3806:$AM$4045,1)</f>
        <v/>
      </c>
      <c r="M4221" s="209">
        <f>IF($K4221=0,0,MIN(1,$L4221/$D4221))</f>
        <v/>
      </c>
      <c r="N4221" s="208">
        <f>IF($K4221=0,$J4221,(1-$M4221)*$I4221+$M4221*$J4221)</f>
        <v/>
      </c>
      <c r="O4221" s="209">
        <f>IF($F4221&lt;$B$4211,$E$4211+$I$4211*($F4221-$A$4211),IF($F4221&lt;$C$4211,$F$4211+$J$4211*($F4221-$B$4211),$G$4211+$K$4211*($F4221-$C$4211)))</f>
        <v/>
      </c>
      <c r="P4221" s="208">
        <f>MIN(1,MAX(0,(nr_MEndPm1-$G4221+0.5)/nr_TermMonths))-MIN(1,MAX(0,(nr_MStartPm1-1-$G4221+0.5)/nr_TermMonths))</f>
        <v/>
      </c>
      <c r="Q4221" s="208">
        <f>MIN(1,MAX(0,(nr_MEndP-$G4221+0.5)/nr_TermMonths))-MIN(1,MAX(0,(nr_MStartP-1-$G4221+0.5)/nr_TermMonths))</f>
        <v/>
      </c>
      <c r="R4221" s="208">
        <f>MIN(1,MAX(0,(nr_MEndP1-$G4221+0.5)/nr_TermMonths))-MIN(1,MAX(0,(nr_MStartP1-1-$G4221+0.5)/nr_TermMonths))</f>
        <v/>
      </c>
      <c r="S4221" s="208">
        <f>IF(nr_NetMode,$N4221*IF(nr_ModAdjEff="ON",$O4221/nr_MInd,1),"")</f>
        <v/>
      </c>
      <c r="T4221" s="208">
        <f>IF(NOT(nr_NetMode),"",IF($G4221&lt;nr_MStartP,$S4221,$T4209*(1+IF($G4221&lt;nr_MStartP1,(nr_NetSelP+N(INDEX(sc_dnet,4))),(nr_NetSelP1+N(INDEX(sc_dnet,4)))))))</f>
        <v/>
      </c>
      <c r="U4221" s="208">
        <f>IF(nr_NetMode,$T4221,$N4221)</f>
        <v/>
      </c>
    </row>
    <row r="4222">
      <c r="A4222" s="145" t="n">
        <v>10</v>
      </c>
      <c r="B4222" s="204">
        <f>EDATE($B4221,1)</f>
        <v/>
      </c>
      <c r="C4222" s="205">
        <f>EOMONTH($B4222,0)</f>
        <v/>
      </c>
      <c r="D4222" s="201">
        <f>$C4222-$B4222+1</f>
        <v/>
      </c>
      <c r="E4222" s="201">
        <f>MONTH($B4222)</f>
        <v/>
      </c>
      <c r="F4222" s="235">
        <f>($B4222+$C4222+1)/2</f>
        <v/>
      </c>
      <c r="G4222" s="201">
        <f>YEAR($B4222)*12+MONTH($B4222)-1</f>
        <v/>
      </c>
      <c r="H4222" s="207">
        <f>IF(OR(nr_SeasonOn="OFF",re_srow=0,re_ssum=0),1,12*INDEX(se_block,re_srow,$E4222)/re_ssum)</f>
        <v/>
      </c>
      <c r="I4222" s="208">
        <f>EXP(SUMPRODUCT(($AE$3806:$AE$4045&lt;$B4222)*(rl_key=nr_SelKey)*$AI$3806:$AI$4045))</f>
        <v/>
      </c>
      <c r="J4222" s="208">
        <f>EXP(SUMPRODUCT(($AE$3806:$AE$4045&lt;=$C4222)*(rl_key=nr_SelKey)*$AI$3806:$AI$4045))</f>
        <v/>
      </c>
      <c r="K4222" s="201">
        <f>COUNTIFS(rl_key,nr_SelKey,$AE$3806:$AE$4045,"&gt;="&amp;$B4222,$AE$3806:$AE$4045,"&lt;="&amp;$C4222)</f>
        <v/>
      </c>
      <c r="L4222" s="201">
        <f>SUMIFS($AJ$3806:$AJ$4045,rl_key,nr_SelKey,$AF$3806:$AF$4045,$B4222,$AM$3806:$AM$4045,1)</f>
        <v/>
      </c>
      <c r="M4222" s="209">
        <f>IF($K4222=0,0,MIN(1,$L4222/$D4222))</f>
        <v/>
      </c>
      <c r="N4222" s="208">
        <f>IF($K4222=0,$J4222,(1-$M4222)*$I4222+$M4222*$J4222)</f>
        <v/>
      </c>
      <c r="O4222" s="209">
        <f>IF($F4222&lt;$B$4211,$E$4211+$I$4211*($F4222-$A$4211),IF($F4222&lt;$C$4211,$F$4211+$J$4211*($F4222-$B$4211),$G$4211+$K$4211*($F4222-$C$4211)))</f>
        <v/>
      </c>
      <c r="P4222" s="208">
        <f>MIN(1,MAX(0,(nr_MEndPm1-$G4222+0.5)/nr_TermMonths))-MIN(1,MAX(0,(nr_MStartPm1-1-$G4222+0.5)/nr_TermMonths))</f>
        <v/>
      </c>
      <c r="Q4222" s="208">
        <f>MIN(1,MAX(0,(nr_MEndP-$G4222+0.5)/nr_TermMonths))-MIN(1,MAX(0,(nr_MStartP-1-$G4222+0.5)/nr_TermMonths))</f>
        <v/>
      </c>
      <c r="R4222" s="208">
        <f>MIN(1,MAX(0,(nr_MEndP1-$G4222+0.5)/nr_TermMonths))-MIN(1,MAX(0,(nr_MStartP1-1-$G4222+0.5)/nr_TermMonths))</f>
        <v/>
      </c>
      <c r="S4222" s="208">
        <f>IF(nr_NetMode,$N4222*IF(nr_ModAdjEff="ON",$O4222/nr_MInd,1),"")</f>
        <v/>
      </c>
      <c r="T4222" s="208">
        <f>IF(NOT(nr_NetMode),"",IF($G4222&lt;nr_MStartP,$S4222,$T4210*(1+IF($G4222&lt;nr_MStartP1,(nr_NetSelP+N(INDEX(sc_dnet,4))),(nr_NetSelP1+N(INDEX(sc_dnet,4)))))))</f>
        <v/>
      </c>
      <c r="U4222" s="208">
        <f>IF(nr_NetMode,$T4222,$N4222)</f>
        <v/>
      </c>
    </row>
    <row r="4223">
      <c r="A4223" s="145" t="n">
        <v>11</v>
      </c>
      <c r="B4223" s="204">
        <f>EDATE($B4222,1)</f>
        <v/>
      </c>
      <c r="C4223" s="205">
        <f>EOMONTH($B4223,0)</f>
        <v/>
      </c>
      <c r="D4223" s="201">
        <f>$C4223-$B4223+1</f>
        <v/>
      </c>
      <c r="E4223" s="201">
        <f>MONTH($B4223)</f>
        <v/>
      </c>
      <c r="F4223" s="235">
        <f>($B4223+$C4223+1)/2</f>
        <v/>
      </c>
      <c r="G4223" s="201">
        <f>YEAR($B4223)*12+MONTH($B4223)-1</f>
        <v/>
      </c>
      <c r="H4223" s="207">
        <f>IF(OR(nr_SeasonOn="OFF",re_srow=0,re_ssum=0),1,12*INDEX(se_block,re_srow,$E4223)/re_ssum)</f>
        <v/>
      </c>
      <c r="I4223" s="208">
        <f>EXP(SUMPRODUCT(($AE$3806:$AE$4045&lt;$B4223)*(rl_key=nr_SelKey)*$AI$3806:$AI$4045))</f>
        <v/>
      </c>
      <c r="J4223" s="208">
        <f>EXP(SUMPRODUCT(($AE$3806:$AE$4045&lt;=$C4223)*(rl_key=nr_SelKey)*$AI$3806:$AI$4045))</f>
        <v/>
      </c>
      <c r="K4223" s="201">
        <f>COUNTIFS(rl_key,nr_SelKey,$AE$3806:$AE$4045,"&gt;="&amp;$B4223,$AE$3806:$AE$4045,"&lt;="&amp;$C4223)</f>
        <v/>
      </c>
      <c r="L4223" s="201">
        <f>SUMIFS($AJ$3806:$AJ$4045,rl_key,nr_SelKey,$AF$3806:$AF$4045,$B4223,$AM$3806:$AM$4045,1)</f>
        <v/>
      </c>
      <c r="M4223" s="209">
        <f>IF($K4223=0,0,MIN(1,$L4223/$D4223))</f>
        <v/>
      </c>
      <c r="N4223" s="208">
        <f>IF($K4223=0,$J4223,(1-$M4223)*$I4223+$M4223*$J4223)</f>
        <v/>
      </c>
      <c r="O4223" s="209">
        <f>IF($F4223&lt;$B$4211,$E$4211+$I$4211*($F4223-$A$4211),IF($F4223&lt;$C$4211,$F$4211+$J$4211*($F4223-$B$4211),$G$4211+$K$4211*($F4223-$C$4211)))</f>
        <v/>
      </c>
      <c r="P4223" s="208">
        <f>MIN(1,MAX(0,(nr_MEndPm1-$G4223+0.5)/nr_TermMonths))-MIN(1,MAX(0,(nr_MStartPm1-1-$G4223+0.5)/nr_TermMonths))</f>
        <v/>
      </c>
      <c r="Q4223" s="208">
        <f>MIN(1,MAX(0,(nr_MEndP-$G4223+0.5)/nr_TermMonths))-MIN(1,MAX(0,(nr_MStartP-1-$G4223+0.5)/nr_TermMonths))</f>
        <v/>
      </c>
      <c r="R4223" s="208">
        <f>MIN(1,MAX(0,(nr_MEndP1-$G4223+0.5)/nr_TermMonths))-MIN(1,MAX(0,(nr_MStartP1-1-$G4223+0.5)/nr_TermMonths))</f>
        <v/>
      </c>
      <c r="S4223" s="208">
        <f>IF(nr_NetMode,$N4223*IF(nr_ModAdjEff="ON",$O4223/nr_MInd,1),"")</f>
        <v/>
      </c>
      <c r="T4223" s="208">
        <f>IF(NOT(nr_NetMode),"",IF($G4223&lt;nr_MStartP,$S4223,$T4211*(1+IF($G4223&lt;nr_MStartP1,(nr_NetSelP+N(INDEX(sc_dnet,4))),(nr_NetSelP1+N(INDEX(sc_dnet,4)))))))</f>
        <v/>
      </c>
      <c r="U4223" s="208">
        <f>IF(nr_NetMode,$T4223,$N4223)</f>
        <v/>
      </c>
    </row>
    <row r="4224">
      <c r="A4224" s="145" t="n">
        <v>12</v>
      </c>
      <c r="B4224" s="204">
        <f>EDATE($B4223,1)</f>
        <v/>
      </c>
      <c r="C4224" s="205">
        <f>EOMONTH($B4224,0)</f>
        <v/>
      </c>
      <c r="D4224" s="201">
        <f>$C4224-$B4224+1</f>
        <v/>
      </c>
      <c r="E4224" s="201">
        <f>MONTH($B4224)</f>
        <v/>
      </c>
      <c r="F4224" s="235">
        <f>($B4224+$C4224+1)/2</f>
        <v/>
      </c>
      <c r="G4224" s="201">
        <f>YEAR($B4224)*12+MONTH($B4224)-1</f>
        <v/>
      </c>
      <c r="H4224" s="207">
        <f>IF(OR(nr_SeasonOn="OFF",re_srow=0,re_ssum=0),1,12*INDEX(se_block,re_srow,$E4224)/re_ssum)</f>
        <v/>
      </c>
      <c r="I4224" s="208">
        <f>EXP(SUMPRODUCT(($AE$3806:$AE$4045&lt;$B4224)*(rl_key=nr_SelKey)*$AI$3806:$AI$4045))</f>
        <v/>
      </c>
      <c r="J4224" s="208">
        <f>EXP(SUMPRODUCT(($AE$3806:$AE$4045&lt;=$C4224)*(rl_key=nr_SelKey)*$AI$3806:$AI$4045))</f>
        <v/>
      </c>
      <c r="K4224" s="201">
        <f>COUNTIFS(rl_key,nr_SelKey,$AE$3806:$AE$4045,"&gt;="&amp;$B4224,$AE$3806:$AE$4045,"&lt;="&amp;$C4224)</f>
        <v/>
      </c>
      <c r="L4224" s="201">
        <f>SUMIFS($AJ$3806:$AJ$4045,rl_key,nr_SelKey,$AF$3806:$AF$4045,$B4224,$AM$3806:$AM$4045,1)</f>
        <v/>
      </c>
      <c r="M4224" s="209">
        <f>IF($K4224=0,0,MIN(1,$L4224/$D4224))</f>
        <v/>
      </c>
      <c r="N4224" s="208">
        <f>IF($K4224=0,$J4224,(1-$M4224)*$I4224+$M4224*$J4224)</f>
        <v/>
      </c>
      <c r="O4224" s="209">
        <f>IF($F4224&lt;$B$4211,$E$4211+$I$4211*($F4224-$A$4211),IF($F4224&lt;$C$4211,$F$4211+$J$4211*($F4224-$B$4211),$G$4211+$K$4211*($F4224-$C$4211)))</f>
        <v/>
      </c>
      <c r="P4224" s="208">
        <f>MIN(1,MAX(0,(nr_MEndPm1-$G4224+0.5)/nr_TermMonths))-MIN(1,MAX(0,(nr_MStartPm1-1-$G4224+0.5)/nr_TermMonths))</f>
        <v/>
      </c>
      <c r="Q4224" s="208">
        <f>MIN(1,MAX(0,(nr_MEndP-$G4224+0.5)/nr_TermMonths))-MIN(1,MAX(0,(nr_MStartP-1-$G4224+0.5)/nr_TermMonths))</f>
        <v/>
      </c>
      <c r="R4224" s="208">
        <f>MIN(1,MAX(0,(nr_MEndP1-$G4224+0.5)/nr_TermMonths))-MIN(1,MAX(0,(nr_MStartP1-1-$G4224+0.5)/nr_TermMonths))</f>
        <v/>
      </c>
      <c r="S4224" s="208">
        <f>IF(nr_NetMode,$N4224*IF(nr_ModAdjEff="ON",$O4224/nr_MInd,1),"")</f>
        <v/>
      </c>
      <c r="T4224" s="208">
        <f>IF(NOT(nr_NetMode),"",IF($G4224&lt;nr_MStartP,$S4224,$T4212*(1+IF($G4224&lt;nr_MStartP1,(nr_NetSelP+N(INDEX(sc_dnet,4))),(nr_NetSelP1+N(INDEX(sc_dnet,4)))))))</f>
        <v/>
      </c>
      <c r="U4224" s="208">
        <f>IF(nr_NetMode,$T4224,$N4224)</f>
        <v/>
      </c>
    </row>
    <row r="4225">
      <c r="A4225" s="145" t="n">
        <v>13</v>
      </c>
      <c r="B4225" s="204">
        <f>EDATE($B4224,1)</f>
        <v/>
      </c>
      <c r="C4225" s="205">
        <f>EOMONTH($B4225,0)</f>
        <v/>
      </c>
      <c r="D4225" s="201">
        <f>$C4225-$B4225+1</f>
        <v/>
      </c>
      <c r="E4225" s="201">
        <f>MONTH($B4225)</f>
        <v/>
      </c>
      <c r="F4225" s="235">
        <f>($B4225+$C4225+1)/2</f>
        <v/>
      </c>
      <c r="G4225" s="201">
        <f>YEAR($B4225)*12+MONTH($B4225)-1</f>
        <v/>
      </c>
      <c r="H4225" s="207">
        <f>IF(OR(nr_SeasonOn="OFF",re_srow=0,re_ssum=0),1,12*INDEX(se_block,re_srow,$E4225)/re_ssum)</f>
        <v/>
      </c>
      <c r="I4225" s="208">
        <f>EXP(SUMPRODUCT(($AE$3806:$AE$4045&lt;$B4225)*(rl_key=nr_SelKey)*$AI$3806:$AI$4045))</f>
        <v/>
      </c>
      <c r="J4225" s="208">
        <f>EXP(SUMPRODUCT(($AE$3806:$AE$4045&lt;=$C4225)*(rl_key=nr_SelKey)*$AI$3806:$AI$4045))</f>
        <v/>
      </c>
      <c r="K4225" s="201">
        <f>COUNTIFS(rl_key,nr_SelKey,$AE$3806:$AE$4045,"&gt;="&amp;$B4225,$AE$3806:$AE$4045,"&lt;="&amp;$C4225)</f>
        <v/>
      </c>
      <c r="L4225" s="201">
        <f>SUMIFS($AJ$3806:$AJ$4045,rl_key,nr_SelKey,$AF$3806:$AF$4045,$B4225,$AM$3806:$AM$4045,1)</f>
        <v/>
      </c>
      <c r="M4225" s="209">
        <f>IF($K4225=0,0,MIN(1,$L4225/$D4225))</f>
        <v/>
      </c>
      <c r="N4225" s="208">
        <f>IF($K4225=0,$J4225,(1-$M4225)*$I4225+$M4225*$J4225)</f>
        <v/>
      </c>
      <c r="O4225" s="209">
        <f>IF($F4225&lt;$B$4211,$E$4211+$I$4211*($F4225-$A$4211),IF($F4225&lt;$C$4211,$F$4211+$J$4211*($F4225-$B$4211),$G$4211+$K$4211*($F4225-$C$4211)))</f>
        <v/>
      </c>
      <c r="P4225" s="208">
        <f>MIN(1,MAX(0,(nr_MEndPm1-$G4225+0.5)/nr_TermMonths))-MIN(1,MAX(0,(nr_MStartPm1-1-$G4225+0.5)/nr_TermMonths))</f>
        <v/>
      </c>
      <c r="Q4225" s="208">
        <f>MIN(1,MAX(0,(nr_MEndP-$G4225+0.5)/nr_TermMonths))-MIN(1,MAX(0,(nr_MStartP-1-$G4225+0.5)/nr_TermMonths))</f>
        <v/>
      </c>
      <c r="R4225" s="208">
        <f>MIN(1,MAX(0,(nr_MEndP1-$G4225+0.5)/nr_TermMonths))-MIN(1,MAX(0,(nr_MStartP1-1-$G4225+0.5)/nr_TermMonths))</f>
        <v/>
      </c>
      <c r="S4225" s="208">
        <f>IF(nr_NetMode,$N4225*IF(nr_ModAdjEff="ON",$O4225/nr_MInd,1),"")</f>
        <v/>
      </c>
      <c r="T4225" s="208">
        <f>IF(NOT(nr_NetMode),"",IF($G4225&lt;nr_MStartP,$S4225,$T4213*(1+IF($G4225&lt;nr_MStartP1,(nr_NetSelP+N(INDEX(sc_dnet,4))),(nr_NetSelP1+N(INDEX(sc_dnet,4)))))))</f>
        <v/>
      </c>
      <c r="U4225" s="208">
        <f>IF(nr_NetMode,$T4225,$N4225)</f>
        <v/>
      </c>
    </row>
    <row r="4226">
      <c r="A4226" s="145" t="n">
        <v>14</v>
      </c>
      <c r="B4226" s="204">
        <f>EDATE($B4225,1)</f>
        <v/>
      </c>
      <c r="C4226" s="205">
        <f>EOMONTH($B4226,0)</f>
        <v/>
      </c>
      <c r="D4226" s="201">
        <f>$C4226-$B4226+1</f>
        <v/>
      </c>
      <c r="E4226" s="201">
        <f>MONTH($B4226)</f>
        <v/>
      </c>
      <c r="F4226" s="235">
        <f>($B4226+$C4226+1)/2</f>
        <v/>
      </c>
      <c r="G4226" s="201">
        <f>YEAR($B4226)*12+MONTH($B4226)-1</f>
        <v/>
      </c>
      <c r="H4226" s="207">
        <f>IF(OR(nr_SeasonOn="OFF",re_srow=0,re_ssum=0),1,12*INDEX(se_block,re_srow,$E4226)/re_ssum)</f>
        <v/>
      </c>
      <c r="I4226" s="208">
        <f>EXP(SUMPRODUCT(($AE$3806:$AE$4045&lt;$B4226)*(rl_key=nr_SelKey)*$AI$3806:$AI$4045))</f>
        <v/>
      </c>
      <c r="J4226" s="208">
        <f>EXP(SUMPRODUCT(($AE$3806:$AE$4045&lt;=$C4226)*(rl_key=nr_SelKey)*$AI$3806:$AI$4045))</f>
        <v/>
      </c>
      <c r="K4226" s="201">
        <f>COUNTIFS(rl_key,nr_SelKey,$AE$3806:$AE$4045,"&gt;="&amp;$B4226,$AE$3806:$AE$4045,"&lt;="&amp;$C4226)</f>
        <v/>
      </c>
      <c r="L4226" s="201">
        <f>SUMIFS($AJ$3806:$AJ$4045,rl_key,nr_SelKey,$AF$3806:$AF$4045,$B4226,$AM$3806:$AM$4045,1)</f>
        <v/>
      </c>
      <c r="M4226" s="209">
        <f>IF($K4226=0,0,MIN(1,$L4226/$D4226))</f>
        <v/>
      </c>
      <c r="N4226" s="208">
        <f>IF($K4226=0,$J4226,(1-$M4226)*$I4226+$M4226*$J4226)</f>
        <v/>
      </c>
      <c r="O4226" s="209">
        <f>IF($F4226&lt;$B$4211,$E$4211+$I$4211*($F4226-$A$4211),IF($F4226&lt;$C$4211,$F$4211+$J$4211*($F4226-$B$4211),$G$4211+$K$4211*($F4226-$C$4211)))</f>
        <v/>
      </c>
      <c r="P4226" s="208">
        <f>MIN(1,MAX(0,(nr_MEndPm1-$G4226+0.5)/nr_TermMonths))-MIN(1,MAX(0,(nr_MStartPm1-1-$G4226+0.5)/nr_TermMonths))</f>
        <v/>
      </c>
      <c r="Q4226" s="208">
        <f>MIN(1,MAX(0,(nr_MEndP-$G4226+0.5)/nr_TermMonths))-MIN(1,MAX(0,(nr_MStartP-1-$G4226+0.5)/nr_TermMonths))</f>
        <v/>
      </c>
      <c r="R4226" s="208">
        <f>MIN(1,MAX(0,(nr_MEndP1-$G4226+0.5)/nr_TermMonths))-MIN(1,MAX(0,(nr_MStartP1-1-$G4226+0.5)/nr_TermMonths))</f>
        <v/>
      </c>
      <c r="S4226" s="208">
        <f>IF(nr_NetMode,$N4226*IF(nr_ModAdjEff="ON",$O4226/nr_MInd,1),"")</f>
        <v/>
      </c>
      <c r="T4226" s="208">
        <f>IF(NOT(nr_NetMode),"",IF($G4226&lt;nr_MStartP,$S4226,$T4214*(1+IF($G4226&lt;nr_MStartP1,(nr_NetSelP+N(INDEX(sc_dnet,4))),(nr_NetSelP1+N(INDEX(sc_dnet,4)))))))</f>
        <v/>
      </c>
      <c r="U4226" s="208">
        <f>IF(nr_NetMode,$T4226,$N4226)</f>
        <v/>
      </c>
    </row>
    <row r="4227">
      <c r="A4227" s="145" t="n">
        <v>15</v>
      </c>
      <c r="B4227" s="204">
        <f>EDATE($B4226,1)</f>
        <v/>
      </c>
      <c r="C4227" s="205">
        <f>EOMONTH($B4227,0)</f>
        <v/>
      </c>
      <c r="D4227" s="201">
        <f>$C4227-$B4227+1</f>
        <v/>
      </c>
      <c r="E4227" s="201">
        <f>MONTH($B4227)</f>
        <v/>
      </c>
      <c r="F4227" s="235">
        <f>($B4227+$C4227+1)/2</f>
        <v/>
      </c>
      <c r="G4227" s="201">
        <f>YEAR($B4227)*12+MONTH($B4227)-1</f>
        <v/>
      </c>
      <c r="H4227" s="207">
        <f>IF(OR(nr_SeasonOn="OFF",re_srow=0,re_ssum=0),1,12*INDEX(se_block,re_srow,$E4227)/re_ssum)</f>
        <v/>
      </c>
      <c r="I4227" s="208">
        <f>EXP(SUMPRODUCT(($AE$3806:$AE$4045&lt;$B4227)*(rl_key=nr_SelKey)*$AI$3806:$AI$4045))</f>
        <v/>
      </c>
      <c r="J4227" s="208">
        <f>EXP(SUMPRODUCT(($AE$3806:$AE$4045&lt;=$C4227)*(rl_key=nr_SelKey)*$AI$3806:$AI$4045))</f>
        <v/>
      </c>
      <c r="K4227" s="201">
        <f>COUNTIFS(rl_key,nr_SelKey,$AE$3806:$AE$4045,"&gt;="&amp;$B4227,$AE$3806:$AE$4045,"&lt;="&amp;$C4227)</f>
        <v/>
      </c>
      <c r="L4227" s="201">
        <f>SUMIFS($AJ$3806:$AJ$4045,rl_key,nr_SelKey,$AF$3806:$AF$4045,$B4227,$AM$3806:$AM$4045,1)</f>
        <v/>
      </c>
      <c r="M4227" s="209">
        <f>IF($K4227=0,0,MIN(1,$L4227/$D4227))</f>
        <v/>
      </c>
      <c r="N4227" s="208">
        <f>IF($K4227=0,$J4227,(1-$M4227)*$I4227+$M4227*$J4227)</f>
        <v/>
      </c>
      <c r="O4227" s="209">
        <f>IF($F4227&lt;$B$4211,$E$4211+$I$4211*($F4227-$A$4211),IF($F4227&lt;$C$4211,$F$4211+$J$4211*($F4227-$B$4211),$G$4211+$K$4211*($F4227-$C$4211)))</f>
        <v/>
      </c>
      <c r="P4227" s="208">
        <f>MIN(1,MAX(0,(nr_MEndPm1-$G4227+0.5)/nr_TermMonths))-MIN(1,MAX(0,(nr_MStartPm1-1-$G4227+0.5)/nr_TermMonths))</f>
        <v/>
      </c>
      <c r="Q4227" s="208">
        <f>MIN(1,MAX(0,(nr_MEndP-$G4227+0.5)/nr_TermMonths))-MIN(1,MAX(0,(nr_MStartP-1-$G4227+0.5)/nr_TermMonths))</f>
        <v/>
      </c>
      <c r="R4227" s="208">
        <f>MIN(1,MAX(0,(nr_MEndP1-$G4227+0.5)/nr_TermMonths))-MIN(1,MAX(0,(nr_MStartP1-1-$G4227+0.5)/nr_TermMonths))</f>
        <v/>
      </c>
      <c r="S4227" s="208">
        <f>IF(nr_NetMode,$N4227*IF(nr_ModAdjEff="ON",$O4227/nr_MInd,1),"")</f>
        <v/>
      </c>
      <c r="T4227" s="208">
        <f>IF(NOT(nr_NetMode),"",IF($G4227&lt;nr_MStartP,$S4227,$T4215*(1+IF($G4227&lt;nr_MStartP1,(nr_NetSelP+N(INDEX(sc_dnet,4))),(nr_NetSelP1+N(INDEX(sc_dnet,4)))))))</f>
        <v/>
      </c>
      <c r="U4227" s="208">
        <f>IF(nr_NetMode,$T4227,$N4227)</f>
        <v/>
      </c>
    </row>
    <row r="4228">
      <c r="A4228" s="145" t="n">
        <v>16</v>
      </c>
      <c r="B4228" s="204">
        <f>EDATE($B4227,1)</f>
        <v/>
      </c>
      <c r="C4228" s="205">
        <f>EOMONTH($B4228,0)</f>
        <v/>
      </c>
      <c r="D4228" s="201">
        <f>$C4228-$B4228+1</f>
        <v/>
      </c>
      <c r="E4228" s="201">
        <f>MONTH($B4228)</f>
        <v/>
      </c>
      <c r="F4228" s="235">
        <f>($B4228+$C4228+1)/2</f>
        <v/>
      </c>
      <c r="G4228" s="201">
        <f>YEAR($B4228)*12+MONTH($B4228)-1</f>
        <v/>
      </c>
      <c r="H4228" s="207">
        <f>IF(OR(nr_SeasonOn="OFF",re_srow=0,re_ssum=0),1,12*INDEX(se_block,re_srow,$E4228)/re_ssum)</f>
        <v/>
      </c>
      <c r="I4228" s="208">
        <f>EXP(SUMPRODUCT(($AE$3806:$AE$4045&lt;$B4228)*(rl_key=nr_SelKey)*$AI$3806:$AI$4045))</f>
        <v/>
      </c>
      <c r="J4228" s="208">
        <f>EXP(SUMPRODUCT(($AE$3806:$AE$4045&lt;=$C4228)*(rl_key=nr_SelKey)*$AI$3806:$AI$4045))</f>
        <v/>
      </c>
      <c r="K4228" s="201">
        <f>COUNTIFS(rl_key,nr_SelKey,$AE$3806:$AE$4045,"&gt;="&amp;$B4228,$AE$3806:$AE$4045,"&lt;="&amp;$C4228)</f>
        <v/>
      </c>
      <c r="L4228" s="201">
        <f>SUMIFS($AJ$3806:$AJ$4045,rl_key,nr_SelKey,$AF$3806:$AF$4045,$B4228,$AM$3806:$AM$4045,1)</f>
        <v/>
      </c>
      <c r="M4228" s="209">
        <f>IF($K4228=0,0,MIN(1,$L4228/$D4228))</f>
        <v/>
      </c>
      <c r="N4228" s="208">
        <f>IF($K4228=0,$J4228,(1-$M4228)*$I4228+$M4228*$J4228)</f>
        <v/>
      </c>
      <c r="O4228" s="209">
        <f>IF($F4228&lt;$B$4211,$E$4211+$I$4211*($F4228-$A$4211),IF($F4228&lt;$C$4211,$F$4211+$J$4211*($F4228-$B$4211),$G$4211+$K$4211*($F4228-$C$4211)))</f>
        <v/>
      </c>
      <c r="P4228" s="208">
        <f>MIN(1,MAX(0,(nr_MEndPm1-$G4228+0.5)/nr_TermMonths))-MIN(1,MAX(0,(nr_MStartPm1-1-$G4228+0.5)/nr_TermMonths))</f>
        <v/>
      </c>
      <c r="Q4228" s="208">
        <f>MIN(1,MAX(0,(nr_MEndP-$G4228+0.5)/nr_TermMonths))-MIN(1,MAX(0,(nr_MStartP-1-$G4228+0.5)/nr_TermMonths))</f>
        <v/>
      </c>
      <c r="R4228" s="208">
        <f>MIN(1,MAX(0,(nr_MEndP1-$G4228+0.5)/nr_TermMonths))-MIN(1,MAX(0,(nr_MStartP1-1-$G4228+0.5)/nr_TermMonths))</f>
        <v/>
      </c>
      <c r="S4228" s="208">
        <f>IF(nr_NetMode,$N4228*IF(nr_ModAdjEff="ON",$O4228/nr_MInd,1),"")</f>
        <v/>
      </c>
      <c r="T4228" s="208">
        <f>IF(NOT(nr_NetMode),"",IF($G4228&lt;nr_MStartP,$S4228,$T4216*(1+IF($G4228&lt;nr_MStartP1,(nr_NetSelP+N(INDEX(sc_dnet,4))),(nr_NetSelP1+N(INDEX(sc_dnet,4)))))))</f>
        <v/>
      </c>
      <c r="U4228" s="208">
        <f>IF(nr_NetMode,$T4228,$N4228)</f>
        <v/>
      </c>
    </row>
    <row r="4229">
      <c r="A4229" s="145" t="n">
        <v>17</v>
      </c>
      <c r="B4229" s="204">
        <f>EDATE($B4228,1)</f>
        <v/>
      </c>
      <c r="C4229" s="205">
        <f>EOMONTH($B4229,0)</f>
        <v/>
      </c>
      <c r="D4229" s="201">
        <f>$C4229-$B4229+1</f>
        <v/>
      </c>
      <c r="E4229" s="201">
        <f>MONTH($B4229)</f>
        <v/>
      </c>
      <c r="F4229" s="235">
        <f>($B4229+$C4229+1)/2</f>
        <v/>
      </c>
      <c r="G4229" s="201">
        <f>YEAR($B4229)*12+MONTH($B4229)-1</f>
        <v/>
      </c>
      <c r="H4229" s="207">
        <f>IF(OR(nr_SeasonOn="OFF",re_srow=0,re_ssum=0),1,12*INDEX(se_block,re_srow,$E4229)/re_ssum)</f>
        <v/>
      </c>
      <c r="I4229" s="208">
        <f>EXP(SUMPRODUCT(($AE$3806:$AE$4045&lt;$B4229)*(rl_key=nr_SelKey)*$AI$3806:$AI$4045))</f>
        <v/>
      </c>
      <c r="J4229" s="208">
        <f>EXP(SUMPRODUCT(($AE$3806:$AE$4045&lt;=$C4229)*(rl_key=nr_SelKey)*$AI$3806:$AI$4045))</f>
        <v/>
      </c>
      <c r="K4229" s="201">
        <f>COUNTIFS(rl_key,nr_SelKey,$AE$3806:$AE$4045,"&gt;="&amp;$B4229,$AE$3806:$AE$4045,"&lt;="&amp;$C4229)</f>
        <v/>
      </c>
      <c r="L4229" s="201">
        <f>SUMIFS($AJ$3806:$AJ$4045,rl_key,nr_SelKey,$AF$3806:$AF$4045,$B4229,$AM$3806:$AM$4045,1)</f>
        <v/>
      </c>
      <c r="M4229" s="209">
        <f>IF($K4229=0,0,MIN(1,$L4229/$D4229))</f>
        <v/>
      </c>
      <c r="N4229" s="208">
        <f>IF($K4229=0,$J4229,(1-$M4229)*$I4229+$M4229*$J4229)</f>
        <v/>
      </c>
      <c r="O4229" s="209">
        <f>IF($F4229&lt;$B$4211,$E$4211+$I$4211*($F4229-$A$4211),IF($F4229&lt;$C$4211,$F$4211+$J$4211*($F4229-$B$4211),$G$4211+$K$4211*($F4229-$C$4211)))</f>
        <v/>
      </c>
      <c r="P4229" s="208">
        <f>MIN(1,MAX(0,(nr_MEndPm1-$G4229+0.5)/nr_TermMonths))-MIN(1,MAX(0,(nr_MStartPm1-1-$G4229+0.5)/nr_TermMonths))</f>
        <v/>
      </c>
      <c r="Q4229" s="208">
        <f>MIN(1,MAX(0,(nr_MEndP-$G4229+0.5)/nr_TermMonths))-MIN(1,MAX(0,(nr_MStartP-1-$G4229+0.5)/nr_TermMonths))</f>
        <v/>
      </c>
      <c r="R4229" s="208">
        <f>MIN(1,MAX(0,(nr_MEndP1-$G4229+0.5)/nr_TermMonths))-MIN(1,MAX(0,(nr_MStartP1-1-$G4229+0.5)/nr_TermMonths))</f>
        <v/>
      </c>
      <c r="S4229" s="208">
        <f>IF(nr_NetMode,$N4229*IF(nr_ModAdjEff="ON",$O4229/nr_MInd,1),"")</f>
        <v/>
      </c>
      <c r="T4229" s="208">
        <f>IF(NOT(nr_NetMode),"",IF($G4229&lt;nr_MStartP,$S4229,$T4217*(1+IF($G4229&lt;nr_MStartP1,(nr_NetSelP+N(INDEX(sc_dnet,4))),(nr_NetSelP1+N(INDEX(sc_dnet,4)))))))</f>
        <v/>
      </c>
      <c r="U4229" s="208">
        <f>IF(nr_NetMode,$T4229,$N4229)</f>
        <v/>
      </c>
    </row>
    <row r="4230">
      <c r="A4230" s="145" t="n">
        <v>18</v>
      </c>
      <c r="B4230" s="204">
        <f>EDATE($B4229,1)</f>
        <v/>
      </c>
      <c r="C4230" s="205">
        <f>EOMONTH($B4230,0)</f>
        <v/>
      </c>
      <c r="D4230" s="201">
        <f>$C4230-$B4230+1</f>
        <v/>
      </c>
      <c r="E4230" s="201">
        <f>MONTH($B4230)</f>
        <v/>
      </c>
      <c r="F4230" s="235">
        <f>($B4230+$C4230+1)/2</f>
        <v/>
      </c>
      <c r="G4230" s="201">
        <f>YEAR($B4230)*12+MONTH($B4230)-1</f>
        <v/>
      </c>
      <c r="H4230" s="207">
        <f>IF(OR(nr_SeasonOn="OFF",re_srow=0,re_ssum=0),1,12*INDEX(se_block,re_srow,$E4230)/re_ssum)</f>
        <v/>
      </c>
      <c r="I4230" s="208">
        <f>EXP(SUMPRODUCT(($AE$3806:$AE$4045&lt;$B4230)*(rl_key=nr_SelKey)*$AI$3806:$AI$4045))</f>
        <v/>
      </c>
      <c r="J4230" s="208">
        <f>EXP(SUMPRODUCT(($AE$3806:$AE$4045&lt;=$C4230)*(rl_key=nr_SelKey)*$AI$3806:$AI$4045))</f>
        <v/>
      </c>
      <c r="K4230" s="201">
        <f>COUNTIFS(rl_key,nr_SelKey,$AE$3806:$AE$4045,"&gt;="&amp;$B4230,$AE$3806:$AE$4045,"&lt;="&amp;$C4230)</f>
        <v/>
      </c>
      <c r="L4230" s="201">
        <f>SUMIFS($AJ$3806:$AJ$4045,rl_key,nr_SelKey,$AF$3806:$AF$4045,$B4230,$AM$3806:$AM$4045,1)</f>
        <v/>
      </c>
      <c r="M4230" s="209">
        <f>IF($K4230=0,0,MIN(1,$L4230/$D4230))</f>
        <v/>
      </c>
      <c r="N4230" s="208">
        <f>IF($K4230=0,$J4230,(1-$M4230)*$I4230+$M4230*$J4230)</f>
        <v/>
      </c>
      <c r="O4230" s="209">
        <f>IF($F4230&lt;$B$4211,$E$4211+$I$4211*($F4230-$A$4211),IF($F4230&lt;$C$4211,$F$4211+$J$4211*($F4230-$B$4211),$G$4211+$K$4211*($F4230-$C$4211)))</f>
        <v/>
      </c>
      <c r="P4230" s="208">
        <f>MIN(1,MAX(0,(nr_MEndPm1-$G4230+0.5)/nr_TermMonths))-MIN(1,MAX(0,(nr_MStartPm1-1-$G4230+0.5)/nr_TermMonths))</f>
        <v/>
      </c>
      <c r="Q4230" s="208">
        <f>MIN(1,MAX(0,(nr_MEndP-$G4230+0.5)/nr_TermMonths))-MIN(1,MAX(0,(nr_MStartP-1-$G4230+0.5)/nr_TermMonths))</f>
        <v/>
      </c>
      <c r="R4230" s="208">
        <f>MIN(1,MAX(0,(nr_MEndP1-$G4230+0.5)/nr_TermMonths))-MIN(1,MAX(0,(nr_MStartP1-1-$G4230+0.5)/nr_TermMonths))</f>
        <v/>
      </c>
      <c r="S4230" s="208">
        <f>IF(nr_NetMode,$N4230*IF(nr_ModAdjEff="ON",$O4230/nr_MInd,1),"")</f>
        <v/>
      </c>
      <c r="T4230" s="208">
        <f>IF(NOT(nr_NetMode),"",IF($G4230&lt;nr_MStartP,$S4230,$T4218*(1+IF($G4230&lt;nr_MStartP1,(nr_NetSelP+N(INDEX(sc_dnet,4))),(nr_NetSelP1+N(INDEX(sc_dnet,4)))))))</f>
        <v/>
      </c>
      <c r="U4230" s="208">
        <f>IF(nr_NetMode,$T4230,$N4230)</f>
        <v/>
      </c>
    </row>
    <row r="4231">
      <c r="A4231" s="145" t="n">
        <v>19</v>
      </c>
      <c r="B4231" s="204">
        <f>EDATE($B4230,1)</f>
        <v/>
      </c>
      <c r="C4231" s="205">
        <f>EOMONTH($B4231,0)</f>
        <v/>
      </c>
      <c r="D4231" s="201">
        <f>$C4231-$B4231+1</f>
        <v/>
      </c>
      <c r="E4231" s="201">
        <f>MONTH($B4231)</f>
        <v/>
      </c>
      <c r="F4231" s="235">
        <f>($B4231+$C4231+1)/2</f>
        <v/>
      </c>
      <c r="G4231" s="201">
        <f>YEAR($B4231)*12+MONTH($B4231)-1</f>
        <v/>
      </c>
      <c r="H4231" s="207">
        <f>IF(OR(nr_SeasonOn="OFF",re_srow=0,re_ssum=0),1,12*INDEX(se_block,re_srow,$E4231)/re_ssum)</f>
        <v/>
      </c>
      <c r="I4231" s="208">
        <f>EXP(SUMPRODUCT(($AE$3806:$AE$4045&lt;$B4231)*(rl_key=nr_SelKey)*$AI$3806:$AI$4045))</f>
        <v/>
      </c>
      <c r="J4231" s="208">
        <f>EXP(SUMPRODUCT(($AE$3806:$AE$4045&lt;=$C4231)*(rl_key=nr_SelKey)*$AI$3806:$AI$4045))</f>
        <v/>
      </c>
      <c r="K4231" s="201">
        <f>COUNTIFS(rl_key,nr_SelKey,$AE$3806:$AE$4045,"&gt;="&amp;$B4231,$AE$3806:$AE$4045,"&lt;="&amp;$C4231)</f>
        <v/>
      </c>
      <c r="L4231" s="201">
        <f>SUMIFS($AJ$3806:$AJ$4045,rl_key,nr_SelKey,$AF$3806:$AF$4045,$B4231,$AM$3806:$AM$4045,1)</f>
        <v/>
      </c>
      <c r="M4231" s="209">
        <f>IF($K4231=0,0,MIN(1,$L4231/$D4231))</f>
        <v/>
      </c>
      <c r="N4231" s="208">
        <f>IF($K4231=0,$J4231,(1-$M4231)*$I4231+$M4231*$J4231)</f>
        <v/>
      </c>
      <c r="O4231" s="209">
        <f>IF($F4231&lt;$B$4211,$E$4211+$I$4211*($F4231-$A$4211),IF($F4231&lt;$C$4211,$F$4211+$J$4211*($F4231-$B$4211),$G$4211+$K$4211*($F4231-$C$4211)))</f>
        <v/>
      </c>
      <c r="P4231" s="208">
        <f>MIN(1,MAX(0,(nr_MEndPm1-$G4231+0.5)/nr_TermMonths))-MIN(1,MAX(0,(nr_MStartPm1-1-$G4231+0.5)/nr_TermMonths))</f>
        <v/>
      </c>
      <c r="Q4231" s="208">
        <f>MIN(1,MAX(0,(nr_MEndP-$G4231+0.5)/nr_TermMonths))-MIN(1,MAX(0,(nr_MStartP-1-$G4231+0.5)/nr_TermMonths))</f>
        <v/>
      </c>
      <c r="R4231" s="208">
        <f>MIN(1,MAX(0,(nr_MEndP1-$G4231+0.5)/nr_TermMonths))-MIN(1,MAX(0,(nr_MStartP1-1-$G4231+0.5)/nr_TermMonths))</f>
        <v/>
      </c>
      <c r="S4231" s="208">
        <f>IF(nr_NetMode,$N4231*IF(nr_ModAdjEff="ON",$O4231/nr_MInd,1),"")</f>
        <v/>
      </c>
      <c r="T4231" s="208">
        <f>IF(NOT(nr_NetMode),"",IF($G4231&lt;nr_MStartP,$S4231,$T4219*(1+IF($G4231&lt;nr_MStartP1,(nr_NetSelP+N(INDEX(sc_dnet,4))),(nr_NetSelP1+N(INDEX(sc_dnet,4)))))))</f>
        <v/>
      </c>
      <c r="U4231" s="208">
        <f>IF(nr_NetMode,$T4231,$N4231)</f>
        <v/>
      </c>
    </row>
    <row r="4232">
      <c r="A4232" s="145" t="n">
        <v>20</v>
      </c>
      <c r="B4232" s="204">
        <f>EDATE($B4231,1)</f>
        <v/>
      </c>
      <c r="C4232" s="205">
        <f>EOMONTH($B4232,0)</f>
        <v/>
      </c>
      <c r="D4232" s="201">
        <f>$C4232-$B4232+1</f>
        <v/>
      </c>
      <c r="E4232" s="201">
        <f>MONTH($B4232)</f>
        <v/>
      </c>
      <c r="F4232" s="235">
        <f>($B4232+$C4232+1)/2</f>
        <v/>
      </c>
      <c r="G4232" s="201">
        <f>YEAR($B4232)*12+MONTH($B4232)-1</f>
        <v/>
      </c>
      <c r="H4232" s="207">
        <f>IF(OR(nr_SeasonOn="OFF",re_srow=0,re_ssum=0),1,12*INDEX(se_block,re_srow,$E4232)/re_ssum)</f>
        <v/>
      </c>
      <c r="I4232" s="208">
        <f>EXP(SUMPRODUCT(($AE$3806:$AE$4045&lt;$B4232)*(rl_key=nr_SelKey)*$AI$3806:$AI$4045))</f>
        <v/>
      </c>
      <c r="J4232" s="208">
        <f>EXP(SUMPRODUCT(($AE$3806:$AE$4045&lt;=$C4232)*(rl_key=nr_SelKey)*$AI$3806:$AI$4045))</f>
        <v/>
      </c>
      <c r="K4232" s="201">
        <f>COUNTIFS(rl_key,nr_SelKey,$AE$3806:$AE$4045,"&gt;="&amp;$B4232,$AE$3806:$AE$4045,"&lt;="&amp;$C4232)</f>
        <v/>
      </c>
      <c r="L4232" s="201">
        <f>SUMIFS($AJ$3806:$AJ$4045,rl_key,nr_SelKey,$AF$3806:$AF$4045,$B4232,$AM$3806:$AM$4045,1)</f>
        <v/>
      </c>
      <c r="M4232" s="209">
        <f>IF($K4232=0,0,MIN(1,$L4232/$D4232))</f>
        <v/>
      </c>
      <c r="N4232" s="208">
        <f>IF($K4232=0,$J4232,(1-$M4232)*$I4232+$M4232*$J4232)</f>
        <v/>
      </c>
      <c r="O4232" s="209">
        <f>IF($F4232&lt;$B$4211,$E$4211+$I$4211*($F4232-$A$4211),IF($F4232&lt;$C$4211,$F$4211+$J$4211*($F4232-$B$4211),$G$4211+$K$4211*($F4232-$C$4211)))</f>
        <v/>
      </c>
      <c r="P4232" s="208">
        <f>MIN(1,MAX(0,(nr_MEndPm1-$G4232+0.5)/nr_TermMonths))-MIN(1,MAX(0,(nr_MStartPm1-1-$G4232+0.5)/nr_TermMonths))</f>
        <v/>
      </c>
      <c r="Q4232" s="208">
        <f>MIN(1,MAX(0,(nr_MEndP-$G4232+0.5)/nr_TermMonths))-MIN(1,MAX(0,(nr_MStartP-1-$G4232+0.5)/nr_TermMonths))</f>
        <v/>
      </c>
      <c r="R4232" s="208">
        <f>MIN(1,MAX(0,(nr_MEndP1-$G4232+0.5)/nr_TermMonths))-MIN(1,MAX(0,(nr_MStartP1-1-$G4232+0.5)/nr_TermMonths))</f>
        <v/>
      </c>
      <c r="S4232" s="208">
        <f>IF(nr_NetMode,$N4232*IF(nr_ModAdjEff="ON",$O4232/nr_MInd,1),"")</f>
        <v/>
      </c>
      <c r="T4232" s="208">
        <f>IF(NOT(nr_NetMode),"",IF($G4232&lt;nr_MStartP,$S4232,$T4220*(1+IF($G4232&lt;nr_MStartP1,(nr_NetSelP+N(INDEX(sc_dnet,4))),(nr_NetSelP1+N(INDEX(sc_dnet,4)))))))</f>
        <v/>
      </c>
      <c r="U4232" s="208">
        <f>IF(nr_NetMode,$T4232,$N4232)</f>
        <v/>
      </c>
    </row>
    <row r="4233">
      <c r="A4233" s="145" t="n">
        <v>21</v>
      </c>
      <c r="B4233" s="204">
        <f>EDATE($B4232,1)</f>
        <v/>
      </c>
      <c r="C4233" s="205">
        <f>EOMONTH($B4233,0)</f>
        <v/>
      </c>
      <c r="D4233" s="201">
        <f>$C4233-$B4233+1</f>
        <v/>
      </c>
      <c r="E4233" s="201">
        <f>MONTH($B4233)</f>
        <v/>
      </c>
      <c r="F4233" s="235">
        <f>($B4233+$C4233+1)/2</f>
        <v/>
      </c>
      <c r="G4233" s="201">
        <f>YEAR($B4233)*12+MONTH($B4233)-1</f>
        <v/>
      </c>
      <c r="H4233" s="207">
        <f>IF(OR(nr_SeasonOn="OFF",re_srow=0,re_ssum=0),1,12*INDEX(se_block,re_srow,$E4233)/re_ssum)</f>
        <v/>
      </c>
      <c r="I4233" s="208">
        <f>EXP(SUMPRODUCT(($AE$3806:$AE$4045&lt;$B4233)*(rl_key=nr_SelKey)*$AI$3806:$AI$4045))</f>
        <v/>
      </c>
      <c r="J4233" s="208">
        <f>EXP(SUMPRODUCT(($AE$3806:$AE$4045&lt;=$C4233)*(rl_key=nr_SelKey)*$AI$3806:$AI$4045))</f>
        <v/>
      </c>
      <c r="K4233" s="201">
        <f>COUNTIFS(rl_key,nr_SelKey,$AE$3806:$AE$4045,"&gt;="&amp;$B4233,$AE$3806:$AE$4045,"&lt;="&amp;$C4233)</f>
        <v/>
      </c>
      <c r="L4233" s="201">
        <f>SUMIFS($AJ$3806:$AJ$4045,rl_key,nr_SelKey,$AF$3806:$AF$4045,$B4233,$AM$3806:$AM$4045,1)</f>
        <v/>
      </c>
      <c r="M4233" s="209">
        <f>IF($K4233=0,0,MIN(1,$L4233/$D4233))</f>
        <v/>
      </c>
      <c r="N4233" s="208">
        <f>IF($K4233=0,$J4233,(1-$M4233)*$I4233+$M4233*$J4233)</f>
        <v/>
      </c>
      <c r="O4233" s="209">
        <f>IF($F4233&lt;$B$4211,$E$4211+$I$4211*($F4233-$A$4211),IF($F4233&lt;$C$4211,$F$4211+$J$4211*($F4233-$B$4211),$G$4211+$K$4211*($F4233-$C$4211)))</f>
        <v/>
      </c>
      <c r="P4233" s="208">
        <f>MIN(1,MAX(0,(nr_MEndPm1-$G4233+0.5)/nr_TermMonths))-MIN(1,MAX(0,(nr_MStartPm1-1-$G4233+0.5)/nr_TermMonths))</f>
        <v/>
      </c>
      <c r="Q4233" s="208">
        <f>MIN(1,MAX(0,(nr_MEndP-$G4233+0.5)/nr_TermMonths))-MIN(1,MAX(0,(nr_MStartP-1-$G4233+0.5)/nr_TermMonths))</f>
        <v/>
      </c>
      <c r="R4233" s="208">
        <f>MIN(1,MAX(0,(nr_MEndP1-$G4233+0.5)/nr_TermMonths))-MIN(1,MAX(0,(nr_MStartP1-1-$G4233+0.5)/nr_TermMonths))</f>
        <v/>
      </c>
      <c r="S4233" s="208">
        <f>IF(nr_NetMode,$N4233*IF(nr_ModAdjEff="ON",$O4233/nr_MInd,1),"")</f>
        <v/>
      </c>
      <c r="T4233" s="208">
        <f>IF(NOT(nr_NetMode),"",IF($G4233&lt;nr_MStartP,$S4233,$T4221*(1+IF($G4233&lt;nr_MStartP1,(nr_NetSelP+N(INDEX(sc_dnet,4))),(nr_NetSelP1+N(INDEX(sc_dnet,4)))))))</f>
        <v/>
      </c>
      <c r="U4233" s="208">
        <f>IF(nr_NetMode,$T4233,$N4233)</f>
        <v/>
      </c>
    </row>
    <row r="4234">
      <c r="A4234" s="145" t="n">
        <v>22</v>
      </c>
      <c r="B4234" s="204">
        <f>EDATE($B4233,1)</f>
        <v/>
      </c>
      <c r="C4234" s="205">
        <f>EOMONTH($B4234,0)</f>
        <v/>
      </c>
      <c r="D4234" s="201">
        <f>$C4234-$B4234+1</f>
        <v/>
      </c>
      <c r="E4234" s="201">
        <f>MONTH($B4234)</f>
        <v/>
      </c>
      <c r="F4234" s="235">
        <f>($B4234+$C4234+1)/2</f>
        <v/>
      </c>
      <c r="G4234" s="201">
        <f>YEAR($B4234)*12+MONTH($B4234)-1</f>
        <v/>
      </c>
      <c r="H4234" s="207">
        <f>IF(OR(nr_SeasonOn="OFF",re_srow=0,re_ssum=0),1,12*INDEX(se_block,re_srow,$E4234)/re_ssum)</f>
        <v/>
      </c>
      <c r="I4234" s="208">
        <f>EXP(SUMPRODUCT(($AE$3806:$AE$4045&lt;$B4234)*(rl_key=nr_SelKey)*$AI$3806:$AI$4045))</f>
        <v/>
      </c>
      <c r="J4234" s="208">
        <f>EXP(SUMPRODUCT(($AE$3806:$AE$4045&lt;=$C4234)*(rl_key=nr_SelKey)*$AI$3806:$AI$4045))</f>
        <v/>
      </c>
      <c r="K4234" s="201">
        <f>COUNTIFS(rl_key,nr_SelKey,$AE$3806:$AE$4045,"&gt;="&amp;$B4234,$AE$3806:$AE$4045,"&lt;="&amp;$C4234)</f>
        <v/>
      </c>
      <c r="L4234" s="201">
        <f>SUMIFS($AJ$3806:$AJ$4045,rl_key,nr_SelKey,$AF$3806:$AF$4045,$B4234,$AM$3806:$AM$4045,1)</f>
        <v/>
      </c>
      <c r="M4234" s="209">
        <f>IF($K4234=0,0,MIN(1,$L4234/$D4234))</f>
        <v/>
      </c>
      <c r="N4234" s="208">
        <f>IF($K4234=0,$J4234,(1-$M4234)*$I4234+$M4234*$J4234)</f>
        <v/>
      </c>
      <c r="O4234" s="209">
        <f>IF($F4234&lt;$B$4211,$E$4211+$I$4211*($F4234-$A$4211),IF($F4234&lt;$C$4211,$F$4211+$J$4211*($F4234-$B$4211),$G$4211+$K$4211*($F4234-$C$4211)))</f>
        <v/>
      </c>
      <c r="P4234" s="208">
        <f>MIN(1,MAX(0,(nr_MEndPm1-$G4234+0.5)/nr_TermMonths))-MIN(1,MAX(0,(nr_MStartPm1-1-$G4234+0.5)/nr_TermMonths))</f>
        <v/>
      </c>
      <c r="Q4234" s="208">
        <f>MIN(1,MAX(0,(nr_MEndP-$G4234+0.5)/nr_TermMonths))-MIN(1,MAX(0,(nr_MStartP-1-$G4234+0.5)/nr_TermMonths))</f>
        <v/>
      </c>
      <c r="R4234" s="208">
        <f>MIN(1,MAX(0,(nr_MEndP1-$G4234+0.5)/nr_TermMonths))-MIN(1,MAX(0,(nr_MStartP1-1-$G4234+0.5)/nr_TermMonths))</f>
        <v/>
      </c>
      <c r="S4234" s="208">
        <f>IF(nr_NetMode,$N4234*IF(nr_ModAdjEff="ON",$O4234/nr_MInd,1),"")</f>
        <v/>
      </c>
      <c r="T4234" s="208">
        <f>IF(NOT(nr_NetMode),"",IF($G4234&lt;nr_MStartP,$S4234,$T4222*(1+IF($G4234&lt;nr_MStartP1,(nr_NetSelP+N(INDEX(sc_dnet,4))),(nr_NetSelP1+N(INDEX(sc_dnet,4)))))))</f>
        <v/>
      </c>
      <c r="U4234" s="208">
        <f>IF(nr_NetMode,$T4234,$N4234)</f>
        <v/>
      </c>
    </row>
    <row r="4235">
      <c r="A4235" s="145" t="n">
        <v>23</v>
      </c>
      <c r="B4235" s="204">
        <f>EDATE($B4234,1)</f>
        <v/>
      </c>
      <c r="C4235" s="205">
        <f>EOMONTH($B4235,0)</f>
        <v/>
      </c>
      <c r="D4235" s="201">
        <f>$C4235-$B4235+1</f>
        <v/>
      </c>
      <c r="E4235" s="201">
        <f>MONTH($B4235)</f>
        <v/>
      </c>
      <c r="F4235" s="235">
        <f>($B4235+$C4235+1)/2</f>
        <v/>
      </c>
      <c r="G4235" s="201">
        <f>YEAR($B4235)*12+MONTH($B4235)-1</f>
        <v/>
      </c>
      <c r="H4235" s="207">
        <f>IF(OR(nr_SeasonOn="OFF",re_srow=0,re_ssum=0),1,12*INDEX(se_block,re_srow,$E4235)/re_ssum)</f>
        <v/>
      </c>
      <c r="I4235" s="208">
        <f>EXP(SUMPRODUCT(($AE$3806:$AE$4045&lt;$B4235)*(rl_key=nr_SelKey)*$AI$3806:$AI$4045))</f>
        <v/>
      </c>
      <c r="J4235" s="208">
        <f>EXP(SUMPRODUCT(($AE$3806:$AE$4045&lt;=$C4235)*(rl_key=nr_SelKey)*$AI$3806:$AI$4045))</f>
        <v/>
      </c>
      <c r="K4235" s="201">
        <f>COUNTIFS(rl_key,nr_SelKey,$AE$3806:$AE$4045,"&gt;="&amp;$B4235,$AE$3806:$AE$4045,"&lt;="&amp;$C4235)</f>
        <v/>
      </c>
      <c r="L4235" s="201">
        <f>SUMIFS($AJ$3806:$AJ$4045,rl_key,nr_SelKey,$AF$3806:$AF$4045,$B4235,$AM$3806:$AM$4045,1)</f>
        <v/>
      </c>
      <c r="M4235" s="209">
        <f>IF($K4235=0,0,MIN(1,$L4235/$D4235))</f>
        <v/>
      </c>
      <c r="N4235" s="208">
        <f>IF($K4235=0,$J4235,(1-$M4235)*$I4235+$M4235*$J4235)</f>
        <v/>
      </c>
      <c r="O4235" s="209">
        <f>IF($F4235&lt;$B$4211,$E$4211+$I$4211*($F4235-$A$4211),IF($F4235&lt;$C$4211,$F$4211+$J$4211*($F4235-$B$4211),$G$4211+$K$4211*($F4235-$C$4211)))</f>
        <v/>
      </c>
      <c r="P4235" s="208">
        <f>MIN(1,MAX(0,(nr_MEndPm1-$G4235+0.5)/nr_TermMonths))-MIN(1,MAX(0,(nr_MStartPm1-1-$G4235+0.5)/nr_TermMonths))</f>
        <v/>
      </c>
      <c r="Q4235" s="208">
        <f>MIN(1,MAX(0,(nr_MEndP-$G4235+0.5)/nr_TermMonths))-MIN(1,MAX(0,(nr_MStartP-1-$G4235+0.5)/nr_TermMonths))</f>
        <v/>
      </c>
      <c r="R4235" s="208">
        <f>MIN(1,MAX(0,(nr_MEndP1-$G4235+0.5)/nr_TermMonths))-MIN(1,MAX(0,(nr_MStartP1-1-$G4235+0.5)/nr_TermMonths))</f>
        <v/>
      </c>
      <c r="S4235" s="208">
        <f>IF(nr_NetMode,$N4235*IF(nr_ModAdjEff="ON",$O4235/nr_MInd,1),"")</f>
        <v/>
      </c>
      <c r="T4235" s="208">
        <f>IF(NOT(nr_NetMode),"",IF($G4235&lt;nr_MStartP,$S4235,$T4223*(1+IF($G4235&lt;nr_MStartP1,(nr_NetSelP+N(INDEX(sc_dnet,4))),(nr_NetSelP1+N(INDEX(sc_dnet,4)))))))</f>
        <v/>
      </c>
      <c r="U4235" s="208">
        <f>IF(nr_NetMode,$T4235,$N4235)</f>
        <v/>
      </c>
    </row>
    <row r="4236">
      <c r="A4236" s="145" t="n">
        <v>24</v>
      </c>
      <c r="B4236" s="204">
        <f>EDATE($B4235,1)</f>
        <v/>
      </c>
      <c r="C4236" s="205">
        <f>EOMONTH($B4236,0)</f>
        <v/>
      </c>
      <c r="D4236" s="201">
        <f>$C4236-$B4236+1</f>
        <v/>
      </c>
      <c r="E4236" s="201">
        <f>MONTH($B4236)</f>
        <v/>
      </c>
      <c r="F4236" s="235">
        <f>($B4236+$C4236+1)/2</f>
        <v/>
      </c>
      <c r="G4236" s="201">
        <f>YEAR($B4236)*12+MONTH($B4236)-1</f>
        <v/>
      </c>
      <c r="H4236" s="207">
        <f>IF(OR(nr_SeasonOn="OFF",re_srow=0,re_ssum=0),1,12*INDEX(se_block,re_srow,$E4236)/re_ssum)</f>
        <v/>
      </c>
      <c r="I4236" s="208">
        <f>EXP(SUMPRODUCT(($AE$3806:$AE$4045&lt;$B4236)*(rl_key=nr_SelKey)*$AI$3806:$AI$4045))</f>
        <v/>
      </c>
      <c r="J4236" s="208">
        <f>EXP(SUMPRODUCT(($AE$3806:$AE$4045&lt;=$C4236)*(rl_key=nr_SelKey)*$AI$3806:$AI$4045))</f>
        <v/>
      </c>
      <c r="K4236" s="201">
        <f>COUNTIFS(rl_key,nr_SelKey,$AE$3806:$AE$4045,"&gt;="&amp;$B4236,$AE$3806:$AE$4045,"&lt;="&amp;$C4236)</f>
        <v/>
      </c>
      <c r="L4236" s="201">
        <f>SUMIFS($AJ$3806:$AJ$4045,rl_key,nr_SelKey,$AF$3806:$AF$4045,$B4236,$AM$3806:$AM$4045,1)</f>
        <v/>
      </c>
      <c r="M4236" s="209">
        <f>IF($K4236=0,0,MIN(1,$L4236/$D4236))</f>
        <v/>
      </c>
      <c r="N4236" s="208">
        <f>IF($K4236=0,$J4236,(1-$M4236)*$I4236+$M4236*$J4236)</f>
        <v/>
      </c>
      <c r="O4236" s="209">
        <f>IF($F4236&lt;$B$4211,$E$4211+$I$4211*($F4236-$A$4211),IF($F4236&lt;$C$4211,$F$4211+$J$4211*($F4236-$B$4211),$G$4211+$K$4211*($F4236-$C$4211)))</f>
        <v/>
      </c>
      <c r="P4236" s="208">
        <f>MIN(1,MAX(0,(nr_MEndPm1-$G4236+0.5)/nr_TermMonths))-MIN(1,MAX(0,(nr_MStartPm1-1-$G4236+0.5)/nr_TermMonths))</f>
        <v/>
      </c>
      <c r="Q4236" s="208">
        <f>MIN(1,MAX(0,(nr_MEndP-$G4236+0.5)/nr_TermMonths))-MIN(1,MAX(0,(nr_MStartP-1-$G4236+0.5)/nr_TermMonths))</f>
        <v/>
      </c>
      <c r="R4236" s="208">
        <f>MIN(1,MAX(0,(nr_MEndP1-$G4236+0.5)/nr_TermMonths))-MIN(1,MAX(0,(nr_MStartP1-1-$G4236+0.5)/nr_TermMonths))</f>
        <v/>
      </c>
      <c r="S4236" s="208">
        <f>IF(nr_NetMode,$N4236*IF(nr_ModAdjEff="ON",$O4236/nr_MInd,1),"")</f>
        <v/>
      </c>
      <c r="T4236" s="208">
        <f>IF(NOT(nr_NetMode),"",IF($G4236&lt;nr_MStartP,$S4236,$T4224*(1+IF($G4236&lt;nr_MStartP1,(nr_NetSelP+N(INDEX(sc_dnet,4))),(nr_NetSelP1+N(INDEX(sc_dnet,4)))))))</f>
        <v/>
      </c>
      <c r="U4236" s="208">
        <f>IF(nr_NetMode,$T4236,$N4236)</f>
        <v/>
      </c>
    </row>
    <row r="4237">
      <c r="A4237" s="145" t="n">
        <v>25</v>
      </c>
      <c r="B4237" s="204">
        <f>EDATE($B4236,1)</f>
        <v/>
      </c>
      <c r="C4237" s="205">
        <f>EOMONTH($B4237,0)</f>
        <v/>
      </c>
      <c r="D4237" s="201">
        <f>$C4237-$B4237+1</f>
        <v/>
      </c>
      <c r="E4237" s="201">
        <f>MONTH($B4237)</f>
        <v/>
      </c>
      <c r="F4237" s="235">
        <f>($B4237+$C4237+1)/2</f>
        <v/>
      </c>
      <c r="G4237" s="201">
        <f>YEAR($B4237)*12+MONTH($B4237)-1</f>
        <v/>
      </c>
      <c r="H4237" s="207">
        <f>IF(OR(nr_SeasonOn="OFF",re_srow=0,re_ssum=0),1,12*INDEX(se_block,re_srow,$E4237)/re_ssum)</f>
        <v/>
      </c>
      <c r="I4237" s="208">
        <f>EXP(SUMPRODUCT(($AE$3806:$AE$4045&lt;$B4237)*(rl_key=nr_SelKey)*$AI$3806:$AI$4045))</f>
        <v/>
      </c>
      <c r="J4237" s="208">
        <f>EXP(SUMPRODUCT(($AE$3806:$AE$4045&lt;=$C4237)*(rl_key=nr_SelKey)*$AI$3806:$AI$4045))</f>
        <v/>
      </c>
      <c r="K4237" s="201">
        <f>COUNTIFS(rl_key,nr_SelKey,$AE$3806:$AE$4045,"&gt;="&amp;$B4237,$AE$3806:$AE$4045,"&lt;="&amp;$C4237)</f>
        <v/>
      </c>
      <c r="L4237" s="201">
        <f>SUMIFS($AJ$3806:$AJ$4045,rl_key,nr_SelKey,$AF$3806:$AF$4045,$B4237,$AM$3806:$AM$4045,1)</f>
        <v/>
      </c>
      <c r="M4237" s="209">
        <f>IF($K4237=0,0,MIN(1,$L4237/$D4237))</f>
        <v/>
      </c>
      <c r="N4237" s="208">
        <f>IF($K4237=0,$J4237,(1-$M4237)*$I4237+$M4237*$J4237)</f>
        <v/>
      </c>
      <c r="O4237" s="209">
        <f>IF($F4237&lt;$B$4211,$E$4211+$I$4211*($F4237-$A$4211),IF($F4237&lt;$C$4211,$F$4211+$J$4211*($F4237-$B$4211),$G$4211+$K$4211*($F4237-$C$4211)))</f>
        <v/>
      </c>
      <c r="P4237" s="208">
        <f>MIN(1,MAX(0,(nr_MEndPm1-$G4237+0.5)/nr_TermMonths))-MIN(1,MAX(0,(nr_MStartPm1-1-$G4237+0.5)/nr_TermMonths))</f>
        <v/>
      </c>
      <c r="Q4237" s="208">
        <f>MIN(1,MAX(0,(nr_MEndP-$G4237+0.5)/nr_TermMonths))-MIN(1,MAX(0,(nr_MStartP-1-$G4237+0.5)/nr_TermMonths))</f>
        <v/>
      </c>
      <c r="R4237" s="208">
        <f>MIN(1,MAX(0,(nr_MEndP1-$G4237+0.5)/nr_TermMonths))-MIN(1,MAX(0,(nr_MStartP1-1-$G4237+0.5)/nr_TermMonths))</f>
        <v/>
      </c>
      <c r="S4237" s="208">
        <f>IF(nr_NetMode,$N4237*IF(nr_ModAdjEff="ON",$O4237/nr_MInd,1),"")</f>
        <v/>
      </c>
      <c r="T4237" s="208">
        <f>IF(NOT(nr_NetMode),"",IF($G4237&lt;nr_MStartP,$S4237,$T4225*(1+IF($G4237&lt;nr_MStartP1,(nr_NetSelP+N(INDEX(sc_dnet,4))),(nr_NetSelP1+N(INDEX(sc_dnet,4)))))))</f>
        <v/>
      </c>
      <c r="U4237" s="208">
        <f>IF(nr_NetMode,$T4237,$N4237)</f>
        <v/>
      </c>
    </row>
    <row r="4238">
      <c r="A4238" s="145" t="n">
        <v>26</v>
      </c>
      <c r="B4238" s="204">
        <f>EDATE($B4237,1)</f>
        <v/>
      </c>
      <c r="C4238" s="205">
        <f>EOMONTH($B4238,0)</f>
        <v/>
      </c>
      <c r="D4238" s="201">
        <f>$C4238-$B4238+1</f>
        <v/>
      </c>
      <c r="E4238" s="201">
        <f>MONTH($B4238)</f>
        <v/>
      </c>
      <c r="F4238" s="235">
        <f>($B4238+$C4238+1)/2</f>
        <v/>
      </c>
      <c r="G4238" s="201">
        <f>YEAR($B4238)*12+MONTH($B4238)-1</f>
        <v/>
      </c>
      <c r="H4238" s="207">
        <f>IF(OR(nr_SeasonOn="OFF",re_srow=0,re_ssum=0),1,12*INDEX(se_block,re_srow,$E4238)/re_ssum)</f>
        <v/>
      </c>
      <c r="I4238" s="208">
        <f>EXP(SUMPRODUCT(($AE$3806:$AE$4045&lt;$B4238)*(rl_key=nr_SelKey)*$AI$3806:$AI$4045))</f>
        <v/>
      </c>
      <c r="J4238" s="208">
        <f>EXP(SUMPRODUCT(($AE$3806:$AE$4045&lt;=$C4238)*(rl_key=nr_SelKey)*$AI$3806:$AI$4045))</f>
        <v/>
      </c>
      <c r="K4238" s="201">
        <f>COUNTIFS(rl_key,nr_SelKey,$AE$3806:$AE$4045,"&gt;="&amp;$B4238,$AE$3806:$AE$4045,"&lt;="&amp;$C4238)</f>
        <v/>
      </c>
      <c r="L4238" s="201">
        <f>SUMIFS($AJ$3806:$AJ$4045,rl_key,nr_SelKey,$AF$3806:$AF$4045,$B4238,$AM$3806:$AM$4045,1)</f>
        <v/>
      </c>
      <c r="M4238" s="209">
        <f>IF($K4238=0,0,MIN(1,$L4238/$D4238))</f>
        <v/>
      </c>
      <c r="N4238" s="208">
        <f>IF($K4238=0,$J4238,(1-$M4238)*$I4238+$M4238*$J4238)</f>
        <v/>
      </c>
      <c r="O4238" s="209">
        <f>IF($F4238&lt;$B$4211,$E$4211+$I$4211*($F4238-$A$4211),IF($F4238&lt;$C$4211,$F$4211+$J$4211*($F4238-$B$4211),$G$4211+$K$4211*($F4238-$C$4211)))</f>
        <v/>
      </c>
      <c r="P4238" s="208">
        <f>MIN(1,MAX(0,(nr_MEndPm1-$G4238+0.5)/nr_TermMonths))-MIN(1,MAX(0,(nr_MStartPm1-1-$G4238+0.5)/nr_TermMonths))</f>
        <v/>
      </c>
      <c r="Q4238" s="208">
        <f>MIN(1,MAX(0,(nr_MEndP-$G4238+0.5)/nr_TermMonths))-MIN(1,MAX(0,(nr_MStartP-1-$G4238+0.5)/nr_TermMonths))</f>
        <v/>
      </c>
      <c r="R4238" s="208">
        <f>MIN(1,MAX(0,(nr_MEndP1-$G4238+0.5)/nr_TermMonths))-MIN(1,MAX(0,(nr_MStartP1-1-$G4238+0.5)/nr_TermMonths))</f>
        <v/>
      </c>
      <c r="S4238" s="208">
        <f>IF(nr_NetMode,$N4238*IF(nr_ModAdjEff="ON",$O4238/nr_MInd,1),"")</f>
        <v/>
      </c>
      <c r="T4238" s="208">
        <f>IF(NOT(nr_NetMode),"",IF($G4238&lt;nr_MStartP,$S4238,$T4226*(1+IF($G4238&lt;nr_MStartP1,(nr_NetSelP+N(INDEX(sc_dnet,4))),(nr_NetSelP1+N(INDEX(sc_dnet,4)))))))</f>
        <v/>
      </c>
      <c r="U4238" s="208">
        <f>IF(nr_NetMode,$T4238,$N4238)</f>
        <v/>
      </c>
    </row>
    <row r="4239">
      <c r="A4239" s="145" t="n">
        <v>27</v>
      </c>
      <c r="B4239" s="204">
        <f>EDATE($B4238,1)</f>
        <v/>
      </c>
      <c r="C4239" s="205">
        <f>EOMONTH($B4239,0)</f>
        <v/>
      </c>
      <c r="D4239" s="201">
        <f>$C4239-$B4239+1</f>
        <v/>
      </c>
      <c r="E4239" s="201">
        <f>MONTH($B4239)</f>
        <v/>
      </c>
      <c r="F4239" s="235">
        <f>($B4239+$C4239+1)/2</f>
        <v/>
      </c>
      <c r="G4239" s="201">
        <f>YEAR($B4239)*12+MONTH($B4239)-1</f>
        <v/>
      </c>
      <c r="H4239" s="207">
        <f>IF(OR(nr_SeasonOn="OFF",re_srow=0,re_ssum=0),1,12*INDEX(se_block,re_srow,$E4239)/re_ssum)</f>
        <v/>
      </c>
      <c r="I4239" s="208">
        <f>EXP(SUMPRODUCT(($AE$3806:$AE$4045&lt;$B4239)*(rl_key=nr_SelKey)*$AI$3806:$AI$4045))</f>
        <v/>
      </c>
      <c r="J4239" s="208">
        <f>EXP(SUMPRODUCT(($AE$3806:$AE$4045&lt;=$C4239)*(rl_key=nr_SelKey)*$AI$3806:$AI$4045))</f>
        <v/>
      </c>
      <c r="K4239" s="201">
        <f>COUNTIFS(rl_key,nr_SelKey,$AE$3806:$AE$4045,"&gt;="&amp;$B4239,$AE$3806:$AE$4045,"&lt;="&amp;$C4239)</f>
        <v/>
      </c>
      <c r="L4239" s="201">
        <f>SUMIFS($AJ$3806:$AJ$4045,rl_key,nr_SelKey,$AF$3806:$AF$4045,$B4239,$AM$3806:$AM$4045,1)</f>
        <v/>
      </c>
      <c r="M4239" s="209">
        <f>IF($K4239=0,0,MIN(1,$L4239/$D4239))</f>
        <v/>
      </c>
      <c r="N4239" s="208">
        <f>IF($K4239=0,$J4239,(1-$M4239)*$I4239+$M4239*$J4239)</f>
        <v/>
      </c>
      <c r="O4239" s="209">
        <f>IF($F4239&lt;$B$4211,$E$4211+$I$4211*($F4239-$A$4211),IF($F4239&lt;$C$4211,$F$4211+$J$4211*($F4239-$B$4211),$G$4211+$K$4211*($F4239-$C$4211)))</f>
        <v/>
      </c>
      <c r="P4239" s="208">
        <f>MIN(1,MAX(0,(nr_MEndPm1-$G4239+0.5)/nr_TermMonths))-MIN(1,MAX(0,(nr_MStartPm1-1-$G4239+0.5)/nr_TermMonths))</f>
        <v/>
      </c>
      <c r="Q4239" s="208">
        <f>MIN(1,MAX(0,(nr_MEndP-$G4239+0.5)/nr_TermMonths))-MIN(1,MAX(0,(nr_MStartP-1-$G4239+0.5)/nr_TermMonths))</f>
        <v/>
      </c>
      <c r="R4239" s="208">
        <f>MIN(1,MAX(0,(nr_MEndP1-$G4239+0.5)/nr_TermMonths))-MIN(1,MAX(0,(nr_MStartP1-1-$G4239+0.5)/nr_TermMonths))</f>
        <v/>
      </c>
      <c r="S4239" s="208">
        <f>IF(nr_NetMode,$N4239*IF(nr_ModAdjEff="ON",$O4239/nr_MInd,1),"")</f>
        <v/>
      </c>
      <c r="T4239" s="208">
        <f>IF(NOT(nr_NetMode),"",IF($G4239&lt;nr_MStartP,$S4239,$T4227*(1+IF($G4239&lt;nr_MStartP1,(nr_NetSelP+N(INDEX(sc_dnet,4))),(nr_NetSelP1+N(INDEX(sc_dnet,4)))))))</f>
        <v/>
      </c>
      <c r="U4239" s="208">
        <f>IF(nr_NetMode,$T4239,$N4239)</f>
        <v/>
      </c>
    </row>
    <row r="4240">
      <c r="A4240" s="145" t="n">
        <v>28</v>
      </c>
      <c r="B4240" s="204">
        <f>EDATE($B4239,1)</f>
        <v/>
      </c>
      <c r="C4240" s="205">
        <f>EOMONTH($B4240,0)</f>
        <v/>
      </c>
      <c r="D4240" s="201">
        <f>$C4240-$B4240+1</f>
        <v/>
      </c>
      <c r="E4240" s="201">
        <f>MONTH($B4240)</f>
        <v/>
      </c>
      <c r="F4240" s="235">
        <f>($B4240+$C4240+1)/2</f>
        <v/>
      </c>
      <c r="G4240" s="201">
        <f>YEAR($B4240)*12+MONTH($B4240)-1</f>
        <v/>
      </c>
      <c r="H4240" s="207">
        <f>IF(OR(nr_SeasonOn="OFF",re_srow=0,re_ssum=0),1,12*INDEX(se_block,re_srow,$E4240)/re_ssum)</f>
        <v/>
      </c>
      <c r="I4240" s="208">
        <f>EXP(SUMPRODUCT(($AE$3806:$AE$4045&lt;$B4240)*(rl_key=nr_SelKey)*$AI$3806:$AI$4045))</f>
        <v/>
      </c>
      <c r="J4240" s="208">
        <f>EXP(SUMPRODUCT(($AE$3806:$AE$4045&lt;=$C4240)*(rl_key=nr_SelKey)*$AI$3806:$AI$4045))</f>
        <v/>
      </c>
      <c r="K4240" s="201">
        <f>COUNTIFS(rl_key,nr_SelKey,$AE$3806:$AE$4045,"&gt;="&amp;$B4240,$AE$3806:$AE$4045,"&lt;="&amp;$C4240)</f>
        <v/>
      </c>
      <c r="L4240" s="201">
        <f>SUMIFS($AJ$3806:$AJ$4045,rl_key,nr_SelKey,$AF$3806:$AF$4045,$B4240,$AM$3806:$AM$4045,1)</f>
        <v/>
      </c>
      <c r="M4240" s="209">
        <f>IF($K4240=0,0,MIN(1,$L4240/$D4240))</f>
        <v/>
      </c>
      <c r="N4240" s="208">
        <f>IF($K4240=0,$J4240,(1-$M4240)*$I4240+$M4240*$J4240)</f>
        <v/>
      </c>
      <c r="O4240" s="209">
        <f>IF($F4240&lt;$B$4211,$E$4211+$I$4211*($F4240-$A$4211),IF($F4240&lt;$C$4211,$F$4211+$J$4211*($F4240-$B$4211),$G$4211+$K$4211*($F4240-$C$4211)))</f>
        <v/>
      </c>
      <c r="P4240" s="208">
        <f>MIN(1,MAX(0,(nr_MEndPm1-$G4240+0.5)/nr_TermMonths))-MIN(1,MAX(0,(nr_MStartPm1-1-$G4240+0.5)/nr_TermMonths))</f>
        <v/>
      </c>
      <c r="Q4240" s="208">
        <f>MIN(1,MAX(0,(nr_MEndP-$G4240+0.5)/nr_TermMonths))-MIN(1,MAX(0,(nr_MStartP-1-$G4240+0.5)/nr_TermMonths))</f>
        <v/>
      </c>
      <c r="R4240" s="208">
        <f>MIN(1,MAX(0,(nr_MEndP1-$G4240+0.5)/nr_TermMonths))-MIN(1,MAX(0,(nr_MStartP1-1-$G4240+0.5)/nr_TermMonths))</f>
        <v/>
      </c>
      <c r="S4240" s="208">
        <f>IF(nr_NetMode,$N4240*IF(nr_ModAdjEff="ON",$O4240/nr_MInd,1),"")</f>
        <v/>
      </c>
      <c r="T4240" s="208">
        <f>IF(NOT(nr_NetMode),"",IF($G4240&lt;nr_MStartP,$S4240,$T4228*(1+IF($G4240&lt;nr_MStartP1,(nr_NetSelP+N(INDEX(sc_dnet,4))),(nr_NetSelP1+N(INDEX(sc_dnet,4)))))))</f>
        <v/>
      </c>
      <c r="U4240" s="208">
        <f>IF(nr_NetMode,$T4240,$N4240)</f>
        <v/>
      </c>
    </row>
    <row r="4241">
      <c r="A4241" s="145" t="n">
        <v>29</v>
      </c>
      <c r="B4241" s="204">
        <f>EDATE($B4240,1)</f>
        <v/>
      </c>
      <c r="C4241" s="205">
        <f>EOMONTH($B4241,0)</f>
        <v/>
      </c>
      <c r="D4241" s="201">
        <f>$C4241-$B4241+1</f>
        <v/>
      </c>
      <c r="E4241" s="201">
        <f>MONTH($B4241)</f>
        <v/>
      </c>
      <c r="F4241" s="235">
        <f>($B4241+$C4241+1)/2</f>
        <v/>
      </c>
      <c r="G4241" s="201">
        <f>YEAR($B4241)*12+MONTH($B4241)-1</f>
        <v/>
      </c>
      <c r="H4241" s="207">
        <f>IF(OR(nr_SeasonOn="OFF",re_srow=0,re_ssum=0),1,12*INDEX(se_block,re_srow,$E4241)/re_ssum)</f>
        <v/>
      </c>
      <c r="I4241" s="208">
        <f>EXP(SUMPRODUCT(($AE$3806:$AE$4045&lt;$B4241)*(rl_key=nr_SelKey)*$AI$3806:$AI$4045))</f>
        <v/>
      </c>
      <c r="J4241" s="208">
        <f>EXP(SUMPRODUCT(($AE$3806:$AE$4045&lt;=$C4241)*(rl_key=nr_SelKey)*$AI$3806:$AI$4045))</f>
        <v/>
      </c>
      <c r="K4241" s="201">
        <f>COUNTIFS(rl_key,nr_SelKey,$AE$3806:$AE$4045,"&gt;="&amp;$B4241,$AE$3806:$AE$4045,"&lt;="&amp;$C4241)</f>
        <v/>
      </c>
      <c r="L4241" s="201">
        <f>SUMIFS($AJ$3806:$AJ$4045,rl_key,nr_SelKey,$AF$3806:$AF$4045,$B4241,$AM$3806:$AM$4045,1)</f>
        <v/>
      </c>
      <c r="M4241" s="209">
        <f>IF($K4241=0,0,MIN(1,$L4241/$D4241))</f>
        <v/>
      </c>
      <c r="N4241" s="208">
        <f>IF($K4241=0,$J4241,(1-$M4241)*$I4241+$M4241*$J4241)</f>
        <v/>
      </c>
      <c r="O4241" s="209">
        <f>IF($F4241&lt;$B$4211,$E$4211+$I$4211*($F4241-$A$4211),IF($F4241&lt;$C$4211,$F$4211+$J$4211*($F4241-$B$4211),$G$4211+$K$4211*($F4241-$C$4211)))</f>
        <v/>
      </c>
      <c r="P4241" s="208">
        <f>MIN(1,MAX(0,(nr_MEndPm1-$G4241+0.5)/nr_TermMonths))-MIN(1,MAX(0,(nr_MStartPm1-1-$G4241+0.5)/nr_TermMonths))</f>
        <v/>
      </c>
      <c r="Q4241" s="208">
        <f>MIN(1,MAX(0,(nr_MEndP-$G4241+0.5)/nr_TermMonths))-MIN(1,MAX(0,(nr_MStartP-1-$G4241+0.5)/nr_TermMonths))</f>
        <v/>
      </c>
      <c r="R4241" s="208">
        <f>MIN(1,MAX(0,(nr_MEndP1-$G4241+0.5)/nr_TermMonths))-MIN(1,MAX(0,(nr_MStartP1-1-$G4241+0.5)/nr_TermMonths))</f>
        <v/>
      </c>
      <c r="S4241" s="208">
        <f>IF(nr_NetMode,$N4241*IF(nr_ModAdjEff="ON",$O4241/nr_MInd,1),"")</f>
        <v/>
      </c>
      <c r="T4241" s="208">
        <f>IF(NOT(nr_NetMode),"",IF($G4241&lt;nr_MStartP,$S4241,$T4229*(1+IF($G4241&lt;nr_MStartP1,(nr_NetSelP+N(INDEX(sc_dnet,4))),(nr_NetSelP1+N(INDEX(sc_dnet,4)))))))</f>
        <v/>
      </c>
      <c r="U4241" s="208">
        <f>IF(nr_NetMode,$T4241,$N4241)</f>
        <v/>
      </c>
    </row>
    <row r="4242">
      <c r="A4242" s="145" t="n">
        <v>30</v>
      </c>
      <c r="B4242" s="204">
        <f>EDATE($B4241,1)</f>
        <v/>
      </c>
      <c r="C4242" s="205">
        <f>EOMONTH($B4242,0)</f>
        <v/>
      </c>
      <c r="D4242" s="201">
        <f>$C4242-$B4242+1</f>
        <v/>
      </c>
      <c r="E4242" s="201">
        <f>MONTH($B4242)</f>
        <v/>
      </c>
      <c r="F4242" s="235">
        <f>($B4242+$C4242+1)/2</f>
        <v/>
      </c>
      <c r="G4242" s="201">
        <f>YEAR($B4242)*12+MONTH($B4242)-1</f>
        <v/>
      </c>
      <c r="H4242" s="207">
        <f>IF(OR(nr_SeasonOn="OFF",re_srow=0,re_ssum=0),1,12*INDEX(se_block,re_srow,$E4242)/re_ssum)</f>
        <v/>
      </c>
      <c r="I4242" s="208">
        <f>EXP(SUMPRODUCT(($AE$3806:$AE$4045&lt;$B4242)*(rl_key=nr_SelKey)*$AI$3806:$AI$4045))</f>
        <v/>
      </c>
      <c r="J4242" s="208">
        <f>EXP(SUMPRODUCT(($AE$3806:$AE$4045&lt;=$C4242)*(rl_key=nr_SelKey)*$AI$3806:$AI$4045))</f>
        <v/>
      </c>
      <c r="K4242" s="201">
        <f>COUNTIFS(rl_key,nr_SelKey,$AE$3806:$AE$4045,"&gt;="&amp;$B4242,$AE$3806:$AE$4045,"&lt;="&amp;$C4242)</f>
        <v/>
      </c>
      <c r="L4242" s="201">
        <f>SUMIFS($AJ$3806:$AJ$4045,rl_key,nr_SelKey,$AF$3806:$AF$4045,$B4242,$AM$3806:$AM$4045,1)</f>
        <v/>
      </c>
      <c r="M4242" s="209">
        <f>IF($K4242=0,0,MIN(1,$L4242/$D4242))</f>
        <v/>
      </c>
      <c r="N4242" s="208">
        <f>IF($K4242=0,$J4242,(1-$M4242)*$I4242+$M4242*$J4242)</f>
        <v/>
      </c>
      <c r="O4242" s="209">
        <f>IF($F4242&lt;$B$4211,$E$4211+$I$4211*($F4242-$A$4211),IF($F4242&lt;$C$4211,$F$4211+$J$4211*($F4242-$B$4211),$G$4211+$K$4211*($F4242-$C$4211)))</f>
        <v/>
      </c>
      <c r="P4242" s="208">
        <f>MIN(1,MAX(0,(nr_MEndPm1-$G4242+0.5)/nr_TermMonths))-MIN(1,MAX(0,(nr_MStartPm1-1-$G4242+0.5)/nr_TermMonths))</f>
        <v/>
      </c>
      <c r="Q4242" s="208">
        <f>MIN(1,MAX(0,(nr_MEndP-$G4242+0.5)/nr_TermMonths))-MIN(1,MAX(0,(nr_MStartP-1-$G4242+0.5)/nr_TermMonths))</f>
        <v/>
      </c>
      <c r="R4242" s="208">
        <f>MIN(1,MAX(0,(nr_MEndP1-$G4242+0.5)/nr_TermMonths))-MIN(1,MAX(0,(nr_MStartP1-1-$G4242+0.5)/nr_TermMonths))</f>
        <v/>
      </c>
      <c r="S4242" s="208">
        <f>IF(nr_NetMode,$N4242*IF(nr_ModAdjEff="ON",$O4242/nr_MInd,1),"")</f>
        <v/>
      </c>
      <c r="T4242" s="208">
        <f>IF(NOT(nr_NetMode),"",IF($G4242&lt;nr_MStartP,$S4242,$T4230*(1+IF($G4242&lt;nr_MStartP1,(nr_NetSelP+N(INDEX(sc_dnet,4))),(nr_NetSelP1+N(INDEX(sc_dnet,4)))))))</f>
        <v/>
      </c>
      <c r="U4242" s="208">
        <f>IF(nr_NetMode,$T4242,$N4242)</f>
        <v/>
      </c>
    </row>
    <row r="4243">
      <c r="A4243" s="145" t="n">
        <v>31</v>
      </c>
      <c r="B4243" s="204">
        <f>EDATE($B4242,1)</f>
        <v/>
      </c>
      <c r="C4243" s="205">
        <f>EOMONTH($B4243,0)</f>
        <v/>
      </c>
      <c r="D4243" s="201">
        <f>$C4243-$B4243+1</f>
        <v/>
      </c>
      <c r="E4243" s="201">
        <f>MONTH($B4243)</f>
        <v/>
      </c>
      <c r="F4243" s="235">
        <f>($B4243+$C4243+1)/2</f>
        <v/>
      </c>
      <c r="G4243" s="201">
        <f>YEAR($B4243)*12+MONTH($B4243)-1</f>
        <v/>
      </c>
      <c r="H4243" s="207">
        <f>IF(OR(nr_SeasonOn="OFF",re_srow=0,re_ssum=0),1,12*INDEX(se_block,re_srow,$E4243)/re_ssum)</f>
        <v/>
      </c>
      <c r="I4243" s="208">
        <f>EXP(SUMPRODUCT(($AE$3806:$AE$4045&lt;$B4243)*(rl_key=nr_SelKey)*$AI$3806:$AI$4045))</f>
        <v/>
      </c>
      <c r="J4243" s="208">
        <f>EXP(SUMPRODUCT(($AE$3806:$AE$4045&lt;=$C4243)*(rl_key=nr_SelKey)*$AI$3806:$AI$4045))</f>
        <v/>
      </c>
      <c r="K4243" s="201">
        <f>COUNTIFS(rl_key,nr_SelKey,$AE$3806:$AE$4045,"&gt;="&amp;$B4243,$AE$3806:$AE$4045,"&lt;="&amp;$C4243)</f>
        <v/>
      </c>
      <c r="L4243" s="201">
        <f>SUMIFS($AJ$3806:$AJ$4045,rl_key,nr_SelKey,$AF$3806:$AF$4045,$B4243,$AM$3806:$AM$4045,1)</f>
        <v/>
      </c>
      <c r="M4243" s="209">
        <f>IF($K4243=0,0,MIN(1,$L4243/$D4243))</f>
        <v/>
      </c>
      <c r="N4243" s="208">
        <f>IF($K4243=0,$J4243,(1-$M4243)*$I4243+$M4243*$J4243)</f>
        <v/>
      </c>
      <c r="O4243" s="209">
        <f>IF($F4243&lt;$B$4211,$E$4211+$I$4211*($F4243-$A$4211),IF($F4243&lt;$C$4211,$F$4211+$J$4211*($F4243-$B$4211),$G$4211+$K$4211*($F4243-$C$4211)))</f>
        <v/>
      </c>
      <c r="P4243" s="208">
        <f>MIN(1,MAX(0,(nr_MEndPm1-$G4243+0.5)/nr_TermMonths))-MIN(1,MAX(0,(nr_MStartPm1-1-$G4243+0.5)/nr_TermMonths))</f>
        <v/>
      </c>
      <c r="Q4243" s="208">
        <f>MIN(1,MAX(0,(nr_MEndP-$G4243+0.5)/nr_TermMonths))-MIN(1,MAX(0,(nr_MStartP-1-$G4243+0.5)/nr_TermMonths))</f>
        <v/>
      </c>
      <c r="R4243" s="208">
        <f>MIN(1,MAX(0,(nr_MEndP1-$G4243+0.5)/nr_TermMonths))-MIN(1,MAX(0,(nr_MStartP1-1-$G4243+0.5)/nr_TermMonths))</f>
        <v/>
      </c>
      <c r="S4243" s="208">
        <f>IF(nr_NetMode,$N4243*IF(nr_ModAdjEff="ON",$O4243/nr_MInd,1),"")</f>
        <v/>
      </c>
      <c r="T4243" s="208">
        <f>IF(NOT(nr_NetMode),"",IF($G4243&lt;nr_MStartP,$S4243,$T4231*(1+IF($G4243&lt;nr_MStartP1,(nr_NetSelP+N(INDEX(sc_dnet,4))),(nr_NetSelP1+N(INDEX(sc_dnet,4)))))))</f>
        <v/>
      </c>
      <c r="U4243" s="208">
        <f>IF(nr_NetMode,$T4243,$N4243)</f>
        <v/>
      </c>
    </row>
    <row r="4244">
      <c r="A4244" s="145" t="n">
        <v>32</v>
      </c>
      <c r="B4244" s="204">
        <f>EDATE($B4243,1)</f>
        <v/>
      </c>
      <c r="C4244" s="205">
        <f>EOMONTH($B4244,0)</f>
        <v/>
      </c>
      <c r="D4244" s="201">
        <f>$C4244-$B4244+1</f>
        <v/>
      </c>
      <c r="E4244" s="201">
        <f>MONTH($B4244)</f>
        <v/>
      </c>
      <c r="F4244" s="235">
        <f>($B4244+$C4244+1)/2</f>
        <v/>
      </c>
      <c r="G4244" s="201">
        <f>YEAR($B4244)*12+MONTH($B4244)-1</f>
        <v/>
      </c>
      <c r="H4244" s="207">
        <f>IF(OR(nr_SeasonOn="OFF",re_srow=0,re_ssum=0),1,12*INDEX(se_block,re_srow,$E4244)/re_ssum)</f>
        <v/>
      </c>
      <c r="I4244" s="208">
        <f>EXP(SUMPRODUCT(($AE$3806:$AE$4045&lt;$B4244)*(rl_key=nr_SelKey)*$AI$3806:$AI$4045))</f>
        <v/>
      </c>
      <c r="J4244" s="208">
        <f>EXP(SUMPRODUCT(($AE$3806:$AE$4045&lt;=$C4244)*(rl_key=nr_SelKey)*$AI$3806:$AI$4045))</f>
        <v/>
      </c>
      <c r="K4244" s="201">
        <f>COUNTIFS(rl_key,nr_SelKey,$AE$3806:$AE$4045,"&gt;="&amp;$B4244,$AE$3806:$AE$4045,"&lt;="&amp;$C4244)</f>
        <v/>
      </c>
      <c r="L4244" s="201">
        <f>SUMIFS($AJ$3806:$AJ$4045,rl_key,nr_SelKey,$AF$3806:$AF$4045,$B4244,$AM$3806:$AM$4045,1)</f>
        <v/>
      </c>
      <c r="M4244" s="209">
        <f>IF($K4244=0,0,MIN(1,$L4244/$D4244))</f>
        <v/>
      </c>
      <c r="N4244" s="208">
        <f>IF($K4244=0,$J4244,(1-$M4244)*$I4244+$M4244*$J4244)</f>
        <v/>
      </c>
      <c r="O4244" s="209">
        <f>IF($F4244&lt;$B$4211,$E$4211+$I$4211*($F4244-$A$4211),IF($F4244&lt;$C$4211,$F$4211+$J$4211*($F4244-$B$4211),$G$4211+$K$4211*($F4244-$C$4211)))</f>
        <v/>
      </c>
      <c r="P4244" s="208">
        <f>MIN(1,MAX(0,(nr_MEndPm1-$G4244+0.5)/nr_TermMonths))-MIN(1,MAX(0,(nr_MStartPm1-1-$G4244+0.5)/nr_TermMonths))</f>
        <v/>
      </c>
      <c r="Q4244" s="208">
        <f>MIN(1,MAX(0,(nr_MEndP-$G4244+0.5)/nr_TermMonths))-MIN(1,MAX(0,(nr_MStartP-1-$G4244+0.5)/nr_TermMonths))</f>
        <v/>
      </c>
      <c r="R4244" s="208">
        <f>MIN(1,MAX(0,(nr_MEndP1-$G4244+0.5)/nr_TermMonths))-MIN(1,MAX(0,(nr_MStartP1-1-$G4244+0.5)/nr_TermMonths))</f>
        <v/>
      </c>
      <c r="S4244" s="208">
        <f>IF(nr_NetMode,$N4244*IF(nr_ModAdjEff="ON",$O4244/nr_MInd,1),"")</f>
        <v/>
      </c>
      <c r="T4244" s="208">
        <f>IF(NOT(nr_NetMode),"",IF($G4244&lt;nr_MStartP,$S4244,$T4232*(1+IF($G4244&lt;nr_MStartP1,(nr_NetSelP+N(INDEX(sc_dnet,4))),(nr_NetSelP1+N(INDEX(sc_dnet,4)))))))</f>
        <v/>
      </c>
      <c r="U4244" s="208">
        <f>IF(nr_NetMode,$T4244,$N4244)</f>
        <v/>
      </c>
    </row>
    <row r="4245">
      <c r="A4245" s="145" t="n">
        <v>33</v>
      </c>
      <c r="B4245" s="204">
        <f>EDATE($B4244,1)</f>
        <v/>
      </c>
      <c r="C4245" s="205">
        <f>EOMONTH($B4245,0)</f>
        <v/>
      </c>
      <c r="D4245" s="201">
        <f>$C4245-$B4245+1</f>
        <v/>
      </c>
      <c r="E4245" s="201">
        <f>MONTH($B4245)</f>
        <v/>
      </c>
      <c r="F4245" s="235">
        <f>($B4245+$C4245+1)/2</f>
        <v/>
      </c>
      <c r="G4245" s="201">
        <f>YEAR($B4245)*12+MONTH($B4245)-1</f>
        <v/>
      </c>
      <c r="H4245" s="207">
        <f>IF(OR(nr_SeasonOn="OFF",re_srow=0,re_ssum=0),1,12*INDEX(se_block,re_srow,$E4245)/re_ssum)</f>
        <v/>
      </c>
      <c r="I4245" s="208">
        <f>EXP(SUMPRODUCT(($AE$3806:$AE$4045&lt;$B4245)*(rl_key=nr_SelKey)*$AI$3806:$AI$4045))</f>
        <v/>
      </c>
      <c r="J4245" s="208">
        <f>EXP(SUMPRODUCT(($AE$3806:$AE$4045&lt;=$C4245)*(rl_key=nr_SelKey)*$AI$3806:$AI$4045))</f>
        <v/>
      </c>
      <c r="K4245" s="201">
        <f>COUNTIFS(rl_key,nr_SelKey,$AE$3806:$AE$4045,"&gt;="&amp;$B4245,$AE$3806:$AE$4045,"&lt;="&amp;$C4245)</f>
        <v/>
      </c>
      <c r="L4245" s="201">
        <f>SUMIFS($AJ$3806:$AJ$4045,rl_key,nr_SelKey,$AF$3806:$AF$4045,$B4245,$AM$3806:$AM$4045,1)</f>
        <v/>
      </c>
      <c r="M4245" s="209">
        <f>IF($K4245=0,0,MIN(1,$L4245/$D4245))</f>
        <v/>
      </c>
      <c r="N4245" s="208">
        <f>IF($K4245=0,$J4245,(1-$M4245)*$I4245+$M4245*$J4245)</f>
        <v/>
      </c>
      <c r="O4245" s="209">
        <f>IF($F4245&lt;$B$4211,$E$4211+$I$4211*($F4245-$A$4211),IF($F4245&lt;$C$4211,$F$4211+$J$4211*($F4245-$B$4211),$G$4211+$K$4211*($F4245-$C$4211)))</f>
        <v/>
      </c>
      <c r="P4245" s="208">
        <f>MIN(1,MAX(0,(nr_MEndPm1-$G4245+0.5)/nr_TermMonths))-MIN(1,MAX(0,(nr_MStartPm1-1-$G4245+0.5)/nr_TermMonths))</f>
        <v/>
      </c>
      <c r="Q4245" s="208">
        <f>MIN(1,MAX(0,(nr_MEndP-$G4245+0.5)/nr_TermMonths))-MIN(1,MAX(0,(nr_MStartP-1-$G4245+0.5)/nr_TermMonths))</f>
        <v/>
      </c>
      <c r="R4245" s="208">
        <f>MIN(1,MAX(0,(nr_MEndP1-$G4245+0.5)/nr_TermMonths))-MIN(1,MAX(0,(nr_MStartP1-1-$G4245+0.5)/nr_TermMonths))</f>
        <v/>
      </c>
      <c r="S4245" s="208">
        <f>IF(nr_NetMode,$N4245*IF(nr_ModAdjEff="ON",$O4245/nr_MInd,1),"")</f>
        <v/>
      </c>
      <c r="T4245" s="208">
        <f>IF(NOT(nr_NetMode),"",IF($G4245&lt;nr_MStartP,$S4245,$T4233*(1+IF($G4245&lt;nr_MStartP1,(nr_NetSelP+N(INDEX(sc_dnet,4))),(nr_NetSelP1+N(INDEX(sc_dnet,4)))))))</f>
        <v/>
      </c>
      <c r="U4245" s="208">
        <f>IF(nr_NetMode,$T4245,$N4245)</f>
        <v/>
      </c>
    </row>
    <row r="4246">
      <c r="A4246" s="145" t="n">
        <v>34</v>
      </c>
      <c r="B4246" s="204">
        <f>EDATE($B4245,1)</f>
        <v/>
      </c>
      <c r="C4246" s="205">
        <f>EOMONTH($B4246,0)</f>
        <v/>
      </c>
      <c r="D4246" s="201">
        <f>$C4246-$B4246+1</f>
        <v/>
      </c>
      <c r="E4246" s="201">
        <f>MONTH($B4246)</f>
        <v/>
      </c>
      <c r="F4246" s="235">
        <f>($B4246+$C4246+1)/2</f>
        <v/>
      </c>
      <c r="G4246" s="201">
        <f>YEAR($B4246)*12+MONTH($B4246)-1</f>
        <v/>
      </c>
      <c r="H4246" s="207">
        <f>IF(OR(nr_SeasonOn="OFF",re_srow=0,re_ssum=0),1,12*INDEX(se_block,re_srow,$E4246)/re_ssum)</f>
        <v/>
      </c>
      <c r="I4246" s="208">
        <f>EXP(SUMPRODUCT(($AE$3806:$AE$4045&lt;$B4246)*(rl_key=nr_SelKey)*$AI$3806:$AI$4045))</f>
        <v/>
      </c>
      <c r="J4246" s="208">
        <f>EXP(SUMPRODUCT(($AE$3806:$AE$4045&lt;=$C4246)*(rl_key=nr_SelKey)*$AI$3806:$AI$4045))</f>
        <v/>
      </c>
      <c r="K4246" s="201">
        <f>COUNTIFS(rl_key,nr_SelKey,$AE$3806:$AE$4045,"&gt;="&amp;$B4246,$AE$3806:$AE$4045,"&lt;="&amp;$C4246)</f>
        <v/>
      </c>
      <c r="L4246" s="201">
        <f>SUMIFS($AJ$3806:$AJ$4045,rl_key,nr_SelKey,$AF$3806:$AF$4045,$B4246,$AM$3806:$AM$4045,1)</f>
        <v/>
      </c>
      <c r="M4246" s="209">
        <f>IF($K4246=0,0,MIN(1,$L4246/$D4246))</f>
        <v/>
      </c>
      <c r="N4246" s="208">
        <f>IF($K4246=0,$J4246,(1-$M4246)*$I4246+$M4246*$J4246)</f>
        <v/>
      </c>
      <c r="O4246" s="209">
        <f>IF($F4246&lt;$B$4211,$E$4211+$I$4211*($F4246-$A$4211),IF($F4246&lt;$C$4211,$F$4211+$J$4211*($F4246-$B$4211),$G$4211+$K$4211*($F4246-$C$4211)))</f>
        <v/>
      </c>
      <c r="P4246" s="208">
        <f>MIN(1,MAX(0,(nr_MEndPm1-$G4246+0.5)/nr_TermMonths))-MIN(1,MAX(0,(nr_MStartPm1-1-$G4246+0.5)/nr_TermMonths))</f>
        <v/>
      </c>
      <c r="Q4246" s="208">
        <f>MIN(1,MAX(0,(nr_MEndP-$G4246+0.5)/nr_TermMonths))-MIN(1,MAX(0,(nr_MStartP-1-$G4246+0.5)/nr_TermMonths))</f>
        <v/>
      </c>
      <c r="R4246" s="208">
        <f>MIN(1,MAX(0,(nr_MEndP1-$G4246+0.5)/nr_TermMonths))-MIN(1,MAX(0,(nr_MStartP1-1-$G4246+0.5)/nr_TermMonths))</f>
        <v/>
      </c>
      <c r="S4246" s="208">
        <f>IF(nr_NetMode,$N4246*IF(nr_ModAdjEff="ON",$O4246/nr_MInd,1),"")</f>
        <v/>
      </c>
      <c r="T4246" s="208">
        <f>IF(NOT(nr_NetMode),"",IF($G4246&lt;nr_MStartP,$S4246,$T4234*(1+IF($G4246&lt;nr_MStartP1,(nr_NetSelP+N(INDEX(sc_dnet,4))),(nr_NetSelP1+N(INDEX(sc_dnet,4)))))))</f>
        <v/>
      </c>
      <c r="U4246" s="208">
        <f>IF(nr_NetMode,$T4246,$N4246)</f>
        <v/>
      </c>
    </row>
    <row r="4247">
      <c r="A4247" s="145" t="n">
        <v>35</v>
      </c>
      <c r="B4247" s="204">
        <f>EDATE($B4246,1)</f>
        <v/>
      </c>
      <c r="C4247" s="205">
        <f>EOMONTH($B4247,0)</f>
        <v/>
      </c>
      <c r="D4247" s="201">
        <f>$C4247-$B4247+1</f>
        <v/>
      </c>
      <c r="E4247" s="201">
        <f>MONTH($B4247)</f>
        <v/>
      </c>
      <c r="F4247" s="235">
        <f>($B4247+$C4247+1)/2</f>
        <v/>
      </c>
      <c r="G4247" s="201">
        <f>YEAR($B4247)*12+MONTH($B4247)-1</f>
        <v/>
      </c>
      <c r="H4247" s="207">
        <f>IF(OR(nr_SeasonOn="OFF",re_srow=0,re_ssum=0),1,12*INDEX(se_block,re_srow,$E4247)/re_ssum)</f>
        <v/>
      </c>
      <c r="I4247" s="208">
        <f>EXP(SUMPRODUCT(($AE$3806:$AE$4045&lt;$B4247)*(rl_key=nr_SelKey)*$AI$3806:$AI$4045))</f>
        <v/>
      </c>
      <c r="J4247" s="208">
        <f>EXP(SUMPRODUCT(($AE$3806:$AE$4045&lt;=$C4247)*(rl_key=nr_SelKey)*$AI$3806:$AI$4045))</f>
        <v/>
      </c>
      <c r="K4247" s="201">
        <f>COUNTIFS(rl_key,nr_SelKey,$AE$3806:$AE$4045,"&gt;="&amp;$B4247,$AE$3806:$AE$4045,"&lt;="&amp;$C4247)</f>
        <v/>
      </c>
      <c r="L4247" s="201">
        <f>SUMIFS($AJ$3806:$AJ$4045,rl_key,nr_SelKey,$AF$3806:$AF$4045,$B4247,$AM$3806:$AM$4045,1)</f>
        <v/>
      </c>
      <c r="M4247" s="209">
        <f>IF($K4247=0,0,MIN(1,$L4247/$D4247))</f>
        <v/>
      </c>
      <c r="N4247" s="208">
        <f>IF($K4247=0,$J4247,(1-$M4247)*$I4247+$M4247*$J4247)</f>
        <v/>
      </c>
      <c r="O4247" s="209">
        <f>IF($F4247&lt;$B$4211,$E$4211+$I$4211*($F4247-$A$4211),IF($F4247&lt;$C$4211,$F$4211+$J$4211*($F4247-$B$4211),$G$4211+$K$4211*($F4247-$C$4211)))</f>
        <v/>
      </c>
      <c r="P4247" s="208">
        <f>MIN(1,MAX(0,(nr_MEndPm1-$G4247+0.5)/nr_TermMonths))-MIN(1,MAX(0,(nr_MStartPm1-1-$G4247+0.5)/nr_TermMonths))</f>
        <v/>
      </c>
      <c r="Q4247" s="208">
        <f>MIN(1,MAX(0,(nr_MEndP-$G4247+0.5)/nr_TermMonths))-MIN(1,MAX(0,(nr_MStartP-1-$G4247+0.5)/nr_TermMonths))</f>
        <v/>
      </c>
      <c r="R4247" s="208">
        <f>MIN(1,MAX(0,(nr_MEndP1-$G4247+0.5)/nr_TermMonths))-MIN(1,MAX(0,(nr_MStartP1-1-$G4247+0.5)/nr_TermMonths))</f>
        <v/>
      </c>
      <c r="S4247" s="208">
        <f>IF(nr_NetMode,$N4247*IF(nr_ModAdjEff="ON",$O4247/nr_MInd,1),"")</f>
        <v/>
      </c>
      <c r="T4247" s="208">
        <f>IF(NOT(nr_NetMode),"",IF($G4247&lt;nr_MStartP,$S4247,$T4235*(1+IF($G4247&lt;nr_MStartP1,(nr_NetSelP+N(INDEX(sc_dnet,4))),(nr_NetSelP1+N(INDEX(sc_dnet,4)))))))</f>
        <v/>
      </c>
      <c r="U4247" s="208">
        <f>IF(nr_NetMode,$T4247,$N4247)</f>
        <v/>
      </c>
    </row>
    <row r="4248">
      <c r="A4248" s="145" t="n">
        <v>36</v>
      </c>
      <c r="B4248" s="204">
        <f>EDATE($B4247,1)</f>
        <v/>
      </c>
      <c r="C4248" s="205">
        <f>EOMONTH($B4248,0)</f>
        <v/>
      </c>
      <c r="D4248" s="201">
        <f>$C4248-$B4248+1</f>
        <v/>
      </c>
      <c r="E4248" s="201">
        <f>MONTH($B4248)</f>
        <v/>
      </c>
      <c r="F4248" s="235">
        <f>($B4248+$C4248+1)/2</f>
        <v/>
      </c>
      <c r="G4248" s="201">
        <f>YEAR($B4248)*12+MONTH($B4248)-1</f>
        <v/>
      </c>
      <c r="H4248" s="207">
        <f>IF(OR(nr_SeasonOn="OFF",re_srow=0,re_ssum=0),1,12*INDEX(se_block,re_srow,$E4248)/re_ssum)</f>
        <v/>
      </c>
      <c r="I4248" s="208">
        <f>EXP(SUMPRODUCT(($AE$3806:$AE$4045&lt;$B4248)*(rl_key=nr_SelKey)*$AI$3806:$AI$4045))</f>
        <v/>
      </c>
      <c r="J4248" s="208">
        <f>EXP(SUMPRODUCT(($AE$3806:$AE$4045&lt;=$C4248)*(rl_key=nr_SelKey)*$AI$3806:$AI$4045))</f>
        <v/>
      </c>
      <c r="K4248" s="201">
        <f>COUNTIFS(rl_key,nr_SelKey,$AE$3806:$AE$4045,"&gt;="&amp;$B4248,$AE$3806:$AE$4045,"&lt;="&amp;$C4248)</f>
        <v/>
      </c>
      <c r="L4248" s="201">
        <f>SUMIFS($AJ$3806:$AJ$4045,rl_key,nr_SelKey,$AF$3806:$AF$4045,$B4248,$AM$3806:$AM$4045,1)</f>
        <v/>
      </c>
      <c r="M4248" s="209">
        <f>IF($K4248=0,0,MIN(1,$L4248/$D4248))</f>
        <v/>
      </c>
      <c r="N4248" s="208">
        <f>IF($K4248=0,$J4248,(1-$M4248)*$I4248+$M4248*$J4248)</f>
        <v/>
      </c>
      <c r="O4248" s="209">
        <f>IF($F4248&lt;$B$4211,$E$4211+$I$4211*($F4248-$A$4211),IF($F4248&lt;$C$4211,$F$4211+$J$4211*($F4248-$B$4211),$G$4211+$K$4211*($F4248-$C$4211)))</f>
        <v/>
      </c>
      <c r="P4248" s="208">
        <f>MIN(1,MAX(0,(nr_MEndPm1-$G4248+0.5)/nr_TermMonths))-MIN(1,MAX(0,(nr_MStartPm1-1-$G4248+0.5)/nr_TermMonths))</f>
        <v/>
      </c>
      <c r="Q4248" s="208">
        <f>MIN(1,MAX(0,(nr_MEndP-$G4248+0.5)/nr_TermMonths))-MIN(1,MAX(0,(nr_MStartP-1-$G4248+0.5)/nr_TermMonths))</f>
        <v/>
      </c>
      <c r="R4248" s="208">
        <f>MIN(1,MAX(0,(nr_MEndP1-$G4248+0.5)/nr_TermMonths))-MIN(1,MAX(0,(nr_MStartP1-1-$G4248+0.5)/nr_TermMonths))</f>
        <v/>
      </c>
      <c r="S4248" s="208">
        <f>IF(nr_NetMode,$N4248*IF(nr_ModAdjEff="ON",$O4248/nr_MInd,1),"")</f>
        <v/>
      </c>
      <c r="T4248" s="208">
        <f>IF(NOT(nr_NetMode),"",IF($G4248&lt;nr_MStartP,$S4248,$T4236*(1+IF($G4248&lt;nr_MStartP1,(nr_NetSelP+N(INDEX(sc_dnet,4))),(nr_NetSelP1+N(INDEX(sc_dnet,4)))))))</f>
        <v/>
      </c>
      <c r="U4248" s="208">
        <f>IF(nr_NetMode,$T4248,$N4248)</f>
        <v/>
      </c>
    </row>
    <row r="4249">
      <c r="A4249" s="145" t="n">
        <v>37</v>
      </c>
      <c r="B4249" s="204">
        <f>EDATE($B4248,1)</f>
        <v/>
      </c>
      <c r="C4249" s="205">
        <f>EOMONTH($B4249,0)</f>
        <v/>
      </c>
      <c r="D4249" s="201">
        <f>$C4249-$B4249+1</f>
        <v/>
      </c>
      <c r="E4249" s="201">
        <f>MONTH($B4249)</f>
        <v/>
      </c>
      <c r="F4249" s="235">
        <f>($B4249+$C4249+1)/2</f>
        <v/>
      </c>
      <c r="G4249" s="201">
        <f>YEAR($B4249)*12+MONTH($B4249)-1</f>
        <v/>
      </c>
      <c r="H4249" s="207">
        <f>IF(OR(nr_SeasonOn="OFF",re_srow=0,re_ssum=0),1,12*INDEX(se_block,re_srow,$E4249)/re_ssum)</f>
        <v/>
      </c>
      <c r="I4249" s="208">
        <f>EXP(SUMPRODUCT(($AE$3806:$AE$4045&lt;$B4249)*(rl_key=nr_SelKey)*$AI$3806:$AI$4045))</f>
        <v/>
      </c>
      <c r="J4249" s="208">
        <f>EXP(SUMPRODUCT(($AE$3806:$AE$4045&lt;=$C4249)*(rl_key=nr_SelKey)*$AI$3806:$AI$4045))</f>
        <v/>
      </c>
      <c r="K4249" s="201">
        <f>COUNTIFS(rl_key,nr_SelKey,$AE$3806:$AE$4045,"&gt;="&amp;$B4249,$AE$3806:$AE$4045,"&lt;="&amp;$C4249)</f>
        <v/>
      </c>
      <c r="L4249" s="201">
        <f>SUMIFS($AJ$3806:$AJ$4045,rl_key,nr_SelKey,$AF$3806:$AF$4045,$B4249,$AM$3806:$AM$4045,1)</f>
        <v/>
      </c>
      <c r="M4249" s="209">
        <f>IF($K4249=0,0,MIN(1,$L4249/$D4249))</f>
        <v/>
      </c>
      <c r="N4249" s="208">
        <f>IF($K4249=0,$J4249,(1-$M4249)*$I4249+$M4249*$J4249)</f>
        <v/>
      </c>
      <c r="O4249" s="209">
        <f>IF($F4249&lt;$B$4211,$E$4211+$I$4211*($F4249-$A$4211),IF($F4249&lt;$C$4211,$F$4211+$J$4211*($F4249-$B$4211),$G$4211+$K$4211*($F4249-$C$4211)))</f>
        <v/>
      </c>
      <c r="P4249" s="208">
        <f>MIN(1,MAX(0,(nr_MEndPm1-$G4249+0.5)/nr_TermMonths))-MIN(1,MAX(0,(nr_MStartPm1-1-$G4249+0.5)/nr_TermMonths))</f>
        <v/>
      </c>
      <c r="Q4249" s="208">
        <f>MIN(1,MAX(0,(nr_MEndP-$G4249+0.5)/nr_TermMonths))-MIN(1,MAX(0,(nr_MStartP-1-$G4249+0.5)/nr_TermMonths))</f>
        <v/>
      </c>
      <c r="R4249" s="208">
        <f>MIN(1,MAX(0,(nr_MEndP1-$G4249+0.5)/nr_TermMonths))-MIN(1,MAX(0,(nr_MStartP1-1-$G4249+0.5)/nr_TermMonths))</f>
        <v/>
      </c>
      <c r="S4249" s="208">
        <f>IF(nr_NetMode,$N4249*IF(nr_ModAdjEff="ON",$O4249/nr_MInd,1),"")</f>
        <v/>
      </c>
      <c r="T4249" s="208">
        <f>IF(NOT(nr_NetMode),"",IF($G4249&lt;nr_MStartP,$S4249,$T4237*(1+IF($G4249&lt;nr_MStartP1,(nr_NetSelP+N(INDEX(sc_dnet,4))),(nr_NetSelP1+N(INDEX(sc_dnet,4)))))))</f>
        <v/>
      </c>
      <c r="U4249" s="208">
        <f>IF(nr_NetMode,$T4249,$N4249)</f>
        <v/>
      </c>
    </row>
    <row r="4250">
      <c r="A4250" s="145" t="n">
        <v>38</v>
      </c>
      <c r="B4250" s="204">
        <f>EDATE($B4249,1)</f>
        <v/>
      </c>
      <c r="C4250" s="205">
        <f>EOMONTH($B4250,0)</f>
        <v/>
      </c>
      <c r="D4250" s="201">
        <f>$C4250-$B4250+1</f>
        <v/>
      </c>
      <c r="E4250" s="201">
        <f>MONTH($B4250)</f>
        <v/>
      </c>
      <c r="F4250" s="235">
        <f>($B4250+$C4250+1)/2</f>
        <v/>
      </c>
      <c r="G4250" s="201">
        <f>YEAR($B4250)*12+MONTH($B4250)-1</f>
        <v/>
      </c>
      <c r="H4250" s="207">
        <f>IF(OR(nr_SeasonOn="OFF",re_srow=0,re_ssum=0),1,12*INDEX(se_block,re_srow,$E4250)/re_ssum)</f>
        <v/>
      </c>
      <c r="I4250" s="208">
        <f>EXP(SUMPRODUCT(($AE$3806:$AE$4045&lt;$B4250)*(rl_key=nr_SelKey)*$AI$3806:$AI$4045))</f>
        <v/>
      </c>
      <c r="J4250" s="208">
        <f>EXP(SUMPRODUCT(($AE$3806:$AE$4045&lt;=$C4250)*(rl_key=nr_SelKey)*$AI$3806:$AI$4045))</f>
        <v/>
      </c>
      <c r="K4250" s="201">
        <f>COUNTIFS(rl_key,nr_SelKey,$AE$3806:$AE$4045,"&gt;="&amp;$B4250,$AE$3806:$AE$4045,"&lt;="&amp;$C4250)</f>
        <v/>
      </c>
      <c r="L4250" s="201">
        <f>SUMIFS($AJ$3806:$AJ$4045,rl_key,nr_SelKey,$AF$3806:$AF$4045,$B4250,$AM$3806:$AM$4045,1)</f>
        <v/>
      </c>
      <c r="M4250" s="209">
        <f>IF($K4250=0,0,MIN(1,$L4250/$D4250))</f>
        <v/>
      </c>
      <c r="N4250" s="208">
        <f>IF($K4250=0,$J4250,(1-$M4250)*$I4250+$M4250*$J4250)</f>
        <v/>
      </c>
      <c r="O4250" s="209">
        <f>IF($F4250&lt;$B$4211,$E$4211+$I$4211*($F4250-$A$4211),IF($F4250&lt;$C$4211,$F$4211+$J$4211*($F4250-$B$4211),$G$4211+$K$4211*($F4250-$C$4211)))</f>
        <v/>
      </c>
      <c r="P4250" s="208">
        <f>MIN(1,MAX(0,(nr_MEndPm1-$G4250+0.5)/nr_TermMonths))-MIN(1,MAX(0,(nr_MStartPm1-1-$G4250+0.5)/nr_TermMonths))</f>
        <v/>
      </c>
      <c r="Q4250" s="208">
        <f>MIN(1,MAX(0,(nr_MEndP-$G4250+0.5)/nr_TermMonths))-MIN(1,MAX(0,(nr_MStartP-1-$G4250+0.5)/nr_TermMonths))</f>
        <v/>
      </c>
      <c r="R4250" s="208">
        <f>MIN(1,MAX(0,(nr_MEndP1-$G4250+0.5)/nr_TermMonths))-MIN(1,MAX(0,(nr_MStartP1-1-$G4250+0.5)/nr_TermMonths))</f>
        <v/>
      </c>
      <c r="S4250" s="208">
        <f>IF(nr_NetMode,$N4250*IF(nr_ModAdjEff="ON",$O4250/nr_MInd,1),"")</f>
        <v/>
      </c>
      <c r="T4250" s="208">
        <f>IF(NOT(nr_NetMode),"",IF($G4250&lt;nr_MStartP,$S4250,$T4238*(1+IF($G4250&lt;nr_MStartP1,(nr_NetSelP+N(INDEX(sc_dnet,4))),(nr_NetSelP1+N(INDEX(sc_dnet,4)))))))</f>
        <v/>
      </c>
      <c r="U4250" s="208">
        <f>IF(nr_NetMode,$T4250,$N4250)</f>
        <v/>
      </c>
    </row>
    <row r="4251">
      <c r="A4251" s="145" t="n">
        <v>39</v>
      </c>
      <c r="B4251" s="204">
        <f>EDATE($B4250,1)</f>
        <v/>
      </c>
      <c r="C4251" s="205">
        <f>EOMONTH($B4251,0)</f>
        <v/>
      </c>
      <c r="D4251" s="201">
        <f>$C4251-$B4251+1</f>
        <v/>
      </c>
      <c r="E4251" s="201">
        <f>MONTH($B4251)</f>
        <v/>
      </c>
      <c r="F4251" s="235">
        <f>($B4251+$C4251+1)/2</f>
        <v/>
      </c>
      <c r="G4251" s="201">
        <f>YEAR($B4251)*12+MONTH($B4251)-1</f>
        <v/>
      </c>
      <c r="H4251" s="207">
        <f>IF(OR(nr_SeasonOn="OFF",re_srow=0,re_ssum=0),1,12*INDEX(se_block,re_srow,$E4251)/re_ssum)</f>
        <v/>
      </c>
      <c r="I4251" s="208">
        <f>EXP(SUMPRODUCT(($AE$3806:$AE$4045&lt;$B4251)*(rl_key=nr_SelKey)*$AI$3806:$AI$4045))</f>
        <v/>
      </c>
      <c r="J4251" s="208">
        <f>EXP(SUMPRODUCT(($AE$3806:$AE$4045&lt;=$C4251)*(rl_key=nr_SelKey)*$AI$3806:$AI$4045))</f>
        <v/>
      </c>
      <c r="K4251" s="201">
        <f>COUNTIFS(rl_key,nr_SelKey,$AE$3806:$AE$4045,"&gt;="&amp;$B4251,$AE$3806:$AE$4045,"&lt;="&amp;$C4251)</f>
        <v/>
      </c>
      <c r="L4251" s="201">
        <f>SUMIFS($AJ$3806:$AJ$4045,rl_key,nr_SelKey,$AF$3806:$AF$4045,$B4251,$AM$3806:$AM$4045,1)</f>
        <v/>
      </c>
      <c r="M4251" s="209">
        <f>IF($K4251=0,0,MIN(1,$L4251/$D4251))</f>
        <v/>
      </c>
      <c r="N4251" s="208">
        <f>IF($K4251=0,$J4251,(1-$M4251)*$I4251+$M4251*$J4251)</f>
        <v/>
      </c>
      <c r="O4251" s="209">
        <f>IF($F4251&lt;$B$4211,$E$4211+$I$4211*($F4251-$A$4211),IF($F4251&lt;$C$4211,$F$4211+$J$4211*($F4251-$B$4211),$G$4211+$K$4211*($F4251-$C$4211)))</f>
        <v/>
      </c>
      <c r="P4251" s="208">
        <f>MIN(1,MAX(0,(nr_MEndPm1-$G4251+0.5)/nr_TermMonths))-MIN(1,MAX(0,(nr_MStartPm1-1-$G4251+0.5)/nr_TermMonths))</f>
        <v/>
      </c>
      <c r="Q4251" s="208">
        <f>MIN(1,MAX(0,(nr_MEndP-$G4251+0.5)/nr_TermMonths))-MIN(1,MAX(0,(nr_MStartP-1-$G4251+0.5)/nr_TermMonths))</f>
        <v/>
      </c>
      <c r="R4251" s="208">
        <f>MIN(1,MAX(0,(nr_MEndP1-$G4251+0.5)/nr_TermMonths))-MIN(1,MAX(0,(nr_MStartP1-1-$G4251+0.5)/nr_TermMonths))</f>
        <v/>
      </c>
      <c r="S4251" s="208">
        <f>IF(nr_NetMode,$N4251*IF(nr_ModAdjEff="ON",$O4251/nr_MInd,1),"")</f>
        <v/>
      </c>
      <c r="T4251" s="208">
        <f>IF(NOT(nr_NetMode),"",IF($G4251&lt;nr_MStartP,$S4251,$T4239*(1+IF($G4251&lt;nr_MStartP1,(nr_NetSelP+N(INDEX(sc_dnet,4))),(nr_NetSelP1+N(INDEX(sc_dnet,4)))))))</f>
        <v/>
      </c>
      <c r="U4251" s="208">
        <f>IF(nr_NetMode,$T4251,$N4251)</f>
        <v/>
      </c>
    </row>
    <row r="4252">
      <c r="A4252" s="145" t="n">
        <v>40</v>
      </c>
      <c r="B4252" s="204">
        <f>EDATE($B4251,1)</f>
        <v/>
      </c>
      <c r="C4252" s="205">
        <f>EOMONTH($B4252,0)</f>
        <v/>
      </c>
      <c r="D4252" s="201">
        <f>$C4252-$B4252+1</f>
        <v/>
      </c>
      <c r="E4252" s="201">
        <f>MONTH($B4252)</f>
        <v/>
      </c>
      <c r="F4252" s="235">
        <f>($B4252+$C4252+1)/2</f>
        <v/>
      </c>
      <c r="G4252" s="201">
        <f>YEAR($B4252)*12+MONTH($B4252)-1</f>
        <v/>
      </c>
      <c r="H4252" s="207">
        <f>IF(OR(nr_SeasonOn="OFF",re_srow=0,re_ssum=0),1,12*INDEX(se_block,re_srow,$E4252)/re_ssum)</f>
        <v/>
      </c>
      <c r="I4252" s="208">
        <f>EXP(SUMPRODUCT(($AE$3806:$AE$4045&lt;$B4252)*(rl_key=nr_SelKey)*$AI$3806:$AI$4045))</f>
        <v/>
      </c>
      <c r="J4252" s="208">
        <f>EXP(SUMPRODUCT(($AE$3806:$AE$4045&lt;=$C4252)*(rl_key=nr_SelKey)*$AI$3806:$AI$4045))</f>
        <v/>
      </c>
      <c r="K4252" s="201">
        <f>COUNTIFS(rl_key,nr_SelKey,$AE$3806:$AE$4045,"&gt;="&amp;$B4252,$AE$3806:$AE$4045,"&lt;="&amp;$C4252)</f>
        <v/>
      </c>
      <c r="L4252" s="201">
        <f>SUMIFS($AJ$3806:$AJ$4045,rl_key,nr_SelKey,$AF$3806:$AF$4045,$B4252,$AM$3806:$AM$4045,1)</f>
        <v/>
      </c>
      <c r="M4252" s="209">
        <f>IF($K4252=0,0,MIN(1,$L4252/$D4252))</f>
        <v/>
      </c>
      <c r="N4252" s="208">
        <f>IF($K4252=0,$J4252,(1-$M4252)*$I4252+$M4252*$J4252)</f>
        <v/>
      </c>
      <c r="O4252" s="209">
        <f>IF($F4252&lt;$B$4211,$E$4211+$I$4211*($F4252-$A$4211),IF($F4252&lt;$C$4211,$F$4211+$J$4211*($F4252-$B$4211),$G$4211+$K$4211*($F4252-$C$4211)))</f>
        <v/>
      </c>
      <c r="P4252" s="208">
        <f>MIN(1,MAX(0,(nr_MEndPm1-$G4252+0.5)/nr_TermMonths))-MIN(1,MAX(0,(nr_MStartPm1-1-$G4252+0.5)/nr_TermMonths))</f>
        <v/>
      </c>
      <c r="Q4252" s="208">
        <f>MIN(1,MAX(0,(nr_MEndP-$G4252+0.5)/nr_TermMonths))-MIN(1,MAX(0,(nr_MStartP-1-$G4252+0.5)/nr_TermMonths))</f>
        <v/>
      </c>
      <c r="R4252" s="208">
        <f>MIN(1,MAX(0,(nr_MEndP1-$G4252+0.5)/nr_TermMonths))-MIN(1,MAX(0,(nr_MStartP1-1-$G4252+0.5)/nr_TermMonths))</f>
        <v/>
      </c>
      <c r="S4252" s="208">
        <f>IF(nr_NetMode,$N4252*IF(nr_ModAdjEff="ON",$O4252/nr_MInd,1),"")</f>
        <v/>
      </c>
      <c r="T4252" s="208">
        <f>IF(NOT(nr_NetMode),"",IF($G4252&lt;nr_MStartP,$S4252,$T4240*(1+IF($G4252&lt;nr_MStartP1,(nr_NetSelP+N(INDEX(sc_dnet,4))),(nr_NetSelP1+N(INDEX(sc_dnet,4)))))))</f>
        <v/>
      </c>
      <c r="U4252" s="208">
        <f>IF(nr_NetMode,$T4252,$N4252)</f>
        <v/>
      </c>
    </row>
    <row r="4253">
      <c r="A4253" s="145" t="n">
        <v>41</v>
      </c>
      <c r="B4253" s="204">
        <f>EDATE($B4252,1)</f>
        <v/>
      </c>
      <c r="C4253" s="205">
        <f>EOMONTH($B4253,0)</f>
        <v/>
      </c>
      <c r="D4253" s="201">
        <f>$C4253-$B4253+1</f>
        <v/>
      </c>
      <c r="E4253" s="201">
        <f>MONTH($B4253)</f>
        <v/>
      </c>
      <c r="F4253" s="235">
        <f>($B4253+$C4253+1)/2</f>
        <v/>
      </c>
      <c r="G4253" s="201">
        <f>YEAR($B4253)*12+MONTH($B4253)-1</f>
        <v/>
      </c>
      <c r="H4253" s="207">
        <f>IF(OR(nr_SeasonOn="OFF",re_srow=0,re_ssum=0),1,12*INDEX(se_block,re_srow,$E4253)/re_ssum)</f>
        <v/>
      </c>
      <c r="I4253" s="208">
        <f>EXP(SUMPRODUCT(($AE$3806:$AE$4045&lt;$B4253)*(rl_key=nr_SelKey)*$AI$3806:$AI$4045))</f>
        <v/>
      </c>
      <c r="J4253" s="208">
        <f>EXP(SUMPRODUCT(($AE$3806:$AE$4045&lt;=$C4253)*(rl_key=nr_SelKey)*$AI$3806:$AI$4045))</f>
        <v/>
      </c>
      <c r="K4253" s="201">
        <f>COUNTIFS(rl_key,nr_SelKey,$AE$3806:$AE$4045,"&gt;="&amp;$B4253,$AE$3806:$AE$4045,"&lt;="&amp;$C4253)</f>
        <v/>
      </c>
      <c r="L4253" s="201">
        <f>SUMIFS($AJ$3806:$AJ$4045,rl_key,nr_SelKey,$AF$3806:$AF$4045,$B4253,$AM$3806:$AM$4045,1)</f>
        <v/>
      </c>
      <c r="M4253" s="209">
        <f>IF($K4253=0,0,MIN(1,$L4253/$D4253))</f>
        <v/>
      </c>
      <c r="N4253" s="208">
        <f>IF($K4253=0,$J4253,(1-$M4253)*$I4253+$M4253*$J4253)</f>
        <v/>
      </c>
      <c r="O4253" s="209">
        <f>IF($F4253&lt;$B$4211,$E$4211+$I$4211*($F4253-$A$4211),IF($F4253&lt;$C$4211,$F$4211+$J$4211*($F4253-$B$4211),$G$4211+$K$4211*($F4253-$C$4211)))</f>
        <v/>
      </c>
      <c r="P4253" s="208">
        <f>MIN(1,MAX(0,(nr_MEndPm1-$G4253+0.5)/nr_TermMonths))-MIN(1,MAX(0,(nr_MStartPm1-1-$G4253+0.5)/nr_TermMonths))</f>
        <v/>
      </c>
      <c r="Q4253" s="208">
        <f>MIN(1,MAX(0,(nr_MEndP-$G4253+0.5)/nr_TermMonths))-MIN(1,MAX(0,(nr_MStartP-1-$G4253+0.5)/nr_TermMonths))</f>
        <v/>
      </c>
      <c r="R4253" s="208">
        <f>MIN(1,MAX(0,(nr_MEndP1-$G4253+0.5)/nr_TermMonths))-MIN(1,MAX(0,(nr_MStartP1-1-$G4253+0.5)/nr_TermMonths))</f>
        <v/>
      </c>
      <c r="S4253" s="208">
        <f>IF(nr_NetMode,$N4253*IF(nr_ModAdjEff="ON",$O4253/nr_MInd,1),"")</f>
        <v/>
      </c>
      <c r="T4253" s="208">
        <f>IF(NOT(nr_NetMode),"",IF($G4253&lt;nr_MStartP,$S4253,$T4241*(1+IF($G4253&lt;nr_MStartP1,(nr_NetSelP+N(INDEX(sc_dnet,4))),(nr_NetSelP1+N(INDEX(sc_dnet,4)))))))</f>
        <v/>
      </c>
      <c r="U4253" s="208">
        <f>IF(nr_NetMode,$T4253,$N4253)</f>
        <v/>
      </c>
    </row>
    <row r="4254">
      <c r="A4254" s="145" t="n">
        <v>42</v>
      </c>
      <c r="B4254" s="204">
        <f>EDATE($B4253,1)</f>
        <v/>
      </c>
      <c r="C4254" s="205">
        <f>EOMONTH($B4254,0)</f>
        <v/>
      </c>
      <c r="D4254" s="201">
        <f>$C4254-$B4254+1</f>
        <v/>
      </c>
      <c r="E4254" s="201">
        <f>MONTH($B4254)</f>
        <v/>
      </c>
      <c r="F4254" s="235">
        <f>($B4254+$C4254+1)/2</f>
        <v/>
      </c>
      <c r="G4254" s="201">
        <f>YEAR($B4254)*12+MONTH($B4254)-1</f>
        <v/>
      </c>
      <c r="H4254" s="207">
        <f>IF(OR(nr_SeasonOn="OFF",re_srow=0,re_ssum=0),1,12*INDEX(se_block,re_srow,$E4254)/re_ssum)</f>
        <v/>
      </c>
      <c r="I4254" s="208">
        <f>EXP(SUMPRODUCT(($AE$3806:$AE$4045&lt;$B4254)*(rl_key=nr_SelKey)*$AI$3806:$AI$4045))</f>
        <v/>
      </c>
      <c r="J4254" s="208">
        <f>EXP(SUMPRODUCT(($AE$3806:$AE$4045&lt;=$C4254)*(rl_key=nr_SelKey)*$AI$3806:$AI$4045))</f>
        <v/>
      </c>
      <c r="K4254" s="201">
        <f>COUNTIFS(rl_key,nr_SelKey,$AE$3806:$AE$4045,"&gt;="&amp;$B4254,$AE$3806:$AE$4045,"&lt;="&amp;$C4254)</f>
        <v/>
      </c>
      <c r="L4254" s="201">
        <f>SUMIFS($AJ$3806:$AJ$4045,rl_key,nr_SelKey,$AF$3806:$AF$4045,$B4254,$AM$3806:$AM$4045,1)</f>
        <v/>
      </c>
      <c r="M4254" s="209">
        <f>IF($K4254=0,0,MIN(1,$L4254/$D4254))</f>
        <v/>
      </c>
      <c r="N4254" s="208">
        <f>IF($K4254=0,$J4254,(1-$M4254)*$I4254+$M4254*$J4254)</f>
        <v/>
      </c>
      <c r="O4254" s="209">
        <f>IF($F4254&lt;$B$4211,$E$4211+$I$4211*($F4254-$A$4211),IF($F4254&lt;$C$4211,$F$4211+$J$4211*($F4254-$B$4211),$G$4211+$K$4211*($F4254-$C$4211)))</f>
        <v/>
      </c>
      <c r="P4254" s="208">
        <f>MIN(1,MAX(0,(nr_MEndPm1-$G4254+0.5)/nr_TermMonths))-MIN(1,MAX(0,(nr_MStartPm1-1-$G4254+0.5)/nr_TermMonths))</f>
        <v/>
      </c>
      <c r="Q4254" s="208">
        <f>MIN(1,MAX(0,(nr_MEndP-$G4254+0.5)/nr_TermMonths))-MIN(1,MAX(0,(nr_MStartP-1-$G4254+0.5)/nr_TermMonths))</f>
        <v/>
      </c>
      <c r="R4254" s="208">
        <f>MIN(1,MAX(0,(nr_MEndP1-$G4254+0.5)/nr_TermMonths))-MIN(1,MAX(0,(nr_MStartP1-1-$G4254+0.5)/nr_TermMonths))</f>
        <v/>
      </c>
      <c r="S4254" s="208">
        <f>IF(nr_NetMode,$N4254*IF(nr_ModAdjEff="ON",$O4254/nr_MInd,1),"")</f>
        <v/>
      </c>
      <c r="T4254" s="208">
        <f>IF(NOT(nr_NetMode),"",IF($G4254&lt;nr_MStartP,$S4254,$T4242*(1+IF($G4254&lt;nr_MStartP1,(nr_NetSelP+N(INDEX(sc_dnet,4))),(nr_NetSelP1+N(INDEX(sc_dnet,4)))))))</f>
        <v/>
      </c>
      <c r="U4254" s="208">
        <f>IF(nr_NetMode,$T4254,$N4254)</f>
        <v/>
      </c>
    </row>
    <row r="4255">
      <c r="A4255" s="145" t="n">
        <v>43</v>
      </c>
      <c r="B4255" s="204">
        <f>EDATE($B4254,1)</f>
        <v/>
      </c>
      <c r="C4255" s="205">
        <f>EOMONTH($B4255,0)</f>
        <v/>
      </c>
      <c r="D4255" s="201">
        <f>$C4255-$B4255+1</f>
        <v/>
      </c>
      <c r="E4255" s="201">
        <f>MONTH($B4255)</f>
        <v/>
      </c>
      <c r="F4255" s="235">
        <f>($B4255+$C4255+1)/2</f>
        <v/>
      </c>
      <c r="G4255" s="201">
        <f>YEAR($B4255)*12+MONTH($B4255)-1</f>
        <v/>
      </c>
      <c r="H4255" s="207">
        <f>IF(OR(nr_SeasonOn="OFF",re_srow=0,re_ssum=0),1,12*INDEX(se_block,re_srow,$E4255)/re_ssum)</f>
        <v/>
      </c>
      <c r="I4255" s="208">
        <f>EXP(SUMPRODUCT(($AE$3806:$AE$4045&lt;$B4255)*(rl_key=nr_SelKey)*$AI$3806:$AI$4045))</f>
        <v/>
      </c>
      <c r="J4255" s="208">
        <f>EXP(SUMPRODUCT(($AE$3806:$AE$4045&lt;=$C4255)*(rl_key=nr_SelKey)*$AI$3806:$AI$4045))</f>
        <v/>
      </c>
      <c r="K4255" s="201">
        <f>COUNTIFS(rl_key,nr_SelKey,$AE$3806:$AE$4045,"&gt;="&amp;$B4255,$AE$3806:$AE$4045,"&lt;="&amp;$C4255)</f>
        <v/>
      </c>
      <c r="L4255" s="201">
        <f>SUMIFS($AJ$3806:$AJ$4045,rl_key,nr_SelKey,$AF$3806:$AF$4045,$B4255,$AM$3806:$AM$4045,1)</f>
        <v/>
      </c>
      <c r="M4255" s="209">
        <f>IF($K4255=0,0,MIN(1,$L4255/$D4255))</f>
        <v/>
      </c>
      <c r="N4255" s="208">
        <f>IF($K4255=0,$J4255,(1-$M4255)*$I4255+$M4255*$J4255)</f>
        <v/>
      </c>
      <c r="O4255" s="209">
        <f>IF($F4255&lt;$B$4211,$E$4211+$I$4211*($F4255-$A$4211),IF($F4255&lt;$C$4211,$F$4211+$J$4211*($F4255-$B$4211),$G$4211+$K$4211*($F4255-$C$4211)))</f>
        <v/>
      </c>
      <c r="P4255" s="208">
        <f>MIN(1,MAX(0,(nr_MEndPm1-$G4255+0.5)/nr_TermMonths))-MIN(1,MAX(0,(nr_MStartPm1-1-$G4255+0.5)/nr_TermMonths))</f>
        <v/>
      </c>
      <c r="Q4255" s="208">
        <f>MIN(1,MAX(0,(nr_MEndP-$G4255+0.5)/nr_TermMonths))-MIN(1,MAX(0,(nr_MStartP-1-$G4255+0.5)/nr_TermMonths))</f>
        <v/>
      </c>
      <c r="R4255" s="208">
        <f>MIN(1,MAX(0,(nr_MEndP1-$G4255+0.5)/nr_TermMonths))-MIN(1,MAX(0,(nr_MStartP1-1-$G4255+0.5)/nr_TermMonths))</f>
        <v/>
      </c>
      <c r="S4255" s="208">
        <f>IF(nr_NetMode,$N4255*IF(nr_ModAdjEff="ON",$O4255/nr_MInd,1),"")</f>
        <v/>
      </c>
      <c r="T4255" s="208">
        <f>IF(NOT(nr_NetMode),"",IF($G4255&lt;nr_MStartP,$S4255,$T4243*(1+IF($G4255&lt;nr_MStartP1,(nr_NetSelP+N(INDEX(sc_dnet,4))),(nr_NetSelP1+N(INDEX(sc_dnet,4)))))))</f>
        <v/>
      </c>
      <c r="U4255" s="208">
        <f>IF(nr_NetMode,$T4255,$N4255)</f>
        <v/>
      </c>
    </row>
    <row r="4256">
      <c r="A4256" s="145" t="n">
        <v>44</v>
      </c>
      <c r="B4256" s="204">
        <f>EDATE($B4255,1)</f>
        <v/>
      </c>
      <c r="C4256" s="205">
        <f>EOMONTH($B4256,0)</f>
        <v/>
      </c>
      <c r="D4256" s="201">
        <f>$C4256-$B4256+1</f>
        <v/>
      </c>
      <c r="E4256" s="201">
        <f>MONTH($B4256)</f>
        <v/>
      </c>
      <c r="F4256" s="235">
        <f>($B4256+$C4256+1)/2</f>
        <v/>
      </c>
      <c r="G4256" s="201">
        <f>YEAR($B4256)*12+MONTH($B4256)-1</f>
        <v/>
      </c>
      <c r="H4256" s="207">
        <f>IF(OR(nr_SeasonOn="OFF",re_srow=0,re_ssum=0),1,12*INDEX(se_block,re_srow,$E4256)/re_ssum)</f>
        <v/>
      </c>
      <c r="I4256" s="208">
        <f>EXP(SUMPRODUCT(($AE$3806:$AE$4045&lt;$B4256)*(rl_key=nr_SelKey)*$AI$3806:$AI$4045))</f>
        <v/>
      </c>
      <c r="J4256" s="208">
        <f>EXP(SUMPRODUCT(($AE$3806:$AE$4045&lt;=$C4256)*(rl_key=nr_SelKey)*$AI$3806:$AI$4045))</f>
        <v/>
      </c>
      <c r="K4256" s="201">
        <f>COUNTIFS(rl_key,nr_SelKey,$AE$3806:$AE$4045,"&gt;="&amp;$B4256,$AE$3806:$AE$4045,"&lt;="&amp;$C4256)</f>
        <v/>
      </c>
      <c r="L4256" s="201">
        <f>SUMIFS($AJ$3806:$AJ$4045,rl_key,nr_SelKey,$AF$3806:$AF$4045,$B4256,$AM$3806:$AM$4045,1)</f>
        <v/>
      </c>
      <c r="M4256" s="209">
        <f>IF($K4256=0,0,MIN(1,$L4256/$D4256))</f>
        <v/>
      </c>
      <c r="N4256" s="208">
        <f>IF($K4256=0,$J4256,(1-$M4256)*$I4256+$M4256*$J4256)</f>
        <v/>
      </c>
      <c r="O4256" s="209">
        <f>IF($F4256&lt;$B$4211,$E$4211+$I$4211*($F4256-$A$4211),IF($F4256&lt;$C$4211,$F$4211+$J$4211*($F4256-$B$4211),$G$4211+$K$4211*($F4256-$C$4211)))</f>
        <v/>
      </c>
      <c r="P4256" s="208">
        <f>MIN(1,MAX(0,(nr_MEndPm1-$G4256+0.5)/nr_TermMonths))-MIN(1,MAX(0,(nr_MStartPm1-1-$G4256+0.5)/nr_TermMonths))</f>
        <v/>
      </c>
      <c r="Q4256" s="208">
        <f>MIN(1,MAX(0,(nr_MEndP-$G4256+0.5)/nr_TermMonths))-MIN(1,MAX(0,(nr_MStartP-1-$G4256+0.5)/nr_TermMonths))</f>
        <v/>
      </c>
      <c r="R4256" s="208">
        <f>MIN(1,MAX(0,(nr_MEndP1-$G4256+0.5)/nr_TermMonths))-MIN(1,MAX(0,(nr_MStartP1-1-$G4256+0.5)/nr_TermMonths))</f>
        <v/>
      </c>
      <c r="S4256" s="208">
        <f>IF(nr_NetMode,$N4256*IF(nr_ModAdjEff="ON",$O4256/nr_MInd,1),"")</f>
        <v/>
      </c>
      <c r="T4256" s="208">
        <f>IF(NOT(nr_NetMode),"",IF($G4256&lt;nr_MStartP,$S4256,$T4244*(1+IF($G4256&lt;nr_MStartP1,(nr_NetSelP+N(INDEX(sc_dnet,4))),(nr_NetSelP1+N(INDEX(sc_dnet,4)))))))</f>
        <v/>
      </c>
      <c r="U4256" s="208">
        <f>IF(nr_NetMode,$T4256,$N4256)</f>
        <v/>
      </c>
    </row>
    <row r="4257">
      <c r="A4257" s="145" t="n">
        <v>45</v>
      </c>
      <c r="B4257" s="204">
        <f>EDATE($B4256,1)</f>
        <v/>
      </c>
      <c r="C4257" s="205">
        <f>EOMONTH($B4257,0)</f>
        <v/>
      </c>
      <c r="D4257" s="201">
        <f>$C4257-$B4257+1</f>
        <v/>
      </c>
      <c r="E4257" s="201">
        <f>MONTH($B4257)</f>
        <v/>
      </c>
      <c r="F4257" s="235">
        <f>($B4257+$C4257+1)/2</f>
        <v/>
      </c>
      <c r="G4257" s="201">
        <f>YEAR($B4257)*12+MONTH($B4257)-1</f>
        <v/>
      </c>
      <c r="H4257" s="207">
        <f>IF(OR(nr_SeasonOn="OFF",re_srow=0,re_ssum=0),1,12*INDEX(se_block,re_srow,$E4257)/re_ssum)</f>
        <v/>
      </c>
      <c r="I4257" s="208">
        <f>EXP(SUMPRODUCT(($AE$3806:$AE$4045&lt;$B4257)*(rl_key=nr_SelKey)*$AI$3806:$AI$4045))</f>
        <v/>
      </c>
      <c r="J4257" s="208">
        <f>EXP(SUMPRODUCT(($AE$3806:$AE$4045&lt;=$C4257)*(rl_key=nr_SelKey)*$AI$3806:$AI$4045))</f>
        <v/>
      </c>
      <c r="K4257" s="201">
        <f>COUNTIFS(rl_key,nr_SelKey,$AE$3806:$AE$4045,"&gt;="&amp;$B4257,$AE$3806:$AE$4045,"&lt;="&amp;$C4257)</f>
        <v/>
      </c>
      <c r="L4257" s="201">
        <f>SUMIFS($AJ$3806:$AJ$4045,rl_key,nr_SelKey,$AF$3806:$AF$4045,$B4257,$AM$3806:$AM$4045,1)</f>
        <v/>
      </c>
      <c r="M4257" s="209">
        <f>IF($K4257=0,0,MIN(1,$L4257/$D4257))</f>
        <v/>
      </c>
      <c r="N4257" s="208">
        <f>IF($K4257=0,$J4257,(1-$M4257)*$I4257+$M4257*$J4257)</f>
        <v/>
      </c>
      <c r="O4257" s="209">
        <f>IF($F4257&lt;$B$4211,$E$4211+$I$4211*($F4257-$A$4211),IF($F4257&lt;$C$4211,$F$4211+$J$4211*($F4257-$B$4211),$G$4211+$K$4211*($F4257-$C$4211)))</f>
        <v/>
      </c>
      <c r="P4257" s="208">
        <f>MIN(1,MAX(0,(nr_MEndPm1-$G4257+0.5)/nr_TermMonths))-MIN(1,MAX(0,(nr_MStartPm1-1-$G4257+0.5)/nr_TermMonths))</f>
        <v/>
      </c>
      <c r="Q4257" s="208">
        <f>MIN(1,MAX(0,(nr_MEndP-$G4257+0.5)/nr_TermMonths))-MIN(1,MAX(0,(nr_MStartP-1-$G4257+0.5)/nr_TermMonths))</f>
        <v/>
      </c>
      <c r="R4257" s="208">
        <f>MIN(1,MAX(0,(nr_MEndP1-$G4257+0.5)/nr_TermMonths))-MIN(1,MAX(0,(nr_MStartP1-1-$G4257+0.5)/nr_TermMonths))</f>
        <v/>
      </c>
      <c r="S4257" s="208">
        <f>IF(nr_NetMode,$N4257*IF(nr_ModAdjEff="ON",$O4257/nr_MInd,1),"")</f>
        <v/>
      </c>
      <c r="T4257" s="208">
        <f>IF(NOT(nr_NetMode),"",IF($G4257&lt;nr_MStartP,$S4257,$T4245*(1+IF($G4257&lt;nr_MStartP1,(nr_NetSelP+N(INDEX(sc_dnet,4))),(nr_NetSelP1+N(INDEX(sc_dnet,4)))))))</f>
        <v/>
      </c>
      <c r="U4257" s="208">
        <f>IF(nr_NetMode,$T4257,$N4257)</f>
        <v/>
      </c>
    </row>
    <row r="4258">
      <c r="A4258" s="145" t="n">
        <v>46</v>
      </c>
      <c r="B4258" s="204">
        <f>EDATE($B4257,1)</f>
        <v/>
      </c>
      <c r="C4258" s="205">
        <f>EOMONTH($B4258,0)</f>
        <v/>
      </c>
      <c r="D4258" s="201">
        <f>$C4258-$B4258+1</f>
        <v/>
      </c>
      <c r="E4258" s="201">
        <f>MONTH($B4258)</f>
        <v/>
      </c>
      <c r="F4258" s="235">
        <f>($B4258+$C4258+1)/2</f>
        <v/>
      </c>
      <c r="G4258" s="201">
        <f>YEAR($B4258)*12+MONTH($B4258)-1</f>
        <v/>
      </c>
      <c r="H4258" s="207">
        <f>IF(OR(nr_SeasonOn="OFF",re_srow=0,re_ssum=0),1,12*INDEX(se_block,re_srow,$E4258)/re_ssum)</f>
        <v/>
      </c>
      <c r="I4258" s="208">
        <f>EXP(SUMPRODUCT(($AE$3806:$AE$4045&lt;$B4258)*(rl_key=nr_SelKey)*$AI$3806:$AI$4045))</f>
        <v/>
      </c>
      <c r="J4258" s="208">
        <f>EXP(SUMPRODUCT(($AE$3806:$AE$4045&lt;=$C4258)*(rl_key=nr_SelKey)*$AI$3806:$AI$4045))</f>
        <v/>
      </c>
      <c r="K4258" s="201">
        <f>COUNTIFS(rl_key,nr_SelKey,$AE$3806:$AE$4045,"&gt;="&amp;$B4258,$AE$3806:$AE$4045,"&lt;="&amp;$C4258)</f>
        <v/>
      </c>
      <c r="L4258" s="201">
        <f>SUMIFS($AJ$3806:$AJ$4045,rl_key,nr_SelKey,$AF$3806:$AF$4045,$B4258,$AM$3806:$AM$4045,1)</f>
        <v/>
      </c>
      <c r="M4258" s="209">
        <f>IF($K4258=0,0,MIN(1,$L4258/$D4258))</f>
        <v/>
      </c>
      <c r="N4258" s="208">
        <f>IF($K4258=0,$J4258,(1-$M4258)*$I4258+$M4258*$J4258)</f>
        <v/>
      </c>
      <c r="O4258" s="209">
        <f>IF($F4258&lt;$B$4211,$E$4211+$I$4211*($F4258-$A$4211),IF($F4258&lt;$C$4211,$F$4211+$J$4211*($F4258-$B$4211),$G$4211+$K$4211*($F4258-$C$4211)))</f>
        <v/>
      </c>
      <c r="P4258" s="208">
        <f>MIN(1,MAX(0,(nr_MEndPm1-$G4258+0.5)/nr_TermMonths))-MIN(1,MAX(0,(nr_MStartPm1-1-$G4258+0.5)/nr_TermMonths))</f>
        <v/>
      </c>
      <c r="Q4258" s="208">
        <f>MIN(1,MAX(0,(nr_MEndP-$G4258+0.5)/nr_TermMonths))-MIN(1,MAX(0,(nr_MStartP-1-$G4258+0.5)/nr_TermMonths))</f>
        <v/>
      </c>
      <c r="R4258" s="208">
        <f>MIN(1,MAX(0,(nr_MEndP1-$G4258+0.5)/nr_TermMonths))-MIN(1,MAX(0,(nr_MStartP1-1-$G4258+0.5)/nr_TermMonths))</f>
        <v/>
      </c>
      <c r="S4258" s="208">
        <f>IF(nr_NetMode,$N4258*IF(nr_ModAdjEff="ON",$O4258/nr_MInd,1),"")</f>
        <v/>
      </c>
      <c r="T4258" s="208">
        <f>IF(NOT(nr_NetMode),"",IF($G4258&lt;nr_MStartP,$S4258,$T4246*(1+IF($G4258&lt;nr_MStartP1,(nr_NetSelP+N(INDEX(sc_dnet,4))),(nr_NetSelP1+N(INDEX(sc_dnet,4)))))))</f>
        <v/>
      </c>
      <c r="U4258" s="208">
        <f>IF(nr_NetMode,$T4258,$N4258)</f>
        <v/>
      </c>
    </row>
    <row r="4259">
      <c r="A4259" s="145" t="n">
        <v>47</v>
      </c>
      <c r="B4259" s="204">
        <f>EDATE($B4258,1)</f>
        <v/>
      </c>
      <c r="C4259" s="205">
        <f>EOMONTH($B4259,0)</f>
        <v/>
      </c>
      <c r="D4259" s="201">
        <f>$C4259-$B4259+1</f>
        <v/>
      </c>
      <c r="E4259" s="201">
        <f>MONTH($B4259)</f>
        <v/>
      </c>
      <c r="F4259" s="235">
        <f>($B4259+$C4259+1)/2</f>
        <v/>
      </c>
      <c r="G4259" s="201">
        <f>YEAR($B4259)*12+MONTH($B4259)-1</f>
        <v/>
      </c>
      <c r="H4259" s="207">
        <f>IF(OR(nr_SeasonOn="OFF",re_srow=0,re_ssum=0),1,12*INDEX(se_block,re_srow,$E4259)/re_ssum)</f>
        <v/>
      </c>
      <c r="I4259" s="208">
        <f>EXP(SUMPRODUCT(($AE$3806:$AE$4045&lt;$B4259)*(rl_key=nr_SelKey)*$AI$3806:$AI$4045))</f>
        <v/>
      </c>
      <c r="J4259" s="208">
        <f>EXP(SUMPRODUCT(($AE$3806:$AE$4045&lt;=$C4259)*(rl_key=nr_SelKey)*$AI$3806:$AI$4045))</f>
        <v/>
      </c>
      <c r="K4259" s="201">
        <f>COUNTIFS(rl_key,nr_SelKey,$AE$3806:$AE$4045,"&gt;="&amp;$B4259,$AE$3806:$AE$4045,"&lt;="&amp;$C4259)</f>
        <v/>
      </c>
      <c r="L4259" s="201">
        <f>SUMIFS($AJ$3806:$AJ$4045,rl_key,nr_SelKey,$AF$3806:$AF$4045,$B4259,$AM$3806:$AM$4045,1)</f>
        <v/>
      </c>
      <c r="M4259" s="209">
        <f>IF($K4259=0,0,MIN(1,$L4259/$D4259))</f>
        <v/>
      </c>
      <c r="N4259" s="208">
        <f>IF($K4259=0,$J4259,(1-$M4259)*$I4259+$M4259*$J4259)</f>
        <v/>
      </c>
      <c r="O4259" s="209">
        <f>IF($F4259&lt;$B$4211,$E$4211+$I$4211*($F4259-$A$4211),IF($F4259&lt;$C$4211,$F$4211+$J$4211*($F4259-$B$4211),$G$4211+$K$4211*($F4259-$C$4211)))</f>
        <v/>
      </c>
      <c r="P4259" s="208">
        <f>MIN(1,MAX(0,(nr_MEndPm1-$G4259+0.5)/nr_TermMonths))-MIN(1,MAX(0,(nr_MStartPm1-1-$G4259+0.5)/nr_TermMonths))</f>
        <v/>
      </c>
      <c r="Q4259" s="208">
        <f>MIN(1,MAX(0,(nr_MEndP-$G4259+0.5)/nr_TermMonths))-MIN(1,MAX(0,(nr_MStartP-1-$G4259+0.5)/nr_TermMonths))</f>
        <v/>
      </c>
      <c r="R4259" s="208">
        <f>MIN(1,MAX(0,(nr_MEndP1-$G4259+0.5)/nr_TermMonths))-MIN(1,MAX(0,(nr_MStartP1-1-$G4259+0.5)/nr_TermMonths))</f>
        <v/>
      </c>
      <c r="S4259" s="208">
        <f>IF(nr_NetMode,$N4259*IF(nr_ModAdjEff="ON",$O4259/nr_MInd,1),"")</f>
        <v/>
      </c>
      <c r="T4259" s="208">
        <f>IF(NOT(nr_NetMode),"",IF($G4259&lt;nr_MStartP,$S4259,$T4247*(1+IF($G4259&lt;nr_MStartP1,(nr_NetSelP+N(INDEX(sc_dnet,4))),(nr_NetSelP1+N(INDEX(sc_dnet,4)))))))</f>
        <v/>
      </c>
      <c r="U4259" s="208">
        <f>IF(nr_NetMode,$T4259,$N4259)</f>
        <v/>
      </c>
    </row>
    <row r="4260">
      <c r="A4260" s="145" t="n">
        <v>48</v>
      </c>
      <c r="B4260" s="204">
        <f>EDATE($B4259,1)</f>
        <v/>
      </c>
      <c r="C4260" s="205">
        <f>EOMONTH($B4260,0)</f>
        <v/>
      </c>
      <c r="D4260" s="201">
        <f>$C4260-$B4260+1</f>
        <v/>
      </c>
      <c r="E4260" s="201">
        <f>MONTH($B4260)</f>
        <v/>
      </c>
      <c r="F4260" s="235">
        <f>($B4260+$C4260+1)/2</f>
        <v/>
      </c>
      <c r="G4260" s="201">
        <f>YEAR($B4260)*12+MONTH($B4260)-1</f>
        <v/>
      </c>
      <c r="H4260" s="207">
        <f>IF(OR(nr_SeasonOn="OFF",re_srow=0,re_ssum=0),1,12*INDEX(se_block,re_srow,$E4260)/re_ssum)</f>
        <v/>
      </c>
      <c r="I4260" s="208">
        <f>EXP(SUMPRODUCT(($AE$3806:$AE$4045&lt;$B4260)*(rl_key=nr_SelKey)*$AI$3806:$AI$4045))</f>
        <v/>
      </c>
      <c r="J4260" s="208">
        <f>EXP(SUMPRODUCT(($AE$3806:$AE$4045&lt;=$C4260)*(rl_key=nr_SelKey)*$AI$3806:$AI$4045))</f>
        <v/>
      </c>
      <c r="K4260" s="201">
        <f>COUNTIFS(rl_key,nr_SelKey,$AE$3806:$AE$4045,"&gt;="&amp;$B4260,$AE$3806:$AE$4045,"&lt;="&amp;$C4260)</f>
        <v/>
      </c>
      <c r="L4260" s="201">
        <f>SUMIFS($AJ$3806:$AJ$4045,rl_key,nr_SelKey,$AF$3806:$AF$4045,$B4260,$AM$3806:$AM$4045,1)</f>
        <v/>
      </c>
      <c r="M4260" s="209">
        <f>IF($K4260=0,0,MIN(1,$L4260/$D4260))</f>
        <v/>
      </c>
      <c r="N4260" s="208">
        <f>IF($K4260=0,$J4260,(1-$M4260)*$I4260+$M4260*$J4260)</f>
        <v/>
      </c>
      <c r="O4260" s="209">
        <f>IF($F4260&lt;$B$4211,$E$4211+$I$4211*($F4260-$A$4211),IF($F4260&lt;$C$4211,$F$4211+$J$4211*($F4260-$B$4211),$G$4211+$K$4211*($F4260-$C$4211)))</f>
        <v/>
      </c>
      <c r="P4260" s="208">
        <f>MIN(1,MAX(0,(nr_MEndPm1-$G4260+0.5)/nr_TermMonths))-MIN(1,MAX(0,(nr_MStartPm1-1-$G4260+0.5)/nr_TermMonths))</f>
        <v/>
      </c>
      <c r="Q4260" s="208">
        <f>MIN(1,MAX(0,(nr_MEndP-$G4260+0.5)/nr_TermMonths))-MIN(1,MAX(0,(nr_MStartP-1-$G4260+0.5)/nr_TermMonths))</f>
        <v/>
      </c>
      <c r="R4260" s="208">
        <f>MIN(1,MAX(0,(nr_MEndP1-$G4260+0.5)/nr_TermMonths))-MIN(1,MAX(0,(nr_MStartP1-1-$G4260+0.5)/nr_TermMonths))</f>
        <v/>
      </c>
      <c r="S4260" s="208">
        <f>IF(nr_NetMode,$N4260*IF(nr_ModAdjEff="ON",$O4260/nr_MInd,1),"")</f>
        <v/>
      </c>
      <c r="T4260" s="208">
        <f>IF(NOT(nr_NetMode),"",IF($G4260&lt;nr_MStartP,$S4260,$T4248*(1+IF($G4260&lt;nr_MStartP1,(nr_NetSelP+N(INDEX(sc_dnet,4))),(nr_NetSelP1+N(INDEX(sc_dnet,4)))))))</f>
        <v/>
      </c>
      <c r="U4260" s="208">
        <f>IF(nr_NetMode,$T4260,$N4260)</f>
        <v/>
      </c>
    </row>
    <row r="4261">
      <c r="A4261" s="6" t="inlineStr">
        <is>
          <t>S4 results:</t>
        </is>
      </c>
      <c r="B4261" s="72">
        <f>SUMPRODUCT($H$4213:$H$4260,$Q$4213:$Q$4260,$U$4213:$U$4260)/SUMPRODUCT($H$4213:$H$4260,$Q$4213:$Q$4260)</f>
        <v/>
      </c>
      <c r="C4261" s="72">
        <f>SUMPRODUCT($H$4213:$H$4260,$R$4213:$R$4260,$U$4213:$U$4260)/SUMPRODUCT($H$4213:$H$4260,$R$4213:$R$4260)</f>
        <v/>
      </c>
      <c r="D4261" s="184">
        <f>SUMPRODUCT($H$4213:$H$4260,$Q$4213:$Q$4260,$O$4213:$O$4260)/SUMPRODUCT($H$4213:$H$4260,$Q$4213:$Q$4260)</f>
        <v/>
      </c>
    </row>
    <row r="4266">
      <c r="A4266" s="233"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33"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145" t="n">
        <v>1</v>
      </c>
      <c r="B4513" s="204">
        <f>DATE(nr_PlanYear-2,1,1)</f>
        <v/>
      </c>
      <c r="C4513" s="205">
        <f>EOMONTH($B4513,0)</f>
        <v/>
      </c>
      <c r="D4513" s="201">
        <f>$C4513-$B4513+1</f>
        <v/>
      </c>
      <c r="E4513" s="201">
        <f>MONTH($B4513)</f>
        <v/>
      </c>
      <c r="F4513" s="235">
        <f>($B4513+$C4513+1)/2</f>
        <v/>
      </c>
      <c r="G4513" s="201">
        <f>YEAR($B4513)*12+MONTH($B4513)-1</f>
        <v/>
      </c>
      <c r="H4513" s="207">
        <f>IF(OR(nr_SeasonOn="OFF",re_srow=0,re_ssum=0),1,12*INDEX(se_block,re_srow,$E4513)/re_ssum)</f>
        <v/>
      </c>
      <c r="I4513" s="208">
        <f>EXP(SUMPRODUCT((rl_eff&lt;$B4513)*(rl_key=nr_SelKey)*$C$4268:$C$4507))</f>
        <v/>
      </c>
      <c r="J4513" s="208">
        <f>EXP(SUMPRODUCT((rl_eff&lt;=$C4513)*(rl_key=nr_SelKey)*$C$4268:$C$4507))</f>
        <v/>
      </c>
      <c r="K4513" s="201">
        <f>COUNTIFS(rl_key,nr_SelKey,rl_eff,"&gt;="&amp;$B4513,rl_eff,"&lt;="&amp;$C4513)</f>
        <v/>
      </c>
      <c r="L4513" s="201">
        <f>SUMIFS(rl_daysafter,rl_key,nr_SelKey,rl_effmonth,$B4513,rl_first,1)</f>
        <v/>
      </c>
      <c r="M4513" s="209">
        <f>IF($K4513=0,0,MIN(1,$L4513/$D4513))</f>
        <v/>
      </c>
      <c r="N4513" s="208">
        <f>IF($K4513=0,$J4513,(1-$M4513)*$I4513+$M4513*$J4513)</f>
        <v/>
      </c>
      <c r="P4513" s="208">
        <f>MIN(1,MAX(0,(nr_MEndPm1-$G4513+0.5)/nr_TermMonths))-MIN(1,MAX(0,(nr_MStartPm1-1-$G4513+0.5)/nr_TermMonths))</f>
        <v/>
      </c>
      <c r="Q4513" s="208">
        <f>MIN(1,MAX(0,(nr_MEndP-$G4513+0.5)/nr_TermMonths))-MIN(1,MAX(0,(nr_MStartP-1-$G4513+0.5)/nr_TermMonths))</f>
        <v/>
      </c>
      <c r="R4513" s="208">
        <f>MIN(1,MAX(0,(nr_MEndP1-$G4513+0.5)/nr_TermMonths))-MIN(1,MAX(0,(nr_MStartP1-1-$G4513+0.5)/nr_TermMonths))</f>
        <v/>
      </c>
    </row>
    <row r="4514">
      <c r="A4514" s="145" t="n">
        <v>2</v>
      </c>
      <c r="B4514" s="204">
        <f>EDATE($B4513,1)</f>
        <v/>
      </c>
      <c r="C4514" s="205">
        <f>EOMONTH($B4514,0)</f>
        <v/>
      </c>
      <c r="D4514" s="201">
        <f>$C4514-$B4514+1</f>
        <v/>
      </c>
      <c r="E4514" s="201">
        <f>MONTH($B4514)</f>
        <v/>
      </c>
      <c r="F4514" s="235">
        <f>($B4514+$C4514+1)/2</f>
        <v/>
      </c>
      <c r="G4514" s="201">
        <f>YEAR($B4514)*12+MONTH($B4514)-1</f>
        <v/>
      </c>
      <c r="H4514" s="207">
        <f>IF(OR(nr_SeasonOn="OFF",re_srow=0,re_ssum=0),1,12*INDEX(se_block,re_srow,$E4514)/re_ssum)</f>
        <v/>
      </c>
      <c r="I4514" s="208">
        <f>EXP(SUMPRODUCT((rl_eff&lt;$B4514)*(rl_key=nr_SelKey)*$C$4268:$C$4507))</f>
        <v/>
      </c>
      <c r="J4514" s="208">
        <f>EXP(SUMPRODUCT((rl_eff&lt;=$C4514)*(rl_key=nr_SelKey)*$C$4268:$C$4507))</f>
        <v/>
      </c>
      <c r="K4514" s="201">
        <f>COUNTIFS(rl_key,nr_SelKey,rl_eff,"&gt;="&amp;$B4514,rl_eff,"&lt;="&amp;$C4514)</f>
        <v/>
      </c>
      <c r="L4514" s="201">
        <f>SUMIFS(rl_daysafter,rl_key,nr_SelKey,rl_effmonth,$B4514,rl_first,1)</f>
        <v/>
      </c>
      <c r="M4514" s="209">
        <f>IF($K4514=0,0,MIN(1,$L4514/$D4514))</f>
        <v/>
      </c>
      <c r="N4514" s="208">
        <f>IF($K4514=0,$J4514,(1-$M4514)*$I4514+$M4514*$J4514)</f>
        <v/>
      </c>
      <c r="P4514" s="208">
        <f>MIN(1,MAX(0,(nr_MEndPm1-$G4514+0.5)/nr_TermMonths))-MIN(1,MAX(0,(nr_MStartPm1-1-$G4514+0.5)/nr_TermMonths))</f>
        <v/>
      </c>
      <c r="Q4514" s="208">
        <f>MIN(1,MAX(0,(nr_MEndP-$G4514+0.5)/nr_TermMonths))-MIN(1,MAX(0,(nr_MStartP-1-$G4514+0.5)/nr_TermMonths))</f>
        <v/>
      </c>
      <c r="R4514" s="208">
        <f>MIN(1,MAX(0,(nr_MEndP1-$G4514+0.5)/nr_TermMonths))-MIN(1,MAX(0,(nr_MStartP1-1-$G4514+0.5)/nr_TermMonths))</f>
        <v/>
      </c>
    </row>
    <row r="4515">
      <c r="A4515" s="145" t="n">
        <v>3</v>
      </c>
      <c r="B4515" s="204">
        <f>EDATE($B4514,1)</f>
        <v/>
      </c>
      <c r="C4515" s="205">
        <f>EOMONTH($B4515,0)</f>
        <v/>
      </c>
      <c r="D4515" s="201">
        <f>$C4515-$B4515+1</f>
        <v/>
      </c>
      <c r="E4515" s="201">
        <f>MONTH($B4515)</f>
        <v/>
      </c>
      <c r="F4515" s="235">
        <f>($B4515+$C4515+1)/2</f>
        <v/>
      </c>
      <c r="G4515" s="201">
        <f>YEAR($B4515)*12+MONTH($B4515)-1</f>
        <v/>
      </c>
      <c r="H4515" s="207">
        <f>IF(OR(nr_SeasonOn="OFF",re_srow=0,re_ssum=0),1,12*INDEX(se_block,re_srow,$E4515)/re_ssum)</f>
        <v/>
      </c>
      <c r="I4515" s="208">
        <f>EXP(SUMPRODUCT((rl_eff&lt;$B4515)*(rl_key=nr_SelKey)*$C$4268:$C$4507))</f>
        <v/>
      </c>
      <c r="J4515" s="208">
        <f>EXP(SUMPRODUCT((rl_eff&lt;=$C4515)*(rl_key=nr_SelKey)*$C$4268:$C$4507))</f>
        <v/>
      </c>
      <c r="K4515" s="201">
        <f>COUNTIFS(rl_key,nr_SelKey,rl_eff,"&gt;="&amp;$B4515,rl_eff,"&lt;="&amp;$C4515)</f>
        <v/>
      </c>
      <c r="L4515" s="201">
        <f>SUMIFS(rl_daysafter,rl_key,nr_SelKey,rl_effmonth,$B4515,rl_first,1)</f>
        <v/>
      </c>
      <c r="M4515" s="209">
        <f>IF($K4515=0,0,MIN(1,$L4515/$D4515))</f>
        <v/>
      </c>
      <c r="N4515" s="208">
        <f>IF($K4515=0,$J4515,(1-$M4515)*$I4515+$M4515*$J4515)</f>
        <v/>
      </c>
      <c r="P4515" s="208">
        <f>MIN(1,MAX(0,(nr_MEndPm1-$G4515+0.5)/nr_TermMonths))-MIN(1,MAX(0,(nr_MStartPm1-1-$G4515+0.5)/nr_TermMonths))</f>
        <v/>
      </c>
      <c r="Q4515" s="208">
        <f>MIN(1,MAX(0,(nr_MEndP-$G4515+0.5)/nr_TermMonths))-MIN(1,MAX(0,(nr_MStartP-1-$G4515+0.5)/nr_TermMonths))</f>
        <v/>
      </c>
      <c r="R4515" s="208">
        <f>MIN(1,MAX(0,(nr_MEndP1-$G4515+0.5)/nr_TermMonths))-MIN(1,MAX(0,(nr_MStartP1-1-$G4515+0.5)/nr_TermMonths))</f>
        <v/>
      </c>
    </row>
    <row r="4516">
      <c r="A4516" s="145" t="n">
        <v>4</v>
      </c>
      <c r="B4516" s="204">
        <f>EDATE($B4515,1)</f>
        <v/>
      </c>
      <c r="C4516" s="205">
        <f>EOMONTH($B4516,0)</f>
        <v/>
      </c>
      <c r="D4516" s="201">
        <f>$C4516-$B4516+1</f>
        <v/>
      </c>
      <c r="E4516" s="201">
        <f>MONTH($B4516)</f>
        <v/>
      </c>
      <c r="F4516" s="235">
        <f>($B4516+$C4516+1)/2</f>
        <v/>
      </c>
      <c r="G4516" s="201">
        <f>YEAR($B4516)*12+MONTH($B4516)-1</f>
        <v/>
      </c>
      <c r="H4516" s="207">
        <f>IF(OR(nr_SeasonOn="OFF",re_srow=0,re_ssum=0),1,12*INDEX(se_block,re_srow,$E4516)/re_ssum)</f>
        <v/>
      </c>
      <c r="I4516" s="208">
        <f>EXP(SUMPRODUCT((rl_eff&lt;$B4516)*(rl_key=nr_SelKey)*$C$4268:$C$4507))</f>
        <v/>
      </c>
      <c r="J4516" s="208">
        <f>EXP(SUMPRODUCT((rl_eff&lt;=$C4516)*(rl_key=nr_SelKey)*$C$4268:$C$4507))</f>
        <v/>
      </c>
      <c r="K4516" s="201">
        <f>COUNTIFS(rl_key,nr_SelKey,rl_eff,"&gt;="&amp;$B4516,rl_eff,"&lt;="&amp;$C4516)</f>
        <v/>
      </c>
      <c r="L4516" s="201">
        <f>SUMIFS(rl_daysafter,rl_key,nr_SelKey,rl_effmonth,$B4516,rl_first,1)</f>
        <v/>
      </c>
      <c r="M4516" s="209">
        <f>IF($K4516=0,0,MIN(1,$L4516/$D4516))</f>
        <v/>
      </c>
      <c r="N4516" s="208">
        <f>IF($K4516=0,$J4516,(1-$M4516)*$I4516+$M4516*$J4516)</f>
        <v/>
      </c>
      <c r="P4516" s="208">
        <f>MIN(1,MAX(0,(nr_MEndPm1-$G4516+0.5)/nr_TermMonths))-MIN(1,MAX(0,(nr_MStartPm1-1-$G4516+0.5)/nr_TermMonths))</f>
        <v/>
      </c>
      <c r="Q4516" s="208">
        <f>MIN(1,MAX(0,(nr_MEndP-$G4516+0.5)/nr_TermMonths))-MIN(1,MAX(0,(nr_MStartP-1-$G4516+0.5)/nr_TermMonths))</f>
        <v/>
      </c>
      <c r="R4516" s="208">
        <f>MIN(1,MAX(0,(nr_MEndP1-$G4516+0.5)/nr_TermMonths))-MIN(1,MAX(0,(nr_MStartP1-1-$G4516+0.5)/nr_TermMonths))</f>
        <v/>
      </c>
    </row>
    <row r="4517">
      <c r="A4517" s="145" t="n">
        <v>5</v>
      </c>
      <c r="B4517" s="204">
        <f>EDATE($B4516,1)</f>
        <v/>
      </c>
      <c r="C4517" s="205">
        <f>EOMONTH($B4517,0)</f>
        <v/>
      </c>
      <c r="D4517" s="201">
        <f>$C4517-$B4517+1</f>
        <v/>
      </c>
      <c r="E4517" s="201">
        <f>MONTH($B4517)</f>
        <v/>
      </c>
      <c r="F4517" s="235">
        <f>($B4517+$C4517+1)/2</f>
        <v/>
      </c>
      <c r="G4517" s="201">
        <f>YEAR($B4517)*12+MONTH($B4517)-1</f>
        <v/>
      </c>
      <c r="H4517" s="207">
        <f>IF(OR(nr_SeasonOn="OFF",re_srow=0,re_ssum=0),1,12*INDEX(se_block,re_srow,$E4517)/re_ssum)</f>
        <v/>
      </c>
      <c r="I4517" s="208">
        <f>EXP(SUMPRODUCT((rl_eff&lt;$B4517)*(rl_key=nr_SelKey)*$C$4268:$C$4507))</f>
        <v/>
      </c>
      <c r="J4517" s="208">
        <f>EXP(SUMPRODUCT((rl_eff&lt;=$C4517)*(rl_key=nr_SelKey)*$C$4268:$C$4507))</f>
        <v/>
      </c>
      <c r="K4517" s="201">
        <f>COUNTIFS(rl_key,nr_SelKey,rl_eff,"&gt;="&amp;$B4517,rl_eff,"&lt;="&amp;$C4517)</f>
        <v/>
      </c>
      <c r="L4517" s="201">
        <f>SUMIFS(rl_daysafter,rl_key,nr_SelKey,rl_effmonth,$B4517,rl_first,1)</f>
        <v/>
      </c>
      <c r="M4517" s="209">
        <f>IF($K4517=0,0,MIN(1,$L4517/$D4517))</f>
        <v/>
      </c>
      <c r="N4517" s="208">
        <f>IF($K4517=0,$J4517,(1-$M4517)*$I4517+$M4517*$J4517)</f>
        <v/>
      </c>
      <c r="P4517" s="208">
        <f>MIN(1,MAX(0,(nr_MEndPm1-$G4517+0.5)/nr_TermMonths))-MIN(1,MAX(0,(nr_MStartPm1-1-$G4517+0.5)/nr_TermMonths))</f>
        <v/>
      </c>
      <c r="Q4517" s="208">
        <f>MIN(1,MAX(0,(nr_MEndP-$G4517+0.5)/nr_TermMonths))-MIN(1,MAX(0,(nr_MStartP-1-$G4517+0.5)/nr_TermMonths))</f>
        <v/>
      </c>
      <c r="R4517" s="208">
        <f>MIN(1,MAX(0,(nr_MEndP1-$G4517+0.5)/nr_TermMonths))-MIN(1,MAX(0,(nr_MStartP1-1-$G4517+0.5)/nr_TermMonths))</f>
        <v/>
      </c>
    </row>
    <row r="4518">
      <c r="A4518" s="145" t="n">
        <v>6</v>
      </c>
      <c r="B4518" s="204">
        <f>EDATE($B4517,1)</f>
        <v/>
      </c>
      <c r="C4518" s="205">
        <f>EOMONTH($B4518,0)</f>
        <v/>
      </c>
      <c r="D4518" s="201">
        <f>$C4518-$B4518+1</f>
        <v/>
      </c>
      <c r="E4518" s="201">
        <f>MONTH($B4518)</f>
        <v/>
      </c>
      <c r="F4518" s="235">
        <f>($B4518+$C4518+1)/2</f>
        <v/>
      </c>
      <c r="G4518" s="201">
        <f>YEAR($B4518)*12+MONTH($B4518)-1</f>
        <v/>
      </c>
      <c r="H4518" s="207">
        <f>IF(OR(nr_SeasonOn="OFF",re_srow=0,re_ssum=0),1,12*INDEX(se_block,re_srow,$E4518)/re_ssum)</f>
        <v/>
      </c>
      <c r="I4518" s="208">
        <f>EXP(SUMPRODUCT((rl_eff&lt;$B4518)*(rl_key=nr_SelKey)*$C$4268:$C$4507))</f>
        <v/>
      </c>
      <c r="J4518" s="208">
        <f>EXP(SUMPRODUCT((rl_eff&lt;=$C4518)*(rl_key=nr_SelKey)*$C$4268:$C$4507))</f>
        <v/>
      </c>
      <c r="K4518" s="201">
        <f>COUNTIFS(rl_key,nr_SelKey,rl_eff,"&gt;="&amp;$B4518,rl_eff,"&lt;="&amp;$C4518)</f>
        <v/>
      </c>
      <c r="L4518" s="201">
        <f>SUMIFS(rl_daysafter,rl_key,nr_SelKey,rl_effmonth,$B4518,rl_first,1)</f>
        <v/>
      </c>
      <c r="M4518" s="209">
        <f>IF($K4518=0,0,MIN(1,$L4518/$D4518))</f>
        <v/>
      </c>
      <c r="N4518" s="208">
        <f>IF($K4518=0,$J4518,(1-$M4518)*$I4518+$M4518*$J4518)</f>
        <v/>
      </c>
      <c r="P4518" s="208">
        <f>MIN(1,MAX(0,(nr_MEndPm1-$G4518+0.5)/nr_TermMonths))-MIN(1,MAX(0,(nr_MStartPm1-1-$G4518+0.5)/nr_TermMonths))</f>
        <v/>
      </c>
      <c r="Q4518" s="208">
        <f>MIN(1,MAX(0,(nr_MEndP-$G4518+0.5)/nr_TermMonths))-MIN(1,MAX(0,(nr_MStartP-1-$G4518+0.5)/nr_TermMonths))</f>
        <v/>
      </c>
      <c r="R4518" s="208">
        <f>MIN(1,MAX(0,(nr_MEndP1-$G4518+0.5)/nr_TermMonths))-MIN(1,MAX(0,(nr_MStartP1-1-$G4518+0.5)/nr_TermMonths))</f>
        <v/>
      </c>
    </row>
    <row r="4519">
      <c r="A4519" s="145" t="n">
        <v>7</v>
      </c>
      <c r="B4519" s="204">
        <f>EDATE($B4518,1)</f>
        <v/>
      </c>
      <c r="C4519" s="205">
        <f>EOMONTH($B4519,0)</f>
        <v/>
      </c>
      <c r="D4519" s="201">
        <f>$C4519-$B4519+1</f>
        <v/>
      </c>
      <c r="E4519" s="201">
        <f>MONTH($B4519)</f>
        <v/>
      </c>
      <c r="F4519" s="235">
        <f>($B4519+$C4519+1)/2</f>
        <v/>
      </c>
      <c r="G4519" s="201">
        <f>YEAR($B4519)*12+MONTH($B4519)-1</f>
        <v/>
      </c>
      <c r="H4519" s="207">
        <f>IF(OR(nr_SeasonOn="OFF",re_srow=0,re_ssum=0),1,12*INDEX(se_block,re_srow,$E4519)/re_ssum)</f>
        <v/>
      </c>
      <c r="I4519" s="208">
        <f>EXP(SUMPRODUCT((rl_eff&lt;$B4519)*(rl_key=nr_SelKey)*$C$4268:$C$4507))</f>
        <v/>
      </c>
      <c r="J4519" s="208">
        <f>EXP(SUMPRODUCT((rl_eff&lt;=$C4519)*(rl_key=nr_SelKey)*$C$4268:$C$4507))</f>
        <v/>
      </c>
      <c r="K4519" s="201">
        <f>COUNTIFS(rl_key,nr_SelKey,rl_eff,"&gt;="&amp;$B4519,rl_eff,"&lt;="&amp;$C4519)</f>
        <v/>
      </c>
      <c r="L4519" s="201">
        <f>SUMIFS(rl_daysafter,rl_key,nr_SelKey,rl_effmonth,$B4519,rl_first,1)</f>
        <v/>
      </c>
      <c r="M4519" s="209">
        <f>IF($K4519=0,0,MIN(1,$L4519/$D4519))</f>
        <v/>
      </c>
      <c r="N4519" s="208">
        <f>IF($K4519=0,$J4519,(1-$M4519)*$I4519+$M4519*$J4519)</f>
        <v/>
      </c>
      <c r="P4519" s="208">
        <f>MIN(1,MAX(0,(nr_MEndPm1-$G4519+0.5)/nr_TermMonths))-MIN(1,MAX(0,(nr_MStartPm1-1-$G4519+0.5)/nr_TermMonths))</f>
        <v/>
      </c>
      <c r="Q4519" s="208">
        <f>MIN(1,MAX(0,(nr_MEndP-$G4519+0.5)/nr_TermMonths))-MIN(1,MAX(0,(nr_MStartP-1-$G4519+0.5)/nr_TermMonths))</f>
        <v/>
      </c>
      <c r="R4519" s="208">
        <f>MIN(1,MAX(0,(nr_MEndP1-$G4519+0.5)/nr_TermMonths))-MIN(1,MAX(0,(nr_MStartP1-1-$G4519+0.5)/nr_TermMonths))</f>
        <v/>
      </c>
    </row>
    <row r="4520">
      <c r="A4520" s="145" t="n">
        <v>8</v>
      </c>
      <c r="B4520" s="204">
        <f>EDATE($B4519,1)</f>
        <v/>
      </c>
      <c r="C4520" s="205">
        <f>EOMONTH($B4520,0)</f>
        <v/>
      </c>
      <c r="D4520" s="201">
        <f>$C4520-$B4520+1</f>
        <v/>
      </c>
      <c r="E4520" s="201">
        <f>MONTH($B4520)</f>
        <v/>
      </c>
      <c r="F4520" s="235">
        <f>($B4520+$C4520+1)/2</f>
        <v/>
      </c>
      <c r="G4520" s="201">
        <f>YEAR($B4520)*12+MONTH($B4520)-1</f>
        <v/>
      </c>
      <c r="H4520" s="207">
        <f>IF(OR(nr_SeasonOn="OFF",re_srow=0,re_ssum=0),1,12*INDEX(se_block,re_srow,$E4520)/re_ssum)</f>
        <v/>
      </c>
      <c r="I4520" s="208">
        <f>EXP(SUMPRODUCT((rl_eff&lt;$B4520)*(rl_key=nr_SelKey)*$C$4268:$C$4507))</f>
        <v/>
      </c>
      <c r="J4520" s="208">
        <f>EXP(SUMPRODUCT((rl_eff&lt;=$C4520)*(rl_key=nr_SelKey)*$C$4268:$C$4507))</f>
        <v/>
      </c>
      <c r="K4520" s="201">
        <f>COUNTIFS(rl_key,nr_SelKey,rl_eff,"&gt;="&amp;$B4520,rl_eff,"&lt;="&amp;$C4520)</f>
        <v/>
      </c>
      <c r="L4520" s="201">
        <f>SUMIFS(rl_daysafter,rl_key,nr_SelKey,rl_effmonth,$B4520,rl_first,1)</f>
        <v/>
      </c>
      <c r="M4520" s="209">
        <f>IF($K4520=0,0,MIN(1,$L4520/$D4520))</f>
        <v/>
      </c>
      <c r="N4520" s="208">
        <f>IF($K4520=0,$J4520,(1-$M4520)*$I4520+$M4520*$J4520)</f>
        <v/>
      </c>
      <c r="P4520" s="208">
        <f>MIN(1,MAX(0,(nr_MEndPm1-$G4520+0.5)/nr_TermMonths))-MIN(1,MAX(0,(nr_MStartPm1-1-$G4520+0.5)/nr_TermMonths))</f>
        <v/>
      </c>
      <c r="Q4520" s="208">
        <f>MIN(1,MAX(0,(nr_MEndP-$G4520+0.5)/nr_TermMonths))-MIN(1,MAX(0,(nr_MStartP-1-$G4520+0.5)/nr_TermMonths))</f>
        <v/>
      </c>
      <c r="R4520" s="208">
        <f>MIN(1,MAX(0,(nr_MEndP1-$G4520+0.5)/nr_TermMonths))-MIN(1,MAX(0,(nr_MStartP1-1-$G4520+0.5)/nr_TermMonths))</f>
        <v/>
      </c>
    </row>
    <row r="4521">
      <c r="A4521" s="145" t="n">
        <v>9</v>
      </c>
      <c r="B4521" s="204">
        <f>EDATE($B4520,1)</f>
        <v/>
      </c>
      <c r="C4521" s="205">
        <f>EOMONTH($B4521,0)</f>
        <v/>
      </c>
      <c r="D4521" s="201">
        <f>$C4521-$B4521+1</f>
        <v/>
      </c>
      <c r="E4521" s="201">
        <f>MONTH($B4521)</f>
        <v/>
      </c>
      <c r="F4521" s="235">
        <f>($B4521+$C4521+1)/2</f>
        <v/>
      </c>
      <c r="G4521" s="201">
        <f>YEAR($B4521)*12+MONTH($B4521)-1</f>
        <v/>
      </c>
      <c r="H4521" s="207">
        <f>IF(OR(nr_SeasonOn="OFF",re_srow=0,re_ssum=0),1,12*INDEX(se_block,re_srow,$E4521)/re_ssum)</f>
        <v/>
      </c>
      <c r="I4521" s="208">
        <f>EXP(SUMPRODUCT((rl_eff&lt;$B4521)*(rl_key=nr_SelKey)*$C$4268:$C$4507))</f>
        <v/>
      </c>
      <c r="J4521" s="208">
        <f>EXP(SUMPRODUCT((rl_eff&lt;=$C4521)*(rl_key=nr_SelKey)*$C$4268:$C$4507))</f>
        <v/>
      </c>
      <c r="K4521" s="201">
        <f>COUNTIFS(rl_key,nr_SelKey,rl_eff,"&gt;="&amp;$B4521,rl_eff,"&lt;="&amp;$C4521)</f>
        <v/>
      </c>
      <c r="L4521" s="201">
        <f>SUMIFS(rl_daysafter,rl_key,nr_SelKey,rl_effmonth,$B4521,rl_first,1)</f>
        <v/>
      </c>
      <c r="M4521" s="209">
        <f>IF($K4521=0,0,MIN(1,$L4521/$D4521))</f>
        <v/>
      </c>
      <c r="N4521" s="208">
        <f>IF($K4521=0,$J4521,(1-$M4521)*$I4521+$M4521*$J4521)</f>
        <v/>
      </c>
      <c r="P4521" s="208">
        <f>MIN(1,MAX(0,(nr_MEndPm1-$G4521+0.5)/nr_TermMonths))-MIN(1,MAX(0,(nr_MStartPm1-1-$G4521+0.5)/nr_TermMonths))</f>
        <v/>
      </c>
      <c r="Q4521" s="208">
        <f>MIN(1,MAX(0,(nr_MEndP-$G4521+0.5)/nr_TermMonths))-MIN(1,MAX(0,(nr_MStartP-1-$G4521+0.5)/nr_TermMonths))</f>
        <v/>
      </c>
      <c r="R4521" s="208">
        <f>MIN(1,MAX(0,(nr_MEndP1-$G4521+0.5)/nr_TermMonths))-MIN(1,MAX(0,(nr_MStartP1-1-$G4521+0.5)/nr_TermMonths))</f>
        <v/>
      </c>
    </row>
    <row r="4522">
      <c r="A4522" s="145" t="n">
        <v>10</v>
      </c>
      <c r="B4522" s="204">
        <f>EDATE($B4521,1)</f>
        <v/>
      </c>
      <c r="C4522" s="205">
        <f>EOMONTH($B4522,0)</f>
        <v/>
      </c>
      <c r="D4522" s="201">
        <f>$C4522-$B4522+1</f>
        <v/>
      </c>
      <c r="E4522" s="201">
        <f>MONTH($B4522)</f>
        <v/>
      </c>
      <c r="F4522" s="235">
        <f>($B4522+$C4522+1)/2</f>
        <v/>
      </c>
      <c r="G4522" s="201">
        <f>YEAR($B4522)*12+MONTH($B4522)-1</f>
        <v/>
      </c>
      <c r="H4522" s="207">
        <f>IF(OR(nr_SeasonOn="OFF",re_srow=0,re_ssum=0),1,12*INDEX(se_block,re_srow,$E4522)/re_ssum)</f>
        <v/>
      </c>
      <c r="I4522" s="208">
        <f>EXP(SUMPRODUCT((rl_eff&lt;$B4522)*(rl_key=nr_SelKey)*$C$4268:$C$4507))</f>
        <v/>
      </c>
      <c r="J4522" s="208">
        <f>EXP(SUMPRODUCT((rl_eff&lt;=$C4522)*(rl_key=nr_SelKey)*$C$4268:$C$4507))</f>
        <v/>
      </c>
      <c r="K4522" s="201">
        <f>COUNTIFS(rl_key,nr_SelKey,rl_eff,"&gt;="&amp;$B4522,rl_eff,"&lt;="&amp;$C4522)</f>
        <v/>
      </c>
      <c r="L4522" s="201">
        <f>SUMIFS(rl_daysafter,rl_key,nr_SelKey,rl_effmonth,$B4522,rl_first,1)</f>
        <v/>
      </c>
      <c r="M4522" s="209">
        <f>IF($K4522=0,0,MIN(1,$L4522/$D4522))</f>
        <v/>
      </c>
      <c r="N4522" s="208">
        <f>IF($K4522=0,$J4522,(1-$M4522)*$I4522+$M4522*$J4522)</f>
        <v/>
      </c>
      <c r="P4522" s="208">
        <f>MIN(1,MAX(0,(nr_MEndPm1-$G4522+0.5)/nr_TermMonths))-MIN(1,MAX(0,(nr_MStartPm1-1-$G4522+0.5)/nr_TermMonths))</f>
        <v/>
      </c>
      <c r="Q4522" s="208">
        <f>MIN(1,MAX(0,(nr_MEndP-$G4522+0.5)/nr_TermMonths))-MIN(1,MAX(0,(nr_MStartP-1-$G4522+0.5)/nr_TermMonths))</f>
        <v/>
      </c>
      <c r="R4522" s="208">
        <f>MIN(1,MAX(0,(nr_MEndP1-$G4522+0.5)/nr_TermMonths))-MIN(1,MAX(0,(nr_MStartP1-1-$G4522+0.5)/nr_TermMonths))</f>
        <v/>
      </c>
    </row>
    <row r="4523">
      <c r="A4523" s="145" t="n">
        <v>11</v>
      </c>
      <c r="B4523" s="204">
        <f>EDATE($B4522,1)</f>
        <v/>
      </c>
      <c r="C4523" s="205">
        <f>EOMONTH($B4523,0)</f>
        <v/>
      </c>
      <c r="D4523" s="201">
        <f>$C4523-$B4523+1</f>
        <v/>
      </c>
      <c r="E4523" s="201">
        <f>MONTH($B4523)</f>
        <v/>
      </c>
      <c r="F4523" s="235">
        <f>($B4523+$C4523+1)/2</f>
        <v/>
      </c>
      <c r="G4523" s="201">
        <f>YEAR($B4523)*12+MONTH($B4523)-1</f>
        <v/>
      </c>
      <c r="H4523" s="207">
        <f>IF(OR(nr_SeasonOn="OFF",re_srow=0,re_ssum=0),1,12*INDEX(se_block,re_srow,$E4523)/re_ssum)</f>
        <v/>
      </c>
      <c r="I4523" s="208">
        <f>EXP(SUMPRODUCT((rl_eff&lt;$B4523)*(rl_key=nr_SelKey)*$C$4268:$C$4507))</f>
        <v/>
      </c>
      <c r="J4523" s="208">
        <f>EXP(SUMPRODUCT((rl_eff&lt;=$C4523)*(rl_key=nr_SelKey)*$C$4268:$C$4507))</f>
        <v/>
      </c>
      <c r="K4523" s="201">
        <f>COUNTIFS(rl_key,nr_SelKey,rl_eff,"&gt;="&amp;$B4523,rl_eff,"&lt;="&amp;$C4523)</f>
        <v/>
      </c>
      <c r="L4523" s="201">
        <f>SUMIFS(rl_daysafter,rl_key,nr_SelKey,rl_effmonth,$B4523,rl_first,1)</f>
        <v/>
      </c>
      <c r="M4523" s="209">
        <f>IF($K4523=0,0,MIN(1,$L4523/$D4523))</f>
        <v/>
      </c>
      <c r="N4523" s="208">
        <f>IF($K4523=0,$J4523,(1-$M4523)*$I4523+$M4523*$J4523)</f>
        <v/>
      </c>
      <c r="P4523" s="208">
        <f>MIN(1,MAX(0,(nr_MEndPm1-$G4523+0.5)/nr_TermMonths))-MIN(1,MAX(0,(nr_MStartPm1-1-$G4523+0.5)/nr_TermMonths))</f>
        <v/>
      </c>
      <c r="Q4523" s="208">
        <f>MIN(1,MAX(0,(nr_MEndP-$G4523+0.5)/nr_TermMonths))-MIN(1,MAX(0,(nr_MStartP-1-$G4523+0.5)/nr_TermMonths))</f>
        <v/>
      </c>
      <c r="R4523" s="208">
        <f>MIN(1,MAX(0,(nr_MEndP1-$G4523+0.5)/nr_TermMonths))-MIN(1,MAX(0,(nr_MStartP1-1-$G4523+0.5)/nr_TermMonths))</f>
        <v/>
      </c>
    </row>
    <row r="4524">
      <c r="A4524" s="145" t="n">
        <v>12</v>
      </c>
      <c r="B4524" s="204">
        <f>EDATE($B4523,1)</f>
        <v/>
      </c>
      <c r="C4524" s="205">
        <f>EOMONTH($B4524,0)</f>
        <v/>
      </c>
      <c r="D4524" s="201">
        <f>$C4524-$B4524+1</f>
        <v/>
      </c>
      <c r="E4524" s="201">
        <f>MONTH($B4524)</f>
        <v/>
      </c>
      <c r="F4524" s="235">
        <f>($B4524+$C4524+1)/2</f>
        <v/>
      </c>
      <c r="G4524" s="201">
        <f>YEAR($B4524)*12+MONTH($B4524)-1</f>
        <v/>
      </c>
      <c r="H4524" s="207">
        <f>IF(OR(nr_SeasonOn="OFF",re_srow=0,re_ssum=0),1,12*INDEX(se_block,re_srow,$E4524)/re_ssum)</f>
        <v/>
      </c>
      <c r="I4524" s="208">
        <f>EXP(SUMPRODUCT((rl_eff&lt;$B4524)*(rl_key=nr_SelKey)*$C$4268:$C$4507))</f>
        <v/>
      </c>
      <c r="J4524" s="208">
        <f>EXP(SUMPRODUCT((rl_eff&lt;=$C4524)*(rl_key=nr_SelKey)*$C$4268:$C$4507))</f>
        <v/>
      </c>
      <c r="K4524" s="201">
        <f>COUNTIFS(rl_key,nr_SelKey,rl_eff,"&gt;="&amp;$B4524,rl_eff,"&lt;="&amp;$C4524)</f>
        <v/>
      </c>
      <c r="L4524" s="201">
        <f>SUMIFS(rl_daysafter,rl_key,nr_SelKey,rl_effmonth,$B4524,rl_first,1)</f>
        <v/>
      </c>
      <c r="M4524" s="209">
        <f>IF($K4524=0,0,MIN(1,$L4524/$D4524))</f>
        <v/>
      </c>
      <c r="N4524" s="208">
        <f>IF($K4524=0,$J4524,(1-$M4524)*$I4524+$M4524*$J4524)</f>
        <v/>
      </c>
      <c r="P4524" s="208">
        <f>MIN(1,MAX(0,(nr_MEndPm1-$G4524+0.5)/nr_TermMonths))-MIN(1,MAX(0,(nr_MStartPm1-1-$G4524+0.5)/nr_TermMonths))</f>
        <v/>
      </c>
      <c r="Q4524" s="208">
        <f>MIN(1,MAX(0,(nr_MEndP-$G4524+0.5)/nr_TermMonths))-MIN(1,MAX(0,(nr_MStartP-1-$G4524+0.5)/nr_TermMonths))</f>
        <v/>
      </c>
      <c r="R4524" s="208">
        <f>MIN(1,MAX(0,(nr_MEndP1-$G4524+0.5)/nr_TermMonths))-MIN(1,MAX(0,(nr_MStartP1-1-$G4524+0.5)/nr_TermMonths))</f>
        <v/>
      </c>
    </row>
    <row r="4525">
      <c r="A4525" s="145" t="n">
        <v>13</v>
      </c>
      <c r="B4525" s="204">
        <f>EDATE($B4524,1)</f>
        <v/>
      </c>
      <c r="C4525" s="205">
        <f>EOMONTH($B4525,0)</f>
        <v/>
      </c>
      <c r="D4525" s="201">
        <f>$C4525-$B4525+1</f>
        <v/>
      </c>
      <c r="E4525" s="201">
        <f>MONTH($B4525)</f>
        <v/>
      </c>
      <c r="F4525" s="235">
        <f>($B4525+$C4525+1)/2</f>
        <v/>
      </c>
      <c r="G4525" s="201">
        <f>YEAR($B4525)*12+MONTH($B4525)-1</f>
        <v/>
      </c>
      <c r="H4525" s="207">
        <f>IF(OR(nr_SeasonOn="OFF",re_srow=0,re_ssum=0),1,12*INDEX(se_block,re_srow,$E4525)/re_ssum)</f>
        <v/>
      </c>
      <c r="I4525" s="208">
        <f>EXP(SUMPRODUCT((rl_eff&lt;$B4525)*(rl_key=nr_SelKey)*$C$4268:$C$4507))</f>
        <v/>
      </c>
      <c r="J4525" s="208">
        <f>EXP(SUMPRODUCT((rl_eff&lt;=$C4525)*(rl_key=nr_SelKey)*$C$4268:$C$4507))</f>
        <v/>
      </c>
      <c r="K4525" s="201">
        <f>COUNTIFS(rl_key,nr_SelKey,rl_eff,"&gt;="&amp;$B4525,rl_eff,"&lt;="&amp;$C4525)</f>
        <v/>
      </c>
      <c r="L4525" s="201">
        <f>SUMIFS(rl_daysafter,rl_key,nr_SelKey,rl_effmonth,$B4525,rl_first,1)</f>
        <v/>
      </c>
      <c r="M4525" s="209">
        <f>IF($K4525=0,0,MIN(1,$L4525/$D4525))</f>
        <v/>
      </c>
      <c r="N4525" s="208">
        <f>IF($K4525=0,$J4525,(1-$M4525)*$I4525+$M4525*$J4525)</f>
        <v/>
      </c>
      <c r="P4525" s="208">
        <f>MIN(1,MAX(0,(nr_MEndPm1-$G4525+0.5)/nr_TermMonths))-MIN(1,MAX(0,(nr_MStartPm1-1-$G4525+0.5)/nr_TermMonths))</f>
        <v/>
      </c>
      <c r="Q4525" s="208">
        <f>MIN(1,MAX(0,(nr_MEndP-$G4525+0.5)/nr_TermMonths))-MIN(1,MAX(0,(nr_MStartP-1-$G4525+0.5)/nr_TermMonths))</f>
        <v/>
      </c>
      <c r="R4525" s="208">
        <f>MIN(1,MAX(0,(nr_MEndP1-$G4525+0.5)/nr_TermMonths))-MIN(1,MAX(0,(nr_MStartP1-1-$G4525+0.5)/nr_TermMonths))</f>
        <v/>
      </c>
    </row>
    <row r="4526">
      <c r="A4526" s="145" t="n">
        <v>14</v>
      </c>
      <c r="B4526" s="204">
        <f>EDATE($B4525,1)</f>
        <v/>
      </c>
      <c r="C4526" s="205">
        <f>EOMONTH($B4526,0)</f>
        <v/>
      </c>
      <c r="D4526" s="201">
        <f>$C4526-$B4526+1</f>
        <v/>
      </c>
      <c r="E4526" s="201">
        <f>MONTH($B4526)</f>
        <v/>
      </c>
      <c r="F4526" s="235">
        <f>($B4526+$C4526+1)/2</f>
        <v/>
      </c>
      <c r="G4526" s="201">
        <f>YEAR($B4526)*12+MONTH($B4526)-1</f>
        <v/>
      </c>
      <c r="H4526" s="207">
        <f>IF(OR(nr_SeasonOn="OFF",re_srow=0,re_ssum=0),1,12*INDEX(se_block,re_srow,$E4526)/re_ssum)</f>
        <v/>
      </c>
      <c r="I4526" s="208">
        <f>EXP(SUMPRODUCT((rl_eff&lt;$B4526)*(rl_key=nr_SelKey)*$C$4268:$C$4507))</f>
        <v/>
      </c>
      <c r="J4526" s="208">
        <f>EXP(SUMPRODUCT((rl_eff&lt;=$C4526)*(rl_key=nr_SelKey)*$C$4268:$C$4507))</f>
        <v/>
      </c>
      <c r="K4526" s="201">
        <f>COUNTIFS(rl_key,nr_SelKey,rl_eff,"&gt;="&amp;$B4526,rl_eff,"&lt;="&amp;$C4526)</f>
        <v/>
      </c>
      <c r="L4526" s="201">
        <f>SUMIFS(rl_daysafter,rl_key,nr_SelKey,rl_effmonth,$B4526,rl_first,1)</f>
        <v/>
      </c>
      <c r="M4526" s="209">
        <f>IF($K4526=0,0,MIN(1,$L4526/$D4526))</f>
        <v/>
      </c>
      <c r="N4526" s="208">
        <f>IF($K4526=0,$J4526,(1-$M4526)*$I4526+$M4526*$J4526)</f>
        <v/>
      </c>
      <c r="P4526" s="208">
        <f>MIN(1,MAX(0,(nr_MEndPm1-$G4526+0.5)/nr_TermMonths))-MIN(1,MAX(0,(nr_MStartPm1-1-$G4526+0.5)/nr_TermMonths))</f>
        <v/>
      </c>
      <c r="Q4526" s="208">
        <f>MIN(1,MAX(0,(nr_MEndP-$G4526+0.5)/nr_TermMonths))-MIN(1,MAX(0,(nr_MStartP-1-$G4526+0.5)/nr_TermMonths))</f>
        <v/>
      </c>
      <c r="R4526" s="208">
        <f>MIN(1,MAX(0,(nr_MEndP1-$G4526+0.5)/nr_TermMonths))-MIN(1,MAX(0,(nr_MStartP1-1-$G4526+0.5)/nr_TermMonths))</f>
        <v/>
      </c>
    </row>
    <row r="4527">
      <c r="A4527" s="145" t="n">
        <v>15</v>
      </c>
      <c r="B4527" s="204">
        <f>EDATE($B4526,1)</f>
        <v/>
      </c>
      <c r="C4527" s="205">
        <f>EOMONTH($B4527,0)</f>
        <v/>
      </c>
      <c r="D4527" s="201">
        <f>$C4527-$B4527+1</f>
        <v/>
      </c>
      <c r="E4527" s="201">
        <f>MONTH($B4527)</f>
        <v/>
      </c>
      <c r="F4527" s="235">
        <f>($B4527+$C4527+1)/2</f>
        <v/>
      </c>
      <c r="G4527" s="201">
        <f>YEAR($B4527)*12+MONTH($B4527)-1</f>
        <v/>
      </c>
      <c r="H4527" s="207">
        <f>IF(OR(nr_SeasonOn="OFF",re_srow=0,re_ssum=0),1,12*INDEX(se_block,re_srow,$E4527)/re_ssum)</f>
        <v/>
      </c>
      <c r="I4527" s="208">
        <f>EXP(SUMPRODUCT((rl_eff&lt;$B4527)*(rl_key=nr_SelKey)*$C$4268:$C$4507))</f>
        <v/>
      </c>
      <c r="J4527" s="208">
        <f>EXP(SUMPRODUCT((rl_eff&lt;=$C4527)*(rl_key=nr_SelKey)*$C$4268:$C$4507))</f>
        <v/>
      </c>
      <c r="K4527" s="201">
        <f>COUNTIFS(rl_key,nr_SelKey,rl_eff,"&gt;="&amp;$B4527,rl_eff,"&lt;="&amp;$C4527)</f>
        <v/>
      </c>
      <c r="L4527" s="201">
        <f>SUMIFS(rl_daysafter,rl_key,nr_SelKey,rl_effmonth,$B4527,rl_first,1)</f>
        <v/>
      </c>
      <c r="M4527" s="209">
        <f>IF($K4527=0,0,MIN(1,$L4527/$D4527))</f>
        <v/>
      </c>
      <c r="N4527" s="208">
        <f>IF($K4527=0,$J4527,(1-$M4527)*$I4527+$M4527*$J4527)</f>
        <v/>
      </c>
      <c r="P4527" s="208">
        <f>MIN(1,MAX(0,(nr_MEndPm1-$G4527+0.5)/nr_TermMonths))-MIN(1,MAX(0,(nr_MStartPm1-1-$G4527+0.5)/nr_TermMonths))</f>
        <v/>
      </c>
      <c r="Q4527" s="208">
        <f>MIN(1,MAX(0,(nr_MEndP-$G4527+0.5)/nr_TermMonths))-MIN(1,MAX(0,(nr_MStartP-1-$G4527+0.5)/nr_TermMonths))</f>
        <v/>
      </c>
      <c r="R4527" s="208">
        <f>MIN(1,MAX(0,(nr_MEndP1-$G4527+0.5)/nr_TermMonths))-MIN(1,MAX(0,(nr_MStartP1-1-$G4527+0.5)/nr_TermMonths))</f>
        <v/>
      </c>
    </row>
    <row r="4528">
      <c r="A4528" s="145" t="n">
        <v>16</v>
      </c>
      <c r="B4528" s="204">
        <f>EDATE($B4527,1)</f>
        <v/>
      </c>
      <c r="C4528" s="205">
        <f>EOMONTH($B4528,0)</f>
        <v/>
      </c>
      <c r="D4528" s="201">
        <f>$C4528-$B4528+1</f>
        <v/>
      </c>
      <c r="E4528" s="201">
        <f>MONTH($B4528)</f>
        <v/>
      </c>
      <c r="F4528" s="235">
        <f>($B4528+$C4528+1)/2</f>
        <v/>
      </c>
      <c r="G4528" s="201">
        <f>YEAR($B4528)*12+MONTH($B4528)-1</f>
        <v/>
      </c>
      <c r="H4528" s="207">
        <f>IF(OR(nr_SeasonOn="OFF",re_srow=0,re_ssum=0),1,12*INDEX(se_block,re_srow,$E4528)/re_ssum)</f>
        <v/>
      </c>
      <c r="I4528" s="208">
        <f>EXP(SUMPRODUCT((rl_eff&lt;$B4528)*(rl_key=nr_SelKey)*$C$4268:$C$4507))</f>
        <v/>
      </c>
      <c r="J4528" s="208">
        <f>EXP(SUMPRODUCT((rl_eff&lt;=$C4528)*(rl_key=nr_SelKey)*$C$4268:$C$4507))</f>
        <v/>
      </c>
      <c r="K4528" s="201">
        <f>COUNTIFS(rl_key,nr_SelKey,rl_eff,"&gt;="&amp;$B4528,rl_eff,"&lt;="&amp;$C4528)</f>
        <v/>
      </c>
      <c r="L4528" s="201">
        <f>SUMIFS(rl_daysafter,rl_key,nr_SelKey,rl_effmonth,$B4528,rl_first,1)</f>
        <v/>
      </c>
      <c r="M4528" s="209">
        <f>IF($K4528=0,0,MIN(1,$L4528/$D4528))</f>
        <v/>
      </c>
      <c r="N4528" s="208">
        <f>IF($K4528=0,$J4528,(1-$M4528)*$I4528+$M4528*$J4528)</f>
        <v/>
      </c>
      <c r="P4528" s="208">
        <f>MIN(1,MAX(0,(nr_MEndPm1-$G4528+0.5)/nr_TermMonths))-MIN(1,MAX(0,(nr_MStartPm1-1-$G4528+0.5)/nr_TermMonths))</f>
        <v/>
      </c>
      <c r="Q4528" s="208">
        <f>MIN(1,MAX(0,(nr_MEndP-$G4528+0.5)/nr_TermMonths))-MIN(1,MAX(0,(nr_MStartP-1-$G4528+0.5)/nr_TermMonths))</f>
        <v/>
      </c>
      <c r="R4528" s="208">
        <f>MIN(1,MAX(0,(nr_MEndP1-$G4528+0.5)/nr_TermMonths))-MIN(1,MAX(0,(nr_MStartP1-1-$G4528+0.5)/nr_TermMonths))</f>
        <v/>
      </c>
    </row>
    <row r="4529">
      <c r="A4529" s="145" t="n">
        <v>17</v>
      </c>
      <c r="B4529" s="204">
        <f>EDATE($B4528,1)</f>
        <v/>
      </c>
      <c r="C4529" s="205">
        <f>EOMONTH($B4529,0)</f>
        <v/>
      </c>
      <c r="D4529" s="201">
        <f>$C4529-$B4529+1</f>
        <v/>
      </c>
      <c r="E4529" s="201">
        <f>MONTH($B4529)</f>
        <v/>
      </c>
      <c r="F4529" s="235">
        <f>($B4529+$C4529+1)/2</f>
        <v/>
      </c>
      <c r="G4529" s="201">
        <f>YEAR($B4529)*12+MONTH($B4529)-1</f>
        <v/>
      </c>
      <c r="H4529" s="207">
        <f>IF(OR(nr_SeasonOn="OFF",re_srow=0,re_ssum=0),1,12*INDEX(se_block,re_srow,$E4529)/re_ssum)</f>
        <v/>
      </c>
      <c r="I4529" s="208">
        <f>EXP(SUMPRODUCT((rl_eff&lt;$B4529)*(rl_key=nr_SelKey)*$C$4268:$C$4507))</f>
        <v/>
      </c>
      <c r="J4529" s="208">
        <f>EXP(SUMPRODUCT((rl_eff&lt;=$C4529)*(rl_key=nr_SelKey)*$C$4268:$C$4507))</f>
        <v/>
      </c>
      <c r="K4529" s="201">
        <f>COUNTIFS(rl_key,nr_SelKey,rl_eff,"&gt;="&amp;$B4529,rl_eff,"&lt;="&amp;$C4529)</f>
        <v/>
      </c>
      <c r="L4529" s="201">
        <f>SUMIFS(rl_daysafter,rl_key,nr_SelKey,rl_effmonth,$B4529,rl_first,1)</f>
        <v/>
      </c>
      <c r="M4529" s="209">
        <f>IF($K4529=0,0,MIN(1,$L4529/$D4529))</f>
        <v/>
      </c>
      <c r="N4529" s="208">
        <f>IF($K4529=0,$J4529,(1-$M4529)*$I4529+$M4529*$J4529)</f>
        <v/>
      </c>
      <c r="P4529" s="208">
        <f>MIN(1,MAX(0,(nr_MEndPm1-$G4529+0.5)/nr_TermMonths))-MIN(1,MAX(0,(nr_MStartPm1-1-$G4529+0.5)/nr_TermMonths))</f>
        <v/>
      </c>
      <c r="Q4529" s="208">
        <f>MIN(1,MAX(0,(nr_MEndP-$G4529+0.5)/nr_TermMonths))-MIN(1,MAX(0,(nr_MStartP-1-$G4529+0.5)/nr_TermMonths))</f>
        <v/>
      </c>
      <c r="R4529" s="208">
        <f>MIN(1,MAX(0,(nr_MEndP1-$G4529+0.5)/nr_TermMonths))-MIN(1,MAX(0,(nr_MStartP1-1-$G4529+0.5)/nr_TermMonths))</f>
        <v/>
      </c>
    </row>
    <row r="4530">
      <c r="A4530" s="145" t="n">
        <v>18</v>
      </c>
      <c r="B4530" s="204">
        <f>EDATE($B4529,1)</f>
        <v/>
      </c>
      <c r="C4530" s="205">
        <f>EOMONTH($B4530,0)</f>
        <v/>
      </c>
      <c r="D4530" s="201">
        <f>$C4530-$B4530+1</f>
        <v/>
      </c>
      <c r="E4530" s="201">
        <f>MONTH($B4530)</f>
        <v/>
      </c>
      <c r="F4530" s="235">
        <f>($B4530+$C4530+1)/2</f>
        <v/>
      </c>
      <c r="G4530" s="201">
        <f>YEAR($B4530)*12+MONTH($B4530)-1</f>
        <v/>
      </c>
      <c r="H4530" s="207">
        <f>IF(OR(nr_SeasonOn="OFF",re_srow=0,re_ssum=0),1,12*INDEX(se_block,re_srow,$E4530)/re_ssum)</f>
        <v/>
      </c>
      <c r="I4530" s="208">
        <f>EXP(SUMPRODUCT((rl_eff&lt;$B4530)*(rl_key=nr_SelKey)*$C$4268:$C$4507))</f>
        <v/>
      </c>
      <c r="J4530" s="208">
        <f>EXP(SUMPRODUCT((rl_eff&lt;=$C4530)*(rl_key=nr_SelKey)*$C$4268:$C$4507))</f>
        <v/>
      </c>
      <c r="K4530" s="201">
        <f>COUNTIFS(rl_key,nr_SelKey,rl_eff,"&gt;="&amp;$B4530,rl_eff,"&lt;="&amp;$C4530)</f>
        <v/>
      </c>
      <c r="L4530" s="201">
        <f>SUMIFS(rl_daysafter,rl_key,nr_SelKey,rl_effmonth,$B4530,rl_first,1)</f>
        <v/>
      </c>
      <c r="M4530" s="209">
        <f>IF($K4530=0,0,MIN(1,$L4530/$D4530))</f>
        <v/>
      </c>
      <c r="N4530" s="208">
        <f>IF($K4530=0,$J4530,(1-$M4530)*$I4530+$M4530*$J4530)</f>
        <v/>
      </c>
      <c r="P4530" s="208">
        <f>MIN(1,MAX(0,(nr_MEndPm1-$G4530+0.5)/nr_TermMonths))-MIN(1,MAX(0,(nr_MStartPm1-1-$G4530+0.5)/nr_TermMonths))</f>
        <v/>
      </c>
      <c r="Q4530" s="208">
        <f>MIN(1,MAX(0,(nr_MEndP-$G4530+0.5)/nr_TermMonths))-MIN(1,MAX(0,(nr_MStartP-1-$G4530+0.5)/nr_TermMonths))</f>
        <v/>
      </c>
      <c r="R4530" s="208">
        <f>MIN(1,MAX(0,(nr_MEndP1-$G4530+0.5)/nr_TermMonths))-MIN(1,MAX(0,(nr_MStartP1-1-$G4530+0.5)/nr_TermMonths))</f>
        <v/>
      </c>
    </row>
    <row r="4531">
      <c r="A4531" s="145" t="n">
        <v>19</v>
      </c>
      <c r="B4531" s="204">
        <f>EDATE($B4530,1)</f>
        <v/>
      </c>
      <c r="C4531" s="205">
        <f>EOMONTH($B4531,0)</f>
        <v/>
      </c>
      <c r="D4531" s="201">
        <f>$C4531-$B4531+1</f>
        <v/>
      </c>
      <c r="E4531" s="201">
        <f>MONTH($B4531)</f>
        <v/>
      </c>
      <c r="F4531" s="235">
        <f>($B4531+$C4531+1)/2</f>
        <v/>
      </c>
      <c r="G4531" s="201">
        <f>YEAR($B4531)*12+MONTH($B4531)-1</f>
        <v/>
      </c>
      <c r="H4531" s="207">
        <f>IF(OR(nr_SeasonOn="OFF",re_srow=0,re_ssum=0),1,12*INDEX(se_block,re_srow,$E4531)/re_ssum)</f>
        <v/>
      </c>
      <c r="I4531" s="208">
        <f>EXP(SUMPRODUCT((rl_eff&lt;$B4531)*(rl_key=nr_SelKey)*$C$4268:$C$4507))</f>
        <v/>
      </c>
      <c r="J4531" s="208">
        <f>EXP(SUMPRODUCT((rl_eff&lt;=$C4531)*(rl_key=nr_SelKey)*$C$4268:$C$4507))</f>
        <v/>
      </c>
      <c r="K4531" s="201">
        <f>COUNTIFS(rl_key,nr_SelKey,rl_eff,"&gt;="&amp;$B4531,rl_eff,"&lt;="&amp;$C4531)</f>
        <v/>
      </c>
      <c r="L4531" s="201">
        <f>SUMIFS(rl_daysafter,rl_key,nr_SelKey,rl_effmonth,$B4531,rl_first,1)</f>
        <v/>
      </c>
      <c r="M4531" s="209">
        <f>IF($K4531=0,0,MIN(1,$L4531/$D4531))</f>
        <v/>
      </c>
      <c r="N4531" s="208">
        <f>IF($K4531=0,$J4531,(1-$M4531)*$I4531+$M4531*$J4531)</f>
        <v/>
      </c>
      <c r="P4531" s="208">
        <f>MIN(1,MAX(0,(nr_MEndPm1-$G4531+0.5)/nr_TermMonths))-MIN(1,MAX(0,(nr_MStartPm1-1-$G4531+0.5)/nr_TermMonths))</f>
        <v/>
      </c>
      <c r="Q4531" s="208">
        <f>MIN(1,MAX(0,(nr_MEndP-$G4531+0.5)/nr_TermMonths))-MIN(1,MAX(0,(nr_MStartP-1-$G4531+0.5)/nr_TermMonths))</f>
        <v/>
      </c>
      <c r="R4531" s="208">
        <f>MIN(1,MAX(0,(nr_MEndP1-$G4531+0.5)/nr_TermMonths))-MIN(1,MAX(0,(nr_MStartP1-1-$G4531+0.5)/nr_TermMonths))</f>
        <v/>
      </c>
    </row>
    <row r="4532">
      <c r="A4532" s="145" t="n">
        <v>20</v>
      </c>
      <c r="B4532" s="204">
        <f>EDATE($B4531,1)</f>
        <v/>
      </c>
      <c r="C4532" s="205">
        <f>EOMONTH($B4532,0)</f>
        <v/>
      </c>
      <c r="D4532" s="201">
        <f>$C4532-$B4532+1</f>
        <v/>
      </c>
      <c r="E4532" s="201">
        <f>MONTH($B4532)</f>
        <v/>
      </c>
      <c r="F4532" s="235">
        <f>($B4532+$C4532+1)/2</f>
        <v/>
      </c>
      <c r="G4532" s="201">
        <f>YEAR($B4532)*12+MONTH($B4532)-1</f>
        <v/>
      </c>
      <c r="H4532" s="207">
        <f>IF(OR(nr_SeasonOn="OFF",re_srow=0,re_ssum=0),1,12*INDEX(se_block,re_srow,$E4532)/re_ssum)</f>
        <v/>
      </c>
      <c r="I4532" s="208">
        <f>EXP(SUMPRODUCT((rl_eff&lt;$B4532)*(rl_key=nr_SelKey)*$C$4268:$C$4507))</f>
        <v/>
      </c>
      <c r="J4532" s="208">
        <f>EXP(SUMPRODUCT((rl_eff&lt;=$C4532)*(rl_key=nr_SelKey)*$C$4268:$C$4507))</f>
        <v/>
      </c>
      <c r="K4532" s="201">
        <f>COUNTIFS(rl_key,nr_SelKey,rl_eff,"&gt;="&amp;$B4532,rl_eff,"&lt;="&amp;$C4532)</f>
        <v/>
      </c>
      <c r="L4532" s="201">
        <f>SUMIFS(rl_daysafter,rl_key,nr_SelKey,rl_effmonth,$B4532,rl_first,1)</f>
        <v/>
      </c>
      <c r="M4532" s="209">
        <f>IF($K4532=0,0,MIN(1,$L4532/$D4532))</f>
        <v/>
      </c>
      <c r="N4532" s="208">
        <f>IF($K4532=0,$J4532,(1-$M4532)*$I4532+$M4532*$J4532)</f>
        <v/>
      </c>
      <c r="P4532" s="208">
        <f>MIN(1,MAX(0,(nr_MEndPm1-$G4532+0.5)/nr_TermMonths))-MIN(1,MAX(0,(nr_MStartPm1-1-$G4532+0.5)/nr_TermMonths))</f>
        <v/>
      </c>
      <c r="Q4532" s="208">
        <f>MIN(1,MAX(0,(nr_MEndP-$G4532+0.5)/nr_TermMonths))-MIN(1,MAX(0,(nr_MStartP-1-$G4532+0.5)/nr_TermMonths))</f>
        <v/>
      </c>
      <c r="R4532" s="208">
        <f>MIN(1,MAX(0,(nr_MEndP1-$G4532+0.5)/nr_TermMonths))-MIN(1,MAX(0,(nr_MStartP1-1-$G4532+0.5)/nr_TermMonths))</f>
        <v/>
      </c>
    </row>
    <row r="4533">
      <c r="A4533" s="145" t="n">
        <v>21</v>
      </c>
      <c r="B4533" s="204">
        <f>EDATE($B4532,1)</f>
        <v/>
      </c>
      <c r="C4533" s="205">
        <f>EOMONTH($B4533,0)</f>
        <v/>
      </c>
      <c r="D4533" s="201">
        <f>$C4533-$B4533+1</f>
        <v/>
      </c>
      <c r="E4533" s="201">
        <f>MONTH($B4533)</f>
        <v/>
      </c>
      <c r="F4533" s="235">
        <f>($B4533+$C4533+1)/2</f>
        <v/>
      </c>
      <c r="G4533" s="201">
        <f>YEAR($B4533)*12+MONTH($B4533)-1</f>
        <v/>
      </c>
      <c r="H4533" s="207">
        <f>IF(OR(nr_SeasonOn="OFF",re_srow=0,re_ssum=0),1,12*INDEX(se_block,re_srow,$E4533)/re_ssum)</f>
        <v/>
      </c>
      <c r="I4533" s="208">
        <f>EXP(SUMPRODUCT((rl_eff&lt;$B4533)*(rl_key=nr_SelKey)*$C$4268:$C$4507))</f>
        <v/>
      </c>
      <c r="J4533" s="208">
        <f>EXP(SUMPRODUCT((rl_eff&lt;=$C4533)*(rl_key=nr_SelKey)*$C$4268:$C$4507))</f>
        <v/>
      </c>
      <c r="K4533" s="201">
        <f>COUNTIFS(rl_key,nr_SelKey,rl_eff,"&gt;="&amp;$B4533,rl_eff,"&lt;="&amp;$C4533)</f>
        <v/>
      </c>
      <c r="L4533" s="201">
        <f>SUMIFS(rl_daysafter,rl_key,nr_SelKey,rl_effmonth,$B4533,rl_first,1)</f>
        <v/>
      </c>
      <c r="M4533" s="209">
        <f>IF($K4533=0,0,MIN(1,$L4533/$D4533))</f>
        <v/>
      </c>
      <c r="N4533" s="208">
        <f>IF($K4533=0,$J4533,(1-$M4533)*$I4533+$M4533*$J4533)</f>
        <v/>
      </c>
      <c r="P4533" s="208">
        <f>MIN(1,MAX(0,(nr_MEndPm1-$G4533+0.5)/nr_TermMonths))-MIN(1,MAX(0,(nr_MStartPm1-1-$G4533+0.5)/nr_TermMonths))</f>
        <v/>
      </c>
      <c r="Q4533" s="208">
        <f>MIN(1,MAX(0,(nr_MEndP-$G4533+0.5)/nr_TermMonths))-MIN(1,MAX(0,(nr_MStartP-1-$G4533+0.5)/nr_TermMonths))</f>
        <v/>
      </c>
      <c r="R4533" s="208">
        <f>MIN(1,MAX(0,(nr_MEndP1-$G4533+0.5)/nr_TermMonths))-MIN(1,MAX(0,(nr_MStartP1-1-$G4533+0.5)/nr_TermMonths))</f>
        <v/>
      </c>
    </row>
    <row r="4534">
      <c r="A4534" s="145" t="n">
        <v>22</v>
      </c>
      <c r="B4534" s="204">
        <f>EDATE($B4533,1)</f>
        <v/>
      </c>
      <c r="C4534" s="205">
        <f>EOMONTH($B4534,0)</f>
        <v/>
      </c>
      <c r="D4534" s="201">
        <f>$C4534-$B4534+1</f>
        <v/>
      </c>
      <c r="E4534" s="201">
        <f>MONTH($B4534)</f>
        <v/>
      </c>
      <c r="F4534" s="235">
        <f>($B4534+$C4534+1)/2</f>
        <v/>
      </c>
      <c r="G4534" s="201">
        <f>YEAR($B4534)*12+MONTH($B4534)-1</f>
        <v/>
      </c>
      <c r="H4534" s="207">
        <f>IF(OR(nr_SeasonOn="OFF",re_srow=0,re_ssum=0),1,12*INDEX(se_block,re_srow,$E4534)/re_ssum)</f>
        <v/>
      </c>
      <c r="I4534" s="208">
        <f>EXP(SUMPRODUCT((rl_eff&lt;$B4534)*(rl_key=nr_SelKey)*$C$4268:$C$4507))</f>
        <v/>
      </c>
      <c r="J4534" s="208">
        <f>EXP(SUMPRODUCT((rl_eff&lt;=$C4534)*(rl_key=nr_SelKey)*$C$4268:$C$4507))</f>
        <v/>
      </c>
      <c r="K4534" s="201">
        <f>COUNTIFS(rl_key,nr_SelKey,rl_eff,"&gt;="&amp;$B4534,rl_eff,"&lt;="&amp;$C4534)</f>
        <v/>
      </c>
      <c r="L4534" s="201">
        <f>SUMIFS(rl_daysafter,rl_key,nr_SelKey,rl_effmonth,$B4534,rl_first,1)</f>
        <v/>
      </c>
      <c r="M4534" s="209">
        <f>IF($K4534=0,0,MIN(1,$L4534/$D4534))</f>
        <v/>
      </c>
      <c r="N4534" s="208">
        <f>IF($K4534=0,$J4534,(1-$M4534)*$I4534+$M4534*$J4534)</f>
        <v/>
      </c>
      <c r="P4534" s="208">
        <f>MIN(1,MAX(0,(nr_MEndPm1-$G4534+0.5)/nr_TermMonths))-MIN(1,MAX(0,(nr_MStartPm1-1-$G4534+0.5)/nr_TermMonths))</f>
        <v/>
      </c>
      <c r="Q4534" s="208">
        <f>MIN(1,MAX(0,(nr_MEndP-$G4534+0.5)/nr_TermMonths))-MIN(1,MAX(0,(nr_MStartP-1-$G4534+0.5)/nr_TermMonths))</f>
        <v/>
      </c>
      <c r="R4534" s="208">
        <f>MIN(1,MAX(0,(nr_MEndP1-$G4534+0.5)/nr_TermMonths))-MIN(1,MAX(0,(nr_MStartP1-1-$G4534+0.5)/nr_TermMonths))</f>
        <v/>
      </c>
    </row>
    <row r="4535">
      <c r="A4535" s="145" t="n">
        <v>23</v>
      </c>
      <c r="B4535" s="204">
        <f>EDATE($B4534,1)</f>
        <v/>
      </c>
      <c r="C4535" s="205">
        <f>EOMONTH($B4535,0)</f>
        <v/>
      </c>
      <c r="D4535" s="201">
        <f>$C4535-$B4535+1</f>
        <v/>
      </c>
      <c r="E4535" s="201">
        <f>MONTH($B4535)</f>
        <v/>
      </c>
      <c r="F4535" s="235">
        <f>($B4535+$C4535+1)/2</f>
        <v/>
      </c>
      <c r="G4535" s="201">
        <f>YEAR($B4535)*12+MONTH($B4535)-1</f>
        <v/>
      </c>
      <c r="H4535" s="207">
        <f>IF(OR(nr_SeasonOn="OFF",re_srow=0,re_ssum=0),1,12*INDEX(se_block,re_srow,$E4535)/re_ssum)</f>
        <v/>
      </c>
      <c r="I4535" s="208">
        <f>EXP(SUMPRODUCT((rl_eff&lt;$B4535)*(rl_key=nr_SelKey)*$C$4268:$C$4507))</f>
        <v/>
      </c>
      <c r="J4535" s="208">
        <f>EXP(SUMPRODUCT((rl_eff&lt;=$C4535)*(rl_key=nr_SelKey)*$C$4268:$C$4507))</f>
        <v/>
      </c>
      <c r="K4535" s="201">
        <f>COUNTIFS(rl_key,nr_SelKey,rl_eff,"&gt;="&amp;$B4535,rl_eff,"&lt;="&amp;$C4535)</f>
        <v/>
      </c>
      <c r="L4535" s="201">
        <f>SUMIFS(rl_daysafter,rl_key,nr_SelKey,rl_effmonth,$B4535,rl_first,1)</f>
        <v/>
      </c>
      <c r="M4535" s="209">
        <f>IF($K4535=0,0,MIN(1,$L4535/$D4535))</f>
        <v/>
      </c>
      <c r="N4535" s="208">
        <f>IF($K4535=0,$J4535,(1-$M4535)*$I4535+$M4535*$J4535)</f>
        <v/>
      </c>
      <c r="P4535" s="208">
        <f>MIN(1,MAX(0,(nr_MEndPm1-$G4535+0.5)/nr_TermMonths))-MIN(1,MAX(0,(nr_MStartPm1-1-$G4535+0.5)/nr_TermMonths))</f>
        <v/>
      </c>
      <c r="Q4535" s="208">
        <f>MIN(1,MAX(0,(nr_MEndP-$G4535+0.5)/nr_TermMonths))-MIN(1,MAX(0,(nr_MStartP-1-$G4535+0.5)/nr_TermMonths))</f>
        <v/>
      </c>
      <c r="R4535" s="208">
        <f>MIN(1,MAX(0,(nr_MEndP1-$G4535+0.5)/nr_TermMonths))-MIN(1,MAX(0,(nr_MStartP1-1-$G4535+0.5)/nr_TermMonths))</f>
        <v/>
      </c>
    </row>
    <row r="4536">
      <c r="A4536" s="145" t="n">
        <v>24</v>
      </c>
      <c r="B4536" s="204">
        <f>EDATE($B4535,1)</f>
        <v/>
      </c>
      <c r="C4536" s="205">
        <f>EOMONTH($B4536,0)</f>
        <v/>
      </c>
      <c r="D4536" s="201">
        <f>$C4536-$B4536+1</f>
        <v/>
      </c>
      <c r="E4536" s="201">
        <f>MONTH($B4536)</f>
        <v/>
      </c>
      <c r="F4536" s="235">
        <f>($B4536+$C4536+1)/2</f>
        <v/>
      </c>
      <c r="G4536" s="201">
        <f>YEAR($B4536)*12+MONTH($B4536)-1</f>
        <v/>
      </c>
      <c r="H4536" s="207">
        <f>IF(OR(nr_SeasonOn="OFF",re_srow=0,re_ssum=0),1,12*INDEX(se_block,re_srow,$E4536)/re_ssum)</f>
        <v/>
      </c>
      <c r="I4536" s="208">
        <f>EXP(SUMPRODUCT((rl_eff&lt;$B4536)*(rl_key=nr_SelKey)*$C$4268:$C$4507))</f>
        <v/>
      </c>
      <c r="J4536" s="208">
        <f>EXP(SUMPRODUCT((rl_eff&lt;=$C4536)*(rl_key=nr_SelKey)*$C$4268:$C$4507))</f>
        <v/>
      </c>
      <c r="K4536" s="201">
        <f>COUNTIFS(rl_key,nr_SelKey,rl_eff,"&gt;="&amp;$B4536,rl_eff,"&lt;="&amp;$C4536)</f>
        <v/>
      </c>
      <c r="L4536" s="201">
        <f>SUMIFS(rl_daysafter,rl_key,nr_SelKey,rl_effmonth,$B4536,rl_first,1)</f>
        <v/>
      </c>
      <c r="M4536" s="209">
        <f>IF($K4536=0,0,MIN(1,$L4536/$D4536))</f>
        <v/>
      </c>
      <c r="N4536" s="208">
        <f>IF($K4536=0,$J4536,(1-$M4536)*$I4536+$M4536*$J4536)</f>
        <v/>
      </c>
      <c r="P4536" s="208">
        <f>MIN(1,MAX(0,(nr_MEndPm1-$G4536+0.5)/nr_TermMonths))-MIN(1,MAX(0,(nr_MStartPm1-1-$G4536+0.5)/nr_TermMonths))</f>
        <v/>
      </c>
      <c r="Q4536" s="208">
        <f>MIN(1,MAX(0,(nr_MEndP-$G4536+0.5)/nr_TermMonths))-MIN(1,MAX(0,(nr_MStartP-1-$G4536+0.5)/nr_TermMonths))</f>
        <v/>
      </c>
      <c r="R4536" s="208">
        <f>MIN(1,MAX(0,(nr_MEndP1-$G4536+0.5)/nr_TermMonths))-MIN(1,MAX(0,(nr_MStartP1-1-$G4536+0.5)/nr_TermMonths))</f>
        <v/>
      </c>
    </row>
    <row r="4537">
      <c r="A4537" s="145" t="n">
        <v>25</v>
      </c>
      <c r="B4537" s="204">
        <f>EDATE($B4536,1)</f>
        <v/>
      </c>
      <c r="C4537" s="205">
        <f>EOMONTH($B4537,0)</f>
        <v/>
      </c>
      <c r="D4537" s="201">
        <f>$C4537-$B4537+1</f>
        <v/>
      </c>
      <c r="E4537" s="201">
        <f>MONTH($B4537)</f>
        <v/>
      </c>
      <c r="F4537" s="235">
        <f>($B4537+$C4537+1)/2</f>
        <v/>
      </c>
      <c r="G4537" s="201">
        <f>YEAR($B4537)*12+MONTH($B4537)-1</f>
        <v/>
      </c>
      <c r="H4537" s="207">
        <f>IF(OR(nr_SeasonOn="OFF",re_srow=0,re_ssum=0),1,12*INDEX(se_block,re_srow,$E4537)/re_ssum)</f>
        <v/>
      </c>
      <c r="I4537" s="208">
        <f>EXP(SUMPRODUCT((rl_eff&lt;$B4537)*(rl_key=nr_SelKey)*$C$4268:$C$4507))</f>
        <v/>
      </c>
      <c r="J4537" s="208">
        <f>EXP(SUMPRODUCT((rl_eff&lt;=$C4537)*(rl_key=nr_SelKey)*$C$4268:$C$4507))</f>
        <v/>
      </c>
      <c r="K4537" s="201">
        <f>COUNTIFS(rl_key,nr_SelKey,rl_eff,"&gt;="&amp;$B4537,rl_eff,"&lt;="&amp;$C4537)</f>
        <v/>
      </c>
      <c r="L4537" s="201">
        <f>SUMIFS(rl_daysafter,rl_key,nr_SelKey,rl_effmonth,$B4537,rl_first,1)</f>
        <v/>
      </c>
      <c r="M4537" s="209">
        <f>IF($K4537=0,0,MIN(1,$L4537/$D4537))</f>
        <v/>
      </c>
      <c r="N4537" s="208">
        <f>IF($K4537=0,$J4537,(1-$M4537)*$I4537+$M4537*$J4537)</f>
        <v/>
      </c>
      <c r="P4537" s="208">
        <f>MIN(1,MAX(0,(nr_MEndPm1-$G4537+0.5)/nr_TermMonths))-MIN(1,MAX(0,(nr_MStartPm1-1-$G4537+0.5)/nr_TermMonths))</f>
        <v/>
      </c>
      <c r="Q4537" s="208">
        <f>MIN(1,MAX(0,(nr_MEndP-$G4537+0.5)/nr_TermMonths))-MIN(1,MAX(0,(nr_MStartP-1-$G4537+0.5)/nr_TermMonths))</f>
        <v/>
      </c>
      <c r="R4537" s="208">
        <f>MIN(1,MAX(0,(nr_MEndP1-$G4537+0.5)/nr_TermMonths))-MIN(1,MAX(0,(nr_MStartP1-1-$G4537+0.5)/nr_TermMonths))</f>
        <v/>
      </c>
    </row>
    <row r="4538">
      <c r="A4538" s="145" t="n">
        <v>26</v>
      </c>
      <c r="B4538" s="204">
        <f>EDATE($B4537,1)</f>
        <v/>
      </c>
      <c r="C4538" s="205">
        <f>EOMONTH($B4538,0)</f>
        <v/>
      </c>
      <c r="D4538" s="201">
        <f>$C4538-$B4538+1</f>
        <v/>
      </c>
      <c r="E4538" s="201">
        <f>MONTH($B4538)</f>
        <v/>
      </c>
      <c r="F4538" s="235">
        <f>($B4538+$C4538+1)/2</f>
        <v/>
      </c>
      <c r="G4538" s="201">
        <f>YEAR($B4538)*12+MONTH($B4538)-1</f>
        <v/>
      </c>
      <c r="H4538" s="207">
        <f>IF(OR(nr_SeasonOn="OFF",re_srow=0,re_ssum=0),1,12*INDEX(se_block,re_srow,$E4538)/re_ssum)</f>
        <v/>
      </c>
      <c r="I4538" s="208">
        <f>EXP(SUMPRODUCT((rl_eff&lt;$B4538)*(rl_key=nr_SelKey)*$C$4268:$C$4507))</f>
        <v/>
      </c>
      <c r="J4538" s="208">
        <f>EXP(SUMPRODUCT((rl_eff&lt;=$C4538)*(rl_key=nr_SelKey)*$C$4268:$C$4507))</f>
        <v/>
      </c>
      <c r="K4538" s="201">
        <f>COUNTIFS(rl_key,nr_SelKey,rl_eff,"&gt;="&amp;$B4538,rl_eff,"&lt;="&amp;$C4538)</f>
        <v/>
      </c>
      <c r="L4538" s="201">
        <f>SUMIFS(rl_daysafter,rl_key,nr_SelKey,rl_effmonth,$B4538,rl_first,1)</f>
        <v/>
      </c>
      <c r="M4538" s="209">
        <f>IF($K4538=0,0,MIN(1,$L4538/$D4538))</f>
        <v/>
      </c>
      <c r="N4538" s="208">
        <f>IF($K4538=0,$J4538,(1-$M4538)*$I4538+$M4538*$J4538)</f>
        <v/>
      </c>
      <c r="P4538" s="208">
        <f>MIN(1,MAX(0,(nr_MEndPm1-$G4538+0.5)/nr_TermMonths))-MIN(1,MAX(0,(nr_MStartPm1-1-$G4538+0.5)/nr_TermMonths))</f>
        <v/>
      </c>
      <c r="Q4538" s="208">
        <f>MIN(1,MAX(0,(nr_MEndP-$G4538+0.5)/nr_TermMonths))-MIN(1,MAX(0,(nr_MStartP-1-$G4538+0.5)/nr_TermMonths))</f>
        <v/>
      </c>
      <c r="R4538" s="208">
        <f>MIN(1,MAX(0,(nr_MEndP1-$G4538+0.5)/nr_TermMonths))-MIN(1,MAX(0,(nr_MStartP1-1-$G4538+0.5)/nr_TermMonths))</f>
        <v/>
      </c>
    </row>
    <row r="4539">
      <c r="A4539" s="145" t="n">
        <v>27</v>
      </c>
      <c r="B4539" s="204">
        <f>EDATE($B4538,1)</f>
        <v/>
      </c>
      <c r="C4539" s="205">
        <f>EOMONTH($B4539,0)</f>
        <v/>
      </c>
      <c r="D4539" s="201">
        <f>$C4539-$B4539+1</f>
        <v/>
      </c>
      <c r="E4539" s="201">
        <f>MONTH($B4539)</f>
        <v/>
      </c>
      <c r="F4539" s="235">
        <f>($B4539+$C4539+1)/2</f>
        <v/>
      </c>
      <c r="G4539" s="201">
        <f>YEAR($B4539)*12+MONTH($B4539)-1</f>
        <v/>
      </c>
      <c r="H4539" s="207">
        <f>IF(OR(nr_SeasonOn="OFF",re_srow=0,re_ssum=0),1,12*INDEX(se_block,re_srow,$E4539)/re_ssum)</f>
        <v/>
      </c>
      <c r="I4539" s="208">
        <f>EXP(SUMPRODUCT((rl_eff&lt;$B4539)*(rl_key=nr_SelKey)*$C$4268:$C$4507))</f>
        <v/>
      </c>
      <c r="J4539" s="208">
        <f>EXP(SUMPRODUCT((rl_eff&lt;=$C4539)*(rl_key=nr_SelKey)*$C$4268:$C$4507))</f>
        <v/>
      </c>
      <c r="K4539" s="201">
        <f>COUNTIFS(rl_key,nr_SelKey,rl_eff,"&gt;="&amp;$B4539,rl_eff,"&lt;="&amp;$C4539)</f>
        <v/>
      </c>
      <c r="L4539" s="201">
        <f>SUMIFS(rl_daysafter,rl_key,nr_SelKey,rl_effmonth,$B4539,rl_first,1)</f>
        <v/>
      </c>
      <c r="M4539" s="209">
        <f>IF($K4539=0,0,MIN(1,$L4539/$D4539))</f>
        <v/>
      </c>
      <c r="N4539" s="208">
        <f>IF($K4539=0,$J4539,(1-$M4539)*$I4539+$M4539*$J4539)</f>
        <v/>
      </c>
      <c r="P4539" s="208">
        <f>MIN(1,MAX(0,(nr_MEndPm1-$G4539+0.5)/nr_TermMonths))-MIN(1,MAX(0,(nr_MStartPm1-1-$G4539+0.5)/nr_TermMonths))</f>
        <v/>
      </c>
      <c r="Q4539" s="208">
        <f>MIN(1,MAX(0,(nr_MEndP-$G4539+0.5)/nr_TermMonths))-MIN(1,MAX(0,(nr_MStartP-1-$G4539+0.5)/nr_TermMonths))</f>
        <v/>
      </c>
      <c r="R4539" s="208">
        <f>MIN(1,MAX(0,(nr_MEndP1-$G4539+0.5)/nr_TermMonths))-MIN(1,MAX(0,(nr_MStartP1-1-$G4539+0.5)/nr_TermMonths))</f>
        <v/>
      </c>
    </row>
    <row r="4540">
      <c r="A4540" s="145" t="n">
        <v>28</v>
      </c>
      <c r="B4540" s="204">
        <f>EDATE($B4539,1)</f>
        <v/>
      </c>
      <c r="C4540" s="205">
        <f>EOMONTH($B4540,0)</f>
        <v/>
      </c>
      <c r="D4540" s="201">
        <f>$C4540-$B4540+1</f>
        <v/>
      </c>
      <c r="E4540" s="201">
        <f>MONTH($B4540)</f>
        <v/>
      </c>
      <c r="F4540" s="235">
        <f>($B4540+$C4540+1)/2</f>
        <v/>
      </c>
      <c r="G4540" s="201">
        <f>YEAR($B4540)*12+MONTH($B4540)-1</f>
        <v/>
      </c>
      <c r="H4540" s="207">
        <f>IF(OR(nr_SeasonOn="OFF",re_srow=0,re_ssum=0),1,12*INDEX(se_block,re_srow,$E4540)/re_ssum)</f>
        <v/>
      </c>
      <c r="I4540" s="208">
        <f>EXP(SUMPRODUCT((rl_eff&lt;$B4540)*(rl_key=nr_SelKey)*$C$4268:$C$4507))</f>
        <v/>
      </c>
      <c r="J4540" s="208">
        <f>EXP(SUMPRODUCT((rl_eff&lt;=$C4540)*(rl_key=nr_SelKey)*$C$4268:$C$4507))</f>
        <v/>
      </c>
      <c r="K4540" s="201">
        <f>COUNTIFS(rl_key,nr_SelKey,rl_eff,"&gt;="&amp;$B4540,rl_eff,"&lt;="&amp;$C4540)</f>
        <v/>
      </c>
      <c r="L4540" s="201">
        <f>SUMIFS(rl_daysafter,rl_key,nr_SelKey,rl_effmonth,$B4540,rl_first,1)</f>
        <v/>
      </c>
      <c r="M4540" s="209">
        <f>IF($K4540=0,0,MIN(1,$L4540/$D4540))</f>
        <v/>
      </c>
      <c r="N4540" s="208">
        <f>IF($K4540=0,$J4540,(1-$M4540)*$I4540+$M4540*$J4540)</f>
        <v/>
      </c>
      <c r="P4540" s="208">
        <f>MIN(1,MAX(0,(nr_MEndPm1-$G4540+0.5)/nr_TermMonths))-MIN(1,MAX(0,(nr_MStartPm1-1-$G4540+0.5)/nr_TermMonths))</f>
        <v/>
      </c>
      <c r="Q4540" s="208">
        <f>MIN(1,MAX(0,(nr_MEndP-$G4540+0.5)/nr_TermMonths))-MIN(1,MAX(0,(nr_MStartP-1-$G4540+0.5)/nr_TermMonths))</f>
        <v/>
      </c>
      <c r="R4540" s="208">
        <f>MIN(1,MAX(0,(nr_MEndP1-$G4540+0.5)/nr_TermMonths))-MIN(1,MAX(0,(nr_MStartP1-1-$G4540+0.5)/nr_TermMonths))</f>
        <v/>
      </c>
    </row>
    <row r="4541">
      <c r="A4541" s="145" t="n">
        <v>29</v>
      </c>
      <c r="B4541" s="204">
        <f>EDATE($B4540,1)</f>
        <v/>
      </c>
      <c r="C4541" s="205">
        <f>EOMONTH($B4541,0)</f>
        <v/>
      </c>
      <c r="D4541" s="201">
        <f>$C4541-$B4541+1</f>
        <v/>
      </c>
      <c r="E4541" s="201">
        <f>MONTH($B4541)</f>
        <v/>
      </c>
      <c r="F4541" s="235">
        <f>($B4541+$C4541+1)/2</f>
        <v/>
      </c>
      <c r="G4541" s="201">
        <f>YEAR($B4541)*12+MONTH($B4541)-1</f>
        <v/>
      </c>
      <c r="H4541" s="207">
        <f>IF(OR(nr_SeasonOn="OFF",re_srow=0,re_ssum=0),1,12*INDEX(se_block,re_srow,$E4541)/re_ssum)</f>
        <v/>
      </c>
      <c r="I4541" s="208">
        <f>EXP(SUMPRODUCT((rl_eff&lt;$B4541)*(rl_key=nr_SelKey)*$C$4268:$C$4507))</f>
        <v/>
      </c>
      <c r="J4541" s="208">
        <f>EXP(SUMPRODUCT((rl_eff&lt;=$C4541)*(rl_key=nr_SelKey)*$C$4268:$C$4507))</f>
        <v/>
      </c>
      <c r="K4541" s="201">
        <f>COUNTIFS(rl_key,nr_SelKey,rl_eff,"&gt;="&amp;$B4541,rl_eff,"&lt;="&amp;$C4541)</f>
        <v/>
      </c>
      <c r="L4541" s="201">
        <f>SUMIFS(rl_daysafter,rl_key,nr_SelKey,rl_effmonth,$B4541,rl_first,1)</f>
        <v/>
      </c>
      <c r="M4541" s="209">
        <f>IF($K4541=0,0,MIN(1,$L4541/$D4541))</f>
        <v/>
      </c>
      <c r="N4541" s="208">
        <f>IF($K4541=0,$J4541,(1-$M4541)*$I4541+$M4541*$J4541)</f>
        <v/>
      </c>
      <c r="P4541" s="208">
        <f>MIN(1,MAX(0,(nr_MEndPm1-$G4541+0.5)/nr_TermMonths))-MIN(1,MAX(0,(nr_MStartPm1-1-$G4541+0.5)/nr_TermMonths))</f>
        <v/>
      </c>
      <c r="Q4541" s="208">
        <f>MIN(1,MAX(0,(nr_MEndP-$G4541+0.5)/nr_TermMonths))-MIN(1,MAX(0,(nr_MStartP-1-$G4541+0.5)/nr_TermMonths))</f>
        <v/>
      </c>
      <c r="R4541" s="208">
        <f>MIN(1,MAX(0,(nr_MEndP1-$G4541+0.5)/nr_TermMonths))-MIN(1,MAX(0,(nr_MStartP1-1-$G4541+0.5)/nr_TermMonths))</f>
        <v/>
      </c>
    </row>
    <row r="4542">
      <c r="A4542" s="145" t="n">
        <v>30</v>
      </c>
      <c r="B4542" s="204">
        <f>EDATE($B4541,1)</f>
        <v/>
      </c>
      <c r="C4542" s="205">
        <f>EOMONTH($B4542,0)</f>
        <v/>
      </c>
      <c r="D4542" s="201">
        <f>$C4542-$B4542+1</f>
        <v/>
      </c>
      <c r="E4542" s="201">
        <f>MONTH($B4542)</f>
        <v/>
      </c>
      <c r="F4542" s="235">
        <f>($B4542+$C4542+1)/2</f>
        <v/>
      </c>
      <c r="G4542" s="201">
        <f>YEAR($B4542)*12+MONTH($B4542)-1</f>
        <v/>
      </c>
      <c r="H4542" s="207">
        <f>IF(OR(nr_SeasonOn="OFF",re_srow=0,re_ssum=0),1,12*INDEX(se_block,re_srow,$E4542)/re_ssum)</f>
        <v/>
      </c>
      <c r="I4542" s="208">
        <f>EXP(SUMPRODUCT((rl_eff&lt;$B4542)*(rl_key=nr_SelKey)*$C$4268:$C$4507))</f>
        <v/>
      </c>
      <c r="J4542" s="208">
        <f>EXP(SUMPRODUCT((rl_eff&lt;=$C4542)*(rl_key=nr_SelKey)*$C$4268:$C$4507))</f>
        <v/>
      </c>
      <c r="K4542" s="201">
        <f>COUNTIFS(rl_key,nr_SelKey,rl_eff,"&gt;="&amp;$B4542,rl_eff,"&lt;="&amp;$C4542)</f>
        <v/>
      </c>
      <c r="L4542" s="201">
        <f>SUMIFS(rl_daysafter,rl_key,nr_SelKey,rl_effmonth,$B4542,rl_first,1)</f>
        <v/>
      </c>
      <c r="M4542" s="209">
        <f>IF($K4542=0,0,MIN(1,$L4542/$D4542))</f>
        <v/>
      </c>
      <c r="N4542" s="208">
        <f>IF($K4542=0,$J4542,(1-$M4542)*$I4542+$M4542*$J4542)</f>
        <v/>
      </c>
      <c r="P4542" s="208">
        <f>MIN(1,MAX(0,(nr_MEndPm1-$G4542+0.5)/nr_TermMonths))-MIN(1,MAX(0,(nr_MStartPm1-1-$G4542+0.5)/nr_TermMonths))</f>
        <v/>
      </c>
      <c r="Q4542" s="208">
        <f>MIN(1,MAX(0,(nr_MEndP-$G4542+0.5)/nr_TermMonths))-MIN(1,MAX(0,(nr_MStartP-1-$G4542+0.5)/nr_TermMonths))</f>
        <v/>
      </c>
      <c r="R4542" s="208">
        <f>MIN(1,MAX(0,(nr_MEndP1-$G4542+0.5)/nr_TermMonths))-MIN(1,MAX(0,(nr_MStartP1-1-$G4542+0.5)/nr_TermMonths))</f>
        <v/>
      </c>
    </row>
    <row r="4543">
      <c r="A4543" s="145" t="n">
        <v>31</v>
      </c>
      <c r="B4543" s="204">
        <f>EDATE($B4542,1)</f>
        <v/>
      </c>
      <c r="C4543" s="205">
        <f>EOMONTH($B4543,0)</f>
        <v/>
      </c>
      <c r="D4543" s="201">
        <f>$C4543-$B4543+1</f>
        <v/>
      </c>
      <c r="E4543" s="201">
        <f>MONTH($B4543)</f>
        <v/>
      </c>
      <c r="F4543" s="235">
        <f>($B4543+$C4543+1)/2</f>
        <v/>
      </c>
      <c r="G4543" s="201">
        <f>YEAR($B4543)*12+MONTH($B4543)-1</f>
        <v/>
      </c>
      <c r="H4543" s="207">
        <f>IF(OR(nr_SeasonOn="OFF",re_srow=0,re_ssum=0),1,12*INDEX(se_block,re_srow,$E4543)/re_ssum)</f>
        <v/>
      </c>
      <c r="I4543" s="208">
        <f>EXP(SUMPRODUCT((rl_eff&lt;$B4543)*(rl_key=nr_SelKey)*$C$4268:$C$4507))</f>
        <v/>
      </c>
      <c r="J4543" s="208">
        <f>EXP(SUMPRODUCT((rl_eff&lt;=$C4543)*(rl_key=nr_SelKey)*$C$4268:$C$4507))</f>
        <v/>
      </c>
      <c r="K4543" s="201">
        <f>COUNTIFS(rl_key,nr_SelKey,rl_eff,"&gt;="&amp;$B4543,rl_eff,"&lt;="&amp;$C4543)</f>
        <v/>
      </c>
      <c r="L4543" s="201">
        <f>SUMIFS(rl_daysafter,rl_key,nr_SelKey,rl_effmonth,$B4543,rl_first,1)</f>
        <v/>
      </c>
      <c r="M4543" s="209">
        <f>IF($K4543=0,0,MIN(1,$L4543/$D4543))</f>
        <v/>
      </c>
      <c r="N4543" s="208">
        <f>IF($K4543=0,$J4543,(1-$M4543)*$I4543+$M4543*$J4543)</f>
        <v/>
      </c>
      <c r="P4543" s="208">
        <f>MIN(1,MAX(0,(nr_MEndPm1-$G4543+0.5)/nr_TermMonths))-MIN(1,MAX(0,(nr_MStartPm1-1-$G4543+0.5)/nr_TermMonths))</f>
        <v/>
      </c>
      <c r="Q4543" s="208">
        <f>MIN(1,MAX(0,(nr_MEndP-$G4543+0.5)/nr_TermMonths))-MIN(1,MAX(0,(nr_MStartP-1-$G4543+0.5)/nr_TermMonths))</f>
        <v/>
      </c>
      <c r="R4543" s="208">
        <f>MIN(1,MAX(0,(nr_MEndP1-$G4543+0.5)/nr_TermMonths))-MIN(1,MAX(0,(nr_MStartP1-1-$G4543+0.5)/nr_TermMonths))</f>
        <v/>
      </c>
    </row>
    <row r="4544">
      <c r="A4544" s="145" t="n">
        <v>32</v>
      </c>
      <c r="B4544" s="204">
        <f>EDATE($B4543,1)</f>
        <v/>
      </c>
      <c r="C4544" s="205">
        <f>EOMONTH($B4544,0)</f>
        <v/>
      </c>
      <c r="D4544" s="201">
        <f>$C4544-$B4544+1</f>
        <v/>
      </c>
      <c r="E4544" s="201">
        <f>MONTH($B4544)</f>
        <v/>
      </c>
      <c r="F4544" s="235">
        <f>($B4544+$C4544+1)/2</f>
        <v/>
      </c>
      <c r="G4544" s="201">
        <f>YEAR($B4544)*12+MONTH($B4544)-1</f>
        <v/>
      </c>
      <c r="H4544" s="207">
        <f>IF(OR(nr_SeasonOn="OFF",re_srow=0,re_ssum=0),1,12*INDEX(se_block,re_srow,$E4544)/re_ssum)</f>
        <v/>
      </c>
      <c r="I4544" s="208">
        <f>EXP(SUMPRODUCT((rl_eff&lt;$B4544)*(rl_key=nr_SelKey)*$C$4268:$C$4507))</f>
        <v/>
      </c>
      <c r="J4544" s="208">
        <f>EXP(SUMPRODUCT((rl_eff&lt;=$C4544)*(rl_key=nr_SelKey)*$C$4268:$C$4507))</f>
        <v/>
      </c>
      <c r="K4544" s="201">
        <f>COUNTIFS(rl_key,nr_SelKey,rl_eff,"&gt;="&amp;$B4544,rl_eff,"&lt;="&amp;$C4544)</f>
        <v/>
      </c>
      <c r="L4544" s="201">
        <f>SUMIFS(rl_daysafter,rl_key,nr_SelKey,rl_effmonth,$B4544,rl_first,1)</f>
        <v/>
      </c>
      <c r="M4544" s="209">
        <f>IF($K4544=0,0,MIN(1,$L4544/$D4544))</f>
        <v/>
      </c>
      <c r="N4544" s="208">
        <f>IF($K4544=0,$J4544,(1-$M4544)*$I4544+$M4544*$J4544)</f>
        <v/>
      </c>
      <c r="P4544" s="208">
        <f>MIN(1,MAX(0,(nr_MEndPm1-$G4544+0.5)/nr_TermMonths))-MIN(1,MAX(0,(nr_MStartPm1-1-$G4544+0.5)/nr_TermMonths))</f>
        <v/>
      </c>
      <c r="Q4544" s="208">
        <f>MIN(1,MAX(0,(nr_MEndP-$G4544+0.5)/nr_TermMonths))-MIN(1,MAX(0,(nr_MStartP-1-$G4544+0.5)/nr_TermMonths))</f>
        <v/>
      </c>
      <c r="R4544" s="208">
        <f>MIN(1,MAX(0,(nr_MEndP1-$G4544+0.5)/nr_TermMonths))-MIN(1,MAX(0,(nr_MStartP1-1-$G4544+0.5)/nr_TermMonths))</f>
        <v/>
      </c>
    </row>
    <row r="4545">
      <c r="A4545" s="145" t="n">
        <v>33</v>
      </c>
      <c r="B4545" s="204">
        <f>EDATE($B4544,1)</f>
        <v/>
      </c>
      <c r="C4545" s="205">
        <f>EOMONTH($B4545,0)</f>
        <v/>
      </c>
      <c r="D4545" s="201">
        <f>$C4545-$B4545+1</f>
        <v/>
      </c>
      <c r="E4545" s="201">
        <f>MONTH($B4545)</f>
        <v/>
      </c>
      <c r="F4545" s="235">
        <f>($B4545+$C4545+1)/2</f>
        <v/>
      </c>
      <c r="G4545" s="201">
        <f>YEAR($B4545)*12+MONTH($B4545)-1</f>
        <v/>
      </c>
      <c r="H4545" s="207">
        <f>IF(OR(nr_SeasonOn="OFF",re_srow=0,re_ssum=0),1,12*INDEX(se_block,re_srow,$E4545)/re_ssum)</f>
        <v/>
      </c>
      <c r="I4545" s="208">
        <f>EXP(SUMPRODUCT((rl_eff&lt;$B4545)*(rl_key=nr_SelKey)*$C$4268:$C$4507))</f>
        <v/>
      </c>
      <c r="J4545" s="208">
        <f>EXP(SUMPRODUCT((rl_eff&lt;=$C4545)*(rl_key=nr_SelKey)*$C$4268:$C$4507))</f>
        <v/>
      </c>
      <c r="K4545" s="201">
        <f>COUNTIFS(rl_key,nr_SelKey,rl_eff,"&gt;="&amp;$B4545,rl_eff,"&lt;="&amp;$C4545)</f>
        <v/>
      </c>
      <c r="L4545" s="201">
        <f>SUMIFS(rl_daysafter,rl_key,nr_SelKey,rl_effmonth,$B4545,rl_first,1)</f>
        <v/>
      </c>
      <c r="M4545" s="209">
        <f>IF($K4545=0,0,MIN(1,$L4545/$D4545))</f>
        <v/>
      </c>
      <c r="N4545" s="208">
        <f>IF($K4545=0,$J4545,(1-$M4545)*$I4545+$M4545*$J4545)</f>
        <v/>
      </c>
      <c r="P4545" s="208">
        <f>MIN(1,MAX(0,(nr_MEndPm1-$G4545+0.5)/nr_TermMonths))-MIN(1,MAX(0,(nr_MStartPm1-1-$G4545+0.5)/nr_TermMonths))</f>
        <v/>
      </c>
      <c r="Q4545" s="208">
        <f>MIN(1,MAX(0,(nr_MEndP-$G4545+0.5)/nr_TermMonths))-MIN(1,MAX(0,(nr_MStartP-1-$G4545+0.5)/nr_TermMonths))</f>
        <v/>
      </c>
      <c r="R4545" s="208">
        <f>MIN(1,MAX(0,(nr_MEndP1-$G4545+0.5)/nr_TermMonths))-MIN(1,MAX(0,(nr_MStartP1-1-$G4545+0.5)/nr_TermMonths))</f>
        <v/>
      </c>
    </row>
    <row r="4546">
      <c r="A4546" s="145" t="n">
        <v>34</v>
      </c>
      <c r="B4546" s="204">
        <f>EDATE($B4545,1)</f>
        <v/>
      </c>
      <c r="C4546" s="205">
        <f>EOMONTH($B4546,0)</f>
        <v/>
      </c>
      <c r="D4546" s="201">
        <f>$C4546-$B4546+1</f>
        <v/>
      </c>
      <c r="E4546" s="201">
        <f>MONTH($B4546)</f>
        <v/>
      </c>
      <c r="F4546" s="235">
        <f>($B4546+$C4546+1)/2</f>
        <v/>
      </c>
      <c r="G4546" s="201">
        <f>YEAR($B4546)*12+MONTH($B4546)-1</f>
        <v/>
      </c>
      <c r="H4546" s="207">
        <f>IF(OR(nr_SeasonOn="OFF",re_srow=0,re_ssum=0),1,12*INDEX(se_block,re_srow,$E4546)/re_ssum)</f>
        <v/>
      </c>
      <c r="I4546" s="208">
        <f>EXP(SUMPRODUCT((rl_eff&lt;$B4546)*(rl_key=nr_SelKey)*$C$4268:$C$4507))</f>
        <v/>
      </c>
      <c r="J4546" s="208">
        <f>EXP(SUMPRODUCT((rl_eff&lt;=$C4546)*(rl_key=nr_SelKey)*$C$4268:$C$4507))</f>
        <v/>
      </c>
      <c r="K4546" s="201">
        <f>COUNTIFS(rl_key,nr_SelKey,rl_eff,"&gt;="&amp;$B4546,rl_eff,"&lt;="&amp;$C4546)</f>
        <v/>
      </c>
      <c r="L4546" s="201">
        <f>SUMIFS(rl_daysafter,rl_key,nr_SelKey,rl_effmonth,$B4546,rl_first,1)</f>
        <v/>
      </c>
      <c r="M4546" s="209">
        <f>IF($K4546=0,0,MIN(1,$L4546/$D4546))</f>
        <v/>
      </c>
      <c r="N4546" s="208">
        <f>IF($K4546=0,$J4546,(1-$M4546)*$I4546+$M4546*$J4546)</f>
        <v/>
      </c>
      <c r="P4546" s="208">
        <f>MIN(1,MAX(0,(nr_MEndPm1-$G4546+0.5)/nr_TermMonths))-MIN(1,MAX(0,(nr_MStartPm1-1-$G4546+0.5)/nr_TermMonths))</f>
        <v/>
      </c>
      <c r="Q4546" s="208">
        <f>MIN(1,MAX(0,(nr_MEndP-$G4546+0.5)/nr_TermMonths))-MIN(1,MAX(0,(nr_MStartP-1-$G4546+0.5)/nr_TermMonths))</f>
        <v/>
      </c>
      <c r="R4546" s="208">
        <f>MIN(1,MAX(0,(nr_MEndP1-$G4546+0.5)/nr_TermMonths))-MIN(1,MAX(0,(nr_MStartP1-1-$G4546+0.5)/nr_TermMonths))</f>
        <v/>
      </c>
    </row>
    <row r="4547">
      <c r="A4547" s="145" t="n">
        <v>35</v>
      </c>
      <c r="B4547" s="204">
        <f>EDATE($B4546,1)</f>
        <v/>
      </c>
      <c r="C4547" s="205">
        <f>EOMONTH($B4547,0)</f>
        <v/>
      </c>
      <c r="D4547" s="201">
        <f>$C4547-$B4547+1</f>
        <v/>
      </c>
      <c r="E4547" s="201">
        <f>MONTH($B4547)</f>
        <v/>
      </c>
      <c r="F4547" s="235">
        <f>($B4547+$C4547+1)/2</f>
        <v/>
      </c>
      <c r="G4547" s="201">
        <f>YEAR($B4547)*12+MONTH($B4547)-1</f>
        <v/>
      </c>
      <c r="H4547" s="207">
        <f>IF(OR(nr_SeasonOn="OFF",re_srow=0,re_ssum=0),1,12*INDEX(se_block,re_srow,$E4547)/re_ssum)</f>
        <v/>
      </c>
      <c r="I4547" s="208">
        <f>EXP(SUMPRODUCT((rl_eff&lt;$B4547)*(rl_key=nr_SelKey)*$C$4268:$C$4507))</f>
        <v/>
      </c>
      <c r="J4547" s="208">
        <f>EXP(SUMPRODUCT((rl_eff&lt;=$C4547)*(rl_key=nr_SelKey)*$C$4268:$C$4507))</f>
        <v/>
      </c>
      <c r="K4547" s="201">
        <f>COUNTIFS(rl_key,nr_SelKey,rl_eff,"&gt;="&amp;$B4547,rl_eff,"&lt;="&amp;$C4547)</f>
        <v/>
      </c>
      <c r="L4547" s="201">
        <f>SUMIFS(rl_daysafter,rl_key,nr_SelKey,rl_effmonth,$B4547,rl_first,1)</f>
        <v/>
      </c>
      <c r="M4547" s="209">
        <f>IF($K4547=0,0,MIN(1,$L4547/$D4547))</f>
        <v/>
      </c>
      <c r="N4547" s="208">
        <f>IF($K4547=0,$J4547,(1-$M4547)*$I4547+$M4547*$J4547)</f>
        <v/>
      </c>
      <c r="P4547" s="208">
        <f>MIN(1,MAX(0,(nr_MEndPm1-$G4547+0.5)/nr_TermMonths))-MIN(1,MAX(0,(nr_MStartPm1-1-$G4547+0.5)/nr_TermMonths))</f>
        <v/>
      </c>
      <c r="Q4547" s="208">
        <f>MIN(1,MAX(0,(nr_MEndP-$G4547+0.5)/nr_TermMonths))-MIN(1,MAX(0,(nr_MStartP-1-$G4547+0.5)/nr_TermMonths))</f>
        <v/>
      </c>
      <c r="R4547" s="208">
        <f>MIN(1,MAX(0,(nr_MEndP1-$G4547+0.5)/nr_TermMonths))-MIN(1,MAX(0,(nr_MStartP1-1-$G4547+0.5)/nr_TermMonths))</f>
        <v/>
      </c>
    </row>
    <row r="4548">
      <c r="A4548" s="145" t="n">
        <v>36</v>
      </c>
      <c r="B4548" s="204">
        <f>EDATE($B4547,1)</f>
        <v/>
      </c>
      <c r="C4548" s="205">
        <f>EOMONTH($B4548,0)</f>
        <v/>
      </c>
      <c r="D4548" s="201">
        <f>$C4548-$B4548+1</f>
        <v/>
      </c>
      <c r="E4548" s="201">
        <f>MONTH($B4548)</f>
        <v/>
      </c>
      <c r="F4548" s="235">
        <f>($B4548+$C4548+1)/2</f>
        <v/>
      </c>
      <c r="G4548" s="201">
        <f>YEAR($B4548)*12+MONTH($B4548)-1</f>
        <v/>
      </c>
      <c r="H4548" s="207">
        <f>IF(OR(nr_SeasonOn="OFF",re_srow=0,re_ssum=0),1,12*INDEX(se_block,re_srow,$E4548)/re_ssum)</f>
        <v/>
      </c>
      <c r="I4548" s="208">
        <f>EXP(SUMPRODUCT((rl_eff&lt;$B4548)*(rl_key=nr_SelKey)*$C$4268:$C$4507))</f>
        <v/>
      </c>
      <c r="J4548" s="208">
        <f>EXP(SUMPRODUCT((rl_eff&lt;=$C4548)*(rl_key=nr_SelKey)*$C$4268:$C$4507))</f>
        <v/>
      </c>
      <c r="K4548" s="201">
        <f>COUNTIFS(rl_key,nr_SelKey,rl_eff,"&gt;="&amp;$B4548,rl_eff,"&lt;="&amp;$C4548)</f>
        <v/>
      </c>
      <c r="L4548" s="201">
        <f>SUMIFS(rl_daysafter,rl_key,nr_SelKey,rl_effmonth,$B4548,rl_first,1)</f>
        <v/>
      </c>
      <c r="M4548" s="209">
        <f>IF($K4548=0,0,MIN(1,$L4548/$D4548))</f>
        <v/>
      </c>
      <c r="N4548" s="208">
        <f>IF($K4548=0,$J4548,(1-$M4548)*$I4548+$M4548*$J4548)</f>
        <v/>
      </c>
      <c r="P4548" s="208">
        <f>MIN(1,MAX(0,(nr_MEndPm1-$G4548+0.5)/nr_TermMonths))-MIN(1,MAX(0,(nr_MStartPm1-1-$G4548+0.5)/nr_TermMonths))</f>
        <v/>
      </c>
      <c r="Q4548" s="208">
        <f>MIN(1,MAX(0,(nr_MEndP-$G4548+0.5)/nr_TermMonths))-MIN(1,MAX(0,(nr_MStartP-1-$G4548+0.5)/nr_TermMonths))</f>
        <v/>
      </c>
      <c r="R4548" s="208">
        <f>MIN(1,MAX(0,(nr_MEndP1-$G4548+0.5)/nr_TermMonths))-MIN(1,MAX(0,(nr_MStartP1-1-$G4548+0.5)/nr_TermMonths))</f>
        <v/>
      </c>
    </row>
    <row r="4549">
      <c r="A4549" s="145" t="n">
        <v>37</v>
      </c>
      <c r="B4549" s="204">
        <f>EDATE($B4548,1)</f>
        <v/>
      </c>
      <c r="C4549" s="205">
        <f>EOMONTH($B4549,0)</f>
        <v/>
      </c>
      <c r="D4549" s="201">
        <f>$C4549-$B4549+1</f>
        <v/>
      </c>
      <c r="E4549" s="201">
        <f>MONTH($B4549)</f>
        <v/>
      </c>
      <c r="F4549" s="235">
        <f>($B4549+$C4549+1)/2</f>
        <v/>
      </c>
      <c r="G4549" s="201">
        <f>YEAR($B4549)*12+MONTH($B4549)-1</f>
        <v/>
      </c>
      <c r="H4549" s="207">
        <f>IF(OR(nr_SeasonOn="OFF",re_srow=0,re_ssum=0),1,12*INDEX(se_block,re_srow,$E4549)/re_ssum)</f>
        <v/>
      </c>
      <c r="I4549" s="208">
        <f>EXP(SUMPRODUCT((rl_eff&lt;$B4549)*(rl_key=nr_SelKey)*$C$4268:$C$4507))</f>
        <v/>
      </c>
      <c r="J4549" s="208">
        <f>EXP(SUMPRODUCT((rl_eff&lt;=$C4549)*(rl_key=nr_SelKey)*$C$4268:$C$4507))</f>
        <v/>
      </c>
      <c r="K4549" s="201">
        <f>COUNTIFS(rl_key,nr_SelKey,rl_eff,"&gt;="&amp;$B4549,rl_eff,"&lt;="&amp;$C4549)</f>
        <v/>
      </c>
      <c r="L4549" s="201">
        <f>SUMIFS(rl_daysafter,rl_key,nr_SelKey,rl_effmonth,$B4549,rl_first,1)</f>
        <v/>
      </c>
      <c r="M4549" s="209">
        <f>IF($K4549=0,0,MIN(1,$L4549/$D4549))</f>
        <v/>
      </c>
      <c r="N4549" s="208">
        <f>IF($K4549=0,$J4549,(1-$M4549)*$I4549+$M4549*$J4549)</f>
        <v/>
      </c>
      <c r="P4549" s="208">
        <f>MIN(1,MAX(0,(nr_MEndPm1-$G4549+0.5)/nr_TermMonths))-MIN(1,MAX(0,(nr_MStartPm1-1-$G4549+0.5)/nr_TermMonths))</f>
        <v/>
      </c>
      <c r="Q4549" s="208">
        <f>MIN(1,MAX(0,(nr_MEndP-$G4549+0.5)/nr_TermMonths))-MIN(1,MAX(0,(nr_MStartP-1-$G4549+0.5)/nr_TermMonths))</f>
        <v/>
      </c>
      <c r="R4549" s="208">
        <f>MIN(1,MAX(0,(nr_MEndP1-$G4549+0.5)/nr_TermMonths))-MIN(1,MAX(0,(nr_MStartP1-1-$G4549+0.5)/nr_TermMonths))</f>
        <v/>
      </c>
    </row>
    <row r="4550">
      <c r="A4550" s="145" t="n">
        <v>38</v>
      </c>
      <c r="B4550" s="204">
        <f>EDATE($B4549,1)</f>
        <v/>
      </c>
      <c r="C4550" s="205">
        <f>EOMONTH($B4550,0)</f>
        <v/>
      </c>
      <c r="D4550" s="201">
        <f>$C4550-$B4550+1</f>
        <v/>
      </c>
      <c r="E4550" s="201">
        <f>MONTH($B4550)</f>
        <v/>
      </c>
      <c r="F4550" s="235">
        <f>($B4550+$C4550+1)/2</f>
        <v/>
      </c>
      <c r="G4550" s="201">
        <f>YEAR($B4550)*12+MONTH($B4550)-1</f>
        <v/>
      </c>
      <c r="H4550" s="207">
        <f>IF(OR(nr_SeasonOn="OFF",re_srow=0,re_ssum=0),1,12*INDEX(se_block,re_srow,$E4550)/re_ssum)</f>
        <v/>
      </c>
      <c r="I4550" s="208">
        <f>EXP(SUMPRODUCT((rl_eff&lt;$B4550)*(rl_key=nr_SelKey)*$C$4268:$C$4507))</f>
        <v/>
      </c>
      <c r="J4550" s="208">
        <f>EXP(SUMPRODUCT((rl_eff&lt;=$C4550)*(rl_key=nr_SelKey)*$C$4268:$C$4507))</f>
        <v/>
      </c>
      <c r="K4550" s="201">
        <f>COUNTIFS(rl_key,nr_SelKey,rl_eff,"&gt;="&amp;$B4550,rl_eff,"&lt;="&amp;$C4550)</f>
        <v/>
      </c>
      <c r="L4550" s="201">
        <f>SUMIFS(rl_daysafter,rl_key,nr_SelKey,rl_effmonth,$B4550,rl_first,1)</f>
        <v/>
      </c>
      <c r="M4550" s="209">
        <f>IF($K4550=0,0,MIN(1,$L4550/$D4550))</f>
        <v/>
      </c>
      <c r="N4550" s="208">
        <f>IF($K4550=0,$J4550,(1-$M4550)*$I4550+$M4550*$J4550)</f>
        <v/>
      </c>
      <c r="P4550" s="208">
        <f>MIN(1,MAX(0,(nr_MEndPm1-$G4550+0.5)/nr_TermMonths))-MIN(1,MAX(0,(nr_MStartPm1-1-$G4550+0.5)/nr_TermMonths))</f>
        <v/>
      </c>
      <c r="Q4550" s="208">
        <f>MIN(1,MAX(0,(nr_MEndP-$G4550+0.5)/nr_TermMonths))-MIN(1,MAX(0,(nr_MStartP-1-$G4550+0.5)/nr_TermMonths))</f>
        <v/>
      </c>
      <c r="R4550" s="208">
        <f>MIN(1,MAX(0,(nr_MEndP1-$G4550+0.5)/nr_TermMonths))-MIN(1,MAX(0,(nr_MStartP1-1-$G4550+0.5)/nr_TermMonths))</f>
        <v/>
      </c>
    </row>
    <row r="4551">
      <c r="A4551" s="145" t="n">
        <v>39</v>
      </c>
      <c r="B4551" s="204">
        <f>EDATE($B4550,1)</f>
        <v/>
      </c>
      <c r="C4551" s="205">
        <f>EOMONTH($B4551,0)</f>
        <v/>
      </c>
      <c r="D4551" s="201">
        <f>$C4551-$B4551+1</f>
        <v/>
      </c>
      <c r="E4551" s="201">
        <f>MONTH($B4551)</f>
        <v/>
      </c>
      <c r="F4551" s="235">
        <f>($B4551+$C4551+1)/2</f>
        <v/>
      </c>
      <c r="G4551" s="201">
        <f>YEAR($B4551)*12+MONTH($B4551)-1</f>
        <v/>
      </c>
      <c r="H4551" s="207">
        <f>IF(OR(nr_SeasonOn="OFF",re_srow=0,re_ssum=0),1,12*INDEX(se_block,re_srow,$E4551)/re_ssum)</f>
        <v/>
      </c>
      <c r="I4551" s="208">
        <f>EXP(SUMPRODUCT((rl_eff&lt;$B4551)*(rl_key=nr_SelKey)*$C$4268:$C$4507))</f>
        <v/>
      </c>
      <c r="J4551" s="208">
        <f>EXP(SUMPRODUCT((rl_eff&lt;=$C4551)*(rl_key=nr_SelKey)*$C$4268:$C$4507))</f>
        <v/>
      </c>
      <c r="K4551" s="201">
        <f>COUNTIFS(rl_key,nr_SelKey,rl_eff,"&gt;="&amp;$B4551,rl_eff,"&lt;="&amp;$C4551)</f>
        <v/>
      </c>
      <c r="L4551" s="201">
        <f>SUMIFS(rl_daysafter,rl_key,nr_SelKey,rl_effmonth,$B4551,rl_first,1)</f>
        <v/>
      </c>
      <c r="M4551" s="209">
        <f>IF($K4551=0,0,MIN(1,$L4551/$D4551))</f>
        <v/>
      </c>
      <c r="N4551" s="208">
        <f>IF($K4551=0,$J4551,(1-$M4551)*$I4551+$M4551*$J4551)</f>
        <v/>
      </c>
      <c r="P4551" s="208">
        <f>MIN(1,MAX(0,(nr_MEndPm1-$G4551+0.5)/nr_TermMonths))-MIN(1,MAX(0,(nr_MStartPm1-1-$G4551+0.5)/nr_TermMonths))</f>
        <v/>
      </c>
      <c r="Q4551" s="208">
        <f>MIN(1,MAX(0,(nr_MEndP-$G4551+0.5)/nr_TermMonths))-MIN(1,MAX(0,(nr_MStartP-1-$G4551+0.5)/nr_TermMonths))</f>
        <v/>
      </c>
      <c r="R4551" s="208">
        <f>MIN(1,MAX(0,(nr_MEndP1-$G4551+0.5)/nr_TermMonths))-MIN(1,MAX(0,(nr_MStartP1-1-$G4551+0.5)/nr_TermMonths))</f>
        <v/>
      </c>
    </row>
    <row r="4552">
      <c r="A4552" s="145" t="n">
        <v>40</v>
      </c>
      <c r="B4552" s="204">
        <f>EDATE($B4551,1)</f>
        <v/>
      </c>
      <c r="C4552" s="205">
        <f>EOMONTH($B4552,0)</f>
        <v/>
      </c>
      <c r="D4552" s="201">
        <f>$C4552-$B4552+1</f>
        <v/>
      </c>
      <c r="E4552" s="201">
        <f>MONTH($B4552)</f>
        <v/>
      </c>
      <c r="F4552" s="235">
        <f>($B4552+$C4552+1)/2</f>
        <v/>
      </c>
      <c r="G4552" s="201">
        <f>YEAR($B4552)*12+MONTH($B4552)-1</f>
        <v/>
      </c>
      <c r="H4552" s="207">
        <f>IF(OR(nr_SeasonOn="OFF",re_srow=0,re_ssum=0),1,12*INDEX(se_block,re_srow,$E4552)/re_ssum)</f>
        <v/>
      </c>
      <c r="I4552" s="208">
        <f>EXP(SUMPRODUCT((rl_eff&lt;$B4552)*(rl_key=nr_SelKey)*$C$4268:$C$4507))</f>
        <v/>
      </c>
      <c r="J4552" s="208">
        <f>EXP(SUMPRODUCT((rl_eff&lt;=$C4552)*(rl_key=nr_SelKey)*$C$4268:$C$4507))</f>
        <v/>
      </c>
      <c r="K4552" s="201">
        <f>COUNTIFS(rl_key,nr_SelKey,rl_eff,"&gt;="&amp;$B4552,rl_eff,"&lt;="&amp;$C4552)</f>
        <v/>
      </c>
      <c r="L4552" s="201">
        <f>SUMIFS(rl_daysafter,rl_key,nr_SelKey,rl_effmonth,$B4552,rl_first,1)</f>
        <v/>
      </c>
      <c r="M4552" s="209">
        <f>IF($K4552=0,0,MIN(1,$L4552/$D4552))</f>
        <v/>
      </c>
      <c r="N4552" s="208">
        <f>IF($K4552=0,$J4552,(1-$M4552)*$I4552+$M4552*$J4552)</f>
        <v/>
      </c>
      <c r="P4552" s="208">
        <f>MIN(1,MAX(0,(nr_MEndPm1-$G4552+0.5)/nr_TermMonths))-MIN(1,MAX(0,(nr_MStartPm1-1-$G4552+0.5)/nr_TermMonths))</f>
        <v/>
      </c>
      <c r="Q4552" s="208">
        <f>MIN(1,MAX(0,(nr_MEndP-$G4552+0.5)/nr_TermMonths))-MIN(1,MAX(0,(nr_MStartP-1-$G4552+0.5)/nr_TermMonths))</f>
        <v/>
      </c>
      <c r="R4552" s="208">
        <f>MIN(1,MAX(0,(nr_MEndP1-$G4552+0.5)/nr_TermMonths))-MIN(1,MAX(0,(nr_MStartP1-1-$G4552+0.5)/nr_TermMonths))</f>
        <v/>
      </c>
    </row>
    <row r="4553">
      <c r="A4553" s="145" t="n">
        <v>41</v>
      </c>
      <c r="B4553" s="204">
        <f>EDATE($B4552,1)</f>
        <v/>
      </c>
      <c r="C4553" s="205">
        <f>EOMONTH($B4553,0)</f>
        <v/>
      </c>
      <c r="D4553" s="201">
        <f>$C4553-$B4553+1</f>
        <v/>
      </c>
      <c r="E4553" s="201">
        <f>MONTH($B4553)</f>
        <v/>
      </c>
      <c r="F4553" s="235">
        <f>($B4553+$C4553+1)/2</f>
        <v/>
      </c>
      <c r="G4553" s="201">
        <f>YEAR($B4553)*12+MONTH($B4553)-1</f>
        <v/>
      </c>
      <c r="H4553" s="207">
        <f>IF(OR(nr_SeasonOn="OFF",re_srow=0,re_ssum=0),1,12*INDEX(se_block,re_srow,$E4553)/re_ssum)</f>
        <v/>
      </c>
      <c r="I4553" s="208">
        <f>EXP(SUMPRODUCT((rl_eff&lt;$B4553)*(rl_key=nr_SelKey)*$C$4268:$C$4507))</f>
        <v/>
      </c>
      <c r="J4553" s="208">
        <f>EXP(SUMPRODUCT((rl_eff&lt;=$C4553)*(rl_key=nr_SelKey)*$C$4268:$C$4507))</f>
        <v/>
      </c>
      <c r="K4553" s="201">
        <f>COUNTIFS(rl_key,nr_SelKey,rl_eff,"&gt;="&amp;$B4553,rl_eff,"&lt;="&amp;$C4553)</f>
        <v/>
      </c>
      <c r="L4553" s="201">
        <f>SUMIFS(rl_daysafter,rl_key,nr_SelKey,rl_effmonth,$B4553,rl_first,1)</f>
        <v/>
      </c>
      <c r="M4553" s="209">
        <f>IF($K4553=0,0,MIN(1,$L4553/$D4553))</f>
        <v/>
      </c>
      <c r="N4553" s="208">
        <f>IF($K4553=0,$J4553,(1-$M4553)*$I4553+$M4553*$J4553)</f>
        <v/>
      </c>
      <c r="P4553" s="208">
        <f>MIN(1,MAX(0,(nr_MEndPm1-$G4553+0.5)/nr_TermMonths))-MIN(1,MAX(0,(nr_MStartPm1-1-$G4553+0.5)/nr_TermMonths))</f>
        <v/>
      </c>
      <c r="Q4553" s="208">
        <f>MIN(1,MAX(0,(nr_MEndP-$G4553+0.5)/nr_TermMonths))-MIN(1,MAX(0,(nr_MStartP-1-$G4553+0.5)/nr_TermMonths))</f>
        <v/>
      </c>
      <c r="R4553" s="208">
        <f>MIN(1,MAX(0,(nr_MEndP1-$G4553+0.5)/nr_TermMonths))-MIN(1,MAX(0,(nr_MStartP1-1-$G4553+0.5)/nr_TermMonths))</f>
        <v/>
      </c>
    </row>
    <row r="4554">
      <c r="A4554" s="145" t="n">
        <v>42</v>
      </c>
      <c r="B4554" s="204">
        <f>EDATE($B4553,1)</f>
        <v/>
      </c>
      <c r="C4554" s="205">
        <f>EOMONTH($B4554,0)</f>
        <v/>
      </c>
      <c r="D4554" s="201">
        <f>$C4554-$B4554+1</f>
        <v/>
      </c>
      <c r="E4554" s="201">
        <f>MONTH($B4554)</f>
        <v/>
      </c>
      <c r="F4554" s="235">
        <f>($B4554+$C4554+1)/2</f>
        <v/>
      </c>
      <c r="G4554" s="201">
        <f>YEAR($B4554)*12+MONTH($B4554)-1</f>
        <v/>
      </c>
      <c r="H4554" s="207">
        <f>IF(OR(nr_SeasonOn="OFF",re_srow=0,re_ssum=0),1,12*INDEX(se_block,re_srow,$E4554)/re_ssum)</f>
        <v/>
      </c>
      <c r="I4554" s="208">
        <f>EXP(SUMPRODUCT((rl_eff&lt;$B4554)*(rl_key=nr_SelKey)*$C$4268:$C$4507))</f>
        <v/>
      </c>
      <c r="J4554" s="208">
        <f>EXP(SUMPRODUCT((rl_eff&lt;=$C4554)*(rl_key=nr_SelKey)*$C$4268:$C$4507))</f>
        <v/>
      </c>
      <c r="K4554" s="201">
        <f>COUNTIFS(rl_key,nr_SelKey,rl_eff,"&gt;="&amp;$B4554,rl_eff,"&lt;="&amp;$C4554)</f>
        <v/>
      </c>
      <c r="L4554" s="201">
        <f>SUMIFS(rl_daysafter,rl_key,nr_SelKey,rl_effmonth,$B4554,rl_first,1)</f>
        <v/>
      </c>
      <c r="M4554" s="209">
        <f>IF($K4554=0,0,MIN(1,$L4554/$D4554))</f>
        <v/>
      </c>
      <c r="N4554" s="208">
        <f>IF($K4554=0,$J4554,(1-$M4554)*$I4554+$M4554*$J4554)</f>
        <v/>
      </c>
      <c r="P4554" s="208">
        <f>MIN(1,MAX(0,(nr_MEndPm1-$G4554+0.5)/nr_TermMonths))-MIN(1,MAX(0,(nr_MStartPm1-1-$G4554+0.5)/nr_TermMonths))</f>
        <v/>
      </c>
      <c r="Q4554" s="208">
        <f>MIN(1,MAX(0,(nr_MEndP-$G4554+0.5)/nr_TermMonths))-MIN(1,MAX(0,(nr_MStartP-1-$G4554+0.5)/nr_TermMonths))</f>
        <v/>
      </c>
      <c r="R4554" s="208">
        <f>MIN(1,MAX(0,(nr_MEndP1-$G4554+0.5)/nr_TermMonths))-MIN(1,MAX(0,(nr_MStartP1-1-$G4554+0.5)/nr_TermMonths))</f>
        <v/>
      </c>
    </row>
    <row r="4555">
      <c r="A4555" s="145" t="n">
        <v>43</v>
      </c>
      <c r="B4555" s="204">
        <f>EDATE($B4554,1)</f>
        <v/>
      </c>
      <c r="C4555" s="205">
        <f>EOMONTH($B4555,0)</f>
        <v/>
      </c>
      <c r="D4555" s="201">
        <f>$C4555-$B4555+1</f>
        <v/>
      </c>
      <c r="E4555" s="201">
        <f>MONTH($B4555)</f>
        <v/>
      </c>
      <c r="F4555" s="235">
        <f>($B4555+$C4555+1)/2</f>
        <v/>
      </c>
      <c r="G4555" s="201">
        <f>YEAR($B4555)*12+MONTH($B4555)-1</f>
        <v/>
      </c>
      <c r="H4555" s="207">
        <f>IF(OR(nr_SeasonOn="OFF",re_srow=0,re_ssum=0),1,12*INDEX(se_block,re_srow,$E4555)/re_ssum)</f>
        <v/>
      </c>
      <c r="I4555" s="208">
        <f>EXP(SUMPRODUCT((rl_eff&lt;$B4555)*(rl_key=nr_SelKey)*$C$4268:$C$4507))</f>
        <v/>
      </c>
      <c r="J4555" s="208">
        <f>EXP(SUMPRODUCT((rl_eff&lt;=$C4555)*(rl_key=nr_SelKey)*$C$4268:$C$4507))</f>
        <v/>
      </c>
      <c r="K4555" s="201">
        <f>COUNTIFS(rl_key,nr_SelKey,rl_eff,"&gt;="&amp;$B4555,rl_eff,"&lt;="&amp;$C4555)</f>
        <v/>
      </c>
      <c r="L4555" s="201">
        <f>SUMIFS(rl_daysafter,rl_key,nr_SelKey,rl_effmonth,$B4555,rl_first,1)</f>
        <v/>
      </c>
      <c r="M4555" s="209">
        <f>IF($K4555=0,0,MIN(1,$L4555/$D4555))</f>
        <v/>
      </c>
      <c r="N4555" s="208">
        <f>IF($K4555=0,$J4555,(1-$M4555)*$I4555+$M4555*$J4555)</f>
        <v/>
      </c>
      <c r="P4555" s="208">
        <f>MIN(1,MAX(0,(nr_MEndPm1-$G4555+0.5)/nr_TermMonths))-MIN(1,MAX(0,(nr_MStartPm1-1-$G4555+0.5)/nr_TermMonths))</f>
        <v/>
      </c>
      <c r="Q4555" s="208">
        <f>MIN(1,MAX(0,(nr_MEndP-$G4555+0.5)/nr_TermMonths))-MIN(1,MAX(0,(nr_MStartP-1-$G4555+0.5)/nr_TermMonths))</f>
        <v/>
      </c>
      <c r="R4555" s="208">
        <f>MIN(1,MAX(0,(nr_MEndP1-$G4555+0.5)/nr_TermMonths))-MIN(1,MAX(0,(nr_MStartP1-1-$G4555+0.5)/nr_TermMonths))</f>
        <v/>
      </c>
    </row>
    <row r="4556">
      <c r="A4556" s="145" t="n">
        <v>44</v>
      </c>
      <c r="B4556" s="204">
        <f>EDATE($B4555,1)</f>
        <v/>
      </c>
      <c r="C4556" s="205">
        <f>EOMONTH($B4556,0)</f>
        <v/>
      </c>
      <c r="D4556" s="201">
        <f>$C4556-$B4556+1</f>
        <v/>
      </c>
      <c r="E4556" s="201">
        <f>MONTH($B4556)</f>
        <v/>
      </c>
      <c r="F4556" s="235">
        <f>($B4556+$C4556+1)/2</f>
        <v/>
      </c>
      <c r="G4556" s="201">
        <f>YEAR($B4556)*12+MONTH($B4556)-1</f>
        <v/>
      </c>
      <c r="H4556" s="207">
        <f>IF(OR(nr_SeasonOn="OFF",re_srow=0,re_ssum=0),1,12*INDEX(se_block,re_srow,$E4556)/re_ssum)</f>
        <v/>
      </c>
      <c r="I4556" s="208">
        <f>EXP(SUMPRODUCT((rl_eff&lt;$B4556)*(rl_key=nr_SelKey)*$C$4268:$C$4507))</f>
        <v/>
      </c>
      <c r="J4556" s="208">
        <f>EXP(SUMPRODUCT((rl_eff&lt;=$C4556)*(rl_key=nr_SelKey)*$C$4268:$C$4507))</f>
        <v/>
      </c>
      <c r="K4556" s="201">
        <f>COUNTIFS(rl_key,nr_SelKey,rl_eff,"&gt;="&amp;$B4556,rl_eff,"&lt;="&amp;$C4556)</f>
        <v/>
      </c>
      <c r="L4556" s="201">
        <f>SUMIFS(rl_daysafter,rl_key,nr_SelKey,rl_effmonth,$B4556,rl_first,1)</f>
        <v/>
      </c>
      <c r="M4556" s="209">
        <f>IF($K4556=0,0,MIN(1,$L4556/$D4556))</f>
        <v/>
      </c>
      <c r="N4556" s="208">
        <f>IF($K4556=0,$J4556,(1-$M4556)*$I4556+$M4556*$J4556)</f>
        <v/>
      </c>
      <c r="P4556" s="208">
        <f>MIN(1,MAX(0,(nr_MEndPm1-$G4556+0.5)/nr_TermMonths))-MIN(1,MAX(0,(nr_MStartPm1-1-$G4556+0.5)/nr_TermMonths))</f>
        <v/>
      </c>
      <c r="Q4556" s="208">
        <f>MIN(1,MAX(0,(nr_MEndP-$G4556+0.5)/nr_TermMonths))-MIN(1,MAX(0,(nr_MStartP-1-$G4556+0.5)/nr_TermMonths))</f>
        <v/>
      </c>
      <c r="R4556" s="208">
        <f>MIN(1,MAX(0,(nr_MEndP1-$G4556+0.5)/nr_TermMonths))-MIN(1,MAX(0,(nr_MStartP1-1-$G4556+0.5)/nr_TermMonths))</f>
        <v/>
      </c>
    </row>
    <row r="4557">
      <c r="A4557" s="145" t="n">
        <v>45</v>
      </c>
      <c r="B4557" s="204">
        <f>EDATE($B4556,1)</f>
        <v/>
      </c>
      <c r="C4557" s="205">
        <f>EOMONTH($B4557,0)</f>
        <v/>
      </c>
      <c r="D4557" s="201">
        <f>$C4557-$B4557+1</f>
        <v/>
      </c>
      <c r="E4557" s="201">
        <f>MONTH($B4557)</f>
        <v/>
      </c>
      <c r="F4557" s="235">
        <f>($B4557+$C4557+1)/2</f>
        <v/>
      </c>
      <c r="G4557" s="201">
        <f>YEAR($B4557)*12+MONTH($B4557)-1</f>
        <v/>
      </c>
      <c r="H4557" s="207">
        <f>IF(OR(nr_SeasonOn="OFF",re_srow=0,re_ssum=0),1,12*INDEX(se_block,re_srow,$E4557)/re_ssum)</f>
        <v/>
      </c>
      <c r="I4557" s="208">
        <f>EXP(SUMPRODUCT((rl_eff&lt;$B4557)*(rl_key=nr_SelKey)*$C$4268:$C$4507))</f>
        <v/>
      </c>
      <c r="J4557" s="208">
        <f>EXP(SUMPRODUCT((rl_eff&lt;=$C4557)*(rl_key=nr_SelKey)*$C$4268:$C$4507))</f>
        <v/>
      </c>
      <c r="K4557" s="201">
        <f>COUNTIFS(rl_key,nr_SelKey,rl_eff,"&gt;="&amp;$B4557,rl_eff,"&lt;="&amp;$C4557)</f>
        <v/>
      </c>
      <c r="L4557" s="201">
        <f>SUMIFS(rl_daysafter,rl_key,nr_SelKey,rl_effmonth,$B4557,rl_first,1)</f>
        <v/>
      </c>
      <c r="M4557" s="209">
        <f>IF($K4557=0,0,MIN(1,$L4557/$D4557))</f>
        <v/>
      </c>
      <c r="N4557" s="208">
        <f>IF($K4557=0,$J4557,(1-$M4557)*$I4557+$M4557*$J4557)</f>
        <v/>
      </c>
      <c r="P4557" s="208">
        <f>MIN(1,MAX(0,(nr_MEndPm1-$G4557+0.5)/nr_TermMonths))-MIN(1,MAX(0,(nr_MStartPm1-1-$G4557+0.5)/nr_TermMonths))</f>
        <v/>
      </c>
      <c r="Q4557" s="208">
        <f>MIN(1,MAX(0,(nr_MEndP-$G4557+0.5)/nr_TermMonths))-MIN(1,MAX(0,(nr_MStartP-1-$G4557+0.5)/nr_TermMonths))</f>
        <v/>
      </c>
      <c r="R4557" s="208">
        <f>MIN(1,MAX(0,(nr_MEndP1-$G4557+0.5)/nr_TermMonths))-MIN(1,MAX(0,(nr_MStartP1-1-$G4557+0.5)/nr_TermMonths))</f>
        <v/>
      </c>
    </row>
    <row r="4558">
      <c r="A4558" s="145" t="n">
        <v>46</v>
      </c>
      <c r="B4558" s="204">
        <f>EDATE($B4557,1)</f>
        <v/>
      </c>
      <c r="C4558" s="205">
        <f>EOMONTH($B4558,0)</f>
        <v/>
      </c>
      <c r="D4558" s="201">
        <f>$C4558-$B4558+1</f>
        <v/>
      </c>
      <c r="E4558" s="201">
        <f>MONTH($B4558)</f>
        <v/>
      </c>
      <c r="F4558" s="235">
        <f>($B4558+$C4558+1)/2</f>
        <v/>
      </c>
      <c r="G4558" s="201">
        <f>YEAR($B4558)*12+MONTH($B4558)-1</f>
        <v/>
      </c>
      <c r="H4558" s="207">
        <f>IF(OR(nr_SeasonOn="OFF",re_srow=0,re_ssum=0),1,12*INDEX(se_block,re_srow,$E4558)/re_ssum)</f>
        <v/>
      </c>
      <c r="I4558" s="208">
        <f>EXP(SUMPRODUCT((rl_eff&lt;$B4558)*(rl_key=nr_SelKey)*$C$4268:$C$4507))</f>
        <v/>
      </c>
      <c r="J4558" s="208">
        <f>EXP(SUMPRODUCT((rl_eff&lt;=$C4558)*(rl_key=nr_SelKey)*$C$4268:$C$4507))</f>
        <v/>
      </c>
      <c r="K4558" s="201">
        <f>COUNTIFS(rl_key,nr_SelKey,rl_eff,"&gt;="&amp;$B4558,rl_eff,"&lt;="&amp;$C4558)</f>
        <v/>
      </c>
      <c r="L4558" s="201">
        <f>SUMIFS(rl_daysafter,rl_key,nr_SelKey,rl_effmonth,$B4558,rl_first,1)</f>
        <v/>
      </c>
      <c r="M4558" s="209">
        <f>IF($K4558=0,0,MIN(1,$L4558/$D4558))</f>
        <v/>
      </c>
      <c r="N4558" s="208">
        <f>IF($K4558=0,$J4558,(1-$M4558)*$I4558+$M4558*$J4558)</f>
        <v/>
      </c>
      <c r="P4558" s="208">
        <f>MIN(1,MAX(0,(nr_MEndPm1-$G4558+0.5)/nr_TermMonths))-MIN(1,MAX(0,(nr_MStartPm1-1-$G4558+0.5)/nr_TermMonths))</f>
        <v/>
      </c>
      <c r="Q4558" s="208">
        <f>MIN(1,MAX(0,(nr_MEndP-$G4558+0.5)/nr_TermMonths))-MIN(1,MAX(0,(nr_MStartP-1-$G4558+0.5)/nr_TermMonths))</f>
        <v/>
      </c>
      <c r="R4558" s="208">
        <f>MIN(1,MAX(0,(nr_MEndP1-$G4558+0.5)/nr_TermMonths))-MIN(1,MAX(0,(nr_MStartP1-1-$G4558+0.5)/nr_TermMonths))</f>
        <v/>
      </c>
    </row>
    <row r="4559">
      <c r="A4559" s="145" t="n">
        <v>47</v>
      </c>
      <c r="B4559" s="204">
        <f>EDATE($B4558,1)</f>
        <v/>
      </c>
      <c r="C4559" s="205">
        <f>EOMONTH($B4559,0)</f>
        <v/>
      </c>
      <c r="D4559" s="201">
        <f>$C4559-$B4559+1</f>
        <v/>
      </c>
      <c r="E4559" s="201">
        <f>MONTH($B4559)</f>
        <v/>
      </c>
      <c r="F4559" s="235">
        <f>($B4559+$C4559+1)/2</f>
        <v/>
      </c>
      <c r="G4559" s="201">
        <f>YEAR($B4559)*12+MONTH($B4559)-1</f>
        <v/>
      </c>
      <c r="H4559" s="207">
        <f>IF(OR(nr_SeasonOn="OFF",re_srow=0,re_ssum=0),1,12*INDEX(se_block,re_srow,$E4559)/re_ssum)</f>
        <v/>
      </c>
      <c r="I4559" s="208">
        <f>EXP(SUMPRODUCT((rl_eff&lt;$B4559)*(rl_key=nr_SelKey)*$C$4268:$C$4507))</f>
        <v/>
      </c>
      <c r="J4559" s="208">
        <f>EXP(SUMPRODUCT((rl_eff&lt;=$C4559)*(rl_key=nr_SelKey)*$C$4268:$C$4507))</f>
        <v/>
      </c>
      <c r="K4559" s="201">
        <f>COUNTIFS(rl_key,nr_SelKey,rl_eff,"&gt;="&amp;$B4559,rl_eff,"&lt;="&amp;$C4559)</f>
        <v/>
      </c>
      <c r="L4559" s="201">
        <f>SUMIFS(rl_daysafter,rl_key,nr_SelKey,rl_effmonth,$B4559,rl_first,1)</f>
        <v/>
      </c>
      <c r="M4559" s="209">
        <f>IF($K4559=0,0,MIN(1,$L4559/$D4559))</f>
        <v/>
      </c>
      <c r="N4559" s="208">
        <f>IF($K4559=0,$J4559,(1-$M4559)*$I4559+$M4559*$J4559)</f>
        <v/>
      </c>
      <c r="P4559" s="208">
        <f>MIN(1,MAX(0,(nr_MEndPm1-$G4559+0.5)/nr_TermMonths))-MIN(1,MAX(0,(nr_MStartPm1-1-$G4559+0.5)/nr_TermMonths))</f>
        <v/>
      </c>
      <c r="Q4559" s="208">
        <f>MIN(1,MAX(0,(nr_MEndP-$G4559+0.5)/nr_TermMonths))-MIN(1,MAX(0,(nr_MStartP-1-$G4559+0.5)/nr_TermMonths))</f>
        <v/>
      </c>
      <c r="R4559" s="208">
        <f>MIN(1,MAX(0,(nr_MEndP1-$G4559+0.5)/nr_TermMonths))-MIN(1,MAX(0,(nr_MStartP1-1-$G4559+0.5)/nr_TermMonths))</f>
        <v/>
      </c>
    </row>
    <row r="4560">
      <c r="A4560" s="145" t="n">
        <v>48</v>
      </c>
      <c r="B4560" s="204">
        <f>EDATE($B4559,1)</f>
        <v/>
      </c>
      <c r="C4560" s="205">
        <f>EOMONTH($B4560,0)</f>
        <v/>
      </c>
      <c r="D4560" s="201">
        <f>$C4560-$B4560+1</f>
        <v/>
      </c>
      <c r="E4560" s="201">
        <f>MONTH($B4560)</f>
        <v/>
      </c>
      <c r="F4560" s="235">
        <f>($B4560+$C4560+1)/2</f>
        <v/>
      </c>
      <c r="G4560" s="201">
        <f>YEAR($B4560)*12+MONTH($B4560)-1</f>
        <v/>
      </c>
      <c r="H4560" s="207">
        <f>IF(OR(nr_SeasonOn="OFF",re_srow=0,re_ssum=0),1,12*INDEX(se_block,re_srow,$E4560)/re_ssum)</f>
        <v/>
      </c>
      <c r="I4560" s="208">
        <f>EXP(SUMPRODUCT((rl_eff&lt;$B4560)*(rl_key=nr_SelKey)*$C$4268:$C$4507))</f>
        <v/>
      </c>
      <c r="J4560" s="208">
        <f>EXP(SUMPRODUCT((rl_eff&lt;=$C4560)*(rl_key=nr_SelKey)*$C$4268:$C$4507))</f>
        <v/>
      </c>
      <c r="K4560" s="201">
        <f>COUNTIFS(rl_key,nr_SelKey,rl_eff,"&gt;="&amp;$B4560,rl_eff,"&lt;="&amp;$C4560)</f>
        <v/>
      </c>
      <c r="L4560" s="201">
        <f>SUMIFS(rl_daysafter,rl_key,nr_SelKey,rl_effmonth,$B4560,rl_first,1)</f>
        <v/>
      </c>
      <c r="M4560" s="209">
        <f>IF($K4560=0,0,MIN(1,$L4560/$D4560))</f>
        <v/>
      </c>
      <c r="N4560" s="208">
        <f>IF($K4560=0,$J4560,(1-$M4560)*$I4560+$M4560*$J4560)</f>
        <v/>
      </c>
      <c r="P4560" s="208">
        <f>MIN(1,MAX(0,(nr_MEndPm1-$G4560+0.5)/nr_TermMonths))-MIN(1,MAX(0,(nr_MStartPm1-1-$G4560+0.5)/nr_TermMonths))</f>
        <v/>
      </c>
      <c r="Q4560" s="208">
        <f>MIN(1,MAX(0,(nr_MEndP-$G4560+0.5)/nr_TermMonths))-MIN(1,MAX(0,(nr_MStartP-1-$G4560+0.5)/nr_TermMonths))</f>
        <v/>
      </c>
      <c r="R4560" s="208">
        <f>MIN(1,MAX(0,(nr_MEndP1-$G4560+0.5)/nr_TermMonths))-MIN(1,MAX(0,(nr_MStartP1-1-$G4560+0.5)/nr_TermMonths))</f>
        <v/>
      </c>
    </row>
    <row r="4561">
      <c r="B4561" s="72">
        <f>SUMPRODUCT($H$4513:$H$4560,$Q$4513:$Q$4560,$N$4513:$N$4560)/SUMPRODUCT($H$4513:$H$4560,$Q$4513:$Q$4560)</f>
        <v/>
      </c>
    </row>
    <row r="4564">
      <c r="A4564" s="233"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145" t="n">
        <v>1</v>
      </c>
      <c r="B4567" s="204">
        <f>DATE(nr_PlanYear-2,1,1)</f>
        <v/>
      </c>
      <c r="C4567" s="205">
        <f>EOMONTH($B4567,0)</f>
        <v/>
      </c>
      <c r="D4567" s="201">
        <f>$C4567-$B4567+1</f>
        <v/>
      </c>
      <c r="E4567" s="201">
        <f>MONTH($B4567)</f>
        <v/>
      </c>
      <c r="F4567" s="235">
        <f>($B4567+$C4567+1)/2</f>
        <v/>
      </c>
      <c r="G4567" s="201">
        <f>YEAR($B4567)*12+MONTH($B4567)-1</f>
        <v/>
      </c>
      <c r="H4567" s="207">
        <f>IF(OR(nr_SeasonOn="OFF",re_srow=0,re_ssum=0),1,12*INDEX(se_block,re_srow,$E4567)/re_ssum)</f>
        <v/>
      </c>
      <c r="I4567" s="208">
        <f>EXP(SUMPRODUCT(($D$4268:$D$4507&lt;$B4567)*(rl_key=nr_SelKey)*$C$4268:$C$4507))</f>
        <v/>
      </c>
      <c r="J4567" s="208">
        <f>EXP(SUMPRODUCT(($D$4268:$D$4507&lt;=$C4567)*(rl_key=nr_SelKey)*$C$4268:$C$4507))</f>
        <v/>
      </c>
      <c r="K4567" s="201">
        <f>COUNTIFS(rl_key,nr_SelKey,$D$4268:$D$4507,"&gt;="&amp;$B4567,$D$4268:$D$4507,"&lt;="&amp;$C4567)</f>
        <v/>
      </c>
      <c r="L4567" s="201">
        <f>SUMIFS($F$4268:$F$4507,rl_key,nr_SelKey,$E$4268:$E$4507,$B4567,$I$4268:$I$4507,1)</f>
        <v/>
      </c>
      <c r="M4567" s="209">
        <f>IF($K4567=0,0,MIN(1,$L4567/$D4567))</f>
        <v/>
      </c>
      <c r="N4567" s="208">
        <f>IF($K4567=0,$J4567,(1-$M4567)*$I4567+$M4567*$J4567)</f>
        <v/>
      </c>
      <c r="P4567" s="208">
        <f>MIN(1,MAX(0,(nr_MEndPm1-$G4567+0.5)/nr_TermMonths))-MIN(1,MAX(0,(nr_MStartPm1-1-$G4567+0.5)/nr_TermMonths))</f>
        <v/>
      </c>
      <c r="Q4567" s="208">
        <f>MIN(1,MAX(0,(nr_MEndP-$G4567+0.5)/nr_TermMonths))-MIN(1,MAX(0,(nr_MStartP-1-$G4567+0.5)/nr_TermMonths))</f>
        <v/>
      </c>
      <c r="R4567" s="208">
        <f>MIN(1,MAX(0,(nr_MEndP1-$G4567+0.5)/nr_TermMonths))-MIN(1,MAX(0,(nr_MStartP1-1-$G4567+0.5)/nr_TermMonths))</f>
        <v/>
      </c>
    </row>
    <row r="4568">
      <c r="A4568" s="145" t="n">
        <v>2</v>
      </c>
      <c r="B4568" s="204">
        <f>EDATE($B4567,1)</f>
        <v/>
      </c>
      <c r="C4568" s="205">
        <f>EOMONTH($B4568,0)</f>
        <v/>
      </c>
      <c r="D4568" s="201">
        <f>$C4568-$B4568+1</f>
        <v/>
      </c>
      <c r="E4568" s="201">
        <f>MONTH($B4568)</f>
        <v/>
      </c>
      <c r="F4568" s="235">
        <f>($B4568+$C4568+1)/2</f>
        <v/>
      </c>
      <c r="G4568" s="201">
        <f>YEAR($B4568)*12+MONTH($B4568)-1</f>
        <v/>
      </c>
      <c r="H4568" s="207">
        <f>IF(OR(nr_SeasonOn="OFF",re_srow=0,re_ssum=0),1,12*INDEX(se_block,re_srow,$E4568)/re_ssum)</f>
        <v/>
      </c>
      <c r="I4568" s="208">
        <f>EXP(SUMPRODUCT(($D$4268:$D$4507&lt;$B4568)*(rl_key=nr_SelKey)*$C$4268:$C$4507))</f>
        <v/>
      </c>
      <c r="J4568" s="208">
        <f>EXP(SUMPRODUCT(($D$4268:$D$4507&lt;=$C4568)*(rl_key=nr_SelKey)*$C$4268:$C$4507))</f>
        <v/>
      </c>
      <c r="K4568" s="201">
        <f>COUNTIFS(rl_key,nr_SelKey,$D$4268:$D$4507,"&gt;="&amp;$B4568,$D$4268:$D$4507,"&lt;="&amp;$C4568)</f>
        <v/>
      </c>
      <c r="L4568" s="201">
        <f>SUMIFS($F$4268:$F$4507,rl_key,nr_SelKey,$E$4268:$E$4507,$B4568,$I$4268:$I$4507,1)</f>
        <v/>
      </c>
      <c r="M4568" s="209">
        <f>IF($K4568=0,0,MIN(1,$L4568/$D4568))</f>
        <v/>
      </c>
      <c r="N4568" s="208">
        <f>IF($K4568=0,$J4568,(1-$M4568)*$I4568+$M4568*$J4568)</f>
        <v/>
      </c>
      <c r="P4568" s="208">
        <f>MIN(1,MAX(0,(nr_MEndPm1-$G4568+0.5)/nr_TermMonths))-MIN(1,MAX(0,(nr_MStartPm1-1-$G4568+0.5)/nr_TermMonths))</f>
        <v/>
      </c>
      <c r="Q4568" s="208">
        <f>MIN(1,MAX(0,(nr_MEndP-$G4568+0.5)/nr_TermMonths))-MIN(1,MAX(0,(nr_MStartP-1-$G4568+0.5)/nr_TermMonths))</f>
        <v/>
      </c>
      <c r="R4568" s="208">
        <f>MIN(1,MAX(0,(nr_MEndP1-$G4568+0.5)/nr_TermMonths))-MIN(1,MAX(0,(nr_MStartP1-1-$G4568+0.5)/nr_TermMonths))</f>
        <v/>
      </c>
    </row>
    <row r="4569">
      <c r="A4569" s="145" t="n">
        <v>3</v>
      </c>
      <c r="B4569" s="204">
        <f>EDATE($B4568,1)</f>
        <v/>
      </c>
      <c r="C4569" s="205">
        <f>EOMONTH($B4569,0)</f>
        <v/>
      </c>
      <c r="D4569" s="201">
        <f>$C4569-$B4569+1</f>
        <v/>
      </c>
      <c r="E4569" s="201">
        <f>MONTH($B4569)</f>
        <v/>
      </c>
      <c r="F4569" s="235">
        <f>($B4569+$C4569+1)/2</f>
        <v/>
      </c>
      <c r="G4569" s="201">
        <f>YEAR($B4569)*12+MONTH($B4569)-1</f>
        <v/>
      </c>
      <c r="H4569" s="207">
        <f>IF(OR(nr_SeasonOn="OFF",re_srow=0,re_ssum=0),1,12*INDEX(se_block,re_srow,$E4569)/re_ssum)</f>
        <v/>
      </c>
      <c r="I4569" s="208">
        <f>EXP(SUMPRODUCT(($D$4268:$D$4507&lt;$B4569)*(rl_key=nr_SelKey)*$C$4268:$C$4507))</f>
        <v/>
      </c>
      <c r="J4569" s="208">
        <f>EXP(SUMPRODUCT(($D$4268:$D$4507&lt;=$C4569)*(rl_key=nr_SelKey)*$C$4268:$C$4507))</f>
        <v/>
      </c>
      <c r="K4569" s="201">
        <f>COUNTIFS(rl_key,nr_SelKey,$D$4268:$D$4507,"&gt;="&amp;$B4569,$D$4268:$D$4507,"&lt;="&amp;$C4569)</f>
        <v/>
      </c>
      <c r="L4569" s="201">
        <f>SUMIFS($F$4268:$F$4507,rl_key,nr_SelKey,$E$4268:$E$4507,$B4569,$I$4268:$I$4507,1)</f>
        <v/>
      </c>
      <c r="M4569" s="209">
        <f>IF($K4569=0,0,MIN(1,$L4569/$D4569))</f>
        <v/>
      </c>
      <c r="N4569" s="208">
        <f>IF($K4569=0,$J4569,(1-$M4569)*$I4569+$M4569*$J4569)</f>
        <v/>
      </c>
      <c r="P4569" s="208">
        <f>MIN(1,MAX(0,(nr_MEndPm1-$G4569+0.5)/nr_TermMonths))-MIN(1,MAX(0,(nr_MStartPm1-1-$G4569+0.5)/nr_TermMonths))</f>
        <v/>
      </c>
      <c r="Q4569" s="208">
        <f>MIN(1,MAX(0,(nr_MEndP-$G4569+0.5)/nr_TermMonths))-MIN(1,MAX(0,(nr_MStartP-1-$G4569+0.5)/nr_TermMonths))</f>
        <v/>
      </c>
      <c r="R4569" s="208">
        <f>MIN(1,MAX(0,(nr_MEndP1-$G4569+0.5)/nr_TermMonths))-MIN(1,MAX(0,(nr_MStartP1-1-$G4569+0.5)/nr_TermMonths))</f>
        <v/>
      </c>
    </row>
    <row r="4570">
      <c r="A4570" s="145" t="n">
        <v>4</v>
      </c>
      <c r="B4570" s="204">
        <f>EDATE($B4569,1)</f>
        <v/>
      </c>
      <c r="C4570" s="205">
        <f>EOMONTH($B4570,0)</f>
        <v/>
      </c>
      <c r="D4570" s="201">
        <f>$C4570-$B4570+1</f>
        <v/>
      </c>
      <c r="E4570" s="201">
        <f>MONTH($B4570)</f>
        <v/>
      </c>
      <c r="F4570" s="235">
        <f>($B4570+$C4570+1)/2</f>
        <v/>
      </c>
      <c r="G4570" s="201">
        <f>YEAR($B4570)*12+MONTH($B4570)-1</f>
        <v/>
      </c>
      <c r="H4570" s="207">
        <f>IF(OR(nr_SeasonOn="OFF",re_srow=0,re_ssum=0),1,12*INDEX(se_block,re_srow,$E4570)/re_ssum)</f>
        <v/>
      </c>
      <c r="I4570" s="208">
        <f>EXP(SUMPRODUCT(($D$4268:$D$4507&lt;$B4570)*(rl_key=nr_SelKey)*$C$4268:$C$4507))</f>
        <v/>
      </c>
      <c r="J4570" s="208">
        <f>EXP(SUMPRODUCT(($D$4268:$D$4507&lt;=$C4570)*(rl_key=nr_SelKey)*$C$4268:$C$4507))</f>
        <v/>
      </c>
      <c r="K4570" s="201">
        <f>COUNTIFS(rl_key,nr_SelKey,$D$4268:$D$4507,"&gt;="&amp;$B4570,$D$4268:$D$4507,"&lt;="&amp;$C4570)</f>
        <v/>
      </c>
      <c r="L4570" s="201">
        <f>SUMIFS($F$4268:$F$4507,rl_key,nr_SelKey,$E$4268:$E$4507,$B4570,$I$4268:$I$4507,1)</f>
        <v/>
      </c>
      <c r="M4570" s="209">
        <f>IF($K4570=0,0,MIN(1,$L4570/$D4570))</f>
        <v/>
      </c>
      <c r="N4570" s="208">
        <f>IF($K4570=0,$J4570,(1-$M4570)*$I4570+$M4570*$J4570)</f>
        <v/>
      </c>
      <c r="P4570" s="208">
        <f>MIN(1,MAX(0,(nr_MEndPm1-$G4570+0.5)/nr_TermMonths))-MIN(1,MAX(0,(nr_MStartPm1-1-$G4570+0.5)/nr_TermMonths))</f>
        <v/>
      </c>
      <c r="Q4570" s="208">
        <f>MIN(1,MAX(0,(nr_MEndP-$G4570+0.5)/nr_TermMonths))-MIN(1,MAX(0,(nr_MStartP-1-$G4570+0.5)/nr_TermMonths))</f>
        <v/>
      </c>
      <c r="R4570" s="208">
        <f>MIN(1,MAX(0,(nr_MEndP1-$G4570+0.5)/nr_TermMonths))-MIN(1,MAX(0,(nr_MStartP1-1-$G4570+0.5)/nr_TermMonths))</f>
        <v/>
      </c>
    </row>
    <row r="4571">
      <c r="A4571" s="145" t="n">
        <v>5</v>
      </c>
      <c r="B4571" s="204">
        <f>EDATE($B4570,1)</f>
        <v/>
      </c>
      <c r="C4571" s="205">
        <f>EOMONTH($B4571,0)</f>
        <v/>
      </c>
      <c r="D4571" s="201">
        <f>$C4571-$B4571+1</f>
        <v/>
      </c>
      <c r="E4571" s="201">
        <f>MONTH($B4571)</f>
        <v/>
      </c>
      <c r="F4571" s="235">
        <f>($B4571+$C4571+1)/2</f>
        <v/>
      </c>
      <c r="G4571" s="201">
        <f>YEAR($B4571)*12+MONTH($B4571)-1</f>
        <v/>
      </c>
      <c r="H4571" s="207">
        <f>IF(OR(nr_SeasonOn="OFF",re_srow=0,re_ssum=0),1,12*INDEX(se_block,re_srow,$E4571)/re_ssum)</f>
        <v/>
      </c>
      <c r="I4571" s="208">
        <f>EXP(SUMPRODUCT(($D$4268:$D$4507&lt;$B4571)*(rl_key=nr_SelKey)*$C$4268:$C$4507))</f>
        <v/>
      </c>
      <c r="J4571" s="208">
        <f>EXP(SUMPRODUCT(($D$4268:$D$4507&lt;=$C4571)*(rl_key=nr_SelKey)*$C$4268:$C$4507))</f>
        <v/>
      </c>
      <c r="K4571" s="201">
        <f>COUNTIFS(rl_key,nr_SelKey,$D$4268:$D$4507,"&gt;="&amp;$B4571,$D$4268:$D$4507,"&lt;="&amp;$C4571)</f>
        <v/>
      </c>
      <c r="L4571" s="201">
        <f>SUMIFS($F$4268:$F$4507,rl_key,nr_SelKey,$E$4268:$E$4507,$B4571,$I$4268:$I$4507,1)</f>
        <v/>
      </c>
      <c r="M4571" s="209">
        <f>IF($K4571=0,0,MIN(1,$L4571/$D4571))</f>
        <v/>
      </c>
      <c r="N4571" s="208">
        <f>IF($K4571=0,$J4571,(1-$M4571)*$I4571+$M4571*$J4571)</f>
        <v/>
      </c>
      <c r="P4571" s="208">
        <f>MIN(1,MAX(0,(nr_MEndPm1-$G4571+0.5)/nr_TermMonths))-MIN(1,MAX(0,(nr_MStartPm1-1-$G4571+0.5)/nr_TermMonths))</f>
        <v/>
      </c>
      <c r="Q4571" s="208">
        <f>MIN(1,MAX(0,(nr_MEndP-$G4571+0.5)/nr_TermMonths))-MIN(1,MAX(0,(nr_MStartP-1-$G4571+0.5)/nr_TermMonths))</f>
        <v/>
      </c>
      <c r="R4571" s="208">
        <f>MIN(1,MAX(0,(nr_MEndP1-$G4571+0.5)/nr_TermMonths))-MIN(1,MAX(0,(nr_MStartP1-1-$G4571+0.5)/nr_TermMonths))</f>
        <v/>
      </c>
    </row>
    <row r="4572">
      <c r="A4572" s="145" t="n">
        <v>6</v>
      </c>
      <c r="B4572" s="204">
        <f>EDATE($B4571,1)</f>
        <v/>
      </c>
      <c r="C4572" s="205">
        <f>EOMONTH($B4572,0)</f>
        <v/>
      </c>
      <c r="D4572" s="201">
        <f>$C4572-$B4572+1</f>
        <v/>
      </c>
      <c r="E4572" s="201">
        <f>MONTH($B4572)</f>
        <v/>
      </c>
      <c r="F4572" s="235">
        <f>($B4572+$C4572+1)/2</f>
        <v/>
      </c>
      <c r="G4572" s="201">
        <f>YEAR($B4572)*12+MONTH($B4572)-1</f>
        <v/>
      </c>
      <c r="H4572" s="207">
        <f>IF(OR(nr_SeasonOn="OFF",re_srow=0,re_ssum=0),1,12*INDEX(se_block,re_srow,$E4572)/re_ssum)</f>
        <v/>
      </c>
      <c r="I4572" s="208">
        <f>EXP(SUMPRODUCT(($D$4268:$D$4507&lt;$B4572)*(rl_key=nr_SelKey)*$C$4268:$C$4507))</f>
        <v/>
      </c>
      <c r="J4572" s="208">
        <f>EXP(SUMPRODUCT(($D$4268:$D$4507&lt;=$C4572)*(rl_key=nr_SelKey)*$C$4268:$C$4507))</f>
        <v/>
      </c>
      <c r="K4572" s="201">
        <f>COUNTIFS(rl_key,nr_SelKey,$D$4268:$D$4507,"&gt;="&amp;$B4572,$D$4268:$D$4507,"&lt;="&amp;$C4572)</f>
        <v/>
      </c>
      <c r="L4572" s="201">
        <f>SUMIFS($F$4268:$F$4507,rl_key,nr_SelKey,$E$4268:$E$4507,$B4572,$I$4268:$I$4507,1)</f>
        <v/>
      </c>
      <c r="M4572" s="209">
        <f>IF($K4572=0,0,MIN(1,$L4572/$D4572))</f>
        <v/>
      </c>
      <c r="N4572" s="208">
        <f>IF($K4572=0,$J4572,(1-$M4572)*$I4572+$M4572*$J4572)</f>
        <v/>
      </c>
      <c r="P4572" s="208">
        <f>MIN(1,MAX(0,(nr_MEndPm1-$G4572+0.5)/nr_TermMonths))-MIN(1,MAX(0,(nr_MStartPm1-1-$G4572+0.5)/nr_TermMonths))</f>
        <v/>
      </c>
      <c r="Q4572" s="208">
        <f>MIN(1,MAX(0,(nr_MEndP-$G4572+0.5)/nr_TermMonths))-MIN(1,MAX(0,(nr_MStartP-1-$G4572+0.5)/nr_TermMonths))</f>
        <v/>
      </c>
      <c r="R4572" s="208">
        <f>MIN(1,MAX(0,(nr_MEndP1-$G4572+0.5)/nr_TermMonths))-MIN(1,MAX(0,(nr_MStartP1-1-$G4572+0.5)/nr_TermMonths))</f>
        <v/>
      </c>
    </row>
    <row r="4573">
      <c r="A4573" s="145" t="n">
        <v>7</v>
      </c>
      <c r="B4573" s="204">
        <f>EDATE($B4572,1)</f>
        <v/>
      </c>
      <c r="C4573" s="205">
        <f>EOMONTH($B4573,0)</f>
        <v/>
      </c>
      <c r="D4573" s="201">
        <f>$C4573-$B4573+1</f>
        <v/>
      </c>
      <c r="E4573" s="201">
        <f>MONTH($B4573)</f>
        <v/>
      </c>
      <c r="F4573" s="235">
        <f>($B4573+$C4573+1)/2</f>
        <v/>
      </c>
      <c r="G4573" s="201">
        <f>YEAR($B4573)*12+MONTH($B4573)-1</f>
        <v/>
      </c>
      <c r="H4573" s="207">
        <f>IF(OR(nr_SeasonOn="OFF",re_srow=0,re_ssum=0),1,12*INDEX(se_block,re_srow,$E4573)/re_ssum)</f>
        <v/>
      </c>
      <c r="I4573" s="208">
        <f>EXP(SUMPRODUCT(($D$4268:$D$4507&lt;$B4573)*(rl_key=nr_SelKey)*$C$4268:$C$4507))</f>
        <v/>
      </c>
      <c r="J4573" s="208">
        <f>EXP(SUMPRODUCT(($D$4268:$D$4507&lt;=$C4573)*(rl_key=nr_SelKey)*$C$4268:$C$4507))</f>
        <v/>
      </c>
      <c r="K4573" s="201">
        <f>COUNTIFS(rl_key,nr_SelKey,$D$4268:$D$4507,"&gt;="&amp;$B4573,$D$4268:$D$4507,"&lt;="&amp;$C4573)</f>
        <v/>
      </c>
      <c r="L4573" s="201">
        <f>SUMIFS($F$4268:$F$4507,rl_key,nr_SelKey,$E$4268:$E$4507,$B4573,$I$4268:$I$4507,1)</f>
        <v/>
      </c>
      <c r="M4573" s="209">
        <f>IF($K4573=0,0,MIN(1,$L4573/$D4573))</f>
        <v/>
      </c>
      <c r="N4573" s="208">
        <f>IF($K4573=0,$J4573,(1-$M4573)*$I4573+$M4573*$J4573)</f>
        <v/>
      </c>
      <c r="P4573" s="208">
        <f>MIN(1,MAX(0,(nr_MEndPm1-$G4573+0.5)/nr_TermMonths))-MIN(1,MAX(0,(nr_MStartPm1-1-$G4573+0.5)/nr_TermMonths))</f>
        <v/>
      </c>
      <c r="Q4573" s="208">
        <f>MIN(1,MAX(0,(nr_MEndP-$G4573+0.5)/nr_TermMonths))-MIN(1,MAX(0,(nr_MStartP-1-$G4573+0.5)/nr_TermMonths))</f>
        <v/>
      </c>
      <c r="R4573" s="208">
        <f>MIN(1,MAX(0,(nr_MEndP1-$G4573+0.5)/nr_TermMonths))-MIN(1,MAX(0,(nr_MStartP1-1-$G4573+0.5)/nr_TermMonths))</f>
        <v/>
      </c>
    </row>
    <row r="4574">
      <c r="A4574" s="145" t="n">
        <v>8</v>
      </c>
      <c r="B4574" s="204">
        <f>EDATE($B4573,1)</f>
        <v/>
      </c>
      <c r="C4574" s="205">
        <f>EOMONTH($B4574,0)</f>
        <v/>
      </c>
      <c r="D4574" s="201">
        <f>$C4574-$B4574+1</f>
        <v/>
      </c>
      <c r="E4574" s="201">
        <f>MONTH($B4574)</f>
        <v/>
      </c>
      <c r="F4574" s="235">
        <f>($B4574+$C4574+1)/2</f>
        <v/>
      </c>
      <c r="G4574" s="201">
        <f>YEAR($B4574)*12+MONTH($B4574)-1</f>
        <v/>
      </c>
      <c r="H4574" s="207">
        <f>IF(OR(nr_SeasonOn="OFF",re_srow=0,re_ssum=0),1,12*INDEX(se_block,re_srow,$E4574)/re_ssum)</f>
        <v/>
      </c>
      <c r="I4574" s="208">
        <f>EXP(SUMPRODUCT(($D$4268:$D$4507&lt;$B4574)*(rl_key=nr_SelKey)*$C$4268:$C$4507))</f>
        <v/>
      </c>
      <c r="J4574" s="208">
        <f>EXP(SUMPRODUCT(($D$4268:$D$4507&lt;=$C4574)*(rl_key=nr_SelKey)*$C$4268:$C$4507))</f>
        <v/>
      </c>
      <c r="K4574" s="201">
        <f>COUNTIFS(rl_key,nr_SelKey,$D$4268:$D$4507,"&gt;="&amp;$B4574,$D$4268:$D$4507,"&lt;="&amp;$C4574)</f>
        <v/>
      </c>
      <c r="L4574" s="201">
        <f>SUMIFS($F$4268:$F$4507,rl_key,nr_SelKey,$E$4268:$E$4507,$B4574,$I$4268:$I$4507,1)</f>
        <v/>
      </c>
      <c r="M4574" s="209">
        <f>IF($K4574=0,0,MIN(1,$L4574/$D4574))</f>
        <v/>
      </c>
      <c r="N4574" s="208">
        <f>IF($K4574=0,$J4574,(1-$M4574)*$I4574+$M4574*$J4574)</f>
        <v/>
      </c>
      <c r="P4574" s="208">
        <f>MIN(1,MAX(0,(nr_MEndPm1-$G4574+0.5)/nr_TermMonths))-MIN(1,MAX(0,(nr_MStartPm1-1-$G4574+0.5)/nr_TermMonths))</f>
        <v/>
      </c>
      <c r="Q4574" s="208">
        <f>MIN(1,MAX(0,(nr_MEndP-$G4574+0.5)/nr_TermMonths))-MIN(1,MAX(0,(nr_MStartP-1-$G4574+0.5)/nr_TermMonths))</f>
        <v/>
      </c>
      <c r="R4574" s="208">
        <f>MIN(1,MAX(0,(nr_MEndP1-$G4574+0.5)/nr_TermMonths))-MIN(1,MAX(0,(nr_MStartP1-1-$G4574+0.5)/nr_TermMonths))</f>
        <v/>
      </c>
    </row>
    <row r="4575">
      <c r="A4575" s="145" t="n">
        <v>9</v>
      </c>
      <c r="B4575" s="204">
        <f>EDATE($B4574,1)</f>
        <v/>
      </c>
      <c r="C4575" s="205">
        <f>EOMONTH($B4575,0)</f>
        <v/>
      </c>
      <c r="D4575" s="201">
        <f>$C4575-$B4575+1</f>
        <v/>
      </c>
      <c r="E4575" s="201">
        <f>MONTH($B4575)</f>
        <v/>
      </c>
      <c r="F4575" s="235">
        <f>($B4575+$C4575+1)/2</f>
        <v/>
      </c>
      <c r="G4575" s="201">
        <f>YEAR($B4575)*12+MONTH($B4575)-1</f>
        <v/>
      </c>
      <c r="H4575" s="207">
        <f>IF(OR(nr_SeasonOn="OFF",re_srow=0,re_ssum=0),1,12*INDEX(se_block,re_srow,$E4575)/re_ssum)</f>
        <v/>
      </c>
      <c r="I4575" s="208">
        <f>EXP(SUMPRODUCT(($D$4268:$D$4507&lt;$B4575)*(rl_key=nr_SelKey)*$C$4268:$C$4507))</f>
        <v/>
      </c>
      <c r="J4575" s="208">
        <f>EXP(SUMPRODUCT(($D$4268:$D$4507&lt;=$C4575)*(rl_key=nr_SelKey)*$C$4268:$C$4507))</f>
        <v/>
      </c>
      <c r="K4575" s="201">
        <f>COUNTIFS(rl_key,nr_SelKey,$D$4268:$D$4507,"&gt;="&amp;$B4575,$D$4268:$D$4507,"&lt;="&amp;$C4575)</f>
        <v/>
      </c>
      <c r="L4575" s="201">
        <f>SUMIFS($F$4268:$F$4507,rl_key,nr_SelKey,$E$4268:$E$4507,$B4575,$I$4268:$I$4507,1)</f>
        <v/>
      </c>
      <c r="M4575" s="209">
        <f>IF($K4575=0,0,MIN(1,$L4575/$D4575))</f>
        <v/>
      </c>
      <c r="N4575" s="208">
        <f>IF($K4575=0,$J4575,(1-$M4575)*$I4575+$M4575*$J4575)</f>
        <v/>
      </c>
      <c r="P4575" s="208">
        <f>MIN(1,MAX(0,(nr_MEndPm1-$G4575+0.5)/nr_TermMonths))-MIN(1,MAX(0,(nr_MStartPm1-1-$G4575+0.5)/nr_TermMonths))</f>
        <v/>
      </c>
      <c r="Q4575" s="208">
        <f>MIN(1,MAX(0,(nr_MEndP-$G4575+0.5)/nr_TermMonths))-MIN(1,MAX(0,(nr_MStartP-1-$G4575+0.5)/nr_TermMonths))</f>
        <v/>
      </c>
      <c r="R4575" s="208">
        <f>MIN(1,MAX(0,(nr_MEndP1-$G4575+0.5)/nr_TermMonths))-MIN(1,MAX(0,(nr_MStartP1-1-$G4575+0.5)/nr_TermMonths))</f>
        <v/>
      </c>
    </row>
    <row r="4576">
      <c r="A4576" s="145" t="n">
        <v>10</v>
      </c>
      <c r="B4576" s="204">
        <f>EDATE($B4575,1)</f>
        <v/>
      </c>
      <c r="C4576" s="205">
        <f>EOMONTH($B4576,0)</f>
        <v/>
      </c>
      <c r="D4576" s="201">
        <f>$C4576-$B4576+1</f>
        <v/>
      </c>
      <c r="E4576" s="201">
        <f>MONTH($B4576)</f>
        <v/>
      </c>
      <c r="F4576" s="235">
        <f>($B4576+$C4576+1)/2</f>
        <v/>
      </c>
      <c r="G4576" s="201">
        <f>YEAR($B4576)*12+MONTH($B4576)-1</f>
        <v/>
      </c>
      <c r="H4576" s="207">
        <f>IF(OR(nr_SeasonOn="OFF",re_srow=0,re_ssum=0),1,12*INDEX(se_block,re_srow,$E4576)/re_ssum)</f>
        <v/>
      </c>
      <c r="I4576" s="208">
        <f>EXP(SUMPRODUCT(($D$4268:$D$4507&lt;$B4576)*(rl_key=nr_SelKey)*$C$4268:$C$4507))</f>
        <v/>
      </c>
      <c r="J4576" s="208">
        <f>EXP(SUMPRODUCT(($D$4268:$D$4507&lt;=$C4576)*(rl_key=nr_SelKey)*$C$4268:$C$4507))</f>
        <v/>
      </c>
      <c r="K4576" s="201">
        <f>COUNTIFS(rl_key,nr_SelKey,$D$4268:$D$4507,"&gt;="&amp;$B4576,$D$4268:$D$4507,"&lt;="&amp;$C4576)</f>
        <v/>
      </c>
      <c r="L4576" s="201">
        <f>SUMIFS($F$4268:$F$4507,rl_key,nr_SelKey,$E$4268:$E$4507,$B4576,$I$4268:$I$4507,1)</f>
        <v/>
      </c>
      <c r="M4576" s="209">
        <f>IF($K4576=0,0,MIN(1,$L4576/$D4576))</f>
        <v/>
      </c>
      <c r="N4576" s="208">
        <f>IF($K4576=0,$J4576,(1-$M4576)*$I4576+$M4576*$J4576)</f>
        <v/>
      </c>
      <c r="P4576" s="208">
        <f>MIN(1,MAX(0,(nr_MEndPm1-$G4576+0.5)/nr_TermMonths))-MIN(1,MAX(0,(nr_MStartPm1-1-$G4576+0.5)/nr_TermMonths))</f>
        <v/>
      </c>
      <c r="Q4576" s="208">
        <f>MIN(1,MAX(0,(nr_MEndP-$G4576+0.5)/nr_TermMonths))-MIN(1,MAX(0,(nr_MStartP-1-$G4576+0.5)/nr_TermMonths))</f>
        <v/>
      </c>
      <c r="R4576" s="208">
        <f>MIN(1,MAX(0,(nr_MEndP1-$G4576+0.5)/nr_TermMonths))-MIN(1,MAX(0,(nr_MStartP1-1-$G4576+0.5)/nr_TermMonths))</f>
        <v/>
      </c>
    </row>
    <row r="4577">
      <c r="A4577" s="145" t="n">
        <v>11</v>
      </c>
      <c r="B4577" s="204">
        <f>EDATE($B4576,1)</f>
        <v/>
      </c>
      <c r="C4577" s="205">
        <f>EOMONTH($B4577,0)</f>
        <v/>
      </c>
      <c r="D4577" s="201">
        <f>$C4577-$B4577+1</f>
        <v/>
      </c>
      <c r="E4577" s="201">
        <f>MONTH($B4577)</f>
        <v/>
      </c>
      <c r="F4577" s="235">
        <f>($B4577+$C4577+1)/2</f>
        <v/>
      </c>
      <c r="G4577" s="201">
        <f>YEAR($B4577)*12+MONTH($B4577)-1</f>
        <v/>
      </c>
      <c r="H4577" s="207">
        <f>IF(OR(nr_SeasonOn="OFF",re_srow=0,re_ssum=0),1,12*INDEX(se_block,re_srow,$E4577)/re_ssum)</f>
        <v/>
      </c>
      <c r="I4577" s="208">
        <f>EXP(SUMPRODUCT(($D$4268:$D$4507&lt;$B4577)*(rl_key=nr_SelKey)*$C$4268:$C$4507))</f>
        <v/>
      </c>
      <c r="J4577" s="208">
        <f>EXP(SUMPRODUCT(($D$4268:$D$4507&lt;=$C4577)*(rl_key=nr_SelKey)*$C$4268:$C$4507))</f>
        <v/>
      </c>
      <c r="K4577" s="201">
        <f>COUNTIFS(rl_key,nr_SelKey,$D$4268:$D$4507,"&gt;="&amp;$B4577,$D$4268:$D$4507,"&lt;="&amp;$C4577)</f>
        <v/>
      </c>
      <c r="L4577" s="201">
        <f>SUMIFS($F$4268:$F$4507,rl_key,nr_SelKey,$E$4268:$E$4507,$B4577,$I$4268:$I$4507,1)</f>
        <v/>
      </c>
      <c r="M4577" s="209">
        <f>IF($K4577=0,0,MIN(1,$L4577/$D4577))</f>
        <v/>
      </c>
      <c r="N4577" s="208">
        <f>IF($K4577=0,$J4577,(1-$M4577)*$I4577+$M4577*$J4577)</f>
        <v/>
      </c>
      <c r="P4577" s="208">
        <f>MIN(1,MAX(0,(nr_MEndPm1-$G4577+0.5)/nr_TermMonths))-MIN(1,MAX(0,(nr_MStartPm1-1-$G4577+0.5)/nr_TermMonths))</f>
        <v/>
      </c>
      <c r="Q4577" s="208">
        <f>MIN(1,MAX(0,(nr_MEndP-$G4577+0.5)/nr_TermMonths))-MIN(1,MAX(0,(nr_MStartP-1-$G4577+0.5)/nr_TermMonths))</f>
        <v/>
      </c>
      <c r="R4577" s="208">
        <f>MIN(1,MAX(0,(nr_MEndP1-$G4577+0.5)/nr_TermMonths))-MIN(1,MAX(0,(nr_MStartP1-1-$G4577+0.5)/nr_TermMonths))</f>
        <v/>
      </c>
    </row>
    <row r="4578">
      <c r="A4578" s="145" t="n">
        <v>12</v>
      </c>
      <c r="B4578" s="204">
        <f>EDATE($B4577,1)</f>
        <v/>
      </c>
      <c r="C4578" s="205">
        <f>EOMONTH($B4578,0)</f>
        <v/>
      </c>
      <c r="D4578" s="201">
        <f>$C4578-$B4578+1</f>
        <v/>
      </c>
      <c r="E4578" s="201">
        <f>MONTH($B4578)</f>
        <v/>
      </c>
      <c r="F4578" s="235">
        <f>($B4578+$C4578+1)/2</f>
        <v/>
      </c>
      <c r="G4578" s="201">
        <f>YEAR($B4578)*12+MONTH($B4578)-1</f>
        <v/>
      </c>
      <c r="H4578" s="207">
        <f>IF(OR(nr_SeasonOn="OFF",re_srow=0,re_ssum=0),1,12*INDEX(se_block,re_srow,$E4578)/re_ssum)</f>
        <v/>
      </c>
      <c r="I4578" s="208">
        <f>EXP(SUMPRODUCT(($D$4268:$D$4507&lt;$B4578)*(rl_key=nr_SelKey)*$C$4268:$C$4507))</f>
        <v/>
      </c>
      <c r="J4578" s="208">
        <f>EXP(SUMPRODUCT(($D$4268:$D$4507&lt;=$C4578)*(rl_key=nr_SelKey)*$C$4268:$C$4507))</f>
        <v/>
      </c>
      <c r="K4578" s="201">
        <f>COUNTIFS(rl_key,nr_SelKey,$D$4268:$D$4507,"&gt;="&amp;$B4578,$D$4268:$D$4507,"&lt;="&amp;$C4578)</f>
        <v/>
      </c>
      <c r="L4578" s="201">
        <f>SUMIFS($F$4268:$F$4507,rl_key,nr_SelKey,$E$4268:$E$4507,$B4578,$I$4268:$I$4507,1)</f>
        <v/>
      </c>
      <c r="M4578" s="209">
        <f>IF($K4578=0,0,MIN(1,$L4578/$D4578))</f>
        <v/>
      </c>
      <c r="N4578" s="208">
        <f>IF($K4578=0,$J4578,(1-$M4578)*$I4578+$M4578*$J4578)</f>
        <v/>
      </c>
      <c r="P4578" s="208">
        <f>MIN(1,MAX(0,(nr_MEndPm1-$G4578+0.5)/nr_TermMonths))-MIN(1,MAX(0,(nr_MStartPm1-1-$G4578+0.5)/nr_TermMonths))</f>
        <v/>
      </c>
      <c r="Q4578" s="208">
        <f>MIN(1,MAX(0,(nr_MEndP-$G4578+0.5)/nr_TermMonths))-MIN(1,MAX(0,(nr_MStartP-1-$G4578+0.5)/nr_TermMonths))</f>
        <v/>
      </c>
      <c r="R4578" s="208">
        <f>MIN(1,MAX(0,(nr_MEndP1-$G4578+0.5)/nr_TermMonths))-MIN(1,MAX(0,(nr_MStartP1-1-$G4578+0.5)/nr_TermMonths))</f>
        <v/>
      </c>
    </row>
    <row r="4579">
      <c r="A4579" s="145" t="n">
        <v>13</v>
      </c>
      <c r="B4579" s="204">
        <f>EDATE($B4578,1)</f>
        <v/>
      </c>
      <c r="C4579" s="205">
        <f>EOMONTH($B4579,0)</f>
        <v/>
      </c>
      <c r="D4579" s="201">
        <f>$C4579-$B4579+1</f>
        <v/>
      </c>
      <c r="E4579" s="201">
        <f>MONTH($B4579)</f>
        <v/>
      </c>
      <c r="F4579" s="235">
        <f>($B4579+$C4579+1)/2</f>
        <v/>
      </c>
      <c r="G4579" s="201">
        <f>YEAR($B4579)*12+MONTH($B4579)-1</f>
        <v/>
      </c>
      <c r="H4579" s="207">
        <f>IF(OR(nr_SeasonOn="OFF",re_srow=0,re_ssum=0),1,12*INDEX(se_block,re_srow,$E4579)/re_ssum)</f>
        <v/>
      </c>
      <c r="I4579" s="208">
        <f>EXP(SUMPRODUCT(($D$4268:$D$4507&lt;$B4579)*(rl_key=nr_SelKey)*$C$4268:$C$4507))</f>
        <v/>
      </c>
      <c r="J4579" s="208">
        <f>EXP(SUMPRODUCT(($D$4268:$D$4507&lt;=$C4579)*(rl_key=nr_SelKey)*$C$4268:$C$4507))</f>
        <v/>
      </c>
      <c r="K4579" s="201">
        <f>COUNTIFS(rl_key,nr_SelKey,$D$4268:$D$4507,"&gt;="&amp;$B4579,$D$4268:$D$4507,"&lt;="&amp;$C4579)</f>
        <v/>
      </c>
      <c r="L4579" s="201">
        <f>SUMIFS($F$4268:$F$4507,rl_key,nr_SelKey,$E$4268:$E$4507,$B4579,$I$4268:$I$4507,1)</f>
        <v/>
      </c>
      <c r="M4579" s="209">
        <f>IF($K4579=0,0,MIN(1,$L4579/$D4579))</f>
        <v/>
      </c>
      <c r="N4579" s="208">
        <f>IF($K4579=0,$J4579,(1-$M4579)*$I4579+$M4579*$J4579)</f>
        <v/>
      </c>
      <c r="P4579" s="208">
        <f>MIN(1,MAX(0,(nr_MEndPm1-$G4579+0.5)/nr_TermMonths))-MIN(1,MAX(0,(nr_MStartPm1-1-$G4579+0.5)/nr_TermMonths))</f>
        <v/>
      </c>
      <c r="Q4579" s="208">
        <f>MIN(1,MAX(0,(nr_MEndP-$G4579+0.5)/nr_TermMonths))-MIN(1,MAX(0,(nr_MStartP-1-$G4579+0.5)/nr_TermMonths))</f>
        <v/>
      </c>
      <c r="R4579" s="208">
        <f>MIN(1,MAX(0,(nr_MEndP1-$G4579+0.5)/nr_TermMonths))-MIN(1,MAX(0,(nr_MStartP1-1-$G4579+0.5)/nr_TermMonths))</f>
        <v/>
      </c>
    </row>
    <row r="4580">
      <c r="A4580" s="145" t="n">
        <v>14</v>
      </c>
      <c r="B4580" s="204">
        <f>EDATE($B4579,1)</f>
        <v/>
      </c>
      <c r="C4580" s="205">
        <f>EOMONTH($B4580,0)</f>
        <v/>
      </c>
      <c r="D4580" s="201">
        <f>$C4580-$B4580+1</f>
        <v/>
      </c>
      <c r="E4580" s="201">
        <f>MONTH($B4580)</f>
        <v/>
      </c>
      <c r="F4580" s="235">
        <f>($B4580+$C4580+1)/2</f>
        <v/>
      </c>
      <c r="G4580" s="201">
        <f>YEAR($B4580)*12+MONTH($B4580)-1</f>
        <v/>
      </c>
      <c r="H4580" s="207">
        <f>IF(OR(nr_SeasonOn="OFF",re_srow=0,re_ssum=0),1,12*INDEX(se_block,re_srow,$E4580)/re_ssum)</f>
        <v/>
      </c>
      <c r="I4580" s="208">
        <f>EXP(SUMPRODUCT(($D$4268:$D$4507&lt;$B4580)*(rl_key=nr_SelKey)*$C$4268:$C$4507))</f>
        <v/>
      </c>
      <c r="J4580" s="208">
        <f>EXP(SUMPRODUCT(($D$4268:$D$4507&lt;=$C4580)*(rl_key=nr_SelKey)*$C$4268:$C$4507))</f>
        <v/>
      </c>
      <c r="K4580" s="201">
        <f>COUNTIFS(rl_key,nr_SelKey,$D$4268:$D$4507,"&gt;="&amp;$B4580,$D$4268:$D$4507,"&lt;="&amp;$C4580)</f>
        <v/>
      </c>
      <c r="L4580" s="201">
        <f>SUMIFS($F$4268:$F$4507,rl_key,nr_SelKey,$E$4268:$E$4507,$B4580,$I$4268:$I$4507,1)</f>
        <v/>
      </c>
      <c r="M4580" s="209">
        <f>IF($K4580=0,0,MIN(1,$L4580/$D4580))</f>
        <v/>
      </c>
      <c r="N4580" s="208">
        <f>IF($K4580=0,$J4580,(1-$M4580)*$I4580+$M4580*$J4580)</f>
        <v/>
      </c>
      <c r="P4580" s="208">
        <f>MIN(1,MAX(0,(nr_MEndPm1-$G4580+0.5)/nr_TermMonths))-MIN(1,MAX(0,(nr_MStartPm1-1-$G4580+0.5)/nr_TermMonths))</f>
        <v/>
      </c>
      <c r="Q4580" s="208">
        <f>MIN(1,MAX(0,(nr_MEndP-$G4580+0.5)/nr_TermMonths))-MIN(1,MAX(0,(nr_MStartP-1-$G4580+0.5)/nr_TermMonths))</f>
        <v/>
      </c>
      <c r="R4580" s="208">
        <f>MIN(1,MAX(0,(nr_MEndP1-$G4580+0.5)/nr_TermMonths))-MIN(1,MAX(0,(nr_MStartP1-1-$G4580+0.5)/nr_TermMonths))</f>
        <v/>
      </c>
    </row>
    <row r="4581">
      <c r="A4581" s="145" t="n">
        <v>15</v>
      </c>
      <c r="B4581" s="204">
        <f>EDATE($B4580,1)</f>
        <v/>
      </c>
      <c r="C4581" s="205">
        <f>EOMONTH($B4581,0)</f>
        <v/>
      </c>
      <c r="D4581" s="201">
        <f>$C4581-$B4581+1</f>
        <v/>
      </c>
      <c r="E4581" s="201">
        <f>MONTH($B4581)</f>
        <v/>
      </c>
      <c r="F4581" s="235">
        <f>($B4581+$C4581+1)/2</f>
        <v/>
      </c>
      <c r="G4581" s="201">
        <f>YEAR($B4581)*12+MONTH($B4581)-1</f>
        <v/>
      </c>
      <c r="H4581" s="207">
        <f>IF(OR(nr_SeasonOn="OFF",re_srow=0,re_ssum=0),1,12*INDEX(se_block,re_srow,$E4581)/re_ssum)</f>
        <v/>
      </c>
      <c r="I4581" s="208">
        <f>EXP(SUMPRODUCT(($D$4268:$D$4507&lt;$B4581)*(rl_key=nr_SelKey)*$C$4268:$C$4507))</f>
        <v/>
      </c>
      <c r="J4581" s="208">
        <f>EXP(SUMPRODUCT(($D$4268:$D$4507&lt;=$C4581)*(rl_key=nr_SelKey)*$C$4268:$C$4507))</f>
        <v/>
      </c>
      <c r="K4581" s="201">
        <f>COUNTIFS(rl_key,nr_SelKey,$D$4268:$D$4507,"&gt;="&amp;$B4581,$D$4268:$D$4507,"&lt;="&amp;$C4581)</f>
        <v/>
      </c>
      <c r="L4581" s="201">
        <f>SUMIFS($F$4268:$F$4507,rl_key,nr_SelKey,$E$4268:$E$4507,$B4581,$I$4268:$I$4507,1)</f>
        <v/>
      </c>
      <c r="M4581" s="209">
        <f>IF($K4581=0,0,MIN(1,$L4581/$D4581))</f>
        <v/>
      </c>
      <c r="N4581" s="208">
        <f>IF($K4581=0,$J4581,(1-$M4581)*$I4581+$M4581*$J4581)</f>
        <v/>
      </c>
      <c r="P4581" s="208">
        <f>MIN(1,MAX(0,(nr_MEndPm1-$G4581+0.5)/nr_TermMonths))-MIN(1,MAX(0,(nr_MStartPm1-1-$G4581+0.5)/nr_TermMonths))</f>
        <v/>
      </c>
      <c r="Q4581" s="208">
        <f>MIN(1,MAX(0,(nr_MEndP-$G4581+0.5)/nr_TermMonths))-MIN(1,MAX(0,(nr_MStartP-1-$G4581+0.5)/nr_TermMonths))</f>
        <v/>
      </c>
      <c r="R4581" s="208">
        <f>MIN(1,MAX(0,(nr_MEndP1-$G4581+0.5)/nr_TermMonths))-MIN(1,MAX(0,(nr_MStartP1-1-$G4581+0.5)/nr_TermMonths))</f>
        <v/>
      </c>
    </row>
    <row r="4582">
      <c r="A4582" s="145" t="n">
        <v>16</v>
      </c>
      <c r="B4582" s="204">
        <f>EDATE($B4581,1)</f>
        <v/>
      </c>
      <c r="C4582" s="205">
        <f>EOMONTH($B4582,0)</f>
        <v/>
      </c>
      <c r="D4582" s="201">
        <f>$C4582-$B4582+1</f>
        <v/>
      </c>
      <c r="E4582" s="201">
        <f>MONTH($B4582)</f>
        <v/>
      </c>
      <c r="F4582" s="235">
        <f>($B4582+$C4582+1)/2</f>
        <v/>
      </c>
      <c r="G4582" s="201">
        <f>YEAR($B4582)*12+MONTH($B4582)-1</f>
        <v/>
      </c>
      <c r="H4582" s="207">
        <f>IF(OR(nr_SeasonOn="OFF",re_srow=0,re_ssum=0),1,12*INDEX(se_block,re_srow,$E4582)/re_ssum)</f>
        <v/>
      </c>
      <c r="I4582" s="208">
        <f>EXP(SUMPRODUCT(($D$4268:$D$4507&lt;$B4582)*(rl_key=nr_SelKey)*$C$4268:$C$4507))</f>
        <v/>
      </c>
      <c r="J4582" s="208">
        <f>EXP(SUMPRODUCT(($D$4268:$D$4507&lt;=$C4582)*(rl_key=nr_SelKey)*$C$4268:$C$4507))</f>
        <v/>
      </c>
      <c r="K4582" s="201">
        <f>COUNTIFS(rl_key,nr_SelKey,$D$4268:$D$4507,"&gt;="&amp;$B4582,$D$4268:$D$4507,"&lt;="&amp;$C4582)</f>
        <v/>
      </c>
      <c r="L4582" s="201">
        <f>SUMIFS($F$4268:$F$4507,rl_key,nr_SelKey,$E$4268:$E$4507,$B4582,$I$4268:$I$4507,1)</f>
        <v/>
      </c>
      <c r="M4582" s="209">
        <f>IF($K4582=0,0,MIN(1,$L4582/$D4582))</f>
        <v/>
      </c>
      <c r="N4582" s="208">
        <f>IF($K4582=0,$J4582,(1-$M4582)*$I4582+$M4582*$J4582)</f>
        <v/>
      </c>
      <c r="P4582" s="208">
        <f>MIN(1,MAX(0,(nr_MEndPm1-$G4582+0.5)/nr_TermMonths))-MIN(1,MAX(0,(nr_MStartPm1-1-$G4582+0.5)/nr_TermMonths))</f>
        <v/>
      </c>
      <c r="Q4582" s="208">
        <f>MIN(1,MAX(0,(nr_MEndP-$G4582+0.5)/nr_TermMonths))-MIN(1,MAX(0,(nr_MStartP-1-$G4582+0.5)/nr_TermMonths))</f>
        <v/>
      </c>
      <c r="R4582" s="208">
        <f>MIN(1,MAX(0,(nr_MEndP1-$G4582+0.5)/nr_TermMonths))-MIN(1,MAX(0,(nr_MStartP1-1-$G4582+0.5)/nr_TermMonths))</f>
        <v/>
      </c>
    </row>
    <row r="4583">
      <c r="A4583" s="145" t="n">
        <v>17</v>
      </c>
      <c r="B4583" s="204">
        <f>EDATE($B4582,1)</f>
        <v/>
      </c>
      <c r="C4583" s="205">
        <f>EOMONTH($B4583,0)</f>
        <v/>
      </c>
      <c r="D4583" s="201">
        <f>$C4583-$B4583+1</f>
        <v/>
      </c>
      <c r="E4583" s="201">
        <f>MONTH($B4583)</f>
        <v/>
      </c>
      <c r="F4583" s="235">
        <f>($B4583+$C4583+1)/2</f>
        <v/>
      </c>
      <c r="G4583" s="201">
        <f>YEAR($B4583)*12+MONTH($B4583)-1</f>
        <v/>
      </c>
      <c r="H4583" s="207">
        <f>IF(OR(nr_SeasonOn="OFF",re_srow=0,re_ssum=0),1,12*INDEX(se_block,re_srow,$E4583)/re_ssum)</f>
        <v/>
      </c>
      <c r="I4583" s="208">
        <f>EXP(SUMPRODUCT(($D$4268:$D$4507&lt;$B4583)*(rl_key=nr_SelKey)*$C$4268:$C$4507))</f>
        <v/>
      </c>
      <c r="J4583" s="208">
        <f>EXP(SUMPRODUCT(($D$4268:$D$4507&lt;=$C4583)*(rl_key=nr_SelKey)*$C$4268:$C$4507))</f>
        <v/>
      </c>
      <c r="K4583" s="201">
        <f>COUNTIFS(rl_key,nr_SelKey,$D$4268:$D$4507,"&gt;="&amp;$B4583,$D$4268:$D$4507,"&lt;="&amp;$C4583)</f>
        <v/>
      </c>
      <c r="L4583" s="201">
        <f>SUMIFS($F$4268:$F$4507,rl_key,nr_SelKey,$E$4268:$E$4507,$B4583,$I$4268:$I$4507,1)</f>
        <v/>
      </c>
      <c r="M4583" s="209">
        <f>IF($K4583=0,0,MIN(1,$L4583/$D4583))</f>
        <v/>
      </c>
      <c r="N4583" s="208">
        <f>IF($K4583=0,$J4583,(1-$M4583)*$I4583+$M4583*$J4583)</f>
        <v/>
      </c>
      <c r="P4583" s="208">
        <f>MIN(1,MAX(0,(nr_MEndPm1-$G4583+0.5)/nr_TermMonths))-MIN(1,MAX(0,(nr_MStartPm1-1-$G4583+0.5)/nr_TermMonths))</f>
        <v/>
      </c>
      <c r="Q4583" s="208">
        <f>MIN(1,MAX(0,(nr_MEndP-$G4583+0.5)/nr_TermMonths))-MIN(1,MAX(0,(nr_MStartP-1-$G4583+0.5)/nr_TermMonths))</f>
        <v/>
      </c>
      <c r="R4583" s="208">
        <f>MIN(1,MAX(0,(nr_MEndP1-$G4583+0.5)/nr_TermMonths))-MIN(1,MAX(0,(nr_MStartP1-1-$G4583+0.5)/nr_TermMonths))</f>
        <v/>
      </c>
    </row>
    <row r="4584">
      <c r="A4584" s="145" t="n">
        <v>18</v>
      </c>
      <c r="B4584" s="204">
        <f>EDATE($B4583,1)</f>
        <v/>
      </c>
      <c r="C4584" s="205">
        <f>EOMONTH($B4584,0)</f>
        <v/>
      </c>
      <c r="D4584" s="201">
        <f>$C4584-$B4584+1</f>
        <v/>
      </c>
      <c r="E4584" s="201">
        <f>MONTH($B4584)</f>
        <v/>
      </c>
      <c r="F4584" s="235">
        <f>($B4584+$C4584+1)/2</f>
        <v/>
      </c>
      <c r="G4584" s="201">
        <f>YEAR($B4584)*12+MONTH($B4584)-1</f>
        <v/>
      </c>
      <c r="H4584" s="207">
        <f>IF(OR(nr_SeasonOn="OFF",re_srow=0,re_ssum=0),1,12*INDEX(se_block,re_srow,$E4584)/re_ssum)</f>
        <v/>
      </c>
      <c r="I4584" s="208">
        <f>EXP(SUMPRODUCT(($D$4268:$D$4507&lt;$B4584)*(rl_key=nr_SelKey)*$C$4268:$C$4507))</f>
        <v/>
      </c>
      <c r="J4584" s="208">
        <f>EXP(SUMPRODUCT(($D$4268:$D$4507&lt;=$C4584)*(rl_key=nr_SelKey)*$C$4268:$C$4507))</f>
        <v/>
      </c>
      <c r="K4584" s="201">
        <f>COUNTIFS(rl_key,nr_SelKey,$D$4268:$D$4507,"&gt;="&amp;$B4584,$D$4268:$D$4507,"&lt;="&amp;$C4584)</f>
        <v/>
      </c>
      <c r="L4584" s="201">
        <f>SUMIFS($F$4268:$F$4507,rl_key,nr_SelKey,$E$4268:$E$4507,$B4584,$I$4268:$I$4507,1)</f>
        <v/>
      </c>
      <c r="M4584" s="209">
        <f>IF($K4584=0,0,MIN(1,$L4584/$D4584))</f>
        <v/>
      </c>
      <c r="N4584" s="208">
        <f>IF($K4584=0,$J4584,(1-$M4584)*$I4584+$M4584*$J4584)</f>
        <v/>
      </c>
      <c r="P4584" s="208">
        <f>MIN(1,MAX(0,(nr_MEndPm1-$G4584+0.5)/nr_TermMonths))-MIN(1,MAX(0,(nr_MStartPm1-1-$G4584+0.5)/nr_TermMonths))</f>
        <v/>
      </c>
      <c r="Q4584" s="208">
        <f>MIN(1,MAX(0,(nr_MEndP-$G4584+0.5)/nr_TermMonths))-MIN(1,MAX(0,(nr_MStartP-1-$G4584+0.5)/nr_TermMonths))</f>
        <v/>
      </c>
      <c r="R4584" s="208">
        <f>MIN(1,MAX(0,(nr_MEndP1-$G4584+0.5)/nr_TermMonths))-MIN(1,MAX(0,(nr_MStartP1-1-$G4584+0.5)/nr_TermMonths))</f>
        <v/>
      </c>
    </row>
    <row r="4585">
      <c r="A4585" s="145" t="n">
        <v>19</v>
      </c>
      <c r="B4585" s="204">
        <f>EDATE($B4584,1)</f>
        <v/>
      </c>
      <c r="C4585" s="205">
        <f>EOMONTH($B4585,0)</f>
        <v/>
      </c>
      <c r="D4585" s="201">
        <f>$C4585-$B4585+1</f>
        <v/>
      </c>
      <c r="E4585" s="201">
        <f>MONTH($B4585)</f>
        <v/>
      </c>
      <c r="F4585" s="235">
        <f>($B4585+$C4585+1)/2</f>
        <v/>
      </c>
      <c r="G4585" s="201">
        <f>YEAR($B4585)*12+MONTH($B4585)-1</f>
        <v/>
      </c>
      <c r="H4585" s="207">
        <f>IF(OR(nr_SeasonOn="OFF",re_srow=0,re_ssum=0),1,12*INDEX(se_block,re_srow,$E4585)/re_ssum)</f>
        <v/>
      </c>
      <c r="I4585" s="208">
        <f>EXP(SUMPRODUCT(($D$4268:$D$4507&lt;$B4585)*(rl_key=nr_SelKey)*$C$4268:$C$4507))</f>
        <v/>
      </c>
      <c r="J4585" s="208">
        <f>EXP(SUMPRODUCT(($D$4268:$D$4507&lt;=$C4585)*(rl_key=nr_SelKey)*$C$4268:$C$4507))</f>
        <v/>
      </c>
      <c r="K4585" s="201">
        <f>COUNTIFS(rl_key,nr_SelKey,$D$4268:$D$4507,"&gt;="&amp;$B4585,$D$4268:$D$4507,"&lt;="&amp;$C4585)</f>
        <v/>
      </c>
      <c r="L4585" s="201">
        <f>SUMIFS($F$4268:$F$4507,rl_key,nr_SelKey,$E$4268:$E$4507,$B4585,$I$4268:$I$4507,1)</f>
        <v/>
      </c>
      <c r="M4585" s="209">
        <f>IF($K4585=0,0,MIN(1,$L4585/$D4585))</f>
        <v/>
      </c>
      <c r="N4585" s="208">
        <f>IF($K4585=0,$J4585,(1-$M4585)*$I4585+$M4585*$J4585)</f>
        <v/>
      </c>
      <c r="P4585" s="208">
        <f>MIN(1,MAX(0,(nr_MEndPm1-$G4585+0.5)/nr_TermMonths))-MIN(1,MAX(0,(nr_MStartPm1-1-$G4585+0.5)/nr_TermMonths))</f>
        <v/>
      </c>
      <c r="Q4585" s="208">
        <f>MIN(1,MAX(0,(nr_MEndP-$G4585+0.5)/nr_TermMonths))-MIN(1,MAX(0,(nr_MStartP-1-$G4585+0.5)/nr_TermMonths))</f>
        <v/>
      </c>
      <c r="R4585" s="208">
        <f>MIN(1,MAX(0,(nr_MEndP1-$G4585+0.5)/nr_TermMonths))-MIN(1,MAX(0,(nr_MStartP1-1-$G4585+0.5)/nr_TermMonths))</f>
        <v/>
      </c>
    </row>
    <row r="4586">
      <c r="A4586" s="145" t="n">
        <v>20</v>
      </c>
      <c r="B4586" s="204">
        <f>EDATE($B4585,1)</f>
        <v/>
      </c>
      <c r="C4586" s="205">
        <f>EOMONTH($B4586,0)</f>
        <v/>
      </c>
      <c r="D4586" s="201">
        <f>$C4586-$B4586+1</f>
        <v/>
      </c>
      <c r="E4586" s="201">
        <f>MONTH($B4586)</f>
        <v/>
      </c>
      <c r="F4586" s="235">
        <f>($B4586+$C4586+1)/2</f>
        <v/>
      </c>
      <c r="G4586" s="201">
        <f>YEAR($B4586)*12+MONTH($B4586)-1</f>
        <v/>
      </c>
      <c r="H4586" s="207">
        <f>IF(OR(nr_SeasonOn="OFF",re_srow=0,re_ssum=0),1,12*INDEX(se_block,re_srow,$E4586)/re_ssum)</f>
        <v/>
      </c>
      <c r="I4586" s="208">
        <f>EXP(SUMPRODUCT(($D$4268:$D$4507&lt;$B4586)*(rl_key=nr_SelKey)*$C$4268:$C$4507))</f>
        <v/>
      </c>
      <c r="J4586" s="208">
        <f>EXP(SUMPRODUCT(($D$4268:$D$4507&lt;=$C4586)*(rl_key=nr_SelKey)*$C$4268:$C$4507))</f>
        <v/>
      </c>
      <c r="K4586" s="201">
        <f>COUNTIFS(rl_key,nr_SelKey,$D$4268:$D$4507,"&gt;="&amp;$B4586,$D$4268:$D$4507,"&lt;="&amp;$C4586)</f>
        <v/>
      </c>
      <c r="L4586" s="201">
        <f>SUMIFS($F$4268:$F$4507,rl_key,nr_SelKey,$E$4268:$E$4507,$B4586,$I$4268:$I$4507,1)</f>
        <v/>
      </c>
      <c r="M4586" s="209">
        <f>IF($K4586=0,0,MIN(1,$L4586/$D4586))</f>
        <v/>
      </c>
      <c r="N4586" s="208">
        <f>IF($K4586=0,$J4586,(1-$M4586)*$I4586+$M4586*$J4586)</f>
        <v/>
      </c>
      <c r="P4586" s="208">
        <f>MIN(1,MAX(0,(nr_MEndPm1-$G4586+0.5)/nr_TermMonths))-MIN(1,MAX(0,(nr_MStartPm1-1-$G4586+0.5)/nr_TermMonths))</f>
        <v/>
      </c>
      <c r="Q4586" s="208">
        <f>MIN(1,MAX(0,(nr_MEndP-$G4586+0.5)/nr_TermMonths))-MIN(1,MAX(0,(nr_MStartP-1-$G4586+0.5)/nr_TermMonths))</f>
        <v/>
      </c>
      <c r="R4586" s="208">
        <f>MIN(1,MAX(0,(nr_MEndP1-$G4586+0.5)/nr_TermMonths))-MIN(1,MAX(0,(nr_MStartP1-1-$G4586+0.5)/nr_TermMonths))</f>
        <v/>
      </c>
    </row>
    <row r="4587">
      <c r="A4587" s="145" t="n">
        <v>21</v>
      </c>
      <c r="B4587" s="204">
        <f>EDATE($B4586,1)</f>
        <v/>
      </c>
      <c r="C4587" s="205">
        <f>EOMONTH($B4587,0)</f>
        <v/>
      </c>
      <c r="D4587" s="201">
        <f>$C4587-$B4587+1</f>
        <v/>
      </c>
      <c r="E4587" s="201">
        <f>MONTH($B4587)</f>
        <v/>
      </c>
      <c r="F4587" s="235">
        <f>($B4587+$C4587+1)/2</f>
        <v/>
      </c>
      <c r="G4587" s="201">
        <f>YEAR($B4587)*12+MONTH($B4587)-1</f>
        <v/>
      </c>
      <c r="H4587" s="207">
        <f>IF(OR(nr_SeasonOn="OFF",re_srow=0,re_ssum=0),1,12*INDEX(se_block,re_srow,$E4587)/re_ssum)</f>
        <v/>
      </c>
      <c r="I4587" s="208">
        <f>EXP(SUMPRODUCT(($D$4268:$D$4507&lt;$B4587)*(rl_key=nr_SelKey)*$C$4268:$C$4507))</f>
        <v/>
      </c>
      <c r="J4587" s="208">
        <f>EXP(SUMPRODUCT(($D$4268:$D$4507&lt;=$C4587)*(rl_key=nr_SelKey)*$C$4268:$C$4507))</f>
        <v/>
      </c>
      <c r="K4587" s="201">
        <f>COUNTIFS(rl_key,nr_SelKey,$D$4268:$D$4507,"&gt;="&amp;$B4587,$D$4268:$D$4507,"&lt;="&amp;$C4587)</f>
        <v/>
      </c>
      <c r="L4587" s="201">
        <f>SUMIFS($F$4268:$F$4507,rl_key,nr_SelKey,$E$4268:$E$4507,$B4587,$I$4268:$I$4507,1)</f>
        <v/>
      </c>
      <c r="M4587" s="209">
        <f>IF($K4587=0,0,MIN(1,$L4587/$D4587))</f>
        <v/>
      </c>
      <c r="N4587" s="208">
        <f>IF($K4587=0,$J4587,(1-$M4587)*$I4587+$M4587*$J4587)</f>
        <v/>
      </c>
      <c r="P4587" s="208">
        <f>MIN(1,MAX(0,(nr_MEndPm1-$G4587+0.5)/nr_TermMonths))-MIN(1,MAX(0,(nr_MStartPm1-1-$G4587+0.5)/nr_TermMonths))</f>
        <v/>
      </c>
      <c r="Q4587" s="208">
        <f>MIN(1,MAX(0,(nr_MEndP-$G4587+0.5)/nr_TermMonths))-MIN(1,MAX(0,(nr_MStartP-1-$G4587+0.5)/nr_TermMonths))</f>
        <v/>
      </c>
      <c r="R4587" s="208">
        <f>MIN(1,MAX(0,(nr_MEndP1-$G4587+0.5)/nr_TermMonths))-MIN(1,MAX(0,(nr_MStartP1-1-$G4587+0.5)/nr_TermMonths))</f>
        <v/>
      </c>
    </row>
    <row r="4588">
      <c r="A4588" s="145" t="n">
        <v>22</v>
      </c>
      <c r="B4588" s="204">
        <f>EDATE($B4587,1)</f>
        <v/>
      </c>
      <c r="C4588" s="205">
        <f>EOMONTH($B4588,0)</f>
        <v/>
      </c>
      <c r="D4588" s="201">
        <f>$C4588-$B4588+1</f>
        <v/>
      </c>
      <c r="E4588" s="201">
        <f>MONTH($B4588)</f>
        <v/>
      </c>
      <c r="F4588" s="235">
        <f>($B4588+$C4588+1)/2</f>
        <v/>
      </c>
      <c r="G4588" s="201">
        <f>YEAR($B4588)*12+MONTH($B4588)-1</f>
        <v/>
      </c>
      <c r="H4588" s="207">
        <f>IF(OR(nr_SeasonOn="OFF",re_srow=0,re_ssum=0),1,12*INDEX(se_block,re_srow,$E4588)/re_ssum)</f>
        <v/>
      </c>
      <c r="I4588" s="208">
        <f>EXP(SUMPRODUCT(($D$4268:$D$4507&lt;$B4588)*(rl_key=nr_SelKey)*$C$4268:$C$4507))</f>
        <v/>
      </c>
      <c r="J4588" s="208">
        <f>EXP(SUMPRODUCT(($D$4268:$D$4507&lt;=$C4588)*(rl_key=nr_SelKey)*$C$4268:$C$4507))</f>
        <v/>
      </c>
      <c r="K4588" s="201">
        <f>COUNTIFS(rl_key,nr_SelKey,$D$4268:$D$4507,"&gt;="&amp;$B4588,$D$4268:$D$4507,"&lt;="&amp;$C4588)</f>
        <v/>
      </c>
      <c r="L4588" s="201">
        <f>SUMIFS($F$4268:$F$4507,rl_key,nr_SelKey,$E$4268:$E$4507,$B4588,$I$4268:$I$4507,1)</f>
        <v/>
      </c>
      <c r="M4588" s="209">
        <f>IF($K4588=0,0,MIN(1,$L4588/$D4588))</f>
        <v/>
      </c>
      <c r="N4588" s="208">
        <f>IF($K4588=0,$J4588,(1-$M4588)*$I4588+$M4588*$J4588)</f>
        <v/>
      </c>
      <c r="P4588" s="208">
        <f>MIN(1,MAX(0,(nr_MEndPm1-$G4588+0.5)/nr_TermMonths))-MIN(1,MAX(0,(nr_MStartPm1-1-$G4588+0.5)/nr_TermMonths))</f>
        <v/>
      </c>
      <c r="Q4588" s="208">
        <f>MIN(1,MAX(0,(nr_MEndP-$G4588+0.5)/nr_TermMonths))-MIN(1,MAX(0,(nr_MStartP-1-$G4588+0.5)/nr_TermMonths))</f>
        <v/>
      </c>
      <c r="R4588" s="208">
        <f>MIN(1,MAX(0,(nr_MEndP1-$G4588+0.5)/nr_TermMonths))-MIN(1,MAX(0,(nr_MStartP1-1-$G4588+0.5)/nr_TermMonths))</f>
        <v/>
      </c>
    </row>
    <row r="4589">
      <c r="A4589" s="145" t="n">
        <v>23</v>
      </c>
      <c r="B4589" s="204">
        <f>EDATE($B4588,1)</f>
        <v/>
      </c>
      <c r="C4589" s="205">
        <f>EOMONTH($B4589,0)</f>
        <v/>
      </c>
      <c r="D4589" s="201">
        <f>$C4589-$B4589+1</f>
        <v/>
      </c>
      <c r="E4589" s="201">
        <f>MONTH($B4589)</f>
        <v/>
      </c>
      <c r="F4589" s="235">
        <f>($B4589+$C4589+1)/2</f>
        <v/>
      </c>
      <c r="G4589" s="201">
        <f>YEAR($B4589)*12+MONTH($B4589)-1</f>
        <v/>
      </c>
      <c r="H4589" s="207">
        <f>IF(OR(nr_SeasonOn="OFF",re_srow=0,re_ssum=0),1,12*INDEX(se_block,re_srow,$E4589)/re_ssum)</f>
        <v/>
      </c>
      <c r="I4589" s="208">
        <f>EXP(SUMPRODUCT(($D$4268:$D$4507&lt;$B4589)*(rl_key=nr_SelKey)*$C$4268:$C$4507))</f>
        <v/>
      </c>
      <c r="J4589" s="208">
        <f>EXP(SUMPRODUCT(($D$4268:$D$4507&lt;=$C4589)*(rl_key=nr_SelKey)*$C$4268:$C$4507))</f>
        <v/>
      </c>
      <c r="K4589" s="201">
        <f>COUNTIFS(rl_key,nr_SelKey,$D$4268:$D$4507,"&gt;="&amp;$B4589,$D$4268:$D$4507,"&lt;="&amp;$C4589)</f>
        <v/>
      </c>
      <c r="L4589" s="201">
        <f>SUMIFS($F$4268:$F$4507,rl_key,nr_SelKey,$E$4268:$E$4507,$B4589,$I$4268:$I$4507,1)</f>
        <v/>
      </c>
      <c r="M4589" s="209">
        <f>IF($K4589=0,0,MIN(1,$L4589/$D4589))</f>
        <v/>
      </c>
      <c r="N4589" s="208">
        <f>IF($K4589=0,$J4589,(1-$M4589)*$I4589+$M4589*$J4589)</f>
        <v/>
      </c>
      <c r="P4589" s="208">
        <f>MIN(1,MAX(0,(nr_MEndPm1-$G4589+0.5)/nr_TermMonths))-MIN(1,MAX(0,(nr_MStartPm1-1-$G4589+0.5)/nr_TermMonths))</f>
        <v/>
      </c>
      <c r="Q4589" s="208">
        <f>MIN(1,MAX(0,(nr_MEndP-$G4589+0.5)/nr_TermMonths))-MIN(1,MAX(0,(nr_MStartP-1-$G4589+0.5)/nr_TermMonths))</f>
        <v/>
      </c>
      <c r="R4589" s="208">
        <f>MIN(1,MAX(0,(nr_MEndP1-$G4589+0.5)/nr_TermMonths))-MIN(1,MAX(0,(nr_MStartP1-1-$G4589+0.5)/nr_TermMonths))</f>
        <v/>
      </c>
    </row>
    <row r="4590">
      <c r="A4590" s="145" t="n">
        <v>24</v>
      </c>
      <c r="B4590" s="204">
        <f>EDATE($B4589,1)</f>
        <v/>
      </c>
      <c r="C4590" s="205">
        <f>EOMONTH($B4590,0)</f>
        <v/>
      </c>
      <c r="D4590" s="201">
        <f>$C4590-$B4590+1</f>
        <v/>
      </c>
      <c r="E4590" s="201">
        <f>MONTH($B4590)</f>
        <v/>
      </c>
      <c r="F4590" s="235">
        <f>($B4590+$C4590+1)/2</f>
        <v/>
      </c>
      <c r="G4590" s="201">
        <f>YEAR($B4590)*12+MONTH($B4590)-1</f>
        <v/>
      </c>
      <c r="H4590" s="207">
        <f>IF(OR(nr_SeasonOn="OFF",re_srow=0,re_ssum=0),1,12*INDEX(se_block,re_srow,$E4590)/re_ssum)</f>
        <v/>
      </c>
      <c r="I4590" s="208">
        <f>EXP(SUMPRODUCT(($D$4268:$D$4507&lt;$B4590)*(rl_key=nr_SelKey)*$C$4268:$C$4507))</f>
        <v/>
      </c>
      <c r="J4590" s="208">
        <f>EXP(SUMPRODUCT(($D$4268:$D$4507&lt;=$C4590)*(rl_key=nr_SelKey)*$C$4268:$C$4507))</f>
        <v/>
      </c>
      <c r="K4590" s="201">
        <f>COUNTIFS(rl_key,nr_SelKey,$D$4268:$D$4507,"&gt;="&amp;$B4590,$D$4268:$D$4507,"&lt;="&amp;$C4590)</f>
        <v/>
      </c>
      <c r="L4590" s="201">
        <f>SUMIFS($F$4268:$F$4507,rl_key,nr_SelKey,$E$4268:$E$4507,$B4590,$I$4268:$I$4507,1)</f>
        <v/>
      </c>
      <c r="M4590" s="209">
        <f>IF($K4590=0,0,MIN(1,$L4590/$D4590))</f>
        <v/>
      </c>
      <c r="N4590" s="208">
        <f>IF($K4590=0,$J4590,(1-$M4590)*$I4590+$M4590*$J4590)</f>
        <v/>
      </c>
      <c r="P4590" s="208">
        <f>MIN(1,MAX(0,(nr_MEndPm1-$G4590+0.5)/nr_TermMonths))-MIN(1,MAX(0,(nr_MStartPm1-1-$G4590+0.5)/nr_TermMonths))</f>
        <v/>
      </c>
      <c r="Q4590" s="208">
        <f>MIN(1,MAX(0,(nr_MEndP-$G4590+0.5)/nr_TermMonths))-MIN(1,MAX(0,(nr_MStartP-1-$G4590+0.5)/nr_TermMonths))</f>
        <v/>
      </c>
      <c r="R4590" s="208">
        <f>MIN(1,MAX(0,(nr_MEndP1-$G4590+0.5)/nr_TermMonths))-MIN(1,MAX(0,(nr_MStartP1-1-$G4590+0.5)/nr_TermMonths))</f>
        <v/>
      </c>
    </row>
    <row r="4591">
      <c r="A4591" s="145" t="n">
        <v>25</v>
      </c>
      <c r="B4591" s="204">
        <f>EDATE($B4590,1)</f>
        <v/>
      </c>
      <c r="C4591" s="205">
        <f>EOMONTH($B4591,0)</f>
        <v/>
      </c>
      <c r="D4591" s="201">
        <f>$C4591-$B4591+1</f>
        <v/>
      </c>
      <c r="E4591" s="201">
        <f>MONTH($B4591)</f>
        <v/>
      </c>
      <c r="F4591" s="235">
        <f>($B4591+$C4591+1)/2</f>
        <v/>
      </c>
      <c r="G4591" s="201">
        <f>YEAR($B4591)*12+MONTH($B4591)-1</f>
        <v/>
      </c>
      <c r="H4591" s="207">
        <f>IF(OR(nr_SeasonOn="OFF",re_srow=0,re_ssum=0),1,12*INDEX(se_block,re_srow,$E4591)/re_ssum)</f>
        <v/>
      </c>
      <c r="I4591" s="208">
        <f>EXP(SUMPRODUCT(($D$4268:$D$4507&lt;$B4591)*(rl_key=nr_SelKey)*$C$4268:$C$4507))</f>
        <v/>
      </c>
      <c r="J4591" s="208">
        <f>EXP(SUMPRODUCT(($D$4268:$D$4507&lt;=$C4591)*(rl_key=nr_SelKey)*$C$4268:$C$4507))</f>
        <v/>
      </c>
      <c r="K4591" s="201">
        <f>COUNTIFS(rl_key,nr_SelKey,$D$4268:$D$4507,"&gt;="&amp;$B4591,$D$4268:$D$4507,"&lt;="&amp;$C4591)</f>
        <v/>
      </c>
      <c r="L4591" s="201">
        <f>SUMIFS($F$4268:$F$4507,rl_key,nr_SelKey,$E$4268:$E$4507,$B4591,$I$4268:$I$4507,1)</f>
        <v/>
      </c>
      <c r="M4591" s="209">
        <f>IF($K4591=0,0,MIN(1,$L4591/$D4591))</f>
        <v/>
      </c>
      <c r="N4591" s="208">
        <f>IF($K4591=0,$J4591,(1-$M4591)*$I4591+$M4591*$J4591)</f>
        <v/>
      </c>
      <c r="P4591" s="208">
        <f>MIN(1,MAX(0,(nr_MEndPm1-$G4591+0.5)/nr_TermMonths))-MIN(1,MAX(0,(nr_MStartPm1-1-$G4591+0.5)/nr_TermMonths))</f>
        <v/>
      </c>
      <c r="Q4591" s="208">
        <f>MIN(1,MAX(0,(nr_MEndP-$G4591+0.5)/nr_TermMonths))-MIN(1,MAX(0,(nr_MStartP-1-$G4591+0.5)/nr_TermMonths))</f>
        <v/>
      </c>
      <c r="R4591" s="208">
        <f>MIN(1,MAX(0,(nr_MEndP1-$G4591+0.5)/nr_TermMonths))-MIN(1,MAX(0,(nr_MStartP1-1-$G4591+0.5)/nr_TermMonths))</f>
        <v/>
      </c>
    </row>
    <row r="4592">
      <c r="A4592" s="145" t="n">
        <v>26</v>
      </c>
      <c r="B4592" s="204">
        <f>EDATE($B4591,1)</f>
        <v/>
      </c>
      <c r="C4592" s="205">
        <f>EOMONTH($B4592,0)</f>
        <v/>
      </c>
      <c r="D4592" s="201">
        <f>$C4592-$B4592+1</f>
        <v/>
      </c>
      <c r="E4592" s="201">
        <f>MONTH($B4592)</f>
        <v/>
      </c>
      <c r="F4592" s="235">
        <f>($B4592+$C4592+1)/2</f>
        <v/>
      </c>
      <c r="G4592" s="201">
        <f>YEAR($B4592)*12+MONTH($B4592)-1</f>
        <v/>
      </c>
      <c r="H4592" s="207">
        <f>IF(OR(nr_SeasonOn="OFF",re_srow=0,re_ssum=0),1,12*INDEX(se_block,re_srow,$E4592)/re_ssum)</f>
        <v/>
      </c>
      <c r="I4592" s="208">
        <f>EXP(SUMPRODUCT(($D$4268:$D$4507&lt;$B4592)*(rl_key=nr_SelKey)*$C$4268:$C$4507))</f>
        <v/>
      </c>
      <c r="J4592" s="208">
        <f>EXP(SUMPRODUCT(($D$4268:$D$4507&lt;=$C4592)*(rl_key=nr_SelKey)*$C$4268:$C$4507))</f>
        <v/>
      </c>
      <c r="K4592" s="201">
        <f>COUNTIFS(rl_key,nr_SelKey,$D$4268:$D$4507,"&gt;="&amp;$B4592,$D$4268:$D$4507,"&lt;="&amp;$C4592)</f>
        <v/>
      </c>
      <c r="L4592" s="201">
        <f>SUMIFS($F$4268:$F$4507,rl_key,nr_SelKey,$E$4268:$E$4507,$B4592,$I$4268:$I$4507,1)</f>
        <v/>
      </c>
      <c r="M4592" s="209">
        <f>IF($K4592=0,0,MIN(1,$L4592/$D4592))</f>
        <v/>
      </c>
      <c r="N4592" s="208">
        <f>IF($K4592=0,$J4592,(1-$M4592)*$I4592+$M4592*$J4592)</f>
        <v/>
      </c>
      <c r="P4592" s="208">
        <f>MIN(1,MAX(0,(nr_MEndPm1-$G4592+0.5)/nr_TermMonths))-MIN(1,MAX(0,(nr_MStartPm1-1-$G4592+0.5)/nr_TermMonths))</f>
        <v/>
      </c>
      <c r="Q4592" s="208">
        <f>MIN(1,MAX(0,(nr_MEndP-$G4592+0.5)/nr_TermMonths))-MIN(1,MAX(0,(nr_MStartP-1-$G4592+0.5)/nr_TermMonths))</f>
        <v/>
      </c>
      <c r="R4592" s="208">
        <f>MIN(1,MAX(0,(nr_MEndP1-$G4592+0.5)/nr_TermMonths))-MIN(1,MAX(0,(nr_MStartP1-1-$G4592+0.5)/nr_TermMonths))</f>
        <v/>
      </c>
    </row>
    <row r="4593">
      <c r="A4593" s="145" t="n">
        <v>27</v>
      </c>
      <c r="B4593" s="204">
        <f>EDATE($B4592,1)</f>
        <v/>
      </c>
      <c r="C4593" s="205">
        <f>EOMONTH($B4593,0)</f>
        <v/>
      </c>
      <c r="D4593" s="201">
        <f>$C4593-$B4593+1</f>
        <v/>
      </c>
      <c r="E4593" s="201">
        <f>MONTH($B4593)</f>
        <v/>
      </c>
      <c r="F4593" s="235">
        <f>($B4593+$C4593+1)/2</f>
        <v/>
      </c>
      <c r="G4593" s="201">
        <f>YEAR($B4593)*12+MONTH($B4593)-1</f>
        <v/>
      </c>
      <c r="H4593" s="207">
        <f>IF(OR(nr_SeasonOn="OFF",re_srow=0,re_ssum=0),1,12*INDEX(se_block,re_srow,$E4593)/re_ssum)</f>
        <v/>
      </c>
      <c r="I4593" s="208">
        <f>EXP(SUMPRODUCT(($D$4268:$D$4507&lt;$B4593)*(rl_key=nr_SelKey)*$C$4268:$C$4507))</f>
        <v/>
      </c>
      <c r="J4593" s="208">
        <f>EXP(SUMPRODUCT(($D$4268:$D$4507&lt;=$C4593)*(rl_key=nr_SelKey)*$C$4268:$C$4507))</f>
        <v/>
      </c>
      <c r="K4593" s="201">
        <f>COUNTIFS(rl_key,nr_SelKey,$D$4268:$D$4507,"&gt;="&amp;$B4593,$D$4268:$D$4507,"&lt;="&amp;$C4593)</f>
        <v/>
      </c>
      <c r="L4593" s="201">
        <f>SUMIFS($F$4268:$F$4507,rl_key,nr_SelKey,$E$4268:$E$4507,$B4593,$I$4268:$I$4507,1)</f>
        <v/>
      </c>
      <c r="M4593" s="209">
        <f>IF($K4593=0,0,MIN(1,$L4593/$D4593))</f>
        <v/>
      </c>
      <c r="N4593" s="208">
        <f>IF($K4593=0,$J4593,(1-$M4593)*$I4593+$M4593*$J4593)</f>
        <v/>
      </c>
      <c r="P4593" s="208">
        <f>MIN(1,MAX(0,(nr_MEndPm1-$G4593+0.5)/nr_TermMonths))-MIN(1,MAX(0,(nr_MStartPm1-1-$G4593+0.5)/nr_TermMonths))</f>
        <v/>
      </c>
      <c r="Q4593" s="208">
        <f>MIN(1,MAX(0,(nr_MEndP-$G4593+0.5)/nr_TermMonths))-MIN(1,MAX(0,(nr_MStartP-1-$G4593+0.5)/nr_TermMonths))</f>
        <v/>
      </c>
      <c r="R4593" s="208">
        <f>MIN(1,MAX(0,(nr_MEndP1-$G4593+0.5)/nr_TermMonths))-MIN(1,MAX(0,(nr_MStartP1-1-$G4593+0.5)/nr_TermMonths))</f>
        <v/>
      </c>
    </row>
    <row r="4594">
      <c r="A4594" s="145" t="n">
        <v>28</v>
      </c>
      <c r="B4594" s="204">
        <f>EDATE($B4593,1)</f>
        <v/>
      </c>
      <c r="C4594" s="205">
        <f>EOMONTH($B4594,0)</f>
        <v/>
      </c>
      <c r="D4594" s="201">
        <f>$C4594-$B4594+1</f>
        <v/>
      </c>
      <c r="E4594" s="201">
        <f>MONTH($B4594)</f>
        <v/>
      </c>
      <c r="F4594" s="235">
        <f>($B4594+$C4594+1)/2</f>
        <v/>
      </c>
      <c r="G4594" s="201">
        <f>YEAR($B4594)*12+MONTH($B4594)-1</f>
        <v/>
      </c>
      <c r="H4594" s="207">
        <f>IF(OR(nr_SeasonOn="OFF",re_srow=0,re_ssum=0),1,12*INDEX(se_block,re_srow,$E4594)/re_ssum)</f>
        <v/>
      </c>
      <c r="I4594" s="208">
        <f>EXP(SUMPRODUCT(($D$4268:$D$4507&lt;$B4594)*(rl_key=nr_SelKey)*$C$4268:$C$4507))</f>
        <v/>
      </c>
      <c r="J4594" s="208">
        <f>EXP(SUMPRODUCT(($D$4268:$D$4507&lt;=$C4594)*(rl_key=nr_SelKey)*$C$4268:$C$4507))</f>
        <v/>
      </c>
      <c r="K4594" s="201">
        <f>COUNTIFS(rl_key,nr_SelKey,$D$4268:$D$4507,"&gt;="&amp;$B4594,$D$4268:$D$4507,"&lt;="&amp;$C4594)</f>
        <v/>
      </c>
      <c r="L4594" s="201">
        <f>SUMIFS($F$4268:$F$4507,rl_key,nr_SelKey,$E$4268:$E$4507,$B4594,$I$4268:$I$4507,1)</f>
        <v/>
      </c>
      <c r="M4594" s="209">
        <f>IF($K4594=0,0,MIN(1,$L4594/$D4594))</f>
        <v/>
      </c>
      <c r="N4594" s="208">
        <f>IF($K4594=0,$J4594,(1-$M4594)*$I4594+$M4594*$J4594)</f>
        <v/>
      </c>
      <c r="P4594" s="208">
        <f>MIN(1,MAX(0,(nr_MEndPm1-$G4594+0.5)/nr_TermMonths))-MIN(1,MAX(0,(nr_MStartPm1-1-$G4594+0.5)/nr_TermMonths))</f>
        <v/>
      </c>
      <c r="Q4594" s="208">
        <f>MIN(1,MAX(0,(nr_MEndP-$G4594+0.5)/nr_TermMonths))-MIN(1,MAX(0,(nr_MStartP-1-$G4594+0.5)/nr_TermMonths))</f>
        <v/>
      </c>
      <c r="R4594" s="208">
        <f>MIN(1,MAX(0,(nr_MEndP1-$G4594+0.5)/nr_TermMonths))-MIN(1,MAX(0,(nr_MStartP1-1-$G4594+0.5)/nr_TermMonths))</f>
        <v/>
      </c>
    </row>
    <row r="4595">
      <c r="A4595" s="145" t="n">
        <v>29</v>
      </c>
      <c r="B4595" s="204">
        <f>EDATE($B4594,1)</f>
        <v/>
      </c>
      <c r="C4595" s="205">
        <f>EOMONTH($B4595,0)</f>
        <v/>
      </c>
      <c r="D4595" s="201">
        <f>$C4595-$B4595+1</f>
        <v/>
      </c>
      <c r="E4595" s="201">
        <f>MONTH($B4595)</f>
        <v/>
      </c>
      <c r="F4595" s="235">
        <f>($B4595+$C4595+1)/2</f>
        <v/>
      </c>
      <c r="G4595" s="201">
        <f>YEAR($B4595)*12+MONTH($B4595)-1</f>
        <v/>
      </c>
      <c r="H4595" s="207">
        <f>IF(OR(nr_SeasonOn="OFF",re_srow=0,re_ssum=0),1,12*INDEX(se_block,re_srow,$E4595)/re_ssum)</f>
        <v/>
      </c>
      <c r="I4595" s="208">
        <f>EXP(SUMPRODUCT(($D$4268:$D$4507&lt;$B4595)*(rl_key=nr_SelKey)*$C$4268:$C$4507))</f>
        <v/>
      </c>
      <c r="J4595" s="208">
        <f>EXP(SUMPRODUCT(($D$4268:$D$4507&lt;=$C4595)*(rl_key=nr_SelKey)*$C$4268:$C$4507))</f>
        <v/>
      </c>
      <c r="K4595" s="201">
        <f>COUNTIFS(rl_key,nr_SelKey,$D$4268:$D$4507,"&gt;="&amp;$B4595,$D$4268:$D$4507,"&lt;="&amp;$C4595)</f>
        <v/>
      </c>
      <c r="L4595" s="201">
        <f>SUMIFS($F$4268:$F$4507,rl_key,nr_SelKey,$E$4268:$E$4507,$B4595,$I$4268:$I$4507,1)</f>
        <v/>
      </c>
      <c r="M4595" s="209">
        <f>IF($K4595=0,0,MIN(1,$L4595/$D4595))</f>
        <v/>
      </c>
      <c r="N4595" s="208">
        <f>IF($K4595=0,$J4595,(1-$M4595)*$I4595+$M4595*$J4595)</f>
        <v/>
      </c>
      <c r="P4595" s="208">
        <f>MIN(1,MAX(0,(nr_MEndPm1-$G4595+0.5)/nr_TermMonths))-MIN(1,MAX(0,(nr_MStartPm1-1-$G4595+0.5)/nr_TermMonths))</f>
        <v/>
      </c>
      <c r="Q4595" s="208">
        <f>MIN(1,MAX(0,(nr_MEndP-$G4595+0.5)/nr_TermMonths))-MIN(1,MAX(0,(nr_MStartP-1-$G4595+0.5)/nr_TermMonths))</f>
        <v/>
      </c>
      <c r="R4595" s="208">
        <f>MIN(1,MAX(0,(nr_MEndP1-$G4595+0.5)/nr_TermMonths))-MIN(1,MAX(0,(nr_MStartP1-1-$G4595+0.5)/nr_TermMonths))</f>
        <v/>
      </c>
    </row>
    <row r="4596">
      <c r="A4596" s="145" t="n">
        <v>30</v>
      </c>
      <c r="B4596" s="204">
        <f>EDATE($B4595,1)</f>
        <v/>
      </c>
      <c r="C4596" s="205">
        <f>EOMONTH($B4596,0)</f>
        <v/>
      </c>
      <c r="D4596" s="201">
        <f>$C4596-$B4596+1</f>
        <v/>
      </c>
      <c r="E4596" s="201">
        <f>MONTH($B4596)</f>
        <v/>
      </c>
      <c r="F4596" s="235">
        <f>($B4596+$C4596+1)/2</f>
        <v/>
      </c>
      <c r="G4596" s="201">
        <f>YEAR($B4596)*12+MONTH($B4596)-1</f>
        <v/>
      </c>
      <c r="H4596" s="207">
        <f>IF(OR(nr_SeasonOn="OFF",re_srow=0,re_ssum=0),1,12*INDEX(se_block,re_srow,$E4596)/re_ssum)</f>
        <v/>
      </c>
      <c r="I4596" s="208">
        <f>EXP(SUMPRODUCT(($D$4268:$D$4507&lt;$B4596)*(rl_key=nr_SelKey)*$C$4268:$C$4507))</f>
        <v/>
      </c>
      <c r="J4596" s="208">
        <f>EXP(SUMPRODUCT(($D$4268:$D$4507&lt;=$C4596)*(rl_key=nr_SelKey)*$C$4268:$C$4507))</f>
        <v/>
      </c>
      <c r="K4596" s="201">
        <f>COUNTIFS(rl_key,nr_SelKey,$D$4268:$D$4507,"&gt;="&amp;$B4596,$D$4268:$D$4507,"&lt;="&amp;$C4596)</f>
        <v/>
      </c>
      <c r="L4596" s="201">
        <f>SUMIFS($F$4268:$F$4507,rl_key,nr_SelKey,$E$4268:$E$4507,$B4596,$I$4268:$I$4507,1)</f>
        <v/>
      </c>
      <c r="M4596" s="209">
        <f>IF($K4596=0,0,MIN(1,$L4596/$D4596))</f>
        <v/>
      </c>
      <c r="N4596" s="208">
        <f>IF($K4596=0,$J4596,(1-$M4596)*$I4596+$M4596*$J4596)</f>
        <v/>
      </c>
      <c r="P4596" s="208">
        <f>MIN(1,MAX(0,(nr_MEndPm1-$G4596+0.5)/nr_TermMonths))-MIN(1,MAX(0,(nr_MStartPm1-1-$G4596+0.5)/nr_TermMonths))</f>
        <v/>
      </c>
      <c r="Q4596" s="208">
        <f>MIN(1,MAX(0,(nr_MEndP-$G4596+0.5)/nr_TermMonths))-MIN(1,MAX(0,(nr_MStartP-1-$G4596+0.5)/nr_TermMonths))</f>
        <v/>
      </c>
      <c r="R4596" s="208">
        <f>MIN(1,MAX(0,(nr_MEndP1-$G4596+0.5)/nr_TermMonths))-MIN(1,MAX(0,(nr_MStartP1-1-$G4596+0.5)/nr_TermMonths))</f>
        <v/>
      </c>
    </row>
    <row r="4597">
      <c r="A4597" s="145" t="n">
        <v>31</v>
      </c>
      <c r="B4597" s="204">
        <f>EDATE($B4596,1)</f>
        <v/>
      </c>
      <c r="C4597" s="205">
        <f>EOMONTH($B4597,0)</f>
        <v/>
      </c>
      <c r="D4597" s="201">
        <f>$C4597-$B4597+1</f>
        <v/>
      </c>
      <c r="E4597" s="201">
        <f>MONTH($B4597)</f>
        <v/>
      </c>
      <c r="F4597" s="235">
        <f>($B4597+$C4597+1)/2</f>
        <v/>
      </c>
      <c r="G4597" s="201">
        <f>YEAR($B4597)*12+MONTH($B4597)-1</f>
        <v/>
      </c>
      <c r="H4597" s="207">
        <f>IF(OR(nr_SeasonOn="OFF",re_srow=0,re_ssum=0),1,12*INDEX(se_block,re_srow,$E4597)/re_ssum)</f>
        <v/>
      </c>
      <c r="I4597" s="208">
        <f>EXP(SUMPRODUCT(($D$4268:$D$4507&lt;$B4597)*(rl_key=nr_SelKey)*$C$4268:$C$4507))</f>
        <v/>
      </c>
      <c r="J4597" s="208">
        <f>EXP(SUMPRODUCT(($D$4268:$D$4507&lt;=$C4597)*(rl_key=nr_SelKey)*$C$4268:$C$4507))</f>
        <v/>
      </c>
      <c r="K4597" s="201">
        <f>COUNTIFS(rl_key,nr_SelKey,$D$4268:$D$4507,"&gt;="&amp;$B4597,$D$4268:$D$4507,"&lt;="&amp;$C4597)</f>
        <v/>
      </c>
      <c r="L4597" s="201">
        <f>SUMIFS($F$4268:$F$4507,rl_key,nr_SelKey,$E$4268:$E$4507,$B4597,$I$4268:$I$4507,1)</f>
        <v/>
      </c>
      <c r="M4597" s="209">
        <f>IF($K4597=0,0,MIN(1,$L4597/$D4597))</f>
        <v/>
      </c>
      <c r="N4597" s="208">
        <f>IF($K4597=0,$J4597,(1-$M4597)*$I4597+$M4597*$J4597)</f>
        <v/>
      </c>
      <c r="P4597" s="208">
        <f>MIN(1,MAX(0,(nr_MEndPm1-$G4597+0.5)/nr_TermMonths))-MIN(1,MAX(0,(nr_MStartPm1-1-$G4597+0.5)/nr_TermMonths))</f>
        <v/>
      </c>
      <c r="Q4597" s="208">
        <f>MIN(1,MAX(0,(nr_MEndP-$G4597+0.5)/nr_TermMonths))-MIN(1,MAX(0,(nr_MStartP-1-$G4597+0.5)/nr_TermMonths))</f>
        <v/>
      </c>
      <c r="R4597" s="208">
        <f>MIN(1,MAX(0,(nr_MEndP1-$G4597+0.5)/nr_TermMonths))-MIN(1,MAX(0,(nr_MStartP1-1-$G4597+0.5)/nr_TermMonths))</f>
        <v/>
      </c>
    </row>
    <row r="4598">
      <c r="A4598" s="145" t="n">
        <v>32</v>
      </c>
      <c r="B4598" s="204">
        <f>EDATE($B4597,1)</f>
        <v/>
      </c>
      <c r="C4598" s="205">
        <f>EOMONTH($B4598,0)</f>
        <v/>
      </c>
      <c r="D4598" s="201">
        <f>$C4598-$B4598+1</f>
        <v/>
      </c>
      <c r="E4598" s="201">
        <f>MONTH($B4598)</f>
        <v/>
      </c>
      <c r="F4598" s="235">
        <f>($B4598+$C4598+1)/2</f>
        <v/>
      </c>
      <c r="G4598" s="201">
        <f>YEAR($B4598)*12+MONTH($B4598)-1</f>
        <v/>
      </c>
      <c r="H4598" s="207">
        <f>IF(OR(nr_SeasonOn="OFF",re_srow=0,re_ssum=0),1,12*INDEX(se_block,re_srow,$E4598)/re_ssum)</f>
        <v/>
      </c>
      <c r="I4598" s="208">
        <f>EXP(SUMPRODUCT(($D$4268:$D$4507&lt;$B4598)*(rl_key=nr_SelKey)*$C$4268:$C$4507))</f>
        <v/>
      </c>
      <c r="J4598" s="208">
        <f>EXP(SUMPRODUCT(($D$4268:$D$4507&lt;=$C4598)*(rl_key=nr_SelKey)*$C$4268:$C$4507))</f>
        <v/>
      </c>
      <c r="K4598" s="201">
        <f>COUNTIFS(rl_key,nr_SelKey,$D$4268:$D$4507,"&gt;="&amp;$B4598,$D$4268:$D$4507,"&lt;="&amp;$C4598)</f>
        <v/>
      </c>
      <c r="L4598" s="201">
        <f>SUMIFS($F$4268:$F$4507,rl_key,nr_SelKey,$E$4268:$E$4507,$B4598,$I$4268:$I$4507,1)</f>
        <v/>
      </c>
      <c r="M4598" s="209">
        <f>IF($K4598=0,0,MIN(1,$L4598/$D4598))</f>
        <v/>
      </c>
      <c r="N4598" s="208">
        <f>IF($K4598=0,$J4598,(1-$M4598)*$I4598+$M4598*$J4598)</f>
        <v/>
      </c>
      <c r="P4598" s="208">
        <f>MIN(1,MAX(0,(nr_MEndPm1-$G4598+0.5)/nr_TermMonths))-MIN(1,MAX(0,(nr_MStartPm1-1-$G4598+0.5)/nr_TermMonths))</f>
        <v/>
      </c>
      <c r="Q4598" s="208">
        <f>MIN(1,MAX(0,(nr_MEndP-$G4598+0.5)/nr_TermMonths))-MIN(1,MAX(0,(nr_MStartP-1-$G4598+0.5)/nr_TermMonths))</f>
        <v/>
      </c>
      <c r="R4598" s="208">
        <f>MIN(1,MAX(0,(nr_MEndP1-$G4598+0.5)/nr_TermMonths))-MIN(1,MAX(0,(nr_MStartP1-1-$G4598+0.5)/nr_TermMonths))</f>
        <v/>
      </c>
    </row>
    <row r="4599">
      <c r="A4599" s="145" t="n">
        <v>33</v>
      </c>
      <c r="B4599" s="204">
        <f>EDATE($B4598,1)</f>
        <v/>
      </c>
      <c r="C4599" s="205">
        <f>EOMONTH($B4599,0)</f>
        <v/>
      </c>
      <c r="D4599" s="201">
        <f>$C4599-$B4599+1</f>
        <v/>
      </c>
      <c r="E4599" s="201">
        <f>MONTH($B4599)</f>
        <v/>
      </c>
      <c r="F4599" s="235">
        <f>($B4599+$C4599+1)/2</f>
        <v/>
      </c>
      <c r="G4599" s="201">
        <f>YEAR($B4599)*12+MONTH($B4599)-1</f>
        <v/>
      </c>
      <c r="H4599" s="207">
        <f>IF(OR(nr_SeasonOn="OFF",re_srow=0,re_ssum=0),1,12*INDEX(se_block,re_srow,$E4599)/re_ssum)</f>
        <v/>
      </c>
      <c r="I4599" s="208">
        <f>EXP(SUMPRODUCT(($D$4268:$D$4507&lt;$B4599)*(rl_key=nr_SelKey)*$C$4268:$C$4507))</f>
        <v/>
      </c>
      <c r="J4599" s="208">
        <f>EXP(SUMPRODUCT(($D$4268:$D$4507&lt;=$C4599)*(rl_key=nr_SelKey)*$C$4268:$C$4507))</f>
        <v/>
      </c>
      <c r="K4599" s="201">
        <f>COUNTIFS(rl_key,nr_SelKey,$D$4268:$D$4507,"&gt;="&amp;$B4599,$D$4268:$D$4507,"&lt;="&amp;$C4599)</f>
        <v/>
      </c>
      <c r="L4599" s="201">
        <f>SUMIFS($F$4268:$F$4507,rl_key,nr_SelKey,$E$4268:$E$4507,$B4599,$I$4268:$I$4507,1)</f>
        <v/>
      </c>
      <c r="M4599" s="209">
        <f>IF($K4599=0,0,MIN(1,$L4599/$D4599))</f>
        <v/>
      </c>
      <c r="N4599" s="208">
        <f>IF($K4599=0,$J4599,(1-$M4599)*$I4599+$M4599*$J4599)</f>
        <v/>
      </c>
      <c r="P4599" s="208">
        <f>MIN(1,MAX(0,(nr_MEndPm1-$G4599+0.5)/nr_TermMonths))-MIN(1,MAX(0,(nr_MStartPm1-1-$G4599+0.5)/nr_TermMonths))</f>
        <v/>
      </c>
      <c r="Q4599" s="208">
        <f>MIN(1,MAX(0,(nr_MEndP-$G4599+0.5)/nr_TermMonths))-MIN(1,MAX(0,(nr_MStartP-1-$G4599+0.5)/nr_TermMonths))</f>
        <v/>
      </c>
      <c r="R4599" s="208">
        <f>MIN(1,MAX(0,(nr_MEndP1-$G4599+0.5)/nr_TermMonths))-MIN(1,MAX(0,(nr_MStartP1-1-$G4599+0.5)/nr_TermMonths))</f>
        <v/>
      </c>
    </row>
    <row r="4600">
      <c r="A4600" s="145" t="n">
        <v>34</v>
      </c>
      <c r="B4600" s="204">
        <f>EDATE($B4599,1)</f>
        <v/>
      </c>
      <c r="C4600" s="205">
        <f>EOMONTH($B4600,0)</f>
        <v/>
      </c>
      <c r="D4600" s="201">
        <f>$C4600-$B4600+1</f>
        <v/>
      </c>
      <c r="E4600" s="201">
        <f>MONTH($B4600)</f>
        <v/>
      </c>
      <c r="F4600" s="235">
        <f>($B4600+$C4600+1)/2</f>
        <v/>
      </c>
      <c r="G4600" s="201">
        <f>YEAR($B4600)*12+MONTH($B4600)-1</f>
        <v/>
      </c>
      <c r="H4600" s="207">
        <f>IF(OR(nr_SeasonOn="OFF",re_srow=0,re_ssum=0),1,12*INDEX(se_block,re_srow,$E4600)/re_ssum)</f>
        <v/>
      </c>
      <c r="I4600" s="208">
        <f>EXP(SUMPRODUCT(($D$4268:$D$4507&lt;$B4600)*(rl_key=nr_SelKey)*$C$4268:$C$4507))</f>
        <v/>
      </c>
      <c r="J4600" s="208">
        <f>EXP(SUMPRODUCT(($D$4268:$D$4507&lt;=$C4600)*(rl_key=nr_SelKey)*$C$4268:$C$4507))</f>
        <v/>
      </c>
      <c r="K4600" s="201">
        <f>COUNTIFS(rl_key,nr_SelKey,$D$4268:$D$4507,"&gt;="&amp;$B4600,$D$4268:$D$4507,"&lt;="&amp;$C4600)</f>
        <v/>
      </c>
      <c r="L4600" s="201">
        <f>SUMIFS($F$4268:$F$4507,rl_key,nr_SelKey,$E$4268:$E$4507,$B4600,$I$4268:$I$4507,1)</f>
        <v/>
      </c>
      <c r="M4600" s="209">
        <f>IF($K4600=0,0,MIN(1,$L4600/$D4600))</f>
        <v/>
      </c>
      <c r="N4600" s="208">
        <f>IF($K4600=0,$J4600,(1-$M4600)*$I4600+$M4600*$J4600)</f>
        <v/>
      </c>
      <c r="P4600" s="208">
        <f>MIN(1,MAX(0,(nr_MEndPm1-$G4600+0.5)/nr_TermMonths))-MIN(1,MAX(0,(nr_MStartPm1-1-$G4600+0.5)/nr_TermMonths))</f>
        <v/>
      </c>
      <c r="Q4600" s="208">
        <f>MIN(1,MAX(0,(nr_MEndP-$G4600+0.5)/nr_TermMonths))-MIN(1,MAX(0,(nr_MStartP-1-$G4600+0.5)/nr_TermMonths))</f>
        <v/>
      </c>
      <c r="R4600" s="208">
        <f>MIN(1,MAX(0,(nr_MEndP1-$G4600+0.5)/nr_TermMonths))-MIN(1,MAX(0,(nr_MStartP1-1-$G4600+0.5)/nr_TermMonths))</f>
        <v/>
      </c>
    </row>
    <row r="4601">
      <c r="A4601" s="145" t="n">
        <v>35</v>
      </c>
      <c r="B4601" s="204">
        <f>EDATE($B4600,1)</f>
        <v/>
      </c>
      <c r="C4601" s="205">
        <f>EOMONTH($B4601,0)</f>
        <v/>
      </c>
      <c r="D4601" s="201">
        <f>$C4601-$B4601+1</f>
        <v/>
      </c>
      <c r="E4601" s="201">
        <f>MONTH($B4601)</f>
        <v/>
      </c>
      <c r="F4601" s="235">
        <f>($B4601+$C4601+1)/2</f>
        <v/>
      </c>
      <c r="G4601" s="201">
        <f>YEAR($B4601)*12+MONTH($B4601)-1</f>
        <v/>
      </c>
      <c r="H4601" s="207">
        <f>IF(OR(nr_SeasonOn="OFF",re_srow=0,re_ssum=0),1,12*INDEX(se_block,re_srow,$E4601)/re_ssum)</f>
        <v/>
      </c>
      <c r="I4601" s="208">
        <f>EXP(SUMPRODUCT(($D$4268:$D$4507&lt;$B4601)*(rl_key=nr_SelKey)*$C$4268:$C$4507))</f>
        <v/>
      </c>
      <c r="J4601" s="208">
        <f>EXP(SUMPRODUCT(($D$4268:$D$4507&lt;=$C4601)*(rl_key=nr_SelKey)*$C$4268:$C$4507))</f>
        <v/>
      </c>
      <c r="K4601" s="201">
        <f>COUNTIFS(rl_key,nr_SelKey,$D$4268:$D$4507,"&gt;="&amp;$B4601,$D$4268:$D$4507,"&lt;="&amp;$C4601)</f>
        <v/>
      </c>
      <c r="L4601" s="201">
        <f>SUMIFS($F$4268:$F$4507,rl_key,nr_SelKey,$E$4268:$E$4507,$B4601,$I$4268:$I$4507,1)</f>
        <v/>
      </c>
      <c r="M4601" s="209">
        <f>IF($K4601=0,0,MIN(1,$L4601/$D4601))</f>
        <v/>
      </c>
      <c r="N4601" s="208">
        <f>IF($K4601=0,$J4601,(1-$M4601)*$I4601+$M4601*$J4601)</f>
        <v/>
      </c>
      <c r="P4601" s="208">
        <f>MIN(1,MAX(0,(nr_MEndPm1-$G4601+0.5)/nr_TermMonths))-MIN(1,MAX(0,(nr_MStartPm1-1-$G4601+0.5)/nr_TermMonths))</f>
        <v/>
      </c>
      <c r="Q4601" s="208">
        <f>MIN(1,MAX(0,(nr_MEndP-$G4601+0.5)/nr_TermMonths))-MIN(1,MAX(0,(nr_MStartP-1-$G4601+0.5)/nr_TermMonths))</f>
        <v/>
      </c>
      <c r="R4601" s="208">
        <f>MIN(1,MAX(0,(nr_MEndP1-$G4601+0.5)/nr_TermMonths))-MIN(1,MAX(0,(nr_MStartP1-1-$G4601+0.5)/nr_TermMonths))</f>
        <v/>
      </c>
    </row>
    <row r="4602">
      <c r="A4602" s="145" t="n">
        <v>36</v>
      </c>
      <c r="B4602" s="204">
        <f>EDATE($B4601,1)</f>
        <v/>
      </c>
      <c r="C4602" s="205">
        <f>EOMONTH($B4602,0)</f>
        <v/>
      </c>
      <c r="D4602" s="201">
        <f>$C4602-$B4602+1</f>
        <v/>
      </c>
      <c r="E4602" s="201">
        <f>MONTH($B4602)</f>
        <v/>
      </c>
      <c r="F4602" s="235">
        <f>($B4602+$C4602+1)/2</f>
        <v/>
      </c>
      <c r="G4602" s="201">
        <f>YEAR($B4602)*12+MONTH($B4602)-1</f>
        <v/>
      </c>
      <c r="H4602" s="207">
        <f>IF(OR(nr_SeasonOn="OFF",re_srow=0,re_ssum=0),1,12*INDEX(se_block,re_srow,$E4602)/re_ssum)</f>
        <v/>
      </c>
      <c r="I4602" s="208">
        <f>EXP(SUMPRODUCT(($D$4268:$D$4507&lt;$B4602)*(rl_key=nr_SelKey)*$C$4268:$C$4507))</f>
        <v/>
      </c>
      <c r="J4602" s="208">
        <f>EXP(SUMPRODUCT(($D$4268:$D$4507&lt;=$C4602)*(rl_key=nr_SelKey)*$C$4268:$C$4507))</f>
        <v/>
      </c>
      <c r="K4602" s="201">
        <f>COUNTIFS(rl_key,nr_SelKey,$D$4268:$D$4507,"&gt;="&amp;$B4602,$D$4268:$D$4507,"&lt;="&amp;$C4602)</f>
        <v/>
      </c>
      <c r="L4602" s="201">
        <f>SUMIFS($F$4268:$F$4507,rl_key,nr_SelKey,$E$4268:$E$4507,$B4602,$I$4268:$I$4507,1)</f>
        <v/>
      </c>
      <c r="M4602" s="209">
        <f>IF($K4602=0,0,MIN(1,$L4602/$D4602))</f>
        <v/>
      </c>
      <c r="N4602" s="208">
        <f>IF($K4602=0,$J4602,(1-$M4602)*$I4602+$M4602*$J4602)</f>
        <v/>
      </c>
      <c r="P4602" s="208">
        <f>MIN(1,MAX(0,(nr_MEndPm1-$G4602+0.5)/nr_TermMonths))-MIN(1,MAX(0,(nr_MStartPm1-1-$G4602+0.5)/nr_TermMonths))</f>
        <v/>
      </c>
      <c r="Q4602" s="208">
        <f>MIN(1,MAX(0,(nr_MEndP-$G4602+0.5)/nr_TermMonths))-MIN(1,MAX(0,(nr_MStartP-1-$G4602+0.5)/nr_TermMonths))</f>
        <v/>
      </c>
      <c r="R4602" s="208">
        <f>MIN(1,MAX(0,(nr_MEndP1-$G4602+0.5)/nr_TermMonths))-MIN(1,MAX(0,(nr_MStartP1-1-$G4602+0.5)/nr_TermMonths))</f>
        <v/>
      </c>
    </row>
    <row r="4603">
      <c r="A4603" s="145" t="n">
        <v>37</v>
      </c>
      <c r="B4603" s="204">
        <f>EDATE($B4602,1)</f>
        <v/>
      </c>
      <c r="C4603" s="205">
        <f>EOMONTH($B4603,0)</f>
        <v/>
      </c>
      <c r="D4603" s="201">
        <f>$C4603-$B4603+1</f>
        <v/>
      </c>
      <c r="E4603" s="201">
        <f>MONTH($B4603)</f>
        <v/>
      </c>
      <c r="F4603" s="235">
        <f>($B4603+$C4603+1)/2</f>
        <v/>
      </c>
      <c r="G4603" s="201">
        <f>YEAR($B4603)*12+MONTH($B4603)-1</f>
        <v/>
      </c>
      <c r="H4603" s="207">
        <f>IF(OR(nr_SeasonOn="OFF",re_srow=0,re_ssum=0),1,12*INDEX(se_block,re_srow,$E4603)/re_ssum)</f>
        <v/>
      </c>
      <c r="I4603" s="208">
        <f>EXP(SUMPRODUCT(($D$4268:$D$4507&lt;$B4603)*(rl_key=nr_SelKey)*$C$4268:$C$4507))</f>
        <v/>
      </c>
      <c r="J4603" s="208">
        <f>EXP(SUMPRODUCT(($D$4268:$D$4507&lt;=$C4603)*(rl_key=nr_SelKey)*$C$4268:$C$4507))</f>
        <v/>
      </c>
      <c r="K4603" s="201">
        <f>COUNTIFS(rl_key,nr_SelKey,$D$4268:$D$4507,"&gt;="&amp;$B4603,$D$4268:$D$4507,"&lt;="&amp;$C4603)</f>
        <v/>
      </c>
      <c r="L4603" s="201">
        <f>SUMIFS($F$4268:$F$4507,rl_key,nr_SelKey,$E$4268:$E$4507,$B4603,$I$4268:$I$4507,1)</f>
        <v/>
      </c>
      <c r="M4603" s="209">
        <f>IF($K4603=0,0,MIN(1,$L4603/$D4603))</f>
        <v/>
      </c>
      <c r="N4603" s="208">
        <f>IF($K4603=0,$J4603,(1-$M4603)*$I4603+$M4603*$J4603)</f>
        <v/>
      </c>
      <c r="P4603" s="208">
        <f>MIN(1,MAX(0,(nr_MEndPm1-$G4603+0.5)/nr_TermMonths))-MIN(1,MAX(0,(nr_MStartPm1-1-$G4603+0.5)/nr_TermMonths))</f>
        <v/>
      </c>
      <c r="Q4603" s="208">
        <f>MIN(1,MAX(0,(nr_MEndP-$G4603+0.5)/nr_TermMonths))-MIN(1,MAX(0,(nr_MStartP-1-$G4603+0.5)/nr_TermMonths))</f>
        <v/>
      </c>
      <c r="R4603" s="208">
        <f>MIN(1,MAX(0,(nr_MEndP1-$G4603+0.5)/nr_TermMonths))-MIN(1,MAX(0,(nr_MStartP1-1-$G4603+0.5)/nr_TermMonths))</f>
        <v/>
      </c>
    </row>
    <row r="4604">
      <c r="A4604" s="145" t="n">
        <v>38</v>
      </c>
      <c r="B4604" s="204">
        <f>EDATE($B4603,1)</f>
        <v/>
      </c>
      <c r="C4604" s="205">
        <f>EOMONTH($B4604,0)</f>
        <v/>
      </c>
      <c r="D4604" s="201">
        <f>$C4604-$B4604+1</f>
        <v/>
      </c>
      <c r="E4604" s="201">
        <f>MONTH($B4604)</f>
        <v/>
      </c>
      <c r="F4604" s="235">
        <f>($B4604+$C4604+1)/2</f>
        <v/>
      </c>
      <c r="G4604" s="201">
        <f>YEAR($B4604)*12+MONTH($B4604)-1</f>
        <v/>
      </c>
      <c r="H4604" s="207">
        <f>IF(OR(nr_SeasonOn="OFF",re_srow=0,re_ssum=0),1,12*INDEX(se_block,re_srow,$E4604)/re_ssum)</f>
        <v/>
      </c>
      <c r="I4604" s="208">
        <f>EXP(SUMPRODUCT(($D$4268:$D$4507&lt;$B4604)*(rl_key=nr_SelKey)*$C$4268:$C$4507))</f>
        <v/>
      </c>
      <c r="J4604" s="208">
        <f>EXP(SUMPRODUCT(($D$4268:$D$4507&lt;=$C4604)*(rl_key=nr_SelKey)*$C$4268:$C$4507))</f>
        <v/>
      </c>
      <c r="K4604" s="201">
        <f>COUNTIFS(rl_key,nr_SelKey,$D$4268:$D$4507,"&gt;="&amp;$B4604,$D$4268:$D$4507,"&lt;="&amp;$C4604)</f>
        <v/>
      </c>
      <c r="L4604" s="201">
        <f>SUMIFS($F$4268:$F$4507,rl_key,nr_SelKey,$E$4268:$E$4507,$B4604,$I$4268:$I$4507,1)</f>
        <v/>
      </c>
      <c r="M4604" s="209">
        <f>IF($K4604=0,0,MIN(1,$L4604/$D4604))</f>
        <v/>
      </c>
      <c r="N4604" s="208">
        <f>IF($K4604=0,$J4604,(1-$M4604)*$I4604+$M4604*$J4604)</f>
        <v/>
      </c>
      <c r="P4604" s="208">
        <f>MIN(1,MAX(0,(nr_MEndPm1-$G4604+0.5)/nr_TermMonths))-MIN(1,MAX(0,(nr_MStartPm1-1-$G4604+0.5)/nr_TermMonths))</f>
        <v/>
      </c>
      <c r="Q4604" s="208">
        <f>MIN(1,MAX(0,(nr_MEndP-$G4604+0.5)/nr_TermMonths))-MIN(1,MAX(0,(nr_MStartP-1-$G4604+0.5)/nr_TermMonths))</f>
        <v/>
      </c>
      <c r="R4604" s="208">
        <f>MIN(1,MAX(0,(nr_MEndP1-$G4604+0.5)/nr_TermMonths))-MIN(1,MAX(0,(nr_MStartP1-1-$G4604+0.5)/nr_TermMonths))</f>
        <v/>
      </c>
    </row>
    <row r="4605">
      <c r="A4605" s="145" t="n">
        <v>39</v>
      </c>
      <c r="B4605" s="204">
        <f>EDATE($B4604,1)</f>
        <v/>
      </c>
      <c r="C4605" s="205">
        <f>EOMONTH($B4605,0)</f>
        <v/>
      </c>
      <c r="D4605" s="201">
        <f>$C4605-$B4605+1</f>
        <v/>
      </c>
      <c r="E4605" s="201">
        <f>MONTH($B4605)</f>
        <v/>
      </c>
      <c r="F4605" s="235">
        <f>($B4605+$C4605+1)/2</f>
        <v/>
      </c>
      <c r="G4605" s="201">
        <f>YEAR($B4605)*12+MONTH($B4605)-1</f>
        <v/>
      </c>
      <c r="H4605" s="207">
        <f>IF(OR(nr_SeasonOn="OFF",re_srow=0,re_ssum=0),1,12*INDEX(se_block,re_srow,$E4605)/re_ssum)</f>
        <v/>
      </c>
      <c r="I4605" s="208">
        <f>EXP(SUMPRODUCT(($D$4268:$D$4507&lt;$B4605)*(rl_key=nr_SelKey)*$C$4268:$C$4507))</f>
        <v/>
      </c>
      <c r="J4605" s="208">
        <f>EXP(SUMPRODUCT(($D$4268:$D$4507&lt;=$C4605)*(rl_key=nr_SelKey)*$C$4268:$C$4507))</f>
        <v/>
      </c>
      <c r="K4605" s="201">
        <f>COUNTIFS(rl_key,nr_SelKey,$D$4268:$D$4507,"&gt;="&amp;$B4605,$D$4268:$D$4507,"&lt;="&amp;$C4605)</f>
        <v/>
      </c>
      <c r="L4605" s="201">
        <f>SUMIFS($F$4268:$F$4507,rl_key,nr_SelKey,$E$4268:$E$4507,$B4605,$I$4268:$I$4507,1)</f>
        <v/>
      </c>
      <c r="M4605" s="209">
        <f>IF($K4605=0,0,MIN(1,$L4605/$D4605))</f>
        <v/>
      </c>
      <c r="N4605" s="208">
        <f>IF($K4605=0,$J4605,(1-$M4605)*$I4605+$M4605*$J4605)</f>
        <v/>
      </c>
      <c r="P4605" s="208">
        <f>MIN(1,MAX(0,(nr_MEndPm1-$G4605+0.5)/nr_TermMonths))-MIN(1,MAX(0,(nr_MStartPm1-1-$G4605+0.5)/nr_TermMonths))</f>
        <v/>
      </c>
      <c r="Q4605" s="208">
        <f>MIN(1,MAX(0,(nr_MEndP-$G4605+0.5)/nr_TermMonths))-MIN(1,MAX(0,(nr_MStartP-1-$G4605+0.5)/nr_TermMonths))</f>
        <v/>
      </c>
      <c r="R4605" s="208">
        <f>MIN(1,MAX(0,(nr_MEndP1-$G4605+0.5)/nr_TermMonths))-MIN(1,MAX(0,(nr_MStartP1-1-$G4605+0.5)/nr_TermMonths))</f>
        <v/>
      </c>
    </row>
    <row r="4606">
      <c r="A4606" s="145" t="n">
        <v>40</v>
      </c>
      <c r="B4606" s="204">
        <f>EDATE($B4605,1)</f>
        <v/>
      </c>
      <c r="C4606" s="205">
        <f>EOMONTH($B4606,0)</f>
        <v/>
      </c>
      <c r="D4606" s="201">
        <f>$C4606-$B4606+1</f>
        <v/>
      </c>
      <c r="E4606" s="201">
        <f>MONTH($B4606)</f>
        <v/>
      </c>
      <c r="F4606" s="235">
        <f>($B4606+$C4606+1)/2</f>
        <v/>
      </c>
      <c r="G4606" s="201">
        <f>YEAR($B4606)*12+MONTH($B4606)-1</f>
        <v/>
      </c>
      <c r="H4606" s="207">
        <f>IF(OR(nr_SeasonOn="OFF",re_srow=0,re_ssum=0),1,12*INDEX(se_block,re_srow,$E4606)/re_ssum)</f>
        <v/>
      </c>
      <c r="I4606" s="208">
        <f>EXP(SUMPRODUCT(($D$4268:$D$4507&lt;$B4606)*(rl_key=nr_SelKey)*$C$4268:$C$4507))</f>
        <v/>
      </c>
      <c r="J4606" s="208">
        <f>EXP(SUMPRODUCT(($D$4268:$D$4507&lt;=$C4606)*(rl_key=nr_SelKey)*$C$4268:$C$4507))</f>
        <v/>
      </c>
      <c r="K4606" s="201">
        <f>COUNTIFS(rl_key,nr_SelKey,$D$4268:$D$4507,"&gt;="&amp;$B4606,$D$4268:$D$4507,"&lt;="&amp;$C4606)</f>
        <v/>
      </c>
      <c r="L4606" s="201">
        <f>SUMIFS($F$4268:$F$4507,rl_key,nr_SelKey,$E$4268:$E$4507,$B4606,$I$4268:$I$4507,1)</f>
        <v/>
      </c>
      <c r="M4606" s="209">
        <f>IF($K4606=0,0,MIN(1,$L4606/$D4606))</f>
        <v/>
      </c>
      <c r="N4606" s="208">
        <f>IF($K4606=0,$J4606,(1-$M4606)*$I4606+$M4606*$J4606)</f>
        <v/>
      </c>
      <c r="P4606" s="208">
        <f>MIN(1,MAX(0,(nr_MEndPm1-$G4606+0.5)/nr_TermMonths))-MIN(1,MAX(0,(nr_MStartPm1-1-$G4606+0.5)/nr_TermMonths))</f>
        <v/>
      </c>
      <c r="Q4606" s="208">
        <f>MIN(1,MAX(0,(nr_MEndP-$G4606+0.5)/nr_TermMonths))-MIN(1,MAX(0,(nr_MStartP-1-$G4606+0.5)/nr_TermMonths))</f>
        <v/>
      </c>
      <c r="R4606" s="208">
        <f>MIN(1,MAX(0,(nr_MEndP1-$G4606+0.5)/nr_TermMonths))-MIN(1,MAX(0,(nr_MStartP1-1-$G4606+0.5)/nr_TermMonths))</f>
        <v/>
      </c>
    </row>
    <row r="4607">
      <c r="A4607" s="145" t="n">
        <v>41</v>
      </c>
      <c r="B4607" s="204">
        <f>EDATE($B4606,1)</f>
        <v/>
      </c>
      <c r="C4607" s="205">
        <f>EOMONTH($B4607,0)</f>
        <v/>
      </c>
      <c r="D4607" s="201">
        <f>$C4607-$B4607+1</f>
        <v/>
      </c>
      <c r="E4607" s="201">
        <f>MONTH($B4607)</f>
        <v/>
      </c>
      <c r="F4607" s="235">
        <f>($B4607+$C4607+1)/2</f>
        <v/>
      </c>
      <c r="G4607" s="201">
        <f>YEAR($B4607)*12+MONTH($B4607)-1</f>
        <v/>
      </c>
      <c r="H4607" s="207">
        <f>IF(OR(nr_SeasonOn="OFF",re_srow=0,re_ssum=0),1,12*INDEX(se_block,re_srow,$E4607)/re_ssum)</f>
        <v/>
      </c>
      <c r="I4607" s="208">
        <f>EXP(SUMPRODUCT(($D$4268:$D$4507&lt;$B4607)*(rl_key=nr_SelKey)*$C$4268:$C$4507))</f>
        <v/>
      </c>
      <c r="J4607" s="208">
        <f>EXP(SUMPRODUCT(($D$4268:$D$4507&lt;=$C4607)*(rl_key=nr_SelKey)*$C$4268:$C$4507))</f>
        <v/>
      </c>
      <c r="K4607" s="201">
        <f>COUNTIFS(rl_key,nr_SelKey,$D$4268:$D$4507,"&gt;="&amp;$B4607,$D$4268:$D$4507,"&lt;="&amp;$C4607)</f>
        <v/>
      </c>
      <c r="L4607" s="201">
        <f>SUMIFS($F$4268:$F$4507,rl_key,nr_SelKey,$E$4268:$E$4507,$B4607,$I$4268:$I$4507,1)</f>
        <v/>
      </c>
      <c r="M4607" s="209">
        <f>IF($K4607=0,0,MIN(1,$L4607/$D4607))</f>
        <v/>
      </c>
      <c r="N4607" s="208">
        <f>IF($K4607=0,$J4607,(1-$M4607)*$I4607+$M4607*$J4607)</f>
        <v/>
      </c>
      <c r="P4607" s="208">
        <f>MIN(1,MAX(0,(nr_MEndPm1-$G4607+0.5)/nr_TermMonths))-MIN(1,MAX(0,(nr_MStartPm1-1-$G4607+0.5)/nr_TermMonths))</f>
        <v/>
      </c>
      <c r="Q4607" s="208">
        <f>MIN(1,MAX(0,(nr_MEndP-$G4607+0.5)/nr_TermMonths))-MIN(1,MAX(0,(nr_MStartP-1-$G4607+0.5)/nr_TermMonths))</f>
        <v/>
      </c>
      <c r="R4607" s="208">
        <f>MIN(1,MAX(0,(nr_MEndP1-$G4607+0.5)/nr_TermMonths))-MIN(1,MAX(0,(nr_MStartP1-1-$G4607+0.5)/nr_TermMonths))</f>
        <v/>
      </c>
    </row>
    <row r="4608">
      <c r="A4608" s="145" t="n">
        <v>42</v>
      </c>
      <c r="B4608" s="204">
        <f>EDATE($B4607,1)</f>
        <v/>
      </c>
      <c r="C4608" s="205">
        <f>EOMONTH($B4608,0)</f>
        <v/>
      </c>
      <c r="D4608" s="201">
        <f>$C4608-$B4608+1</f>
        <v/>
      </c>
      <c r="E4608" s="201">
        <f>MONTH($B4608)</f>
        <v/>
      </c>
      <c r="F4608" s="235">
        <f>($B4608+$C4608+1)/2</f>
        <v/>
      </c>
      <c r="G4608" s="201">
        <f>YEAR($B4608)*12+MONTH($B4608)-1</f>
        <v/>
      </c>
      <c r="H4608" s="207">
        <f>IF(OR(nr_SeasonOn="OFF",re_srow=0,re_ssum=0),1,12*INDEX(se_block,re_srow,$E4608)/re_ssum)</f>
        <v/>
      </c>
      <c r="I4608" s="208">
        <f>EXP(SUMPRODUCT(($D$4268:$D$4507&lt;$B4608)*(rl_key=nr_SelKey)*$C$4268:$C$4507))</f>
        <v/>
      </c>
      <c r="J4608" s="208">
        <f>EXP(SUMPRODUCT(($D$4268:$D$4507&lt;=$C4608)*(rl_key=nr_SelKey)*$C$4268:$C$4507))</f>
        <v/>
      </c>
      <c r="K4608" s="201">
        <f>COUNTIFS(rl_key,nr_SelKey,$D$4268:$D$4507,"&gt;="&amp;$B4608,$D$4268:$D$4507,"&lt;="&amp;$C4608)</f>
        <v/>
      </c>
      <c r="L4608" s="201">
        <f>SUMIFS($F$4268:$F$4507,rl_key,nr_SelKey,$E$4268:$E$4507,$B4608,$I$4268:$I$4507,1)</f>
        <v/>
      </c>
      <c r="M4608" s="209">
        <f>IF($K4608=0,0,MIN(1,$L4608/$D4608))</f>
        <v/>
      </c>
      <c r="N4608" s="208">
        <f>IF($K4608=0,$J4608,(1-$M4608)*$I4608+$M4608*$J4608)</f>
        <v/>
      </c>
      <c r="P4608" s="208">
        <f>MIN(1,MAX(0,(nr_MEndPm1-$G4608+0.5)/nr_TermMonths))-MIN(1,MAX(0,(nr_MStartPm1-1-$G4608+0.5)/nr_TermMonths))</f>
        <v/>
      </c>
      <c r="Q4608" s="208">
        <f>MIN(1,MAX(0,(nr_MEndP-$G4608+0.5)/nr_TermMonths))-MIN(1,MAX(0,(nr_MStartP-1-$G4608+0.5)/nr_TermMonths))</f>
        <v/>
      </c>
      <c r="R4608" s="208">
        <f>MIN(1,MAX(0,(nr_MEndP1-$G4608+0.5)/nr_TermMonths))-MIN(1,MAX(0,(nr_MStartP1-1-$G4608+0.5)/nr_TermMonths))</f>
        <v/>
      </c>
    </row>
    <row r="4609">
      <c r="A4609" s="145" t="n">
        <v>43</v>
      </c>
      <c r="B4609" s="204">
        <f>EDATE($B4608,1)</f>
        <v/>
      </c>
      <c r="C4609" s="205">
        <f>EOMONTH($B4609,0)</f>
        <v/>
      </c>
      <c r="D4609" s="201">
        <f>$C4609-$B4609+1</f>
        <v/>
      </c>
      <c r="E4609" s="201">
        <f>MONTH($B4609)</f>
        <v/>
      </c>
      <c r="F4609" s="235">
        <f>($B4609+$C4609+1)/2</f>
        <v/>
      </c>
      <c r="G4609" s="201">
        <f>YEAR($B4609)*12+MONTH($B4609)-1</f>
        <v/>
      </c>
      <c r="H4609" s="207">
        <f>IF(OR(nr_SeasonOn="OFF",re_srow=0,re_ssum=0),1,12*INDEX(se_block,re_srow,$E4609)/re_ssum)</f>
        <v/>
      </c>
      <c r="I4609" s="208">
        <f>EXP(SUMPRODUCT(($D$4268:$D$4507&lt;$B4609)*(rl_key=nr_SelKey)*$C$4268:$C$4507))</f>
        <v/>
      </c>
      <c r="J4609" s="208">
        <f>EXP(SUMPRODUCT(($D$4268:$D$4507&lt;=$C4609)*(rl_key=nr_SelKey)*$C$4268:$C$4507))</f>
        <v/>
      </c>
      <c r="K4609" s="201">
        <f>COUNTIFS(rl_key,nr_SelKey,$D$4268:$D$4507,"&gt;="&amp;$B4609,$D$4268:$D$4507,"&lt;="&amp;$C4609)</f>
        <v/>
      </c>
      <c r="L4609" s="201">
        <f>SUMIFS($F$4268:$F$4507,rl_key,nr_SelKey,$E$4268:$E$4507,$B4609,$I$4268:$I$4507,1)</f>
        <v/>
      </c>
      <c r="M4609" s="209">
        <f>IF($K4609=0,0,MIN(1,$L4609/$D4609))</f>
        <v/>
      </c>
      <c r="N4609" s="208">
        <f>IF($K4609=0,$J4609,(1-$M4609)*$I4609+$M4609*$J4609)</f>
        <v/>
      </c>
      <c r="P4609" s="208">
        <f>MIN(1,MAX(0,(nr_MEndPm1-$G4609+0.5)/nr_TermMonths))-MIN(1,MAX(0,(nr_MStartPm1-1-$G4609+0.5)/nr_TermMonths))</f>
        <v/>
      </c>
      <c r="Q4609" s="208">
        <f>MIN(1,MAX(0,(nr_MEndP-$G4609+0.5)/nr_TermMonths))-MIN(1,MAX(0,(nr_MStartP-1-$G4609+0.5)/nr_TermMonths))</f>
        <v/>
      </c>
      <c r="R4609" s="208">
        <f>MIN(1,MAX(0,(nr_MEndP1-$G4609+0.5)/nr_TermMonths))-MIN(1,MAX(0,(nr_MStartP1-1-$G4609+0.5)/nr_TermMonths))</f>
        <v/>
      </c>
    </row>
    <row r="4610">
      <c r="A4610" s="145" t="n">
        <v>44</v>
      </c>
      <c r="B4610" s="204">
        <f>EDATE($B4609,1)</f>
        <v/>
      </c>
      <c r="C4610" s="205">
        <f>EOMONTH($B4610,0)</f>
        <v/>
      </c>
      <c r="D4610" s="201">
        <f>$C4610-$B4610+1</f>
        <v/>
      </c>
      <c r="E4610" s="201">
        <f>MONTH($B4610)</f>
        <v/>
      </c>
      <c r="F4610" s="235">
        <f>($B4610+$C4610+1)/2</f>
        <v/>
      </c>
      <c r="G4610" s="201">
        <f>YEAR($B4610)*12+MONTH($B4610)-1</f>
        <v/>
      </c>
      <c r="H4610" s="207">
        <f>IF(OR(nr_SeasonOn="OFF",re_srow=0,re_ssum=0),1,12*INDEX(se_block,re_srow,$E4610)/re_ssum)</f>
        <v/>
      </c>
      <c r="I4610" s="208">
        <f>EXP(SUMPRODUCT(($D$4268:$D$4507&lt;$B4610)*(rl_key=nr_SelKey)*$C$4268:$C$4507))</f>
        <v/>
      </c>
      <c r="J4610" s="208">
        <f>EXP(SUMPRODUCT(($D$4268:$D$4507&lt;=$C4610)*(rl_key=nr_SelKey)*$C$4268:$C$4507))</f>
        <v/>
      </c>
      <c r="K4610" s="201">
        <f>COUNTIFS(rl_key,nr_SelKey,$D$4268:$D$4507,"&gt;="&amp;$B4610,$D$4268:$D$4507,"&lt;="&amp;$C4610)</f>
        <v/>
      </c>
      <c r="L4610" s="201">
        <f>SUMIFS($F$4268:$F$4507,rl_key,nr_SelKey,$E$4268:$E$4507,$B4610,$I$4268:$I$4507,1)</f>
        <v/>
      </c>
      <c r="M4610" s="209">
        <f>IF($K4610=0,0,MIN(1,$L4610/$D4610))</f>
        <v/>
      </c>
      <c r="N4610" s="208">
        <f>IF($K4610=0,$J4610,(1-$M4610)*$I4610+$M4610*$J4610)</f>
        <v/>
      </c>
      <c r="P4610" s="208">
        <f>MIN(1,MAX(0,(nr_MEndPm1-$G4610+0.5)/nr_TermMonths))-MIN(1,MAX(0,(nr_MStartPm1-1-$G4610+0.5)/nr_TermMonths))</f>
        <v/>
      </c>
      <c r="Q4610" s="208">
        <f>MIN(1,MAX(0,(nr_MEndP-$G4610+0.5)/nr_TermMonths))-MIN(1,MAX(0,(nr_MStartP-1-$G4610+0.5)/nr_TermMonths))</f>
        <v/>
      </c>
      <c r="R4610" s="208">
        <f>MIN(1,MAX(0,(nr_MEndP1-$G4610+0.5)/nr_TermMonths))-MIN(1,MAX(0,(nr_MStartP1-1-$G4610+0.5)/nr_TermMonths))</f>
        <v/>
      </c>
    </row>
    <row r="4611">
      <c r="A4611" s="145" t="n">
        <v>45</v>
      </c>
      <c r="B4611" s="204">
        <f>EDATE($B4610,1)</f>
        <v/>
      </c>
      <c r="C4611" s="205">
        <f>EOMONTH($B4611,0)</f>
        <v/>
      </c>
      <c r="D4611" s="201">
        <f>$C4611-$B4611+1</f>
        <v/>
      </c>
      <c r="E4611" s="201">
        <f>MONTH($B4611)</f>
        <v/>
      </c>
      <c r="F4611" s="235">
        <f>($B4611+$C4611+1)/2</f>
        <v/>
      </c>
      <c r="G4611" s="201">
        <f>YEAR($B4611)*12+MONTH($B4611)-1</f>
        <v/>
      </c>
      <c r="H4611" s="207">
        <f>IF(OR(nr_SeasonOn="OFF",re_srow=0,re_ssum=0),1,12*INDEX(se_block,re_srow,$E4611)/re_ssum)</f>
        <v/>
      </c>
      <c r="I4611" s="208">
        <f>EXP(SUMPRODUCT(($D$4268:$D$4507&lt;$B4611)*(rl_key=nr_SelKey)*$C$4268:$C$4507))</f>
        <v/>
      </c>
      <c r="J4611" s="208">
        <f>EXP(SUMPRODUCT(($D$4268:$D$4507&lt;=$C4611)*(rl_key=nr_SelKey)*$C$4268:$C$4507))</f>
        <v/>
      </c>
      <c r="K4611" s="201">
        <f>COUNTIFS(rl_key,nr_SelKey,$D$4268:$D$4507,"&gt;="&amp;$B4611,$D$4268:$D$4507,"&lt;="&amp;$C4611)</f>
        <v/>
      </c>
      <c r="L4611" s="201">
        <f>SUMIFS($F$4268:$F$4507,rl_key,nr_SelKey,$E$4268:$E$4507,$B4611,$I$4268:$I$4507,1)</f>
        <v/>
      </c>
      <c r="M4611" s="209">
        <f>IF($K4611=0,0,MIN(1,$L4611/$D4611))</f>
        <v/>
      </c>
      <c r="N4611" s="208">
        <f>IF($K4611=0,$J4611,(1-$M4611)*$I4611+$M4611*$J4611)</f>
        <v/>
      </c>
      <c r="P4611" s="208">
        <f>MIN(1,MAX(0,(nr_MEndPm1-$G4611+0.5)/nr_TermMonths))-MIN(1,MAX(0,(nr_MStartPm1-1-$G4611+0.5)/nr_TermMonths))</f>
        <v/>
      </c>
      <c r="Q4611" s="208">
        <f>MIN(1,MAX(0,(nr_MEndP-$G4611+0.5)/nr_TermMonths))-MIN(1,MAX(0,(nr_MStartP-1-$G4611+0.5)/nr_TermMonths))</f>
        <v/>
      </c>
      <c r="R4611" s="208">
        <f>MIN(1,MAX(0,(nr_MEndP1-$G4611+0.5)/nr_TermMonths))-MIN(1,MAX(0,(nr_MStartP1-1-$G4611+0.5)/nr_TermMonths))</f>
        <v/>
      </c>
    </row>
    <row r="4612">
      <c r="A4612" s="145" t="n">
        <v>46</v>
      </c>
      <c r="B4612" s="204">
        <f>EDATE($B4611,1)</f>
        <v/>
      </c>
      <c r="C4612" s="205">
        <f>EOMONTH($B4612,0)</f>
        <v/>
      </c>
      <c r="D4612" s="201">
        <f>$C4612-$B4612+1</f>
        <v/>
      </c>
      <c r="E4612" s="201">
        <f>MONTH($B4612)</f>
        <v/>
      </c>
      <c r="F4612" s="235">
        <f>($B4612+$C4612+1)/2</f>
        <v/>
      </c>
      <c r="G4612" s="201">
        <f>YEAR($B4612)*12+MONTH($B4612)-1</f>
        <v/>
      </c>
      <c r="H4612" s="207">
        <f>IF(OR(nr_SeasonOn="OFF",re_srow=0,re_ssum=0),1,12*INDEX(se_block,re_srow,$E4612)/re_ssum)</f>
        <v/>
      </c>
      <c r="I4612" s="208">
        <f>EXP(SUMPRODUCT(($D$4268:$D$4507&lt;$B4612)*(rl_key=nr_SelKey)*$C$4268:$C$4507))</f>
        <v/>
      </c>
      <c r="J4612" s="208">
        <f>EXP(SUMPRODUCT(($D$4268:$D$4507&lt;=$C4612)*(rl_key=nr_SelKey)*$C$4268:$C$4507))</f>
        <v/>
      </c>
      <c r="K4612" s="201">
        <f>COUNTIFS(rl_key,nr_SelKey,$D$4268:$D$4507,"&gt;="&amp;$B4612,$D$4268:$D$4507,"&lt;="&amp;$C4612)</f>
        <v/>
      </c>
      <c r="L4612" s="201">
        <f>SUMIFS($F$4268:$F$4507,rl_key,nr_SelKey,$E$4268:$E$4507,$B4612,$I$4268:$I$4507,1)</f>
        <v/>
      </c>
      <c r="M4612" s="209">
        <f>IF($K4612=0,0,MIN(1,$L4612/$D4612))</f>
        <v/>
      </c>
      <c r="N4612" s="208">
        <f>IF($K4612=0,$J4612,(1-$M4612)*$I4612+$M4612*$J4612)</f>
        <v/>
      </c>
      <c r="P4612" s="208">
        <f>MIN(1,MAX(0,(nr_MEndPm1-$G4612+0.5)/nr_TermMonths))-MIN(1,MAX(0,(nr_MStartPm1-1-$G4612+0.5)/nr_TermMonths))</f>
        <v/>
      </c>
      <c r="Q4612" s="208">
        <f>MIN(1,MAX(0,(nr_MEndP-$G4612+0.5)/nr_TermMonths))-MIN(1,MAX(0,(nr_MStartP-1-$G4612+0.5)/nr_TermMonths))</f>
        <v/>
      </c>
      <c r="R4612" s="208">
        <f>MIN(1,MAX(0,(nr_MEndP1-$G4612+0.5)/nr_TermMonths))-MIN(1,MAX(0,(nr_MStartP1-1-$G4612+0.5)/nr_TermMonths))</f>
        <v/>
      </c>
    </row>
    <row r="4613">
      <c r="A4613" s="145" t="n">
        <v>47</v>
      </c>
      <c r="B4613" s="204">
        <f>EDATE($B4612,1)</f>
        <v/>
      </c>
      <c r="C4613" s="205">
        <f>EOMONTH($B4613,0)</f>
        <v/>
      </c>
      <c r="D4613" s="201">
        <f>$C4613-$B4613+1</f>
        <v/>
      </c>
      <c r="E4613" s="201">
        <f>MONTH($B4613)</f>
        <v/>
      </c>
      <c r="F4613" s="235">
        <f>($B4613+$C4613+1)/2</f>
        <v/>
      </c>
      <c r="G4613" s="201">
        <f>YEAR($B4613)*12+MONTH($B4613)-1</f>
        <v/>
      </c>
      <c r="H4613" s="207">
        <f>IF(OR(nr_SeasonOn="OFF",re_srow=0,re_ssum=0),1,12*INDEX(se_block,re_srow,$E4613)/re_ssum)</f>
        <v/>
      </c>
      <c r="I4613" s="208">
        <f>EXP(SUMPRODUCT(($D$4268:$D$4507&lt;$B4613)*(rl_key=nr_SelKey)*$C$4268:$C$4507))</f>
        <v/>
      </c>
      <c r="J4613" s="208">
        <f>EXP(SUMPRODUCT(($D$4268:$D$4507&lt;=$C4613)*(rl_key=nr_SelKey)*$C$4268:$C$4507))</f>
        <v/>
      </c>
      <c r="K4613" s="201">
        <f>COUNTIFS(rl_key,nr_SelKey,$D$4268:$D$4507,"&gt;="&amp;$B4613,$D$4268:$D$4507,"&lt;="&amp;$C4613)</f>
        <v/>
      </c>
      <c r="L4613" s="201">
        <f>SUMIFS($F$4268:$F$4507,rl_key,nr_SelKey,$E$4268:$E$4507,$B4613,$I$4268:$I$4507,1)</f>
        <v/>
      </c>
      <c r="M4613" s="209">
        <f>IF($K4613=0,0,MIN(1,$L4613/$D4613))</f>
        <v/>
      </c>
      <c r="N4613" s="208">
        <f>IF($K4613=0,$J4613,(1-$M4613)*$I4613+$M4613*$J4613)</f>
        <v/>
      </c>
      <c r="P4613" s="208">
        <f>MIN(1,MAX(0,(nr_MEndPm1-$G4613+0.5)/nr_TermMonths))-MIN(1,MAX(0,(nr_MStartPm1-1-$G4613+0.5)/nr_TermMonths))</f>
        <v/>
      </c>
      <c r="Q4613" s="208">
        <f>MIN(1,MAX(0,(nr_MEndP-$G4613+0.5)/nr_TermMonths))-MIN(1,MAX(0,(nr_MStartP-1-$G4613+0.5)/nr_TermMonths))</f>
        <v/>
      </c>
      <c r="R4613" s="208">
        <f>MIN(1,MAX(0,(nr_MEndP1-$G4613+0.5)/nr_TermMonths))-MIN(1,MAX(0,(nr_MStartP1-1-$G4613+0.5)/nr_TermMonths))</f>
        <v/>
      </c>
    </row>
    <row r="4614">
      <c r="A4614" s="145" t="n">
        <v>48</v>
      </c>
      <c r="B4614" s="204">
        <f>EDATE($B4613,1)</f>
        <v/>
      </c>
      <c r="C4614" s="205">
        <f>EOMONTH($B4614,0)</f>
        <v/>
      </c>
      <c r="D4614" s="201">
        <f>$C4614-$B4614+1</f>
        <v/>
      </c>
      <c r="E4614" s="201">
        <f>MONTH($B4614)</f>
        <v/>
      </c>
      <c r="F4614" s="235">
        <f>($B4614+$C4614+1)/2</f>
        <v/>
      </c>
      <c r="G4614" s="201">
        <f>YEAR($B4614)*12+MONTH($B4614)-1</f>
        <v/>
      </c>
      <c r="H4614" s="207">
        <f>IF(OR(nr_SeasonOn="OFF",re_srow=0,re_ssum=0),1,12*INDEX(se_block,re_srow,$E4614)/re_ssum)</f>
        <v/>
      </c>
      <c r="I4614" s="208">
        <f>EXP(SUMPRODUCT(($D$4268:$D$4507&lt;$B4614)*(rl_key=nr_SelKey)*$C$4268:$C$4507))</f>
        <v/>
      </c>
      <c r="J4614" s="208">
        <f>EXP(SUMPRODUCT(($D$4268:$D$4507&lt;=$C4614)*(rl_key=nr_SelKey)*$C$4268:$C$4507))</f>
        <v/>
      </c>
      <c r="K4614" s="201">
        <f>COUNTIFS(rl_key,nr_SelKey,$D$4268:$D$4507,"&gt;="&amp;$B4614,$D$4268:$D$4507,"&lt;="&amp;$C4614)</f>
        <v/>
      </c>
      <c r="L4614" s="201">
        <f>SUMIFS($F$4268:$F$4507,rl_key,nr_SelKey,$E$4268:$E$4507,$B4614,$I$4268:$I$4507,1)</f>
        <v/>
      </c>
      <c r="M4614" s="209">
        <f>IF($K4614=0,0,MIN(1,$L4614/$D4614))</f>
        <v/>
      </c>
      <c r="N4614" s="208">
        <f>IF($K4614=0,$J4614,(1-$M4614)*$I4614+$M4614*$J4614)</f>
        <v/>
      </c>
      <c r="P4614" s="208">
        <f>MIN(1,MAX(0,(nr_MEndPm1-$G4614+0.5)/nr_TermMonths))-MIN(1,MAX(0,(nr_MStartPm1-1-$G4614+0.5)/nr_TermMonths))</f>
        <v/>
      </c>
      <c r="Q4614" s="208">
        <f>MIN(1,MAX(0,(nr_MEndP-$G4614+0.5)/nr_TermMonths))-MIN(1,MAX(0,(nr_MStartP-1-$G4614+0.5)/nr_TermMonths))</f>
        <v/>
      </c>
      <c r="R4614" s="208">
        <f>MIN(1,MAX(0,(nr_MEndP1-$G4614+0.5)/nr_TermMonths))-MIN(1,MAX(0,(nr_MStartP1-1-$G4614+0.5)/nr_TermMonths))</f>
        <v/>
      </c>
    </row>
    <row r="4615">
      <c r="B4615" s="72">
        <f>SUMPRODUCT($H$4567:$H$4614,$Q$4567:$Q$4614,$N$4567:$N$4614)/SUMPRODUCT($H$4567:$H$4614,$Q$4567:$Q$4614)</f>
        <v/>
      </c>
    </row>
    <row r="4618">
      <c r="A4618" s="233" t="inlineStr">
        <is>
          <t>Attribution block 3 — actual written-mod path</t>
        </is>
      </c>
      <c r="M4618" s="184">
        <f>IF(N(att_m0)=0,nr_M0,att_m0)</f>
        <v/>
      </c>
      <c r="N4618" s="73">
        <f>IF(N(att_asof)=0,nr_M0Asof,att_asof)</f>
        <v/>
      </c>
      <c r="O4618" s="184">
        <f>IF(N(att_m1)=0,nr_M1,att_m1)</f>
        <v/>
      </c>
      <c r="P4618" s="18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145" t="n">
        <v>1</v>
      </c>
      <c r="B4621" s="204">
        <f>DATE(nr_PlanYear-2,1,1)</f>
        <v/>
      </c>
      <c r="C4621" s="205">
        <f>EOMONTH($B4621,0)</f>
        <v/>
      </c>
      <c r="D4621" s="201">
        <f>$C4621-$B4621+1</f>
        <v/>
      </c>
      <c r="E4621" s="201">
        <f>MONTH($B4621)</f>
        <v/>
      </c>
      <c r="F4621" s="235">
        <f>($B4621+$C4621+1)/2</f>
        <v/>
      </c>
      <c r="G4621" s="201">
        <f>YEAR($B4621)*12+MONTH($B4621)-1</f>
        <v/>
      </c>
      <c r="H4621" s="207">
        <f>IF(OR(nr_SeasonOn="OFF",re_srow=0,re_ssum=0),1,12*INDEX(se_block,re_srow,$E4621)/re_ssum)</f>
        <v/>
      </c>
      <c r="O4621" s="209">
        <f>IF($F4621&lt;$B$4619,$E$4619+$I$4619*($F4621-$A$4619),IF($F4621&lt;$C$4619,$F$4619+$J$4619*($F4621-$B$4619),$G$4619+$K$4619*($F4621-$C$4619)))</f>
        <v/>
      </c>
      <c r="P4621" s="208">
        <f>MIN(1,MAX(0,(nr_MEndPm1-$G4621+0.5)/nr_TermMonths))-MIN(1,MAX(0,(nr_MStartPm1-1-$G4621+0.5)/nr_TermMonths))</f>
        <v/>
      </c>
      <c r="Q4621" s="208">
        <f>MIN(1,MAX(0,(nr_MEndP-$G4621+0.5)/nr_TermMonths))-MIN(1,MAX(0,(nr_MStartP-1-$G4621+0.5)/nr_TermMonths))</f>
        <v/>
      </c>
      <c r="R4621" s="208">
        <f>MIN(1,MAX(0,(nr_MEndP1-$G4621+0.5)/nr_TermMonths))-MIN(1,MAX(0,(nr_MStartP1-1-$G4621+0.5)/nr_TermMonths))</f>
        <v/>
      </c>
    </row>
    <row r="4622">
      <c r="A4622" s="145" t="n">
        <v>2</v>
      </c>
      <c r="B4622" s="204">
        <f>EDATE($B4621,1)</f>
        <v/>
      </c>
      <c r="C4622" s="205">
        <f>EOMONTH($B4622,0)</f>
        <v/>
      </c>
      <c r="D4622" s="201">
        <f>$C4622-$B4622+1</f>
        <v/>
      </c>
      <c r="E4622" s="201">
        <f>MONTH($B4622)</f>
        <v/>
      </c>
      <c r="F4622" s="235">
        <f>($B4622+$C4622+1)/2</f>
        <v/>
      </c>
      <c r="G4622" s="201">
        <f>YEAR($B4622)*12+MONTH($B4622)-1</f>
        <v/>
      </c>
      <c r="H4622" s="207">
        <f>IF(OR(nr_SeasonOn="OFF",re_srow=0,re_ssum=0),1,12*INDEX(se_block,re_srow,$E4622)/re_ssum)</f>
        <v/>
      </c>
      <c r="O4622" s="209">
        <f>IF($F4622&lt;$B$4619,$E$4619+$I$4619*($F4622-$A$4619),IF($F4622&lt;$C$4619,$F$4619+$J$4619*($F4622-$B$4619),$G$4619+$K$4619*($F4622-$C$4619)))</f>
        <v/>
      </c>
      <c r="P4622" s="208">
        <f>MIN(1,MAX(0,(nr_MEndPm1-$G4622+0.5)/nr_TermMonths))-MIN(1,MAX(0,(nr_MStartPm1-1-$G4622+0.5)/nr_TermMonths))</f>
        <v/>
      </c>
      <c r="Q4622" s="208">
        <f>MIN(1,MAX(0,(nr_MEndP-$G4622+0.5)/nr_TermMonths))-MIN(1,MAX(0,(nr_MStartP-1-$G4622+0.5)/nr_TermMonths))</f>
        <v/>
      </c>
      <c r="R4622" s="208">
        <f>MIN(1,MAX(0,(nr_MEndP1-$G4622+0.5)/nr_TermMonths))-MIN(1,MAX(0,(nr_MStartP1-1-$G4622+0.5)/nr_TermMonths))</f>
        <v/>
      </c>
    </row>
    <row r="4623">
      <c r="A4623" s="145" t="n">
        <v>3</v>
      </c>
      <c r="B4623" s="204">
        <f>EDATE($B4622,1)</f>
        <v/>
      </c>
      <c r="C4623" s="205">
        <f>EOMONTH($B4623,0)</f>
        <v/>
      </c>
      <c r="D4623" s="201">
        <f>$C4623-$B4623+1</f>
        <v/>
      </c>
      <c r="E4623" s="201">
        <f>MONTH($B4623)</f>
        <v/>
      </c>
      <c r="F4623" s="235">
        <f>($B4623+$C4623+1)/2</f>
        <v/>
      </c>
      <c r="G4623" s="201">
        <f>YEAR($B4623)*12+MONTH($B4623)-1</f>
        <v/>
      </c>
      <c r="H4623" s="207">
        <f>IF(OR(nr_SeasonOn="OFF",re_srow=0,re_ssum=0),1,12*INDEX(se_block,re_srow,$E4623)/re_ssum)</f>
        <v/>
      </c>
      <c r="O4623" s="209">
        <f>IF($F4623&lt;$B$4619,$E$4619+$I$4619*($F4623-$A$4619),IF($F4623&lt;$C$4619,$F$4619+$J$4619*($F4623-$B$4619),$G$4619+$K$4619*($F4623-$C$4619)))</f>
        <v/>
      </c>
      <c r="P4623" s="208">
        <f>MIN(1,MAX(0,(nr_MEndPm1-$G4623+0.5)/nr_TermMonths))-MIN(1,MAX(0,(nr_MStartPm1-1-$G4623+0.5)/nr_TermMonths))</f>
        <v/>
      </c>
      <c r="Q4623" s="208">
        <f>MIN(1,MAX(0,(nr_MEndP-$G4623+0.5)/nr_TermMonths))-MIN(1,MAX(0,(nr_MStartP-1-$G4623+0.5)/nr_TermMonths))</f>
        <v/>
      </c>
      <c r="R4623" s="208">
        <f>MIN(1,MAX(0,(nr_MEndP1-$G4623+0.5)/nr_TermMonths))-MIN(1,MAX(0,(nr_MStartP1-1-$G4623+0.5)/nr_TermMonths))</f>
        <v/>
      </c>
    </row>
    <row r="4624">
      <c r="A4624" s="145" t="n">
        <v>4</v>
      </c>
      <c r="B4624" s="204">
        <f>EDATE($B4623,1)</f>
        <v/>
      </c>
      <c r="C4624" s="205">
        <f>EOMONTH($B4624,0)</f>
        <v/>
      </c>
      <c r="D4624" s="201">
        <f>$C4624-$B4624+1</f>
        <v/>
      </c>
      <c r="E4624" s="201">
        <f>MONTH($B4624)</f>
        <v/>
      </c>
      <c r="F4624" s="235">
        <f>($B4624+$C4624+1)/2</f>
        <v/>
      </c>
      <c r="G4624" s="201">
        <f>YEAR($B4624)*12+MONTH($B4624)-1</f>
        <v/>
      </c>
      <c r="H4624" s="207">
        <f>IF(OR(nr_SeasonOn="OFF",re_srow=0,re_ssum=0),1,12*INDEX(se_block,re_srow,$E4624)/re_ssum)</f>
        <v/>
      </c>
      <c r="O4624" s="209">
        <f>IF($F4624&lt;$B$4619,$E$4619+$I$4619*($F4624-$A$4619),IF($F4624&lt;$C$4619,$F$4619+$J$4619*($F4624-$B$4619),$G$4619+$K$4619*($F4624-$C$4619)))</f>
        <v/>
      </c>
      <c r="P4624" s="208">
        <f>MIN(1,MAX(0,(nr_MEndPm1-$G4624+0.5)/nr_TermMonths))-MIN(1,MAX(0,(nr_MStartPm1-1-$G4624+0.5)/nr_TermMonths))</f>
        <v/>
      </c>
      <c r="Q4624" s="208">
        <f>MIN(1,MAX(0,(nr_MEndP-$G4624+0.5)/nr_TermMonths))-MIN(1,MAX(0,(nr_MStartP-1-$G4624+0.5)/nr_TermMonths))</f>
        <v/>
      </c>
      <c r="R4624" s="208">
        <f>MIN(1,MAX(0,(nr_MEndP1-$G4624+0.5)/nr_TermMonths))-MIN(1,MAX(0,(nr_MStartP1-1-$G4624+0.5)/nr_TermMonths))</f>
        <v/>
      </c>
    </row>
    <row r="4625">
      <c r="A4625" s="145" t="n">
        <v>5</v>
      </c>
      <c r="B4625" s="204">
        <f>EDATE($B4624,1)</f>
        <v/>
      </c>
      <c r="C4625" s="205">
        <f>EOMONTH($B4625,0)</f>
        <v/>
      </c>
      <c r="D4625" s="201">
        <f>$C4625-$B4625+1</f>
        <v/>
      </c>
      <c r="E4625" s="201">
        <f>MONTH($B4625)</f>
        <v/>
      </c>
      <c r="F4625" s="235">
        <f>($B4625+$C4625+1)/2</f>
        <v/>
      </c>
      <c r="G4625" s="201">
        <f>YEAR($B4625)*12+MONTH($B4625)-1</f>
        <v/>
      </c>
      <c r="H4625" s="207">
        <f>IF(OR(nr_SeasonOn="OFF",re_srow=0,re_ssum=0),1,12*INDEX(se_block,re_srow,$E4625)/re_ssum)</f>
        <v/>
      </c>
      <c r="O4625" s="209">
        <f>IF($F4625&lt;$B$4619,$E$4619+$I$4619*($F4625-$A$4619),IF($F4625&lt;$C$4619,$F$4619+$J$4619*($F4625-$B$4619),$G$4619+$K$4619*($F4625-$C$4619)))</f>
        <v/>
      </c>
      <c r="P4625" s="208">
        <f>MIN(1,MAX(0,(nr_MEndPm1-$G4625+0.5)/nr_TermMonths))-MIN(1,MAX(0,(nr_MStartPm1-1-$G4625+0.5)/nr_TermMonths))</f>
        <v/>
      </c>
      <c r="Q4625" s="208">
        <f>MIN(1,MAX(0,(nr_MEndP-$G4625+0.5)/nr_TermMonths))-MIN(1,MAX(0,(nr_MStartP-1-$G4625+0.5)/nr_TermMonths))</f>
        <v/>
      </c>
      <c r="R4625" s="208">
        <f>MIN(1,MAX(0,(nr_MEndP1-$G4625+0.5)/nr_TermMonths))-MIN(1,MAX(0,(nr_MStartP1-1-$G4625+0.5)/nr_TermMonths))</f>
        <v/>
      </c>
    </row>
    <row r="4626">
      <c r="A4626" s="145" t="n">
        <v>6</v>
      </c>
      <c r="B4626" s="204">
        <f>EDATE($B4625,1)</f>
        <v/>
      </c>
      <c r="C4626" s="205">
        <f>EOMONTH($B4626,0)</f>
        <v/>
      </c>
      <c r="D4626" s="201">
        <f>$C4626-$B4626+1</f>
        <v/>
      </c>
      <c r="E4626" s="201">
        <f>MONTH($B4626)</f>
        <v/>
      </c>
      <c r="F4626" s="235">
        <f>($B4626+$C4626+1)/2</f>
        <v/>
      </c>
      <c r="G4626" s="201">
        <f>YEAR($B4626)*12+MONTH($B4626)-1</f>
        <v/>
      </c>
      <c r="H4626" s="207">
        <f>IF(OR(nr_SeasonOn="OFF",re_srow=0,re_ssum=0),1,12*INDEX(se_block,re_srow,$E4626)/re_ssum)</f>
        <v/>
      </c>
      <c r="O4626" s="209">
        <f>IF($F4626&lt;$B$4619,$E$4619+$I$4619*($F4626-$A$4619),IF($F4626&lt;$C$4619,$F$4619+$J$4619*($F4626-$B$4619),$G$4619+$K$4619*($F4626-$C$4619)))</f>
        <v/>
      </c>
      <c r="P4626" s="208">
        <f>MIN(1,MAX(0,(nr_MEndPm1-$G4626+0.5)/nr_TermMonths))-MIN(1,MAX(0,(nr_MStartPm1-1-$G4626+0.5)/nr_TermMonths))</f>
        <v/>
      </c>
      <c r="Q4626" s="208">
        <f>MIN(1,MAX(0,(nr_MEndP-$G4626+0.5)/nr_TermMonths))-MIN(1,MAX(0,(nr_MStartP-1-$G4626+0.5)/nr_TermMonths))</f>
        <v/>
      </c>
      <c r="R4626" s="208">
        <f>MIN(1,MAX(0,(nr_MEndP1-$G4626+0.5)/nr_TermMonths))-MIN(1,MAX(0,(nr_MStartP1-1-$G4626+0.5)/nr_TermMonths))</f>
        <v/>
      </c>
    </row>
    <row r="4627">
      <c r="A4627" s="145" t="n">
        <v>7</v>
      </c>
      <c r="B4627" s="204">
        <f>EDATE($B4626,1)</f>
        <v/>
      </c>
      <c r="C4627" s="205">
        <f>EOMONTH($B4627,0)</f>
        <v/>
      </c>
      <c r="D4627" s="201">
        <f>$C4627-$B4627+1</f>
        <v/>
      </c>
      <c r="E4627" s="201">
        <f>MONTH($B4627)</f>
        <v/>
      </c>
      <c r="F4627" s="235">
        <f>($B4627+$C4627+1)/2</f>
        <v/>
      </c>
      <c r="G4627" s="201">
        <f>YEAR($B4627)*12+MONTH($B4627)-1</f>
        <v/>
      </c>
      <c r="H4627" s="207">
        <f>IF(OR(nr_SeasonOn="OFF",re_srow=0,re_ssum=0),1,12*INDEX(se_block,re_srow,$E4627)/re_ssum)</f>
        <v/>
      </c>
      <c r="O4627" s="209">
        <f>IF($F4627&lt;$B$4619,$E$4619+$I$4619*($F4627-$A$4619),IF($F4627&lt;$C$4619,$F$4619+$J$4619*($F4627-$B$4619),$G$4619+$K$4619*($F4627-$C$4619)))</f>
        <v/>
      </c>
      <c r="P4627" s="208">
        <f>MIN(1,MAX(0,(nr_MEndPm1-$G4627+0.5)/nr_TermMonths))-MIN(1,MAX(0,(nr_MStartPm1-1-$G4627+0.5)/nr_TermMonths))</f>
        <v/>
      </c>
      <c r="Q4627" s="208">
        <f>MIN(1,MAX(0,(nr_MEndP-$G4627+0.5)/nr_TermMonths))-MIN(1,MAX(0,(nr_MStartP-1-$G4627+0.5)/nr_TermMonths))</f>
        <v/>
      </c>
      <c r="R4627" s="208">
        <f>MIN(1,MAX(0,(nr_MEndP1-$G4627+0.5)/nr_TermMonths))-MIN(1,MAX(0,(nr_MStartP1-1-$G4627+0.5)/nr_TermMonths))</f>
        <v/>
      </c>
    </row>
    <row r="4628">
      <c r="A4628" s="145" t="n">
        <v>8</v>
      </c>
      <c r="B4628" s="204">
        <f>EDATE($B4627,1)</f>
        <v/>
      </c>
      <c r="C4628" s="205">
        <f>EOMONTH($B4628,0)</f>
        <v/>
      </c>
      <c r="D4628" s="201">
        <f>$C4628-$B4628+1</f>
        <v/>
      </c>
      <c r="E4628" s="201">
        <f>MONTH($B4628)</f>
        <v/>
      </c>
      <c r="F4628" s="235">
        <f>($B4628+$C4628+1)/2</f>
        <v/>
      </c>
      <c r="G4628" s="201">
        <f>YEAR($B4628)*12+MONTH($B4628)-1</f>
        <v/>
      </c>
      <c r="H4628" s="207">
        <f>IF(OR(nr_SeasonOn="OFF",re_srow=0,re_ssum=0),1,12*INDEX(se_block,re_srow,$E4628)/re_ssum)</f>
        <v/>
      </c>
      <c r="O4628" s="209">
        <f>IF($F4628&lt;$B$4619,$E$4619+$I$4619*($F4628-$A$4619),IF($F4628&lt;$C$4619,$F$4619+$J$4619*($F4628-$B$4619),$G$4619+$K$4619*($F4628-$C$4619)))</f>
        <v/>
      </c>
      <c r="P4628" s="208">
        <f>MIN(1,MAX(0,(nr_MEndPm1-$G4628+0.5)/nr_TermMonths))-MIN(1,MAX(0,(nr_MStartPm1-1-$G4628+0.5)/nr_TermMonths))</f>
        <v/>
      </c>
      <c r="Q4628" s="208">
        <f>MIN(1,MAX(0,(nr_MEndP-$G4628+0.5)/nr_TermMonths))-MIN(1,MAX(0,(nr_MStartP-1-$G4628+0.5)/nr_TermMonths))</f>
        <v/>
      </c>
      <c r="R4628" s="208">
        <f>MIN(1,MAX(0,(nr_MEndP1-$G4628+0.5)/nr_TermMonths))-MIN(1,MAX(0,(nr_MStartP1-1-$G4628+0.5)/nr_TermMonths))</f>
        <v/>
      </c>
    </row>
    <row r="4629">
      <c r="A4629" s="145" t="n">
        <v>9</v>
      </c>
      <c r="B4629" s="204">
        <f>EDATE($B4628,1)</f>
        <v/>
      </c>
      <c r="C4629" s="205">
        <f>EOMONTH($B4629,0)</f>
        <v/>
      </c>
      <c r="D4629" s="201">
        <f>$C4629-$B4629+1</f>
        <v/>
      </c>
      <c r="E4629" s="201">
        <f>MONTH($B4629)</f>
        <v/>
      </c>
      <c r="F4629" s="235">
        <f>($B4629+$C4629+1)/2</f>
        <v/>
      </c>
      <c r="G4629" s="201">
        <f>YEAR($B4629)*12+MONTH($B4629)-1</f>
        <v/>
      </c>
      <c r="H4629" s="207">
        <f>IF(OR(nr_SeasonOn="OFF",re_srow=0,re_ssum=0),1,12*INDEX(se_block,re_srow,$E4629)/re_ssum)</f>
        <v/>
      </c>
      <c r="O4629" s="209">
        <f>IF($F4629&lt;$B$4619,$E$4619+$I$4619*($F4629-$A$4619),IF($F4629&lt;$C$4619,$F$4619+$J$4619*($F4629-$B$4619),$G$4619+$K$4619*($F4629-$C$4619)))</f>
        <v/>
      </c>
      <c r="P4629" s="208">
        <f>MIN(1,MAX(0,(nr_MEndPm1-$G4629+0.5)/nr_TermMonths))-MIN(1,MAX(0,(nr_MStartPm1-1-$G4629+0.5)/nr_TermMonths))</f>
        <v/>
      </c>
      <c r="Q4629" s="208">
        <f>MIN(1,MAX(0,(nr_MEndP-$G4629+0.5)/nr_TermMonths))-MIN(1,MAX(0,(nr_MStartP-1-$G4629+0.5)/nr_TermMonths))</f>
        <v/>
      </c>
      <c r="R4629" s="208">
        <f>MIN(1,MAX(0,(nr_MEndP1-$G4629+0.5)/nr_TermMonths))-MIN(1,MAX(0,(nr_MStartP1-1-$G4629+0.5)/nr_TermMonths))</f>
        <v/>
      </c>
    </row>
    <row r="4630">
      <c r="A4630" s="145" t="n">
        <v>10</v>
      </c>
      <c r="B4630" s="204">
        <f>EDATE($B4629,1)</f>
        <v/>
      </c>
      <c r="C4630" s="205">
        <f>EOMONTH($B4630,0)</f>
        <v/>
      </c>
      <c r="D4630" s="201">
        <f>$C4630-$B4630+1</f>
        <v/>
      </c>
      <c r="E4630" s="201">
        <f>MONTH($B4630)</f>
        <v/>
      </c>
      <c r="F4630" s="235">
        <f>($B4630+$C4630+1)/2</f>
        <v/>
      </c>
      <c r="G4630" s="201">
        <f>YEAR($B4630)*12+MONTH($B4630)-1</f>
        <v/>
      </c>
      <c r="H4630" s="207">
        <f>IF(OR(nr_SeasonOn="OFF",re_srow=0,re_ssum=0),1,12*INDEX(se_block,re_srow,$E4630)/re_ssum)</f>
        <v/>
      </c>
      <c r="O4630" s="209">
        <f>IF($F4630&lt;$B$4619,$E$4619+$I$4619*($F4630-$A$4619),IF($F4630&lt;$C$4619,$F$4619+$J$4619*($F4630-$B$4619),$G$4619+$K$4619*($F4630-$C$4619)))</f>
        <v/>
      </c>
      <c r="P4630" s="208">
        <f>MIN(1,MAX(0,(nr_MEndPm1-$G4630+0.5)/nr_TermMonths))-MIN(1,MAX(0,(nr_MStartPm1-1-$G4630+0.5)/nr_TermMonths))</f>
        <v/>
      </c>
      <c r="Q4630" s="208">
        <f>MIN(1,MAX(0,(nr_MEndP-$G4630+0.5)/nr_TermMonths))-MIN(1,MAX(0,(nr_MStartP-1-$G4630+0.5)/nr_TermMonths))</f>
        <v/>
      </c>
      <c r="R4630" s="208">
        <f>MIN(1,MAX(0,(nr_MEndP1-$G4630+0.5)/nr_TermMonths))-MIN(1,MAX(0,(nr_MStartP1-1-$G4630+0.5)/nr_TermMonths))</f>
        <v/>
      </c>
    </row>
    <row r="4631">
      <c r="A4631" s="145" t="n">
        <v>11</v>
      </c>
      <c r="B4631" s="204">
        <f>EDATE($B4630,1)</f>
        <v/>
      </c>
      <c r="C4631" s="205">
        <f>EOMONTH($B4631,0)</f>
        <v/>
      </c>
      <c r="D4631" s="201">
        <f>$C4631-$B4631+1</f>
        <v/>
      </c>
      <c r="E4631" s="201">
        <f>MONTH($B4631)</f>
        <v/>
      </c>
      <c r="F4631" s="235">
        <f>($B4631+$C4631+1)/2</f>
        <v/>
      </c>
      <c r="G4631" s="201">
        <f>YEAR($B4631)*12+MONTH($B4631)-1</f>
        <v/>
      </c>
      <c r="H4631" s="207">
        <f>IF(OR(nr_SeasonOn="OFF",re_srow=0,re_ssum=0),1,12*INDEX(se_block,re_srow,$E4631)/re_ssum)</f>
        <v/>
      </c>
      <c r="O4631" s="209">
        <f>IF($F4631&lt;$B$4619,$E$4619+$I$4619*($F4631-$A$4619),IF($F4631&lt;$C$4619,$F$4619+$J$4619*($F4631-$B$4619),$G$4619+$K$4619*($F4631-$C$4619)))</f>
        <v/>
      </c>
      <c r="P4631" s="208">
        <f>MIN(1,MAX(0,(nr_MEndPm1-$G4631+0.5)/nr_TermMonths))-MIN(1,MAX(0,(nr_MStartPm1-1-$G4631+0.5)/nr_TermMonths))</f>
        <v/>
      </c>
      <c r="Q4631" s="208">
        <f>MIN(1,MAX(0,(nr_MEndP-$G4631+0.5)/nr_TermMonths))-MIN(1,MAX(0,(nr_MStartP-1-$G4631+0.5)/nr_TermMonths))</f>
        <v/>
      </c>
      <c r="R4631" s="208">
        <f>MIN(1,MAX(0,(nr_MEndP1-$G4631+0.5)/nr_TermMonths))-MIN(1,MAX(0,(nr_MStartP1-1-$G4631+0.5)/nr_TermMonths))</f>
        <v/>
      </c>
    </row>
    <row r="4632">
      <c r="A4632" s="145" t="n">
        <v>12</v>
      </c>
      <c r="B4632" s="204">
        <f>EDATE($B4631,1)</f>
        <v/>
      </c>
      <c r="C4632" s="205">
        <f>EOMONTH($B4632,0)</f>
        <v/>
      </c>
      <c r="D4632" s="201">
        <f>$C4632-$B4632+1</f>
        <v/>
      </c>
      <c r="E4632" s="201">
        <f>MONTH($B4632)</f>
        <v/>
      </c>
      <c r="F4632" s="235">
        <f>($B4632+$C4632+1)/2</f>
        <v/>
      </c>
      <c r="G4632" s="201">
        <f>YEAR($B4632)*12+MONTH($B4632)-1</f>
        <v/>
      </c>
      <c r="H4632" s="207">
        <f>IF(OR(nr_SeasonOn="OFF",re_srow=0,re_ssum=0),1,12*INDEX(se_block,re_srow,$E4632)/re_ssum)</f>
        <v/>
      </c>
      <c r="O4632" s="209">
        <f>IF($F4632&lt;$B$4619,$E$4619+$I$4619*($F4632-$A$4619),IF($F4632&lt;$C$4619,$F$4619+$J$4619*($F4632-$B$4619),$G$4619+$K$4619*($F4632-$C$4619)))</f>
        <v/>
      </c>
      <c r="P4632" s="208">
        <f>MIN(1,MAX(0,(nr_MEndPm1-$G4632+0.5)/nr_TermMonths))-MIN(1,MAX(0,(nr_MStartPm1-1-$G4632+0.5)/nr_TermMonths))</f>
        <v/>
      </c>
      <c r="Q4632" s="208">
        <f>MIN(1,MAX(0,(nr_MEndP-$G4632+0.5)/nr_TermMonths))-MIN(1,MAX(0,(nr_MStartP-1-$G4632+0.5)/nr_TermMonths))</f>
        <v/>
      </c>
      <c r="R4632" s="208">
        <f>MIN(1,MAX(0,(nr_MEndP1-$G4632+0.5)/nr_TermMonths))-MIN(1,MAX(0,(nr_MStartP1-1-$G4632+0.5)/nr_TermMonths))</f>
        <v/>
      </c>
    </row>
    <row r="4633">
      <c r="A4633" s="145" t="n">
        <v>13</v>
      </c>
      <c r="B4633" s="204">
        <f>EDATE($B4632,1)</f>
        <v/>
      </c>
      <c r="C4633" s="205">
        <f>EOMONTH($B4633,0)</f>
        <v/>
      </c>
      <c r="D4633" s="201">
        <f>$C4633-$B4633+1</f>
        <v/>
      </c>
      <c r="E4633" s="201">
        <f>MONTH($B4633)</f>
        <v/>
      </c>
      <c r="F4633" s="235">
        <f>($B4633+$C4633+1)/2</f>
        <v/>
      </c>
      <c r="G4633" s="201">
        <f>YEAR($B4633)*12+MONTH($B4633)-1</f>
        <v/>
      </c>
      <c r="H4633" s="207">
        <f>IF(OR(nr_SeasonOn="OFF",re_srow=0,re_ssum=0),1,12*INDEX(se_block,re_srow,$E4633)/re_ssum)</f>
        <v/>
      </c>
      <c r="O4633" s="209">
        <f>IF($F4633&lt;$B$4619,$E$4619+$I$4619*($F4633-$A$4619),IF($F4633&lt;$C$4619,$F$4619+$J$4619*($F4633-$B$4619),$G$4619+$K$4619*($F4633-$C$4619)))</f>
        <v/>
      </c>
      <c r="P4633" s="208">
        <f>MIN(1,MAX(0,(nr_MEndPm1-$G4633+0.5)/nr_TermMonths))-MIN(1,MAX(0,(nr_MStartPm1-1-$G4633+0.5)/nr_TermMonths))</f>
        <v/>
      </c>
      <c r="Q4633" s="208">
        <f>MIN(1,MAX(0,(nr_MEndP-$G4633+0.5)/nr_TermMonths))-MIN(1,MAX(0,(nr_MStartP-1-$G4633+0.5)/nr_TermMonths))</f>
        <v/>
      </c>
      <c r="R4633" s="208">
        <f>MIN(1,MAX(0,(nr_MEndP1-$G4633+0.5)/nr_TermMonths))-MIN(1,MAX(0,(nr_MStartP1-1-$G4633+0.5)/nr_TermMonths))</f>
        <v/>
      </c>
    </row>
    <row r="4634">
      <c r="A4634" s="145" t="n">
        <v>14</v>
      </c>
      <c r="B4634" s="204">
        <f>EDATE($B4633,1)</f>
        <v/>
      </c>
      <c r="C4634" s="205">
        <f>EOMONTH($B4634,0)</f>
        <v/>
      </c>
      <c r="D4634" s="201">
        <f>$C4634-$B4634+1</f>
        <v/>
      </c>
      <c r="E4634" s="201">
        <f>MONTH($B4634)</f>
        <v/>
      </c>
      <c r="F4634" s="235">
        <f>($B4634+$C4634+1)/2</f>
        <v/>
      </c>
      <c r="G4634" s="201">
        <f>YEAR($B4634)*12+MONTH($B4634)-1</f>
        <v/>
      </c>
      <c r="H4634" s="207">
        <f>IF(OR(nr_SeasonOn="OFF",re_srow=0,re_ssum=0),1,12*INDEX(se_block,re_srow,$E4634)/re_ssum)</f>
        <v/>
      </c>
      <c r="O4634" s="209">
        <f>IF($F4634&lt;$B$4619,$E$4619+$I$4619*($F4634-$A$4619),IF($F4634&lt;$C$4619,$F$4619+$J$4619*($F4634-$B$4619),$G$4619+$K$4619*($F4634-$C$4619)))</f>
        <v/>
      </c>
      <c r="P4634" s="208">
        <f>MIN(1,MAX(0,(nr_MEndPm1-$G4634+0.5)/nr_TermMonths))-MIN(1,MAX(0,(nr_MStartPm1-1-$G4634+0.5)/nr_TermMonths))</f>
        <v/>
      </c>
      <c r="Q4634" s="208">
        <f>MIN(1,MAX(0,(nr_MEndP-$G4634+0.5)/nr_TermMonths))-MIN(1,MAX(0,(nr_MStartP-1-$G4634+0.5)/nr_TermMonths))</f>
        <v/>
      </c>
      <c r="R4634" s="208">
        <f>MIN(1,MAX(0,(nr_MEndP1-$G4634+0.5)/nr_TermMonths))-MIN(1,MAX(0,(nr_MStartP1-1-$G4634+0.5)/nr_TermMonths))</f>
        <v/>
      </c>
    </row>
    <row r="4635">
      <c r="A4635" s="145" t="n">
        <v>15</v>
      </c>
      <c r="B4635" s="204">
        <f>EDATE($B4634,1)</f>
        <v/>
      </c>
      <c r="C4635" s="205">
        <f>EOMONTH($B4635,0)</f>
        <v/>
      </c>
      <c r="D4635" s="201">
        <f>$C4635-$B4635+1</f>
        <v/>
      </c>
      <c r="E4635" s="201">
        <f>MONTH($B4635)</f>
        <v/>
      </c>
      <c r="F4635" s="235">
        <f>($B4635+$C4635+1)/2</f>
        <v/>
      </c>
      <c r="G4635" s="201">
        <f>YEAR($B4635)*12+MONTH($B4635)-1</f>
        <v/>
      </c>
      <c r="H4635" s="207">
        <f>IF(OR(nr_SeasonOn="OFF",re_srow=0,re_ssum=0),1,12*INDEX(se_block,re_srow,$E4635)/re_ssum)</f>
        <v/>
      </c>
      <c r="O4635" s="209">
        <f>IF($F4635&lt;$B$4619,$E$4619+$I$4619*($F4635-$A$4619),IF($F4635&lt;$C$4619,$F$4619+$J$4619*($F4635-$B$4619),$G$4619+$K$4619*($F4635-$C$4619)))</f>
        <v/>
      </c>
      <c r="P4635" s="208">
        <f>MIN(1,MAX(0,(nr_MEndPm1-$G4635+0.5)/nr_TermMonths))-MIN(1,MAX(0,(nr_MStartPm1-1-$G4635+0.5)/nr_TermMonths))</f>
        <v/>
      </c>
      <c r="Q4635" s="208">
        <f>MIN(1,MAX(0,(nr_MEndP-$G4635+0.5)/nr_TermMonths))-MIN(1,MAX(0,(nr_MStartP-1-$G4635+0.5)/nr_TermMonths))</f>
        <v/>
      </c>
      <c r="R4635" s="208">
        <f>MIN(1,MAX(0,(nr_MEndP1-$G4635+0.5)/nr_TermMonths))-MIN(1,MAX(0,(nr_MStartP1-1-$G4635+0.5)/nr_TermMonths))</f>
        <v/>
      </c>
    </row>
    <row r="4636">
      <c r="A4636" s="145" t="n">
        <v>16</v>
      </c>
      <c r="B4636" s="204">
        <f>EDATE($B4635,1)</f>
        <v/>
      </c>
      <c r="C4636" s="205">
        <f>EOMONTH($B4636,0)</f>
        <v/>
      </c>
      <c r="D4636" s="201">
        <f>$C4636-$B4636+1</f>
        <v/>
      </c>
      <c r="E4636" s="201">
        <f>MONTH($B4636)</f>
        <v/>
      </c>
      <c r="F4636" s="235">
        <f>($B4636+$C4636+1)/2</f>
        <v/>
      </c>
      <c r="G4636" s="201">
        <f>YEAR($B4636)*12+MONTH($B4636)-1</f>
        <v/>
      </c>
      <c r="H4636" s="207">
        <f>IF(OR(nr_SeasonOn="OFF",re_srow=0,re_ssum=0),1,12*INDEX(se_block,re_srow,$E4636)/re_ssum)</f>
        <v/>
      </c>
      <c r="O4636" s="209">
        <f>IF($F4636&lt;$B$4619,$E$4619+$I$4619*($F4636-$A$4619),IF($F4636&lt;$C$4619,$F$4619+$J$4619*($F4636-$B$4619),$G$4619+$K$4619*($F4636-$C$4619)))</f>
        <v/>
      </c>
      <c r="P4636" s="208">
        <f>MIN(1,MAX(0,(nr_MEndPm1-$G4636+0.5)/nr_TermMonths))-MIN(1,MAX(0,(nr_MStartPm1-1-$G4636+0.5)/nr_TermMonths))</f>
        <v/>
      </c>
      <c r="Q4636" s="208">
        <f>MIN(1,MAX(0,(nr_MEndP-$G4636+0.5)/nr_TermMonths))-MIN(1,MAX(0,(nr_MStartP-1-$G4636+0.5)/nr_TermMonths))</f>
        <v/>
      </c>
      <c r="R4636" s="208">
        <f>MIN(1,MAX(0,(nr_MEndP1-$G4636+0.5)/nr_TermMonths))-MIN(1,MAX(0,(nr_MStartP1-1-$G4636+0.5)/nr_TermMonths))</f>
        <v/>
      </c>
    </row>
    <row r="4637">
      <c r="A4637" s="145" t="n">
        <v>17</v>
      </c>
      <c r="B4637" s="204">
        <f>EDATE($B4636,1)</f>
        <v/>
      </c>
      <c r="C4637" s="205">
        <f>EOMONTH($B4637,0)</f>
        <v/>
      </c>
      <c r="D4637" s="201">
        <f>$C4637-$B4637+1</f>
        <v/>
      </c>
      <c r="E4637" s="201">
        <f>MONTH($B4637)</f>
        <v/>
      </c>
      <c r="F4637" s="235">
        <f>($B4637+$C4637+1)/2</f>
        <v/>
      </c>
      <c r="G4637" s="201">
        <f>YEAR($B4637)*12+MONTH($B4637)-1</f>
        <v/>
      </c>
      <c r="H4637" s="207">
        <f>IF(OR(nr_SeasonOn="OFF",re_srow=0,re_ssum=0),1,12*INDEX(se_block,re_srow,$E4637)/re_ssum)</f>
        <v/>
      </c>
      <c r="O4637" s="209">
        <f>IF($F4637&lt;$B$4619,$E$4619+$I$4619*($F4637-$A$4619),IF($F4637&lt;$C$4619,$F$4619+$J$4619*($F4637-$B$4619),$G$4619+$K$4619*($F4637-$C$4619)))</f>
        <v/>
      </c>
      <c r="P4637" s="208">
        <f>MIN(1,MAX(0,(nr_MEndPm1-$G4637+0.5)/nr_TermMonths))-MIN(1,MAX(0,(nr_MStartPm1-1-$G4637+0.5)/nr_TermMonths))</f>
        <v/>
      </c>
      <c r="Q4637" s="208">
        <f>MIN(1,MAX(0,(nr_MEndP-$G4637+0.5)/nr_TermMonths))-MIN(1,MAX(0,(nr_MStartP-1-$G4637+0.5)/nr_TermMonths))</f>
        <v/>
      </c>
      <c r="R4637" s="208">
        <f>MIN(1,MAX(0,(nr_MEndP1-$G4637+0.5)/nr_TermMonths))-MIN(1,MAX(0,(nr_MStartP1-1-$G4637+0.5)/nr_TermMonths))</f>
        <v/>
      </c>
    </row>
    <row r="4638">
      <c r="A4638" s="145" t="n">
        <v>18</v>
      </c>
      <c r="B4638" s="204">
        <f>EDATE($B4637,1)</f>
        <v/>
      </c>
      <c r="C4638" s="205">
        <f>EOMONTH($B4638,0)</f>
        <v/>
      </c>
      <c r="D4638" s="201">
        <f>$C4638-$B4638+1</f>
        <v/>
      </c>
      <c r="E4638" s="201">
        <f>MONTH($B4638)</f>
        <v/>
      </c>
      <c r="F4638" s="235">
        <f>($B4638+$C4638+1)/2</f>
        <v/>
      </c>
      <c r="G4638" s="201">
        <f>YEAR($B4638)*12+MONTH($B4638)-1</f>
        <v/>
      </c>
      <c r="H4638" s="207">
        <f>IF(OR(nr_SeasonOn="OFF",re_srow=0,re_ssum=0),1,12*INDEX(se_block,re_srow,$E4638)/re_ssum)</f>
        <v/>
      </c>
      <c r="O4638" s="209">
        <f>IF($F4638&lt;$B$4619,$E$4619+$I$4619*($F4638-$A$4619),IF($F4638&lt;$C$4619,$F$4619+$J$4619*($F4638-$B$4619),$G$4619+$K$4619*($F4638-$C$4619)))</f>
        <v/>
      </c>
      <c r="P4638" s="208">
        <f>MIN(1,MAX(0,(nr_MEndPm1-$G4638+0.5)/nr_TermMonths))-MIN(1,MAX(0,(nr_MStartPm1-1-$G4638+0.5)/nr_TermMonths))</f>
        <v/>
      </c>
      <c r="Q4638" s="208">
        <f>MIN(1,MAX(0,(nr_MEndP-$G4638+0.5)/nr_TermMonths))-MIN(1,MAX(0,(nr_MStartP-1-$G4638+0.5)/nr_TermMonths))</f>
        <v/>
      </c>
      <c r="R4638" s="208">
        <f>MIN(1,MAX(0,(nr_MEndP1-$G4638+0.5)/nr_TermMonths))-MIN(1,MAX(0,(nr_MStartP1-1-$G4638+0.5)/nr_TermMonths))</f>
        <v/>
      </c>
    </row>
    <row r="4639">
      <c r="A4639" s="145" t="n">
        <v>19</v>
      </c>
      <c r="B4639" s="204">
        <f>EDATE($B4638,1)</f>
        <v/>
      </c>
      <c r="C4639" s="205">
        <f>EOMONTH($B4639,0)</f>
        <v/>
      </c>
      <c r="D4639" s="201">
        <f>$C4639-$B4639+1</f>
        <v/>
      </c>
      <c r="E4639" s="201">
        <f>MONTH($B4639)</f>
        <v/>
      </c>
      <c r="F4639" s="235">
        <f>($B4639+$C4639+1)/2</f>
        <v/>
      </c>
      <c r="G4639" s="201">
        <f>YEAR($B4639)*12+MONTH($B4639)-1</f>
        <v/>
      </c>
      <c r="H4639" s="207">
        <f>IF(OR(nr_SeasonOn="OFF",re_srow=0,re_ssum=0),1,12*INDEX(se_block,re_srow,$E4639)/re_ssum)</f>
        <v/>
      </c>
      <c r="O4639" s="209">
        <f>IF($F4639&lt;$B$4619,$E$4619+$I$4619*($F4639-$A$4619),IF($F4639&lt;$C$4619,$F$4619+$J$4619*($F4639-$B$4619),$G$4619+$K$4619*($F4639-$C$4619)))</f>
        <v/>
      </c>
      <c r="P4639" s="208">
        <f>MIN(1,MAX(0,(nr_MEndPm1-$G4639+0.5)/nr_TermMonths))-MIN(1,MAX(0,(nr_MStartPm1-1-$G4639+0.5)/nr_TermMonths))</f>
        <v/>
      </c>
      <c r="Q4639" s="208">
        <f>MIN(1,MAX(0,(nr_MEndP-$G4639+0.5)/nr_TermMonths))-MIN(1,MAX(0,(nr_MStartP-1-$G4639+0.5)/nr_TermMonths))</f>
        <v/>
      </c>
      <c r="R4639" s="208">
        <f>MIN(1,MAX(0,(nr_MEndP1-$G4639+0.5)/nr_TermMonths))-MIN(1,MAX(0,(nr_MStartP1-1-$G4639+0.5)/nr_TermMonths))</f>
        <v/>
      </c>
    </row>
    <row r="4640">
      <c r="A4640" s="145" t="n">
        <v>20</v>
      </c>
      <c r="B4640" s="204">
        <f>EDATE($B4639,1)</f>
        <v/>
      </c>
      <c r="C4640" s="205">
        <f>EOMONTH($B4640,0)</f>
        <v/>
      </c>
      <c r="D4640" s="201">
        <f>$C4640-$B4640+1</f>
        <v/>
      </c>
      <c r="E4640" s="201">
        <f>MONTH($B4640)</f>
        <v/>
      </c>
      <c r="F4640" s="235">
        <f>($B4640+$C4640+1)/2</f>
        <v/>
      </c>
      <c r="G4640" s="201">
        <f>YEAR($B4640)*12+MONTH($B4640)-1</f>
        <v/>
      </c>
      <c r="H4640" s="207">
        <f>IF(OR(nr_SeasonOn="OFF",re_srow=0,re_ssum=0),1,12*INDEX(se_block,re_srow,$E4640)/re_ssum)</f>
        <v/>
      </c>
      <c r="O4640" s="209">
        <f>IF($F4640&lt;$B$4619,$E$4619+$I$4619*($F4640-$A$4619),IF($F4640&lt;$C$4619,$F$4619+$J$4619*($F4640-$B$4619),$G$4619+$K$4619*($F4640-$C$4619)))</f>
        <v/>
      </c>
      <c r="P4640" s="208">
        <f>MIN(1,MAX(0,(nr_MEndPm1-$G4640+0.5)/nr_TermMonths))-MIN(1,MAX(0,(nr_MStartPm1-1-$G4640+0.5)/nr_TermMonths))</f>
        <v/>
      </c>
      <c r="Q4640" s="208">
        <f>MIN(1,MAX(0,(nr_MEndP-$G4640+0.5)/nr_TermMonths))-MIN(1,MAX(0,(nr_MStartP-1-$G4640+0.5)/nr_TermMonths))</f>
        <v/>
      </c>
      <c r="R4640" s="208">
        <f>MIN(1,MAX(0,(nr_MEndP1-$G4640+0.5)/nr_TermMonths))-MIN(1,MAX(0,(nr_MStartP1-1-$G4640+0.5)/nr_TermMonths))</f>
        <v/>
      </c>
    </row>
    <row r="4641">
      <c r="A4641" s="145" t="n">
        <v>21</v>
      </c>
      <c r="B4641" s="204">
        <f>EDATE($B4640,1)</f>
        <v/>
      </c>
      <c r="C4641" s="205">
        <f>EOMONTH($B4641,0)</f>
        <v/>
      </c>
      <c r="D4641" s="201">
        <f>$C4641-$B4641+1</f>
        <v/>
      </c>
      <c r="E4641" s="201">
        <f>MONTH($B4641)</f>
        <v/>
      </c>
      <c r="F4641" s="235">
        <f>($B4641+$C4641+1)/2</f>
        <v/>
      </c>
      <c r="G4641" s="201">
        <f>YEAR($B4641)*12+MONTH($B4641)-1</f>
        <v/>
      </c>
      <c r="H4641" s="207">
        <f>IF(OR(nr_SeasonOn="OFF",re_srow=0,re_ssum=0),1,12*INDEX(se_block,re_srow,$E4641)/re_ssum)</f>
        <v/>
      </c>
      <c r="O4641" s="209">
        <f>IF($F4641&lt;$B$4619,$E$4619+$I$4619*($F4641-$A$4619),IF($F4641&lt;$C$4619,$F$4619+$J$4619*($F4641-$B$4619),$G$4619+$K$4619*($F4641-$C$4619)))</f>
        <v/>
      </c>
      <c r="P4641" s="208">
        <f>MIN(1,MAX(0,(nr_MEndPm1-$G4641+0.5)/nr_TermMonths))-MIN(1,MAX(0,(nr_MStartPm1-1-$G4641+0.5)/nr_TermMonths))</f>
        <v/>
      </c>
      <c r="Q4641" s="208">
        <f>MIN(1,MAX(0,(nr_MEndP-$G4641+0.5)/nr_TermMonths))-MIN(1,MAX(0,(nr_MStartP-1-$G4641+0.5)/nr_TermMonths))</f>
        <v/>
      </c>
      <c r="R4641" s="208">
        <f>MIN(1,MAX(0,(nr_MEndP1-$G4641+0.5)/nr_TermMonths))-MIN(1,MAX(0,(nr_MStartP1-1-$G4641+0.5)/nr_TermMonths))</f>
        <v/>
      </c>
    </row>
    <row r="4642">
      <c r="A4642" s="145" t="n">
        <v>22</v>
      </c>
      <c r="B4642" s="204">
        <f>EDATE($B4641,1)</f>
        <v/>
      </c>
      <c r="C4642" s="205">
        <f>EOMONTH($B4642,0)</f>
        <v/>
      </c>
      <c r="D4642" s="201">
        <f>$C4642-$B4642+1</f>
        <v/>
      </c>
      <c r="E4642" s="201">
        <f>MONTH($B4642)</f>
        <v/>
      </c>
      <c r="F4642" s="235">
        <f>($B4642+$C4642+1)/2</f>
        <v/>
      </c>
      <c r="G4642" s="201">
        <f>YEAR($B4642)*12+MONTH($B4642)-1</f>
        <v/>
      </c>
      <c r="H4642" s="207">
        <f>IF(OR(nr_SeasonOn="OFF",re_srow=0,re_ssum=0),1,12*INDEX(se_block,re_srow,$E4642)/re_ssum)</f>
        <v/>
      </c>
      <c r="O4642" s="209">
        <f>IF($F4642&lt;$B$4619,$E$4619+$I$4619*($F4642-$A$4619),IF($F4642&lt;$C$4619,$F$4619+$J$4619*($F4642-$B$4619),$G$4619+$K$4619*($F4642-$C$4619)))</f>
        <v/>
      </c>
      <c r="P4642" s="208">
        <f>MIN(1,MAX(0,(nr_MEndPm1-$G4642+0.5)/nr_TermMonths))-MIN(1,MAX(0,(nr_MStartPm1-1-$G4642+0.5)/nr_TermMonths))</f>
        <v/>
      </c>
      <c r="Q4642" s="208">
        <f>MIN(1,MAX(0,(nr_MEndP-$G4642+0.5)/nr_TermMonths))-MIN(1,MAX(0,(nr_MStartP-1-$G4642+0.5)/nr_TermMonths))</f>
        <v/>
      </c>
      <c r="R4642" s="208">
        <f>MIN(1,MAX(0,(nr_MEndP1-$G4642+0.5)/nr_TermMonths))-MIN(1,MAX(0,(nr_MStartP1-1-$G4642+0.5)/nr_TermMonths))</f>
        <v/>
      </c>
    </row>
    <row r="4643">
      <c r="A4643" s="145" t="n">
        <v>23</v>
      </c>
      <c r="B4643" s="204">
        <f>EDATE($B4642,1)</f>
        <v/>
      </c>
      <c r="C4643" s="205">
        <f>EOMONTH($B4643,0)</f>
        <v/>
      </c>
      <c r="D4643" s="201">
        <f>$C4643-$B4643+1</f>
        <v/>
      </c>
      <c r="E4643" s="201">
        <f>MONTH($B4643)</f>
        <v/>
      </c>
      <c r="F4643" s="235">
        <f>($B4643+$C4643+1)/2</f>
        <v/>
      </c>
      <c r="G4643" s="201">
        <f>YEAR($B4643)*12+MONTH($B4643)-1</f>
        <v/>
      </c>
      <c r="H4643" s="207">
        <f>IF(OR(nr_SeasonOn="OFF",re_srow=0,re_ssum=0),1,12*INDEX(se_block,re_srow,$E4643)/re_ssum)</f>
        <v/>
      </c>
      <c r="O4643" s="209">
        <f>IF($F4643&lt;$B$4619,$E$4619+$I$4619*($F4643-$A$4619),IF($F4643&lt;$C$4619,$F$4619+$J$4619*($F4643-$B$4619),$G$4619+$K$4619*($F4643-$C$4619)))</f>
        <v/>
      </c>
      <c r="P4643" s="208">
        <f>MIN(1,MAX(0,(nr_MEndPm1-$G4643+0.5)/nr_TermMonths))-MIN(1,MAX(0,(nr_MStartPm1-1-$G4643+0.5)/nr_TermMonths))</f>
        <v/>
      </c>
      <c r="Q4643" s="208">
        <f>MIN(1,MAX(0,(nr_MEndP-$G4643+0.5)/nr_TermMonths))-MIN(1,MAX(0,(nr_MStartP-1-$G4643+0.5)/nr_TermMonths))</f>
        <v/>
      </c>
      <c r="R4643" s="208">
        <f>MIN(1,MAX(0,(nr_MEndP1-$G4643+0.5)/nr_TermMonths))-MIN(1,MAX(0,(nr_MStartP1-1-$G4643+0.5)/nr_TermMonths))</f>
        <v/>
      </c>
    </row>
    <row r="4644">
      <c r="A4644" s="145" t="n">
        <v>24</v>
      </c>
      <c r="B4644" s="204">
        <f>EDATE($B4643,1)</f>
        <v/>
      </c>
      <c r="C4644" s="205">
        <f>EOMONTH($B4644,0)</f>
        <v/>
      </c>
      <c r="D4644" s="201">
        <f>$C4644-$B4644+1</f>
        <v/>
      </c>
      <c r="E4644" s="201">
        <f>MONTH($B4644)</f>
        <v/>
      </c>
      <c r="F4644" s="235">
        <f>($B4644+$C4644+1)/2</f>
        <v/>
      </c>
      <c r="G4644" s="201">
        <f>YEAR($B4644)*12+MONTH($B4644)-1</f>
        <v/>
      </c>
      <c r="H4644" s="207">
        <f>IF(OR(nr_SeasonOn="OFF",re_srow=0,re_ssum=0),1,12*INDEX(se_block,re_srow,$E4644)/re_ssum)</f>
        <v/>
      </c>
      <c r="O4644" s="209">
        <f>IF($F4644&lt;$B$4619,$E$4619+$I$4619*($F4644-$A$4619),IF($F4644&lt;$C$4619,$F$4619+$J$4619*($F4644-$B$4619),$G$4619+$K$4619*($F4644-$C$4619)))</f>
        <v/>
      </c>
      <c r="P4644" s="208">
        <f>MIN(1,MAX(0,(nr_MEndPm1-$G4644+0.5)/nr_TermMonths))-MIN(1,MAX(0,(nr_MStartPm1-1-$G4644+0.5)/nr_TermMonths))</f>
        <v/>
      </c>
      <c r="Q4644" s="208">
        <f>MIN(1,MAX(0,(nr_MEndP-$G4644+0.5)/nr_TermMonths))-MIN(1,MAX(0,(nr_MStartP-1-$G4644+0.5)/nr_TermMonths))</f>
        <v/>
      </c>
      <c r="R4644" s="208">
        <f>MIN(1,MAX(0,(nr_MEndP1-$G4644+0.5)/nr_TermMonths))-MIN(1,MAX(0,(nr_MStartP1-1-$G4644+0.5)/nr_TermMonths))</f>
        <v/>
      </c>
    </row>
    <row r="4645">
      <c r="A4645" s="145" t="n">
        <v>25</v>
      </c>
      <c r="B4645" s="204">
        <f>EDATE($B4644,1)</f>
        <v/>
      </c>
      <c r="C4645" s="205">
        <f>EOMONTH($B4645,0)</f>
        <v/>
      </c>
      <c r="D4645" s="201">
        <f>$C4645-$B4645+1</f>
        <v/>
      </c>
      <c r="E4645" s="201">
        <f>MONTH($B4645)</f>
        <v/>
      </c>
      <c r="F4645" s="235">
        <f>($B4645+$C4645+1)/2</f>
        <v/>
      </c>
      <c r="G4645" s="201">
        <f>YEAR($B4645)*12+MONTH($B4645)-1</f>
        <v/>
      </c>
      <c r="H4645" s="207">
        <f>IF(OR(nr_SeasonOn="OFF",re_srow=0,re_ssum=0),1,12*INDEX(se_block,re_srow,$E4645)/re_ssum)</f>
        <v/>
      </c>
      <c r="O4645" s="209">
        <f>IF($F4645&lt;$B$4619,$E$4619+$I$4619*($F4645-$A$4619),IF($F4645&lt;$C$4619,$F$4619+$J$4619*($F4645-$B$4619),$G$4619+$K$4619*($F4645-$C$4619)))</f>
        <v/>
      </c>
      <c r="P4645" s="208">
        <f>MIN(1,MAX(0,(nr_MEndPm1-$G4645+0.5)/nr_TermMonths))-MIN(1,MAX(0,(nr_MStartPm1-1-$G4645+0.5)/nr_TermMonths))</f>
        <v/>
      </c>
      <c r="Q4645" s="208">
        <f>MIN(1,MAX(0,(nr_MEndP-$G4645+0.5)/nr_TermMonths))-MIN(1,MAX(0,(nr_MStartP-1-$G4645+0.5)/nr_TermMonths))</f>
        <v/>
      </c>
      <c r="R4645" s="208">
        <f>MIN(1,MAX(0,(nr_MEndP1-$G4645+0.5)/nr_TermMonths))-MIN(1,MAX(0,(nr_MStartP1-1-$G4645+0.5)/nr_TermMonths))</f>
        <v/>
      </c>
    </row>
    <row r="4646">
      <c r="A4646" s="145" t="n">
        <v>26</v>
      </c>
      <c r="B4646" s="204">
        <f>EDATE($B4645,1)</f>
        <v/>
      </c>
      <c r="C4646" s="205">
        <f>EOMONTH($B4646,0)</f>
        <v/>
      </c>
      <c r="D4646" s="201">
        <f>$C4646-$B4646+1</f>
        <v/>
      </c>
      <c r="E4646" s="201">
        <f>MONTH($B4646)</f>
        <v/>
      </c>
      <c r="F4646" s="235">
        <f>($B4646+$C4646+1)/2</f>
        <v/>
      </c>
      <c r="G4646" s="201">
        <f>YEAR($B4646)*12+MONTH($B4646)-1</f>
        <v/>
      </c>
      <c r="H4646" s="207">
        <f>IF(OR(nr_SeasonOn="OFF",re_srow=0,re_ssum=0),1,12*INDEX(se_block,re_srow,$E4646)/re_ssum)</f>
        <v/>
      </c>
      <c r="O4646" s="209">
        <f>IF($F4646&lt;$B$4619,$E$4619+$I$4619*($F4646-$A$4619),IF($F4646&lt;$C$4619,$F$4619+$J$4619*($F4646-$B$4619),$G$4619+$K$4619*($F4646-$C$4619)))</f>
        <v/>
      </c>
      <c r="P4646" s="208">
        <f>MIN(1,MAX(0,(nr_MEndPm1-$G4646+0.5)/nr_TermMonths))-MIN(1,MAX(0,(nr_MStartPm1-1-$G4646+0.5)/nr_TermMonths))</f>
        <v/>
      </c>
      <c r="Q4646" s="208">
        <f>MIN(1,MAX(0,(nr_MEndP-$G4646+0.5)/nr_TermMonths))-MIN(1,MAX(0,(nr_MStartP-1-$G4646+0.5)/nr_TermMonths))</f>
        <v/>
      </c>
      <c r="R4646" s="208">
        <f>MIN(1,MAX(0,(nr_MEndP1-$G4646+0.5)/nr_TermMonths))-MIN(1,MAX(0,(nr_MStartP1-1-$G4646+0.5)/nr_TermMonths))</f>
        <v/>
      </c>
    </row>
    <row r="4647">
      <c r="A4647" s="145" t="n">
        <v>27</v>
      </c>
      <c r="B4647" s="204">
        <f>EDATE($B4646,1)</f>
        <v/>
      </c>
      <c r="C4647" s="205">
        <f>EOMONTH($B4647,0)</f>
        <v/>
      </c>
      <c r="D4647" s="201">
        <f>$C4647-$B4647+1</f>
        <v/>
      </c>
      <c r="E4647" s="201">
        <f>MONTH($B4647)</f>
        <v/>
      </c>
      <c r="F4647" s="235">
        <f>($B4647+$C4647+1)/2</f>
        <v/>
      </c>
      <c r="G4647" s="201">
        <f>YEAR($B4647)*12+MONTH($B4647)-1</f>
        <v/>
      </c>
      <c r="H4647" s="207">
        <f>IF(OR(nr_SeasonOn="OFF",re_srow=0,re_ssum=0),1,12*INDEX(se_block,re_srow,$E4647)/re_ssum)</f>
        <v/>
      </c>
      <c r="O4647" s="209">
        <f>IF($F4647&lt;$B$4619,$E$4619+$I$4619*($F4647-$A$4619),IF($F4647&lt;$C$4619,$F$4619+$J$4619*($F4647-$B$4619),$G$4619+$K$4619*($F4647-$C$4619)))</f>
        <v/>
      </c>
      <c r="P4647" s="208">
        <f>MIN(1,MAX(0,(nr_MEndPm1-$G4647+0.5)/nr_TermMonths))-MIN(1,MAX(0,(nr_MStartPm1-1-$G4647+0.5)/nr_TermMonths))</f>
        <v/>
      </c>
      <c r="Q4647" s="208">
        <f>MIN(1,MAX(0,(nr_MEndP-$G4647+0.5)/nr_TermMonths))-MIN(1,MAX(0,(nr_MStartP-1-$G4647+0.5)/nr_TermMonths))</f>
        <v/>
      </c>
      <c r="R4647" s="208">
        <f>MIN(1,MAX(0,(nr_MEndP1-$G4647+0.5)/nr_TermMonths))-MIN(1,MAX(0,(nr_MStartP1-1-$G4647+0.5)/nr_TermMonths))</f>
        <v/>
      </c>
    </row>
    <row r="4648">
      <c r="A4648" s="145" t="n">
        <v>28</v>
      </c>
      <c r="B4648" s="204">
        <f>EDATE($B4647,1)</f>
        <v/>
      </c>
      <c r="C4648" s="205">
        <f>EOMONTH($B4648,0)</f>
        <v/>
      </c>
      <c r="D4648" s="201">
        <f>$C4648-$B4648+1</f>
        <v/>
      </c>
      <c r="E4648" s="201">
        <f>MONTH($B4648)</f>
        <v/>
      </c>
      <c r="F4648" s="235">
        <f>($B4648+$C4648+1)/2</f>
        <v/>
      </c>
      <c r="G4648" s="201">
        <f>YEAR($B4648)*12+MONTH($B4648)-1</f>
        <v/>
      </c>
      <c r="H4648" s="207">
        <f>IF(OR(nr_SeasonOn="OFF",re_srow=0,re_ssum=0),1,12*INDEX(se_block,re_srow,$E4648)/re_ssum)</f>
        <v/>
      </c>
      <c r="O4648" s="209">
        <f>IF($F4648&lt;$B$4619,$E$4619+$I$4619*($F4648-$A$4619),IF($F4648&lt;$C$4619,$F$4619+$J$4619*($F4648-$B$4619),$G$4619+$K$4619*($F4648-$C$4619)))</f>
        <v/>
      </c>
      <c r="P4648" s="208">
        <f>MIN(1,MAX(0,(nr_MEndPm1-$G4648+0.5)/nr_TermMonths))-MIN(1,MAX(0,(nr_MStartPm1-1-$G4648+0.5)/nr_TermMonths))</f>
        <v/>
      </c>
      <c r="Q4648" s="208">
        <f>MIN(1,MAX(0,(nr_MEndP-$G4648+0.5)/nr_TermMonths))-MIN(1,MAX(0,(nr_MStartP-1-$G4648+0.5)/nr_TermMonths))</f>
        <v/>
      </c>
      <c r="R4648" s="208">
        <f>MIN(1,MAX(0,(nr_MEndP1-$G4648+0.5)/nr_TermMonths))-MIN(1,MAX(0,(nr_MStartP1-1-$G4648+0.5)/nr_TermMonths))</f>
        <v/>
      </c>
    </row>
    <row r="4649">
      <c r="A4649" s="145" t="n">
        <v>29</v>
      </c>
      <c r="B4649" s="204">
        <f>EDATE($B4648,1)</f>
        <v/>
      </c>
      <c r="C4649" s="205">
        <f>EOMONTH($B4649,0)</f>
        <v/>
      </c>
      <c r="D4649" s="201">
        <f>$C4649-$B4649+1</f>
        <v/>
      </c>
      <c r="E4649" s="201">
        <f>MONTH($B4649)</f>
        <v/>
      </c>
      <c r="F4649" s="235">
        <f>($B4649+$C4649+1)/2</f>
        <v/>
      </c>
      <c r="G4649" s="201">
        <f>YEAR($B4649)*12+MONTH($B4649)-1</f>
        <v/>
      </c>
      <c r="H4649" s="207">
        <f>IF(OR(nr_SeasonOn="OFF",re_srow=0,re_ssum=0),1,12*INDEX(se_block,re_srow,$E4649)/re_ssum)</f>
        <v/>
      </c>
      <c r="O4649" s="209">
        <f>IF($F4649&lt;$B$4619,$E$4619+$I$4619*($F4649-$A$4619),IF($F4649&lt;$C$4619,$F$4619+$J$4619*($F4649-$B$4619),$G$4619+$K$4619*($F4649-$C$4619)))</f>
        <v/>
      </c>
      <c r="P4649" s="208">
        <f>MIN(1,MAX(0,(nr_MEndPm1-$G4649+0.5)/nr_TermMonths))-MIN(1,MAX(0,(nr_MStartPm1-1-$G4649+0.5)/nr_TermMonths))</f>
        <v/>
      </c>
      <c r="Q4649" s="208">
        <f>MIN(1,MAX(0,(nr_MEndP-$G4649+0.5)/nr_TermMonths))-MIN(1,MAX(0,(nr_MStartP-1-$G4649+0.5)/nr_TermMonths))</f>
        <v/>
      </c>
      <c r="R4649" s="208">
        <f>MIN(1,MAX(0,(nr_MEndP1-$G4649+0.5)/nr_TermMonths))-MIN(1,MAX(0,(nr_MStartP1-1-$G4649+0.5)/nr_TermMonths))</f>
        <v/>
      </c>
    </row>
    <row r="4650">
      <c r="A4650" s="145" t="n">
        <v>30</v>
      </c>
      <c r="B4650" s="204">
        <f>EDATE($B4649,1)</f>
        <v/>
      </c>
      <c r="C4650" s="205">
        <f>EOMONTH($B4650,0)</f>
        <v/>
      </c>
      <c r="D4650" s="201">
        <f>$C4650-$B4650+1</f>
        <v/>
      </c>
      <c r="E4650" s="201">
        <f>MONTH($B4650)</f>
        <v/>
      </c>
      <c r="F4650" s="235">
        <f>($B4650+$C4650+1)/2</f>
        <v/>
      </c>
      <c r="G4650" s="201">
        <f>YEAR($B4650)*12+MONTH($B4650)-1</f>
        <v/>
      </c>
      <c r="H4650" s="207">
        <f>IF(OR(nr_SeasonOn="OFF",re_srow=0,re_ssum=0),1,12*INDEX(se_block,re_srow,$E4650)/re_ssum)</f>
        <v/>
      </c>
      <c r="O4650" s="209">
        <f>IF($F4650&lt;$B$4619,$E$4619+$I$4619*($F4650-$A$4619),IF($F4650&lt;$C$4619,$F$4619+$J$4619*($F4650-$B$4619),$G$4619+$K$4619*($F4650-$C$4619)))</f>
        <v/>
      </c>
      <c r="P4650" s="208">
        <f>MIN(1,MAX(0,(nr_MEndPm1-$G4650+0.5)/nr_TermMonths))-MIN(1,MAX(0,(nr_MStartPm1-1-$G4650+0.5)/nr_TermMonths))</f>
        <v/>
      </c>
      <c r="Q4650" s="208">
        <f>MIN(1,MAX(0,(nr_MEndP-$G4650+0.5)/nr_TermMonths))-MIN(1,MAX(0,(nr_MStartP-1-$G4650+0.5)/nr_TermMonths))</f>
        <v/>
      </c>
      <c r="R4650" s="208">
        <f>MIN(1,MAX(0,(nr_MEndP1-$G4650+0.5)/nr_TermMonths))-MIN(1,MAX(0,(nr_MStartP1-1-$G4650+0.5)/nr_TermMonths))</f>
        <v/>
      </c>
    </row>
    <row r="4651">
      <c r="A4651" s="145" t="n">
        <v>31</v>
      </c>
      <c r="B4651" s="204">
        <f>EDATE($B4650,1)</f>
        <v/>
      </c>
      <c r="C4651" s="205">
        <f>EOMONTH($B4651,0)</f>
        <v/>
      </c>
      <c r="D4651" s="201">
        <f>$C4651-$B4651+1</f>
        <v/>
      </c>
      <c r="E4651" s="201">
        <f>MONTH($B4651)</f>
        <v/>
      </c>
      <c r="F4651" s="235">
        <f>($B4651+$C4651+1)/2</f>
        <v/>
      </c>
      <c r="G4651" s="201">
        <f>YEAR($B4651)*12+MONTH($B4651)-1</f>
        <v/>
      </c>
      <c r="H4651" s="207">
        <f>IF(OR(nr_SeasonOn="OFF",re_srow=0,re_ssum=0),1,12*INDEX(se_block,re_srow,$E4651)/re_ssum)</f>
        <v/>
      </c>
      <c r="O4651" s="209">
        <f>IF($F4651&lt;$B$4619,$E$4619+$I$4619*($F4651-$A$4619),IF($F4651&lt;$C$4619,$F$4619+$J$4619*($F4651-$B$4619),$G$4619+$K$4619*($F4651-$C$4619)))</f>
        <v/>
      </c>
      <c r="P4651" s="208">
        <f>MIN(1,MAX(0,(nr_MEndPm1-$G4651+0.5)/nr_TermMonths))-MIN(1,MAX(0,(nr_MStartPm1-1-$G4651+0.5)/nr_TermMonths))</f>
        <v/>
      </c>
      <c r="Q4651" s="208">
        <f>MIN(1,MAX(0,(nr_MEndP-$G4651+0.5)/nr_TermMonths))-MIN(1,MAX(0,(nr_MStartP-1-$G4651+0.5)/nr_TermMonths))</f>
        <v/>
      </c>
      <c r="R4651" s="208">
        <f>MIN(1,MAX(0,(nr_MEndP1-$G4651+0.5)/nr_TermMonths))-MIN(1,MAX(0,(nr_MStartP1-1-$G4651+0.5)/nr_TermMonths))</f>
        <v/>
      </c>
    </row>
    <row r="4652">
      <c r="A4652" s="145" t="n">
        <v>32</v>
      </c>
      <c r="B4652" s="204">
        <f>EDATE($B4651,1)</f>
        <v/>
      </c>
      <c r="C4652" s="205">
        <f>EOMONTH($B4652,0)</f>
        <v/>
      </c>
      <c r="D4652" s="201">
        <f>$C4652-$B4652+1</f>
        <v/>
      </c>
      <c r="E4652" s="201">
        <f>MONTH($B4652)</f>
        <v/>
      </c>
      <c r="F4652" s="235">
        <f>($B4652+$C4652+1)/2</f>
        <v/>
      </c>
      <c r="G4652" s="201">
        <f>YEAR($B4652)*12+MONTH($B4652)-1</f>
        <v/>
      </c>
      <c r="H4652" s="207">
        <f>IF(OR(nr_SeasonOn="OFF",re_srow=0,re_ssum=0),1,12*INDEX(se_block,re_srow,$E4652)/re_ssum)</f>
        <v/>
      </c>
      <c r="O4652" s="209">
        <f>IF($F4652&lt;$B$4619,$E$4619+$I$4619*($F4652-$A$4619),IF($F4652&lt;$C$4619,$F$4619+$J$4619*($F4652-$B$4619),$G$4619+$K$4619*($F4652-$C$4619)))</f>
        <v/>
      </c>
      <c r="P4652" s="208">
        <f>MIN(1,MAX(0,(nr_MEndPm1-$G4652+0.5)/nr_TermMonths))-MIN(1,MAX(0,(nr_MStartPm1-1-$G4652+0.5)/nr_TermMonths))</f>
        <v/>
      </c>
      <c r="Q4652" s="208">
        <f>MIN(1,MAX(0,(nr_MEndP-$G4652+0.5)/nr_TermMonths))-MIN(1,MAX(0,(nr_MStartP-1-$G4652+0.5)/nr_TermMonths))</f>
        <v/>
      </c>
      <c r="R4652" s="208">
        <f>MIN(1,MAX(0,(nr_MEndP1-$G4652+0.5)/nr_TermMonths))-MIN(1,MAX(0,(nr_MStartP1-1-$G4652+0.5)/nr_TermMonths))</f>
        <v/>
      </c>
    </row>
    <row r="4653">
      <c r="A4653" s="145" t="n">
        <v>33</v>
      </c>
      <c r="B4653" s="204">
        <f>EDATE($B4652,1)</f>
        <v/>
      </c>
      <c r="C4653" s="205">
        <f>EOMONTH($B4653,0)</f>
        <v/>
      </c>
      <c r="D4653" s="201">
        <f>$C4653-$B4653+1</f>
        <v/>
      </c>
      <c r="E4653" s="201">
        <f>MONTH($B4653)</f>
        <v/>
      </c>
      <c r="F4653" s="235">
        <f>($B4653+$C4653+1)/2</f>
        <v/>
      </c>
      <c r="G4653" s="201">
        <f>YEAR($B4653)*12+MONTH($B4653)-1</f>
        <v/>
      </c>
      <c r="H4653" s="207">
        <f>IF(OR(nr_SeasonOn="OFF",re_srow=0,re_ssum=0),1,12*INDEX(se_block,re_srow,$E4653)/re_ssum)</f>
        <v/>
      </c>
      <c r="O4653" s="209">
        <f>IF($F4653&lt;$B$4619,$E$4619+$I$4619*($F4653-$A$4619),IF($F4653&lt;$C$4619,$F$4619+$J$4619*($F4653-$B$4619),$G$4619+$K$4619*($F4653-$C$4619)))</f>
        <v/>
      </c>
      <c r="P4653" s="208">
        <f>MIN(1,MAX(0,(nr_MEndPm1-$G4653+0.5)/nr_TermMonths))-MIN(1,MAX(0,(nr_MStartPm1-1-$G4653+0.5)/nr_TermMonths))</f>
        <v/>
      </c>
      <c r="Q4653" s="208">
        <f>MIN(1,MAX(0,(nr_MEndP-$G4653+0.5)/nr_TermMonths))-MIN(1,MAX(0,(nr_MStartP-1-$G4653+0.5)/nr_TermMonths))</f>
        <v/>
      </c>
      <c r="R4653" s="208">
        <f>MIN(1,MAX(0,(nr_MEndP1-$G4653+0.5)/nr_TermMonths))-MIN(1,MAX(0,(nr_MStartP1-1-$G4653+0.5)/nr_TermMonths))</f>
        <v/>
      </c>
    </row>
    <row r="4654">
      <c r="A4654" s="145" t="n">
        <v>34</v>
      </c>
      <c r="B4654" s="204">
        <f>EDATE($B4653,1)</f>
        <v/>
      </c>
      <c r="C4654" s="205">
        <f>EOMONTH($B4654,0)</f>
        <v/>
      </c>
      <c r="D4654" s="201">
        <f>$C4654-$B4654+1</f>
        <v/>
      </c>
      <c r="E4654" s="201">
        <f>MONTH($B4654)</f>
        <v/>
      </c>
      <c r="F4654" s="235">
        <f>($B4654+$C4654+1)/2</f>
        <v/>
      </c>
      <c r="G4654" s="201">
        <f>YEAR($B4654)*12+MONTH($B4654)-1</f>
        <v/>
      </c>
      <c r="H4654" s="207">
        <f>IF(OR(nr_SeasonOn="OFF",re_srow=0,re_ssum=0),1,12*INDEX(se_block,re_srow,$E4654)/re_ssum)</f>
        <v/>
      </c>
      <c r="O4654" s="209">
        <f>IF($F4654&lt;$B$4619,$E$4619+$I$4619*($F4654-$A$4619),IF($F4654&lt;$C$4619,$F$4619+$J$4619*($F4654-$B$4619),$G$4619+$K$4619*($F4654-$C$4619)))</f>
        <v/>
      </c>
      <c r="P4654" s="208">
        <f>MIN(1,MAX(0,(nr_MEndPm1-$G4654+0.5)/nr_TermMonths))-MIN(1,MAX(0,(nr_MStartPm1-1-$G4654+0.5)/nr_TermMonths))</f>
        <v/>
      </c>
      <c r="Q4654" s="208">
        <f>MIN(1,MAX(0,(nr_MEndP-$G4654+0.5)/nr_TermMonths))-MIN(1,MAX(0,(nr_MStartP-1-$G4654+0.5)/nr_TermMonths))</f>
        <v/>
      </c>
      <c r="R4654" s="208">
        <f>MIN(1,MAX(0,(nr_MEndP1-$G4654+0.5)/nr_TermMonths))-MIN(1,MAX(0,(nr_MStartP1-1-$G4654+0.5)/nr_TermMonths))</f>
        <v/>
      </c>
    </row>
    <row r="4655">
      <c r="A4655" s="145" t="n">
        <v>35</v>
      </c>
      <c r="B4655" s="204">
        <f>EDATE($B4654,1)</f>
        <v/>
      </c>
      <c r="C4655" s="205">
        <f>EOMONTH($B4655,0)</f>
        <v/>
      </c>
      <c r="D4655" s="201">
        <f>$C4655-$B4655+1</f>
        <v/>
      </c>
      <c r="E4655" s="201">
        <f>MONTH($B4655)</f>
        <v/>
      </c>
      <c r="F4655" s="235">
        <f>($B4655+$C4655+1)/2</f>
        <v/>
      </c>
      <c r="G4655" s="201">
        <f>YEAR($B4655)*12+MONTH($B4655)-1</f>
        <v/>
      </c>
      <c r="H4655" s="207">
        <f>IF(OR(nr_SeasonOn="OFF",re_srow=0,re_ssum=0),1,12*INDEX(se_block,re_srow,$E4655)/re_ssum)</f>
        <v/>
      </c>
      <c r="O4655" s="209">
        <f>IF($F4655&lt;$B$4619,$E$4619+$I$4619*($F4655-$A$4619),IF($F4655&lt;$C$4619,$F$4619+$J$4619*($F4655-$B$4619),$G$4619+$K$4619*($F4655-$C$4619)))</f>
        <v/>
      </c>
      <c r="P4655" s="208">
        <f>MIN(1,MAX(0,(nr_MEndPm1-$G4655+0.5)/nr_TermMonths))-MIN(1,MAX(0,(nr_MStartPm1-1-$G4655+0.5)/nr_TermMonths))</f>
        <v/>
      </c>
      <c r="Q4655" s="208">
        <f>MIN(1,MAX(0,(nr_MEndP-$G4655+0.5)/nr_TermMonths))-MIN(1,MAX(0,(nr_MStartP-1-$G4655+0.5)/nr_TermMonths))</f>
        <v/>
      </c>
      <c r="R4655" s="208">
        <f>MIN(1,MAX(0,(nr_MEndP1-$G4655+0.5)/nr_TermMonths))-MIN(1,MAX(0,(nr_MStartP1-1-$G4655+0.5)/nr_TermMonths))</f>
        <v/>
      </c>
    </row>
    <row r="4656">
      <c r="A4656" s="145" t="n">
        <v>36</v>
      </c>
      <c r="B4656" s="204">
        <f>EDATE($B4655,1)</f>
        <v/>
      </c>
      <c r="C4656" s="205">
        <f>EOMONTH($B4656,0)</f>
        <v/>
      </c>
      <c r="D4656" s="201">
        <f>$C4656-$B4656+1</f>
        <v/>
      </c>
      <c r="E4656" s="201">
        <f>MONTH($B4656)</f>
        <v/>
      </c>
      <c r="F4656" s="235">
        <f>($B4656+$C4656+1)/2</f>
        <v/>
      </c>
      <c r="G4656" s="201">
        <f>YEAR($B4656)*12+MONTH($B4656)-1</f>
        <v/>
      </c>
      <c r="H4656" s="207">
        <f>IF(OR(nr_SeasonOn="OFF",re_srow=0,re_ssum=0),1,12*INDEX(se_block,re_srow,$E4656)/re_ssum)</f>
        <v/>
      </c>
      <c r="O4656" s="209">
        <f>IF($F4656&lt;$B$4619,$E$4619+$I$4619*($F4656-$A$4619),IF($F4656&lt;$C$4619,$F$4619+$J$4619*($F4656-$B$4619),$G$4619+$K$4619*($F4656-$C$4619)))</f>
        <v/>
      </c>
      <c r="P4656" s="208">
        <f>MIN(1,MAX(0,(nr_MEndPm1-$G4656+0.5)/nr_TermMonths))-MIN(1,MAX(0,(nr_MStartPm1-1-$G4656+0.5)/nr_TermMonths))</f>
        <v/>
      </c>
      <c r="Q4656" s="208">
        <f>MIN(1,MAX(0,(nr_MEndP-$G4656+0.5)/nr_TermMonths))-MIN(1,MAX(0,(nr_MStartP-1-$G4656+0.5)/nr_TermMonths))</f>
        <v/>
      </c>
      <c r="R4656" s="208">
        <f>MIN(1,MAX(0,(nr_MEndP1-$G4656+0.5)/nr_TermMonths))-MIN(1,MAX(0,(nr_MStartP1-1-$G4656+0.5)/nr_TermMonths))</f>
        <v/>
      </c>
    </row>
    <row r="4657">
      <c r="A4657" s="145" t="n">
        <v>37</v>
      </c>
      <c r="B4657" s="204">
        <f>EDATE($B4656,1)</f>
        <v/>
      </c>
      <c r="C4657" s="205">
        <f>EOMONTH($B4657,0)</f>
        <v/>
      </c>
      <c r="D4657" s="201">
        <f>$C4657-$B4657+1</f>
        <v/>
      </c>
      <c r="E4657" s="201">
        <f>MONTH($B4657)</f>
        <v/>
      </c>
      <c r="F4657" s="235">
        <f>($B4657+$C4657+1)/2</f>
        <v/>
      </c>
      <c r="G4657" s="201">
        <f>YEAR($B4657)*12+MONTH($B4657)-1</f>
        <v/>
      </c>
      <c r="H4657" s="207">
        <f>IF(OR(nr_SeasonOn="OFF",re_srow=0,re_ssum=0),1,12*INDEX(se_block,re_srow,$E4657)/re_ssum)</f>
        <v/>
      </c>
      <c r="O4657" s="209">
        <f>IF($F4657&lt;$B$4619,$E$4619+$I$4619*($F4657-$A$4619),IF($F4657&lt;$C$4619,$F$4619+$J$4619*($F4657-$B$4619),$G$4619+$K$4619*($F4657-$C$4619)))</f>
        <v/>
      </c>
      <c r="P4657" s="208">
        <f>MIN(1,MAX(0,(nr_MEndPm1-$G4657+0.5)/nr_TermMonths))-MIN(1,MAX(0,(nr_MStartPm1-1-$G4657+0.5)/nr_TermMonths))</f>
        <v/>
      </c>
      <c r="Q4657" s="208">
        <f>MIN(1,MAX(0,(nr_MEndP-$G4657+0.5)/nr_TermMonths))-MIN(1,MAX(0,(nr_MStartP-1-$G4657+0.5)/nr_TermMonths))</f>
        <v/>
      </c>
      <c r="R4657" s="208">
        <f>MIN(1,MAX(0,(nr_MEndP1-$G4657+0.5)/nr_TermMonths))-MIN(1,MAX(0,(nr_MStartP1-1-$G4657+0.5)/nr_TermMonths))</f>
        <v/>
      </c>
    </row>
    <row r="4658">
      <c r="A4658" s="145" t="n">
        <v>38</v>
      </c>
      <c r="B4658" s="204">
        <f>EDATE($B4657,1)</f>
        <v/>
      </c>
      <c r="C4658" s="205">
        <f>EOMONTH($B4658,0)</f>
        <v/>
      </c>
      <c r="D4658" s="201">
        <f>$C4658-$B4658+1</f>
        <v/>
      </c>
      <c r="E4658" s="201">
        <f>MONTH($B4658)</f>
        <v/>
      </c>
      <c r="F4658" s="235">
        <f>($B4658+$C4658+1)/2</f>
        <v/>
      </c>
      <c r="G4658" s="201">
        <f>YEAR($B4658)*12+MONTH($B4658)-1</f>
        <v/>
      </c>
      <c r="H4658" s="207">
        <f>IF(OR(nr_SeasonOn="OFF",re_srow=0,re_ssum=0),1,12*INDEX(se_block,re_srow,$E4658)/re_ssum)</f>
        <v/>
      </c>
      <c r="O4658" s="209">
        <f>IF($F4658&lt;$B$4619,$E$4619+$I$4619*($F4658-$A$4619),IF($F4658&lt;$C$4619,$F$4619+$J$4619*($F4658-$B$4619),$G$4619+$K$4619*($F4658-$C$4619)))</f>
        <v/>
      </c>
      <c r="P4658" s="208">
        <f>MIN(1,MAX(0,(nr_MEndPm1-$G4658+0.5)/nr_TermMonths))-MIN(1,MAX(0,(nr_MStartPm1-1-$G4658+0.5)/nr_TermMonths))</f>
        <v/>
      </c>
      <c r="Q4658" s="208">
        <f>MIN(1,MAX(0,(nr_MEndP-$G4658+0.5)/nr_TermMonths))-MIN(1,MAX(0,(nr_MStartP-1-$G4658+0.5)/nr_TermMonths))</f>
        <v/>
      </c>
      <c r="R4658" s="208">
        <f>MIN(1,MAX(0,(nr_MEndP1-$G4658+0.5)/nr_TermMonths))-MIN(1,MAX(0,(nr_MStartP1-1-$G4658+0.5)/nr_TermMonths))</f>
        <v/>
      </c>
    </row>
    <row r="4659">
      <c r="A4659" s="145" t="n">
        <v>39</v>
      </c>
      <c r="B4659" s="204">
        <f>EDATE($B4658,1)</f>
        <v/>
      </c>
      <c r="C4659" s="205">
        <f>EOMONTH($B4659,0)</f>
        <v/>
      </c>
      <c r="D4659" s="201">
        <f>$C4659-$B4659+1</f>
        <v/>
      </c>
      <c r="E4659" s="201">
        <f>MONTH($B4659)</f>
        <v/>
      </c>
      <c r="F4659" s="235">
        <f>($B4659+$C4659+1)/2</f>
        <v/>
      </c>
      <c r="G4659" s="201">
        <f>YEAR($B4659)*12+MONTH($B4659)-1</f>
        <v/>
      </c>
      <c r="H4659" s="207">
        <f>IF(OR(nr_SeasonOn="OFF",re_srow=0,re_ssum=0),1,12*INDEX(se_block,re_srow,$E4659)/re_ssum)</f>
        <v/>
      </c>
      <c r="O4659" s="209">
        <f>IF($F4659&lt;$B$4619,$E$4619+$I$4619*($F4659-$A$4619),IF($F4659&lt;$C$4619,$F$4619+$J$4619*($F4659-$B$4619),$G$4619+$K$4619*($F4659-$C$4619)))</f>
        <v/>
      </c>
      <c r="P4659" s="208">
        <f>MIN(1,MAX(0,(nr_MEndPm1-$G4659+0.5)/nr_TermMonths))-MIN(1,MAX(0,(nr_MStartPm1-1-$G4659+0.5)/nr_TermMonths))</f>
        <v/>
      </c>
      <c r="Q4659" s="208">
        <f>MIN(1,MAX(0,(nr_MEndP-$G4659+0.5)/nr_TermMonths))-MIN(1,MAX(0,(nr_MStartP-1-$G4659+0.5)/nr_TermMonths))</f>
        <v/>
      </c>
      <c r="R4659" s="208">
        <f>MIN(1,MAX(0,(nr_MEndP1-$G4659+0.5)/nr_TermMonths))-MIN(1,MAX(0,(nr_MStartP1-1-$G4659+0.5)/nr_TermMonths))</f>
        <v/>
      </c>
    </row>
    <row r="4660">
      <c r="A4660" s="145" t="n">
        <v>40</v>
      </c>
      <c r="B4660" s="204">
        <f>EDATE($B4659,1)</f>
        <v/>
      </c>
      <c r="C4660" s="205">
        <f>EOMONTH($B4660,0)</f>
        <v/>
      </c>
      <c r="D4660" s="201">
        <f>$C4660-$B4660+1</f>
        <v/>
      </c>
      <c r="E4660" s="201">
        <f>MONTH($B4660)</f>
        <v/>
      </c>
      <c r="F4660" s="235">
        <f>($B4660+$C4660+1)/2</f>
        <v/>
      </c>
      <c r="G4660" s="201">
        <f>YEAR($B4660)*12+MONTH($B4660)-1</f>
        <v/>
      </c>
      <c r="H4660" s="207">
        <f>IF(OR(nr_SeasonOn="OFF",re_srow=0,re_ssum=0),1,12*INDEX(se_block,re_srow,$E4660)/re_ssum)</f>
        <v/>
      </c>
      <c r="O4660" s="209">
        <f>IF($F4660&lt;$B$4619,$E$4619+$I$4619*($F4660-$A$4619),IF($F4660&lt;$C$4619,$F$4619+$J$4619*($F4660-$B$4619),$G$4619+$K$4619*($F4660-$C$4619)))</f>
        <v/>
      </c>
      <c r="P4660" s="208">
        <f>MIN(1,MAX(0,(nr_MEndPm1-$G4660+0.5)/nr_TermMonths))-MIN(1,MAX(0,(nr_MStartPm1-1-$G4660+0.5)/nr_TermMonths))</f>
        <v/>
      </c>
      <c r="Q4660" s="208">
        <f>MIN(1,MAX(0,(nr_MEndP-$G4660+0.5)/nr_TermMonths))-MIN(1,MAX(0,(nr_MStartP-1-$G4660+0.5)/nr_TermMonths))</f>
        <v/>
      </c>
      <c r="R4660" s="208">
        <f>MIN(1,MAX(0,(nr_MEndP1-$G4660+0.5)/nr_TermMonths))-MIN(1,MAX(0,(nr_MStartP1-1-$G4660+0.5)/nr_TermMonths))</f>
        <v/>
      </c>
    </row>
    <row r="4661">
      <c r="A4661" s="145" t="n">
        <v>41</v>
      </c>
      <c r="B4661" s="204">
        <f>EDATE($B4660,1)</f>
        <v/>
      </c>
      <c r="C4661" s="205">
        <f>EOMONTH($B4661,0)</f>
        <v/>
      </c>
      <c r="D4661" s="201">
        <f>$C4661-$B4661+1</f>
        <v/>
      </c>
      <c r="E4661" s="201">
        <f>MONTH($B4661)</f>
        <v/>
      </c>
      <c r="F4661" s="235">
        <f>($B4661+$C4661+1)/2</f>
        <v/>
      </c>
      <c r="G4661" s="201">
        <f>YEAR($B4661)*12+MONTH($B4661)-1</f>
        <v/>
      </c>
      <c r="H4661" s="207">
        <f>IF(OR(nr_SeasonOn="OFF",re_srow=0,re_ssum=0),1,12*INDEX(se_block,re_srow,$E4661)/re_ssum)</f>
        <v/>
      </c>
      <c r="O4661" s="209">
        <f>IF($F4661&lt;$B$4619,$E$4619+$I$4619*($F4661-$A$4619),IF($F4661&lt;$C$4619,$F$4619+$J$4619*($F4661-$B$4619),$G$4619+$K$4619*($F4661-$C$4619)))</f>
        <v/>
      </c>
      <c r="P4661" s="208">
        <f>MIN(1,MAX(0,(nr_MEndPm1-$G4661+0.5)/nr_TermMonths))-MIN(1,MAX(0,(nr_MStartPm1-1-$G4661+0.5)/nr_TermMonths))</f>
        <v/>
      </c>
      <c r="Q4661" s="208">
        <f>MIN(1,MAX(0,(nr_MEndP-$G4661+0.5)/nr_TermMonths))-MIN(1,MAX(0,(nr_MStartP-1-$G4661+0.5)/nr_TermMonths))</f>
        <v/>
      </c>
      <c r="R4661" s="208">
        <f>MIN(1,MAX(0,(nr_MEndP1-$G4661+0.5)/nr_TermMonths))-MIN(1,MAX(0,(nr_MStartP1-1-$G4661+0.5)/nr_TermMonths))</f>
        <v/>
      </c>
    </row>
    <row r="4662">
      <c r="A4662" s="145" t="n">
        <v>42</v>
      </c>
      <c r="B4662" s="204">
        <f>EDATE($B4661,1)</f>
        <v/>
      </c>
      <c r="C4662" s="205">
        <f>EOMONTH($B4662,0)</f>
        <v/>
      </c>
      <c r="D4662" s="201">
        <f>$C4662-$B4662+1</f>
        <v/>
      </c>
      <c r="E4662" s="201">
        <f>MONTH($B4662)</f>
        <v/>
      </c>
      <c r="F4662" s="235">
        <f>($B4662+$C4662+1)/2</f>
        <v/>
      </c>
      <c r="G4662" s="201">
        <f>YEAR($B4662)*12+MONTH($B4662)-1</f>
        <v/>
      </c>
      <c r="H4662" s="207">
        <f>IF(OR(nr_SeasonOn="OFF",re_srow=0,re_ssum=0),1,12*INDEX(se_block,re_srow,$E4662)/re_ssum)</f>
        <v/>
      </c>
      <c r="O4662" s="209">
        <f>IF($F4662&lt;$B$4619,$E$4619+$I$4619*($F4662-$A$4619),IF($F4662&lt;$C$4619,$F$4619+$J$4619*($F4662-$B$4619),$G$4619+$K$4619*($F4662-$C$4619)))</f>
        <v/>
      </c>
      <c r="P4662" s="208">
        <f>MIN(1,MAX(0,(nr_MEndPm1-$G4662+0.5)/nr_TermMonths))-MIN(1,MAX(0,(nr_MStartPm1-1-$G4662+0.5)/nr_TermMonths))</f>
        <v/>
      </c>
      <c r="Q4662" s="208">
        <f>MIN(1,MAX(0,(nr_MEndP-$G4662+0.5)/nr_TermMonths))-MIN(1,MAX(0,(nr_MStartP-1-$G4662+0.5)/nr_TermMonths))</f>
        <v/>
      </c>
      <c r="R4662" s="208">
        <f>MIN(1,MAX(0,(nr_MEndP1-$G4662+0.5)/nr_TermMonths))-MIN(1,MAX(0,(nr_MStartP1-1-$G4662+0.5)/nr_TermMonths))</f>
        <v/>
      </c>
    </row>
    <row r="4663">
      <c r="A4663" s="145" t="n">
        <v>43</v>
      </c>
      <c r="B4663" s="204">
        <f>EDATE($B4662,1)</f>
        <v/>
      </c>
      <c r="C4663" s="205">
        <f>EOMONTH($B4663,0)</f>
        <v/>
      </c>
      <c r="D4663" s="201">
        <f>$C4663-$B4663+1</f>
        <v/>
      </c>
      <c r="E4663" s="201">
        <f>MONTH($B4663)</f>
        <v/>
      </c>
      <c r="F4663" s="235">
        <f>($B4663+$C4663+1)/2</f>
        <v/>
      </c>
      <c r="G4663" s="201">
        <f>YEAR($B4663)*12+MONTH($B4663)-1</f>
        <v/>
      </c>
      <c r="H4663" s="207">
        <f>IF(OR(nr_SeasonOn="OFF",re_srow=0,re_ssum=0),1,12*INDEX(se_block,re_srow,$E4663)/re_ssum)</f>
        <v/>
      </c>
      <c r="O4663" s="209">
        <f>IF($F4663&lt;$B$4619,$E$4619+$I$4619*($F4663-$A$4619),IF($F4663&lt;$C$4619,$F$4619+$J$4619*($F4663-$B$4619),$G$4619+$K$4619*($F4663-$C$4619)))</f>
        <v/>
      </c>
      <c r="P4663" s="208">
        <f>MIN(1,MAX(0,(nr_MEndPm1-$G4663+0.5)/nr_TermMonths))-MIN(1,MAX(0,(nr_MStartPm1-1-$G4663+0.5)/nr_TermMonths))</f>
        <v/>
      </c>
      <c r="Q4663" s="208">
        <f>MIN(1,MAX(0,(nr_MEndP-$G4663+0.5)/nr_TermMonths))-MIN(1,MAX(0,(nr_MStartP-1-$G4663+0.5)/nr_TermMonths))</f>
        <v/>
      </c>
      <c r="R4663" s="208">
        <f>MIN(1,MAX(0,(nr_MEndP1-$G4663+0.5)/nr_TermMonths))-MIN(1,MAX(0,(nr_MStartP1-1-$G4663+0.5)/nr_TermMonths))</f>
        <v/>
      </c>
    </row>
    <row r="4664">
      <c r="A4664" s="145" t="n">
        <v>44</v>
      </c>
      <c r="B4664" s="204">
        <f>EDATE($B4663,1)</f>
        <v/>
      </c>
      <c r="C4664" s="205">
        <f>EOMONTH($B4664,0)</f>
        <v/>
      </c>
      <c r="D4664" s="201">
        <f>$C4664-$B4664+1</f>
        <v/>
      </c>
      <c r="E4664" s="201">
        <f>MONTH($B4664)</f>
        <v/>
      </c>
      <c r="F4664" s="235">
        <f>($B4664+$C4664+1)/2</f>
        <v/>
      </c>
      <c r="G4664" s="201">
        <f>YEAR($B4664)*12+MONTH($B4664)-1</f>
        <v/>
      </c>
      <c r="H4664" s="207">
        <f>IF(OR(nr_SeasonOn="OFF",re_srow=0,re_ssum=0),1,12*INDEX(se_block,re_srow,$E4664)/re_ssum)</f>
        <v/>
      </c>
      <c r="O4664" s="209">
        <f>IF($F4664&lt;$B$4619,$E$4619+$I$4619*($F4664-$A$4619),IF($F4664&lt;$C$4619,$F$4619+$J$4619*($F4664-$B$4619),$G$4619+$K$4619*($F4664-$C$4619)))</f>
        <v/>
      </c>
      <c r="P4664" s="208">
        <f>MIN(1,MAX(0,(nr_MEndPm1-$G4664+0.5)/nr_TermMonths))-MIN(1,MAX(0,(nr_MStartPm1-1-$G4664+0.5)/nr_TermMonths))</f>
        <v/>
      </c>
      <c r="Q4664" s="208">
        <f>MIN(1,MAX(0,(nr_MEndP-$G4664+0.5)/nr_TermMonths))-MIN(1,MAX(0,(nr_MStartP-1-$G4664+0.5)/nr_TermMonths))</f>
        <v/>
      </c>
      <c r="R4664" s="208">
        <f>MIN(1,MAX(0,(nr_MEndP1-$G4664+0.5)/nr_TermMonths))-MIN(1,MAX(0,(nr_MStartP1-1-$G4664+0.5)/nr_TermMonths))</f>
        <v/>
      </c>
    </row>
    <row r="4665">
      <c r="A4665" s="145" t="n">
        <v>45</v>
      </c>
      <c r="B4665" s="204">
        <f>EDATE($B4664,1)</f>
        <v/>
      </c>
      <c r="C4665" s="205">
        <f>EOMONTH($B4665,0)</f>
        <v/>
      </c>
      <c r="D4665" s="201">
        <f>$C4665-$B4665+1</f>
        <v/>
      </c>
      <c r="E4665" s="201">
        <f>MONTH($B4665)</f>
        <v/>
      </c>
      <c r="F4665" s="235">
        <f>($B4665+$C4665+1)/2</f>
        <v/>
      </c>
      <c r="G4665" s="201">
        <f>YEAR($B4665)*12+MONTH($B4665)-1</f>
        <v/>
      </c>
      <c r="H4665" s="207">
        <f>IF(OR(nr_SeasonOn="OFF",re_srow=0,re_ssum=0),1,12*INDEX(se_block,re_srow,$E4665)/re_ssum)</f>
        <v/>
      </c>
      <c r="O4665" s="209">
        <f>IF($F4665&lt;$B$4619,$E$4619+$I$4619*($F4665-$A$4619),IF($F4665&lt;$C$4619,$F$4619+$J$4619*($F4665-$B$4619),$G$4619+$K$4619*($F4665-$C$4619)))</f>
        <v/>
      </c>
      <c r="P4665" s="208">
        <f>MIN(1,MAX(0,(nr_MEndPm1-$G4665+0.5)/nr_TermMonths))-MIN(1,MAX(0,(nr_MStartPm1-1-$G4665+0.5)/nr_TermMonths))</f>
        <v/>
      </c>
      <c r="Q4665" s="208">
        <f>MIN(1,MAX(0,(nr_MEndP-$G4665+0.5)/nr_TermMonths))-MIN(1,MAX(0,(nr_MStartP-1-$G4665+0.5)/nr_TermMonths))</f>
        <v/>
      </c>
      <c r="R4665" s="208">
        <f>MIN(1,MAX(0,(nr_MEndP1-$G4665+0.5)/nr_TermMonths))-MIN(1,MAX(0,(nr_MStartP1-1-$G4665+0.5)/nr_TermMonths))</f>
        <v/>
      </c>
    </row>
    <row r="4666">
      <c r="A4666" s="145" t="n">
        <v>46</v>
      </c>
      <c r="B4666" s="204">
        <f>EDATE($B4665,1)</f>
        <v/>
      </c>
      <c r="C4666" s="205">
        <f>EOMONTH($B4666,0)</f>
        <v/>
      </c>
      <c r="D4666" s="201">
        <f>$C4666-$B4666+1</f>
        <v/>
      </c>
      <c r="E4666" s="201">
        <f>MONTH($B4666)</f>
        <v/>
      </c>
      <c r="F4666" s="235">
        <f>($B4666+$C4666+1)/2</f>
        <v/>
      </c>
      <c r="G4666" s="201">
        <f>YEAR($B4666)*12+MONTH($B4666)-1</f>
        <v/>
      </c>
      <c r="H4666" s="207">
        <f>IF(OR(nr_SeasonOn="OFF",re_srow=0,re_ssum=0),1,12*INDEX(se_block,re_srow,$E4666)/re_ssum)</f>
        <v/>
      </c>
      <c r="O4666" s="209">
        <f>IF($F4666&lt;$B$4619,$E$4619+$I$4619*($F4666-$A$4619),IF($F4666&lt;$C$4619,$F$4619+$J$4619*($F4666-$B$4619),$G$4619+$K$4619*($F4666-$C$4619)))</f>
        <v/>
      </c>
      <c r="P4666" s="208">
        <f>MIN(1,MAX(0,(nr_MEndPm1-$G4666+0.5)/nr_TermMonths))-MIN(1,MAX(0,(nr_MStartPm1-1-$G4666+0.5)/nr_TermMonths))</f>
        <v/>
      </c>
      <c r="Q4666" s="208">
        <f>MIN(1,MAX(0,(nr_MEndP-$G4666+0.5)/nr_TermMonths))-MIN(1,MAX(0,(nr_MStartP-1-$G4666+0.5)/nr_TermMonths))</f>
        <v/>
      </c>
      <c r="R4666" s="208">
        <f>MIN(1,MAX(0,(nr_MEndP1-$G4666+0.5)/nr_TermMonths))-MIN(1,MAX(0,(nr_MStartP1-1-$G4666+0.5)/nr_TermMonths))</f>
        <v/>
      </c>
    </row>
    <row r="4667">
      <c r="A4667" s="145" t="n">
        <v>47</v>
      </c>
      <c r="B4667" s="204">
        <f>EDATE($B4666,1)</f>
        <v/>
      </c>
      <c r="C4667" s="205">
        <f>EOMONTH($B4667,0)</f>
        <v/>
      </c>
      <c r="D4667" s="201">
        <f>$C4667-$B4667+1</f>
        <v/>
      </c>
      <c r="E4667" s="201">
        <f>MONTH($B4667)</f>
        <v/>
      </c>
      <c r="F4667" s="235">
        <f>($B4667+$C4667+1)/2</f>
        <v/>
      </c>
      <c r="G4667" s="201">
        <f>YEAR($B4667)*12+MONTH($B4667)-1</f>
        <v/>
      </c>
      <c r="H4667" s="207">
        <f>IF(OR(nr_SeasonOn="OFF",re_srow=0,re_ssum=0),1,12*INDEX(se_block,re_srow,$E4667)/re_ssum)</f>
        <v/>
      </c>
      <c r="O4667" s="209">
        <f>IF($F4667&lt;$B$4619,$E$4619+$I$4619*($F4667-$A$4619),IF($F4667&lt;$C$4619,$F$4619+$J$4619*($F4667-$B$4619),$G$4619+$K$4619*($F4667-$C$4619)))</f>
        <v/>
      </c>
      <c r="P4667" s="208">
        <f>MIN(1,MAX(0,(nr_MEndPm1-$G4667+0.5)/nr_TermMonths))-MIN(1,MAX(0,(nr_MStartPm1-1-$G4667+0.5)/nr_TermMonths))</f>
        <v/>
      </c>
      <c r="Q4667" s="208">
        <f>MIN(1,MAX(0,(nr_MEndP-$G4667+0.5)/nr_TermMonths))-MIN(1,MAX(0,(nr_MStartP-1-$G4667+0.5)/nr_TermMonths))</f>
        <v/>
      </c>
      <c r="R4667" s="208">
        <f>MIN(1,MAX(0,(nr_MEndP1-$G4667+0.5)/nr_TermMonths))-MIN(1,MAX(0,(nr_MStartP1-1-$G4667+0.5)/nr_TermMonths))</f>
        <v/>
      </c>
    </row>
    <row r="4668">
      <c r="A4668" s="145" t="n">
        <v>48</v>
      </c>
      <c r="B4668" s="204">
        <f>EDATE($B4667,1)</f>
        <v/>
      </c>
      <c r="C4668" s="205">
        <f>EOMONTH($B4668,0)</f>
        <v/>
      </c>
      <c r="D4668" s="201">
        <f>$C4668-$B4668+1</f>
        <v/>
      </c>
      <c r="E4668" s="201">
        <f>MONTH($B4668)</f>
        <v/>
      </c>
      <c r="F4668" s="235">
        <f>($B4668+$C4668+1)/2</f>
        <v/>
      </c>
      <c r="G4668" s="201">
        <f>YEAR($B4668)*12+MONTH($B4668)-1</f>
        <v/>
      </c>
      <c r="H4668" s="207">
        <f>IF(OR(nr_SeasonOn="OFF",re_srow=0,re_ssum=0),1,12*INDEX(se_block,re_srow,$E4668)/re_ssum)</f>
        <v/>
      </c>
      <c r="O4668" s="209">
        <f>IF($F4668&lt;$B$4619,$E$4619+$I$4619*($F4668-$A$4619),IF($F4668&lt;$C$4619,$F$4619+$J$4619*($F4668-$B$4619),$G$4619+$K$4619*($F4668-$C$4619)))</f>
        <v/>
      </c>
      <c r="P4668" s="208">
        <f>MIN(1,MAX(0,(nr_MEndPm1-$G4668+0.5)/nr_TermMonths))-MIN(1,MAX(0,(nr_MStartPm1-1-$G4668+0.5)/nr_TermMonths))</f>
        <v/>
      </c>
      <c r="Q4668" s="208">
        <f>MIN(1,MAX(0,(nr_MEndP-$G4668+0.5)/nr_TermMonths))-MIN(1,MAX(0,(nr_MStartP-1-$G4668+0.5)/nr_TermMonths))</f>
        <v/>
      </c>
      <c r="R4668" s="208">
        <f>MIN(1,MAX(0,(nr_MEndP1-$G4668+0.5)/nr_TermMonths))-MIN(1,MAX(0,(nr_MStartP1-1-$G4668+0.5)/nr_TermMonths))</f>
        <v/>
      </c>
    </row>
    <row r="4669">
      <c r="B4669" s="184">
        <f>SUMPRODUCT($H$4621:$H$4668,$Q$4621:$Q$4668,$O$4621:$O$4668)/SUMPRODUCT($H$4621:$H$4668,$Q$4621:$Q$4668)</f>
        <v/>
      </c>
    </row>
    <row r="4672">
      <c r="A4672" s="233"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36" t="inlineStr">
        <is>
          <t>w-ec-W0</t>
        </is>
      </c>
      <c r="T4674" s="236" t="inlineStr">
        <is>
          <t>cum</t>
        </is>
      </c>
      <c r="U4674" s="236" t="inlineStr">
        <is>
          <t>w-ec-W0eom</t>
        </is>
      </c>
    </row>
    <row r="4675">
      <c r="A4675" s="145" t="n">
        <v>1</v>
      </c>
      <c r="B4675" s="204">
        <f>DATE(nr_PlanYear-2,1,1)</f>
        <v/>
      </c>
      <c r="C4675" s="205">
        <f>EOMONTH($B4675,0)</f>
        <v/>
      </c>
      <c r="D4675" s="201">
        <f>$C4675-$B4675+1</f>
        <v/>
      </c>
      <c r="E4675" s="201">
        <f>MONTH($B4675)</f>
        <v/>
      </c>
      <c r="F4675" s="235">
        <f>($B4675+$C4675+1)/2</f>
        <v/>
      </c>
      <c r="G4675" s="201">
        <f>YEAR($B4675)*12+MONTH($B4675)-1</f>
        <v/>
      </c>
      <c r="H4675" s="207">
        <f>IF(OR(nr_SeasonOn="OFF",$M$4672=0,$N$4672=0),1,12*INDEX(se_block,$M$4672,$E4675)/$N$4672)</f>
        <v/>
      </c>
      <c r="I4675" s="208">
        <f>EXP(SUMPRODUCT((rl_eff&lt;$B4675)*(rl_key=slv_key)*(rl_status="taken")*rl_ln1p))</f>
        <v/>
      </c>
      <c r="J4675" s="208">
        <f>EXP(SUMPRODUCT((rl_eff&lt;=$C4675)*(rl_key=slv_key)*(rl_status="taken")*rl_ln1p))</f>
        <v/>
      </c>
      <c r="K4675" s="201">
        <f>COUNTIFS(rl_key,slv_key,rl_eff,"&gt;="&amp;$B4675,rl_eff,"&lt;="&amp;$C4675,rl_status,"taken")</f>
        <v/>
      </c>
      <c r="L4675" s="201">
        <f>SUMIFS(rl_daysafter,rl_key,slv_key,rl_effmonth,$B4675,rl_first,1,rl_status,"taken")</f>
        <v/>
      </c>
      <c r="M4675" s="209">
        <f>IF($K4675=0,0,MIN(1,$L4675/$D4675))</f>
        <v/>
      </c>
      <c r="N4675" s="208">
        <f>IF($K4675=0,$J4675,(1-$M4675)*$I4675+$M4675*$J4675)</f>
        <v/>
      </c>
      <c r="P4675" s="208">
        <f>MIN(1,MAX(0,(nr_MEndPm1-$G4675+0.5)/nr_TermMonths))-MIN(1,MAX(0,(nr_MStartPm1-1-$G4675+0.5)/nr_TermMonths))</f>
        <v/>
      </c>
      <c r="Q4675" s="208">
        <f>MIN(1,MAX(0,(nr_MEndP-$G4675+0.5)/nr_TermMonths))-MIN(1,MAX(0,(nr_MStartP-1-$G4675+0.5)/nr_TermMonths))</f>
        <v/>
      </c>
      <c r="R4675" s="208">
        <f>MIN(1,MAX(0,(nr_MEndP1-$G4675+0.5)/nr_TermMonths))-MIN(1,MAX(0,(nr_MStartP1-1-$G4675+0.5)/nr_TermMonths))</f>
        <v/>
      </c>
      <c r="S4675" s="72">
        <f>$H4675*$Q4675*$N4675</f>
        <v/>
      </c>
      <c r="T4675" s="72">
        <f>SUM($S$4675:$S4675)</f>
        <v/>
      </c>
      <c r="U4675" s="72">
        <f>$H4675*$Q4675*$J4675</f>
        <v/>
      </c>
    </row>
    <row r="4676">
      <c r="A4676" s="145" t="n">
        <v>2</v>
      </c>
      <c r="B4676" s="204">
        <f>EDATE($B4675,1)</f>
        <v/>
      </c>
      <c r="C4676" s="205">
        <f>EOMONTH($B4676,0)</f>
        <v/>
      </c>
      <c r="D4676" s="201">
        <f>$C4676-$B4676+1</f>
        <v/>
      </c>
      <c r="E4676" s="201">
        <f>MONTH($B4676)</f>
        <v/>
      </c>
      <c r="F4676" s="235">
        <f>($B4676+$C4676+1)/2</f>
        <v/>
      </c>
      <c r="G4676" s="201">
        <f>YEAR($B4676)*12+MONTH($B4676)-1</f>
        <v/>
      </c>
      <c r="H4676" s="207">
        <f>IF(OR(nr_SeasonOn="OFF",$M$4672=0,$N$4672=0),1,12*INDEX(se_block,$M$4672,$E4676)/$N$4672)</f>
        <v/>
      </c>
      <c r="I4676" s="208">
        <f>EXP(SUMPRODUCT((rl_eff&lt;$B4676)*(rl_key=slv_key)*(rl_status="taken")*rl_ln1p))</f>
        <v/>
      </c>
      <c r="J4676" s="208">
        <f>EXP(SUMPRODUCT((rl_eff&lt;=$C4676)*(rl_key=slv_key)*(rl_status="taken")*rl_ln1p))</f>
        <v/>
      </c>
      <c r="K4676" s="201">
        <f>COUNTIFS(rl_key,slv_key,rl_eff,"&gt;="&amp;$B4676,rl_eff,"&lt;="&amp;$C4676,rl_status,"taken")</f>
        <v/>
      </c>
      <c r="L4676" s="201">
        <f>SUMIFS(rl_daysafter,rl_key,slv_key,rl_effmonth,$B4676,rl_first,1,rl_status,"taken")</f>
        <v/>
      </c>
      <c r="M4676" s="209">
        <f>IF($K4676=0,0,MIN(1,$L4676/$D4676))</f>
        <v/>
      </c>
      <c r="N4676" s="208">
        <f>IF($K4676=0,$J4676,(1-$M4676)*$I4676+$M4676*$J4676)</f>
        <v/>
      </c>
      <c r="P4676" s="208">
        <f>MIN(1,MAX(0,(nr_MEndPm1-$G4676+0.5)/nr_TermMonths))-MIN(1,MAX(0,(nr_MStartPm1-1-$G4676+0.5)/nr_TermMonths))</f>
        <v/>
      </c>
      <c r="Q4676" s="208">
        <f>MIN(1,MAX(0,(nr_MEndP-$G4676+0.5)/nr_TermMonths))-MIN(1,MAX(0,(nr_MStartP-1-$G4676+0.5)/nr_TermMonths))</f>
        <v/>
      </c>
      <c r="R4676" s="208">
        <f>MIN(1,MAX(0,(nr_MEndP1-$G4676+0.5)/nr_TermMonths))-MIN(1,MAX(0,(nr_MStartP1-1-$G4676+0.5)/nr_TermMonths))</f>
        <v/>
      </c>
      <c r="S4676" s="72">
        <f>$H4676*$Q4676*$N4676</f>
        <v/>
      </c>
      <c r="T4676" s="72">
        <f>SUM($S$4675:$S4676)</f>
        <v/>
      </c>
      <c r="U4676" s="72">
        <f>$H4676*$Q4676*$J4676</f>
        <v/>
      </c>
    </row>
    <row r="4677">
      <c r="A4677" s="145" t="n">
        <v>3</v>
      </c>
      <c r="B4677" s="204">
        <f>EDATE($B4676,1)</f>
        <v/>
      </c>
      <c r="C4677" s="205">
        <f>EOMONTH($B4677,0)</f>
        <v/>
      </c>
      <c r="D4677" s="201">
        <f>$C4677-$B4677+1</f>
        <v/>
      </c>
      <c r="E4677" s="201">
        <f>MONTH($B4677)</f>
        <v/>
      </c>
      <c r="F4677" s="235">
        <f>($B4677+$C4677+1)/2</f>
        <v/>
      </c>
      <c r="G4677" s="201">
        <f>YEAR($B4677)*12+MONTH($B4677)-1</f>
        <v/>
      </c>
      <c r="H4677" s="207">
        <f>IF(OR(nr_SeasonOn="OFF",$M$4672=0,$N$4672=0),1,12*INDEX(se_block,$M$4672,$E4677)/$N$4672)</f>
        <v/>
      </c>
      <c r="I4677" s="208">
        <f>EXP(SUMPRODUCT((rl_eff&lt;$B4677)*(rl_key=slv_key)*(rl_status="taken")*rl_ln1p))</f>
        <v/>
      </c>
      <c r="J4677" s="208">
        <f>EXP(SUMPRODUCT((rl_eff&lt;=$C4677)*(rl_key=slv_key)*(rl_status="taken")*rl_ln1p))</f>
        <v/>
      </c>
      <c r="K4677" s="201">
        <f>COUNTIFS(rl_key,slv_key,rl_eff,"&gt;="&amp;$B4677,rl_eff,"&lt;="&amp;$C4677,rl_status,"taken")</f>
        <v/>
      </c>
      <c r="L4677" s="201">
        <f>SUMIFS(rl_daysafter,rl_key,slv_key,rl_effmonth,$B4677,rl_first,1,rl_status,"taken")</f>
        <v/>
      </c>
      <c r="M4677" s="209">
        <f>IF($K4677=0,0,MIN(1,$L4677/$D4677))</f>
        <v/>
      </c>
      <c r="N4677" s="208">
        <f>IF($K4677=0,$J4677,(1-$M4677)*$I4677+$M4677*$J4677)</f>
        <v/>
      </c>
      <c r="P4677" s="208">
        <f>MIN(1,MAX(0,(nr_MEndPm1-$G4677+0.5)/nr_TermMonths))-MIN(1,MAX(0,(nr_MStartPm1-1-$G4677+0.5)/nr_TermMonths))</f>
        <v/>
      </c>
      <c r="Q4677" s="208">
        <f>MIN(1,MAX(0,(nr_MEndP-$G4677+0.5)/nr_TermMonths))-MIN(1,MAX(0,(nr_MStartP-1-$G4677+0.5)/nr_TermMonths))</f>
        <v/>
      </c>
      <c r="R4677" s="208">
        <f>MIN(1,MAX(0,(nr_MEndP1-$G4677+0.5)/nr_TermMonths))-MIN(1,MAX(0,(nr_MStartP1-1-$G4677+0.5)/nr_TermMonths))</f>
        <v/>
      </c>
      <c r="S4677" s="72">
        <f>$H4677*$Q4677*$N4677</f>
        <v/>
      </c>
      <c r="T4677" s="72">
        <f>SUM($S$4675:$S4677)</f>
        <v/>
      </c>
      <c r="U4677" s="72">
        <f>$H4677*$Q4677*$J4677</f>
        <v/>
      </c>
    </row>
    <row r="4678">
      <c r="A4678" s="145" t="n">
        <v>4</v>
      </c>
      <c r="B4678" s="204">
        <f>EDATE($B4677,1)</f>
        <v/>
      </c>
      <c r="C4678" s="205">
        <f>EOMONTH($B4678,0)</f>
        <v/>
      </c>
      <c r="D4678" s="201">
        <f>$C4678-$B4678+1</f>
        <v/>
      </c>
      <c r="E4678" s="201">
        <f>MONTH($B4678)</f>
        <v/>
      </c>
      <c r="F4678" s="235">
        <f>($B4678+$C4678+1)/2</f>
        <v/>
      </c>
      <c r="G4678" s="201">
        <f>YEAR($B4678)*12+MONTH($B4678)-1</f>
        <v/>
      </c>
      <c r="H4678" s="207">
        <f>IF(OR(nr_SeasonOn="OFF",$M$4672=0,$N$4672=0),1,12*INDEX(se_block,$M$4672,$E4678)/$N$4672)</f>
        <v/>
      </c>
      <c r="I4678" s="208">
        <f>EXP(SUMPRODUCT((rl_eff&lt;$B4678)*(rl_key=slv_key)*(rl_status="taken")*rl_ln1p))</f>
        <v/>
      </c>
      <c r="J4678" s="208">
        <f>EXP(SUMPRODUCT((rl_eff&lt;=$C4678)*(rl_key=slv_key)*(rl_status="taken")*rl_ln1p))</f>
        <v/>
      </c>
      <c r="K4678" s="201">
        <f>COUNTIFS(rl_key,slv_key,rl_eff,"&gt;="&amp;$B4678,rl_eff,"&lt;="&amp;$C4678,rl_status,"taken")</f>
        <v/>
      </c>
      <c r="L4678" s="201">
        <f>SUMIFS(rl_daysafter,rl_key,slv_key,rl_effmonth,$B4678,rl_first,1,rl_status,"taken")</f>
        <v/>
      </c>
      <c r="M4678" s="209">
        <f>IF($K4678=0,0,MIN(1,$L4678/$D4678))</f>
        <v/>
      </c>
      <c r="N4678" s="208">
        <f>IF($K4678=0,$J4678,(1-$M4678)*$I4678+$M4678*$J4678)</f>
        <v/>
      </c>
      <c r="P4678" s="208">
        <f>MIN(1,MAX(0,(nr_MEndPm1-$G4678+0.5)/nr_TermMonths))-MIN(1,MAX(0,(nr_MStartPm1-1-$G4678+0.5)/nr_TermMonths))</f>
        <v/>
      </c>
      <c r="Q4678" s="208">
        <f>MIN(1,MAX(0,(nr_MEndP-$G4678+0.5)/nr_TermMonths))-MIN(1,MAX(0,(nr_MStartP-1-$G4678+0.5)/nr_TermMonths))</f>
        <v/>
      </c>
      <c r="R4678" s="208">
        <f>MIN(1,MAX(0,(nr_MEndP1-$G4678+0.5)/nr_TermMonths))-MIN(1,MAX(0,(nr_MStartP1-1-$G4678+0.5)/nr_TermMonths))</f>
        <v/>
      </c>
      <c r="S4678" s="72">
        <f>$H4678*$Q4678*$N4678</f>
        <v/>
      </c>
      <c r="T4678" s="72">
        <f>SUM($S$4675:$S4678)</f>
        <v/>
      </c>
      <c r="U4678" s="72">
        <f>$H4678*$Q4678*$J4678</f>
        <v/>
      </c>
    </row>
    <row r="4679">
      <c r="A4679" s="145" t="n">
        <v>5</v>
      </c>
      <c r="B4679" s="204">
        <f>EDATE($B4678,1)</f>
        <v/>
      </c>
      <c r="C4679" s="205">
        <f>EOMONTH($B4679,0)</f>
        <v/>
      </c>
      <c r="D4679" s="201">
        <f>$C4679-$B4679+1</f>
        <v/>
      </c>
      <c r="E4679" s="201">
        <f>MONTH($B4679)</f>
        <v/>
      </c>
      <c r="F4679" s="235">
        <f>($B4679+$C4679+1)/2</f>
        <v/>
      </c>
      <c r="G4679" s="201">
        <f>YEAR($B4679)*12+MONTH($B4679)-1</f>
        <v/>
      </c>
      <c r="H4679" s="207">
        <f>IF(OR(nr_SeasonOn="OFF",$M$4672=0,$N$4672=0),1,12*INDEX(se_block,$M$4672,$E4679)/$N$4672)</f>
        <v/>
      </c>
      <c r="I4679" s="208">
        <f>EXP(SUMPRODUCT((rl_eff&lt;$B4679)*(rl_key=slv_key)*(rl_status="taken")*rl_ln1p))</f>
        <v/>
      </c>
      <c r="J4679" s="208">
        <f>EXP(SUMPRODUCT((rl_eff&lt;=$C4679)*(rl_key=slv_key)*(rl_status="taken")*rl_ln1p))</f>
        <v/>
      </c>
      <c r="K4679" s="201">
        <f>COUNTIFS(rl_key,slv_key,rl_eff,"&gt;="&amp;$B4679,rl_eff,"&lt;="&amp;$C4679,rl_status,"taken")</f>
        <v/>
      </c>
      <c r="L4679" s="201">
        <f>SUMIFS(rl_daysafter,rl_key,slv_key,rl_effmonth,$B4679,rl_first,1,rl_status,"taken")</f>
        <v/>
      </c>
      <c r="M4679" s="209">
        <f>IF($K4679=0,0,MIN(1,$L4679/$D4679))</f>
        <v/>
      </c>
      <c r="N4679" s="208">
        <f>IF($K4679=0,$J4679,(1-$M4679)*$I4679+$M4679*$J4679)</f>
        <v/>
      </c>
      <c r="P4679" s="208">
        <f>MIN(1,MAX(0,(nr_MEndPm1-$G4679+0.5)/nr_TermMonths))-MIN(1,MAX(0,(nr_MStartPm1-1-$G4679+0.5)/nr_TermMonths))</f>
        <v/>
      </c>
      <c r="Q4679" s="208">
        <f>MIN(1,MAX(0,(nr_MEndP-$G4679+0.5)/nr_TermMonths))-MIN(1,MAX(0,(nr_MStartP-1-$G4679+0.5)/nr_TermMonths))</f>
        <v/>
      </c>
      <c r="R4679" s="208">
        <f>MIN(1,MAX(0,(nr_MEndP1-$G4679+0.5)/nr_TermMonths))-MIN(1,MAX(0,(nr_MStartP1-1-$G4679+0.5)/nr_TermMonths))</f>
        <v/>
      </c>
      <c r="S4679" s="72">
        <f>$H4679*$Q4679*$N4679</f>
        <v/>
      </c>
      <c r="T4679" s="72">
        <f>SUM($S$4675:$S4679)</f>
        <v/>
      </c>
      <c r="U4679" s="72">
        <f>$H4679*$Q4679*$J4679</f>
        <v/>
      </c>
    </row>
    <row r="4680">
      <c r="A4680" s="145" t="n">
        <v>6</v>
      </c>
      <c r="B4680" s="204">
        <f>EDATE($B4679,1)</f>
        <v/>
      </c>
      <c r="C4680" s="205">
        <f>EOMONTH($B4680,0)</f>
        <v/>
      </c>
      <c r="D4680" s="201">
        <f>$C4680-$B4680+1</f>
        <v/>
      </c>
      <c r="E4680" s="201">
        <f>MONTH($B4680)</f>
        <v/>
      </c>
      <c r="F4680" s="235">
        <f>($B4680+$C4680+1)/2</f>
        <v/>
      </c>
      <c r="G4680" s="201">
        <f>YEAR($B4680)*12+MONTH($B4680)-1</f>
        <v/>
      </c>
      <c r="H4680" s="207">
        <f>IF(OR(nr_SeasonOn="OFF",$M$4672=0,$N$4672=0),1,12*INDEX(se_block,$M$4672,$E4680)/$N$4672)</f>
        <v/>
      </c>
      <c r="I4680" s="208">
        <f>EXP(SUMPRODUCT((rl_eff&lt;$B4680)*(rl_key=slv_key)*(rl_status="taken")*rl_ln1p))</f>
        <v/>
      </c>
      <c r="J4680" s="208">
        <f>EXP(SUMPRODUCT((rl_eff&lt;=$C4680)*(rl_key=slv_key)*(rl_status="taken")*rl_ln1p))</f>
        <v/>
      </c>
      <c r="K4680" s="201">
        <f>COUNTIFS(rl_key,slv_key,rl_eff,"&gt;="&amp;$B4680,rl_eff,"&lt;="&amp;$C4680,rl_status,"taken")</f>
        <v/>
      </c>
      <c r="L4680" s="201">
        <f>SUMIFS(rl_daysafter,rl_key,slv_key,rl_effmonth,$B4680,rl_first,1,rl_status,"taken")</f>
        <v/>
      </c>
      <c r="M4680" s="209">
        <f>IF($K4680=0,0,MIN(1,$L4680/$D4680))</f>
        <v/>
      </c>
      <c r="N4680" s="208">
        <f>IF($K4680=0,$J4680,(1-$M4680)*$I4680+$M4680*$J4680)</f>
        <v/>
      </c>
      <c r="P4680" s="208">
        <f>MIN(1,MAX(0,(nr_MEndPm1-$G4680+0.5)/nr_TermMonths))-MIN(1,MAX(0,(nr_MStartPm1-1-$G4680+0.5)/nr_TermMonths))</f>
        <v/>
      </c>
      <c r="Q4680" s="208">
        <f>MIN(1,MAX(0,(nr_MEndP-$G4680+0.5)/nr_TermMonths))-MIN(1,MAX(0,(nr_MStartP-1-$G4680+0.5)/nr_TermMonths))</f>
        <v/>
      </c>
      <c r="R4680" s="208">
        <f>MIN(1,MAX(0,(nr_MEndP1-$G4680+0.5)/nr_TermMonths))-MIN(1,MAX(0,(nr_MStartP1-1-$G4680+0.5)/nr_TermMonths))</f>
        <v/>
      </c>
      <c r="S4680" s="72">
        <f>$H4680*$Q4680*$N4680</f>
        <v/>
      </c>
      <c r="T4680" s="72">
        <f>SUM($S$4675:$S4680)</f>
        <v/>
      </c>
      <c r="U4680" s="72">
        <f>$H4680*$Q4680*$J4680</f>
        <v/>
      </c>
    </row>
    <row r="4681">
      <c r="A4681" s="145" t="n">
        <v>7</v>
      </c>
      <c r="B4681" s="204">
        <f>EDATE($B4680,1)</f>
        <v/>
      </c>
      <c r="C4681" s="205">
        <f>EOMONTH($B4681,0)</f>
        <v/>
      </c>
      <c r="D4681" s="201">
        <f>$C4681-$B4681+1</f>
        <v/>
      </c>
      <c r="E4681" s="201">
        <f>MONTH($B4681)</f>
        <v/>
      </c>
      <c r="F4681" s="235">
        <f>($B4681+$C4681+1)/2</f>
        <v/>
      </c>
      <c r="G4681" s="201">
        <f>YEAR($B4681)*12+MONTH($B4681)-1</f>
        <v/>
      </c>
      <c r="H4681" s="207">
        <f>IF(OR(nr_SeasonOn="OFF",$M$4672=0,$N$4672=0),1,12*INDEX(se_block,$M$4672,$E4681)/$N$4672)</f>
        <v/>
      </c>
      <c r="I4681" s="208">
        <f>EXP(SUMPRODUCT((rl_eff&lt;$B4681)*(rl_key=slv_key)*(rl_status="taken")*rl_ln1p))</f>
        <v/>
      </c>
      <c r="J4681" s="208">
        <f>EXP(SUMPRODUCT((rl_eff&lt;=$C4681)*(rl_key=slv_key)*(rl_status="taken")*rl_ln1p))</f>
        <v/>
      </c>
      <c r="K4681" s="201">
        <f>COUNTIFS(rl_key,slv_key,rl_eff,"&gt;="&amp;$B4681,rl_eff,"&lt;="&amp;$C4681,rl_status,"taken")</f>
        <v/>
      </c>
      <c r="L4681" s="201">
        <f>SUMIFS(rl_daysafter,rl_key,slv_key,rl_effmonth,$B4681,rl_first,1,rl_status,"taken")</f>
        <v/>
      </c>
      <c r="M4681" s="209">
        <f>IF($K4681=0,0,MIN(1,$L4681/$D4681))</f>
        <v/>
      </c>
      <c r="N4681" s="208">
        <f>IF($K4681=0,$J4681,(1-$M4681)*$I4681+$M4681*$J4681)</f>
        <v/>
      </c>
      <c r="P4681" s="208">
        <f>MIN(1,MAX(0,(nr_MEndPm1-$G4681+0.5)/nr_TermMonths))-MIN(1,MAX(0,(nr_MStartPm1-1-$G4681+0.5)/nr_TermMonths))</f>
        <v/>
      </c>
      <c r="Q4681" s="208">
        <f>MIN(1,MAX(0,(nr_MEndP-$G4681+0.5)/nr_TermMonths))-MIN(1,MAX(0,(nr_MStartP-1-$G4681+0.5)/nr_TermMonths))</f>
        <v/>
      </c>
      <c r="R4681" s="208">
        <f>MIN(1,MAX(0,(nr_MEndP1-$G4681+0.5)/nr_TermMonths))-MIN(1,MAX(0,(nr_MStartP1-1-$G4681+0.5)/nr_TermMonths))</f>
        <v/>
      </c>
      <c r="S4681" s="72">
        <f>$H4681*$Q4681*$N4681</f>
        <v/>
      </c>
      <c r="T4681" s="72">
        <f>SUM($S$4675:$S4681)</f>
        <v/>
      </c>
      <c r="U4681" s="72">
        <f>$H4681*$Q4681*$J4681</f>
        <v/>
      </c>
    </row>
    <row r="4682">
      <c r="A4682" s="145" t="n">
        <v>8</v>
      </c>
      <c r="B4682" s="204">
        <f>EDATE($B4681,1)</f>
        <v/>
      </c>
      <c r="C4682" s="205">
        <f>EOMONTH($B4682,0)</f>
        <v/>
      </c>
      <c r="D4682" s="201">
        <f>$C4682-$B4682+1</f>
        <v/>
      </c>
      <c r="E4682" s="201">
        <f>MONTH($B4682)</f>
        <v/>
      </c>
      <c r="F4682" s="235">
        <f>($B4682+$C4682+1)/2</f>
        <v/>
      </c>
      <c r="G4682" s="201">
        <f>YEAR($B4682)*12+MONTH($B4682)-1</f>
        <v/>
      </c>
      <c r="H4682" s="207">
        <f>IF(OR(nr_SeasonOn="OFF",$M$4672=0,$N$4672=0),1,12*INDEX(se_block,$M$4672,$E4682)/$N$4672)</f>
        <v/>
      </c>
      <c r="I4682" s="208">
        <f>EXP(SUMPRODUCT((rl_eff&lt;$B4682)*(rl_key=slv_key)*(rl_status="taken")*rl_ln1p))</f>
        <v/>
      </c>
      <c r="J4682" s="208">
        <f>EXP(SUMPRODUCT((rl_eff&lt;=$C4682)*(rl_key=slv_key)*(rl_status="taken")*rl_ln1p))</f>
        <v/>
      </c>
      <c r="K4682" s="201">
        <f>COUNTIFS(rl_key,slv_key,rl_eff,"&gt;="&amp;$B4682,rl_eff,"&lt;="&amp;$C4682,rl_status,"taken")</f>
        <v/>
      </c>
      <c r="L4682" s="201">
        <f>SUMIFS(rl_daysafter,rl_key,slv_key,rl_effmonth,$B4682,rl_first,1,rl_status,"taken")</f>
        <v/>
      </c>
      <c r="M4682" s="209">
        <f>IF($K4682=0,0,MIN(1,$L4682/$D4682))</f>
        <v/>
      </c>
      <c r="N4682" s="208">
        <f>IF($K4682=0,$J4682,(1-$M4682)*$I4682+$M4682*$J4682)</f>
        <v/>
      </c>
      <c r="P4682" s="208">
        <f>MIN(1,MAX(0,(nr_MEndPm1-$G4682+0.5)/nr_TermMonths))-MIN(1,MAX(0,(nr_MStartPm1-1-$G4682+0.5)/nr_TermMonths))</f>
        <v/>
      </c>
      <c r="Q4682" s="208">
        <f>MIN(1,MAX(0,(nr_MEndP-$G4682+0.5)/nr_TermMonths))-MIN(1,MAX(0,(nr_MStartP-1-$G4682+0.5)/nr_TermMonths))</f>
        <v/>
      </c>
      <c r="R4682" s="208">
        <f>MIN(1,MAX(0,(nr_MEndP1-$G4682+0.5)/nr_TermMonths))-MIN(1,MAX(0,(nr_MStartP1-1-$G4682+0.5)/nr_TermMonths))</f>
        <v/>
      </c>
      <c r="S4682" s="72">
        <f>$H4682*$Q4682*$N4682</f>
        <v/>
      </c>
      <c r="T4682" s="72">
        <f>SUM($S$4675:$S4682)</f>
        <v/>
      </c>
      <c r="U4682" s="72">
        <f>$H4682*$Q4682*$J4682</f>
        <v/>
      </c>
    </row>
    <row r="4683">
      <c r="A4683" s="145" t="n">
        <v>9</v>
      </c>
      <c r="B4683" s="204">
        <f>EDATE($B4682,1)</f>
        <v/>
      </c>
      <c r="C4683" s="205">
        <f>EOMONTH($B4683,0)</f>
        <v/>
      </c>
      <c r="D4683" s="201">
        <f>$C4683-$B4683+1</f>
        <v/>
      </c>
      <c r="E4683" s="201">
        <f>MONTH($B4683)</f>
        <v/>
      </c>
      <c r="F4683" s="235">
        <f>($B4683+$C4683+1)/2</f>
        <v/>
      </c>
      <c r="G4683" s="201">
        <f>YEAR($B4683)*12+MONTH($B4683)-1</f>
        <v/>
      </c>
      <c r="H4683" s="207">
        <f>IF(OR(nr_SeasonOn="OFF",$M$4672=0,$N$4672=0),1,12*INDEX(se_block,$M$4672,$E4683)/$N$4672)</f>
        <v/>
      </c>
      <c r="I4683" s="208">
        <f>EXP(SUMPRODUCT((rl_eff&lt;$B4683)*(rl_key=slv_key)*(rl_status="taken")*rl_ln1p))</f>
        <v/>
      </c>
      <c r="J4683" s="208">
        <f>EXP(SUMPRODUCT((rl_eff&lt;=$C4683)*(rl_key=slv_key)*(rl_status="taken")*rl_ln1p))</f>
        <v/>
      </c>
      <c r="K4683" s="201">
        <f>COUNTIFS(rl_key,slv_key,rl_eff,"&gt;="&amp;$B4683,rl_eff,"&lt;="&amp;$C4683,rl_status,"taken")</f>
        <v/>
      </c>
      <c r="L4683" s="201">
        <f>SUMIFS(rl_daysafter,rl_key,slv_key,rl_effmonth,$B4683,rl_first,1,rl_status,"taken")</f>
        <v/>
      </c>
      <c r="M4683" s="209">
        <f>IF($K4683=0,0,MIN(1,$L4683/$D4683))</f>
        <v/>
      </c>
      <c r="N4683" s="208">
        <f>IF($K4683=0,$J4683,(1-$M4683)*$I4683+$M4683*$J4683)</f>
        <v/>
      </c>
      <c r="P4683" s="208">
        <f>MIN(1,MAX(0,(nr_MEndPm1-$G4683+0.5)/nr_TermMonths))-MIN(1,MAX(0,(nr_MStartPm1-1-$G4683+0.5)/nr_TermMonths))</f>
        <v/>
      </c>
      <c r="Q4683" s="208">
        <f>MIN(1,MAX(0,(nr_MEndP-$G4683+0.5)/nr_TermMonths))-MIN(1,MAX(0,(nr_MStartP-1-$G4683+0.5)/nr_TermMonths))</f>
        <v/>
      </c>
      <c r="R4683" s="208">
        <f>MIN(1,MAX(0,(nr_MEndP1-$G4683+0.5)/nr_TermMonths))-MIN(1,MAX(0,(nr_MStartP1-1-$G4683+0.5)/nr_TermMonths))</f>
        <v/>
      </c>
      <c r="S4683" s="72">
        <f>$H4683*$Q4683*$N4683</f>
        <v/>
      </c>
      <c r="T4683" s="72">
        <f>SUM($S$4675:$S4683)</f>
        <v/>
      </c>
      <c r="U4683" s="72">
        <f>$H4683*$Q4683*$J4683</f>
        <v/>
      </c>
    </row>
    <row r="4684">
      <c r="A4684" s="145" t="n">
        <v>10</v>
      </c>
      <c r="B4684" s="204">
        <f>EDATE($B4683,1)</f>
        <v/>
      </c>
      <c r="C4684" s="205">
        <f>EOMONTH($B4684,0)</f>
        <v/>
      </c>
      <c r="D4684" s="201">
        <f>$C4684-$B4684+1</f>
        <v/>
      </c>
      <c r="E4684" s="201">
        <f>MONTH($B4684)</f>
        <v/>
      </c>
      <c r="F4684" s="235">
        <f>($B4684+$C4684+1)/2</f>
        <v/>
      </c>
      <c r="G4684" s="201">
        <f>YEAR($B4684)*12+MONTH($B4684)-1</f>
        <v/>
      </c>
      <c r="H4684" s="207">
        <f>IF(OR(nr_SeasonOn="OFF",$M$4672=0,$N$4672=0),1,12*INDEX(se_block,$M$4672,$E4684)/$N$4672)</f>
        <v/>
      </c>
      <c r="I4684" s="208">
        <f>EXP(SUMPRODUCT((rl_eff&lt;$B4684)*(rl_key=slv_key)*(rl_status="taken")*rl_ln1p))</f>
        <v/>
      </c>
      <c r="J4684" s="208">
        <f>EXP(SUMPRODUCT((rl_eff&lt;=$C4684)*(rl_key=slv_key)*(rl_status="taken")*rl_ln1p))</f>
        <v/>
      </c>
      <c r="K4684" s="201">
        <f>COUNTIFS(rl_key,slv_key,rl_eff,"&gt;="&amp;$B4684,rl_eff,"&lt;="&amp;$C4684,rl_status,"taken")</f>
        <v/>
      </c>
      <c r="L4684" s="201">
        <f>SUMIFS(rl_daysafter,rl_key,slv_key,rl_effmonth,$B4684,rl_first,1,rl_status,"taken")</f>
        <v/>
      </c>
      <c r="M4684" s="209">
        <f>IF($K4684=0,0,MIN(1,$L4684/$D4684))</f>
        <v/>
      </c>
      <c r="N4684" s="208">
        <f>IF($K4684=0,$J4684,(1-$M4684)*$I4684+$M4684*$J4684)</f>
        <v/>
      </c>
      <c r="P4684" s="208">
        <f>MIN(1,MAX(0,(nr_MEndPm1-$G4684+0.5)/nr_TermMonths))-MIN(1,MAX(0,(nr_MStartPm1-1-$G4684+0.5)/nr_TermMonths))</f>
        <v/>
      </c>
      <c r="Q4684" s="208">
        <f>MIN(1,MAX(0,(nr_MEndP-$G4684+0.5)/nr_TermMonths))-MIN(1,MAX(0,(nr_MStartP-1-$G4684+0.5)/nr_TermMonths))</f>
        <v/>
      </c>
      <c r="R4684" s="208">
        <f>MIN(1,MAX(0,(nr_MEndP1-$G4684+0.5)/nr_TermMonths))-MIN(1,MAX(0,(nr_MStartP1-1-$G4684+0.5)/nr_TermMonths))</f>
        <v/>
      </c>
      <c r="S4684" s="72">
        <f>$H4684*$Q4684*$N4684</f>
        <v/>
      </c>
      <c r="T4684" s="72">
        <f>SUM($S$4675:$S4684)</f>
        <v/>
      </c>
      <c r="U4684" s="72">
        <f>$H4684*$Q4684*$J4684</f>
        <v/>
      </c>
    </row>
    <row r="4685">
      <c r="A4685" s="145" t="n">
        <v>11</v>
      </c>
      <c r="B4685" s="204">
        <f>EDATE($B4684,1)</f>
        <v/>
      </c>
      <c r="C4685" s="205">
        <f>EOMONTH($B4685,0)</f>
        <v/>
      </c>
      <c r="D4685" s="201">
        <f>$C4685-$B4685+1</f>
        <v/>
      </c>
      <c r="E4685" s="201">
        <f>MONTH($B4685)</f>
        <v/>
      </c>
      <c r="F4685" s="235">
        <f>($B4685+$C4685+1)/2</f>
        <v/>
      </c>
      <c r="G4685" s="201">
        <f>YEAR($B4685)*12+MONTH($B4685)-1</f>
        <v/>
      </c>
      <c r="H4685" s="207">
        <f>IF(OR(nr_SeasonOn="OFF",$M$4672=0,$N$4672=0),1,12*INDEX(se_block,$M$4672,$E4685)/$N$4672)</f>
        <v/>
      </c>
      <c r="I4685" s="208">
        <f>EXP(SUMPRODUCT((rl_eff&lt;$B4685)*(rl_key=slv_key)*(rl_status="taken")*rl_ln1p))</f>
        <v/>
      </c>
      <c r="J4685" s="208">
        <f>EXP(SUMPRODUCT((rl_eff&lt;=$C4685)*(rl_key=slv_key)*(rl_status="taken")*rl_ln1p))</f>
        <v/>
      </c>
      <c r="K4685" s="201">
        <f>COUNTIFS(rl_key,slv_key,rl_eff,"&gt;="&amp;$B4685,rl_eff,"&lt;="&amp;$C4685,rl_status,"taken")</f>
        <v/>
      </c>
      <c r="L4685" s="201">
        <f>SUMIFS(rl_daysafter,rl_key,slv_key,rl_effmonth,$B4685,rl_first,1,rl_status,"taken")</f>
        <v/>
      </c>
      <c r="M4685" s="209">
        <f>IF($K4685=0,0,MIN(1,$L4685/$D4685))</f>
        <v/>
      </c>
      <c r="N4685" s="208">
        <f>IF($K4685=0,$J4685,(1-$M4685)*$I4685+$M4685*$J4685)</f>
        <v/>
      </c>
      <c r="P4685" s="208">
        <f>MIN(1,MAX(0,(nr_MEndPm1-$G4685+0.5)/nr_TermMonths))-MIN(1,MAX(0,(nr_MStartPm1-1-$G4685+0.5)/nr_TermMonths))</f>
        <v/>
      </c>
      <c r="Q4685" s="208">
        <f>MIN(1,MAX(0,(nr_MEndP-$G4685+0.5)/nr_TermMonths))-MIN(1,MAX(0,(nr_MStartP-1-$G4685+0.5)/nr_TermMonths))</f>
        <v/>
      </c>
      <c r="R4685" s="208">
        <f>MIN(1,MAX(0,(nr_MEndP1-$G4685+0.5)/nr_TermMonths))-MIN(1,MAX(0,(nr_MStartP1-1-$G4685+0.5)/nr_TermMonths))</f>
        <v/>
      </c>
      <c r="S4685" s="72">
        <f>$H4685*$Q4685*$N4685</f>
        <v/>
      </c>
      <c r="T4685" s="72">
        <f>SUM($S$4675:$S4685)</f>
        <v/>
      </c>
      <c r="U4685" s="72">
        <f>$H4685*$Q4685*$J4685</f>
        <v/>
      </c>
    </row>
    <row r="4686">
      <c r="A4686" s="145" t="n">
        <v>12</v>
      </c>
      <c r="B4686" s="204">
        <f>EDATE($B4685,1)</f>
        <v/>
      </c>
      <c r="C4686" s="205">
        <f>EOMONTH($B4686,0)</f>
        <v/>
      </c>
      <c r="D4686" s="201">
        <f>$C4686-$B4686+1</f>
        <v/>
      </c>
      <c r="E4686" s="201">
        <f>MONTH($B4686)</f>
        <v/>
      </c>
      <c r="F4686" s="235">
        <f>($B4686+$C4686+1)/2</f>
        <v/>
      </c>
      <c r="G4686" s="201">
        <f>YEAR($B4686)*12+MONTH($B4686)-1</f>
        <v/>
      </c>
      <c r="H4686" s="207">
        <f>IF(OR(nr_SeasonOn="OFF",$M$4672=0,$N$4672=0),1,12*INDEX(se_block,$M$4672,$E4686)/$N$4672)</f>
        <v/>
      </c>
      <c r="I4686" s="208">
        <f>EXP(SUMPRODUCT((rl_eff&lt;$B4686)*(rl_key=slv_key)*(rl_status="taken")*rl_ln1p))</f>
        <v/>
      </c>
      <c r="J4686" s="208">
        <f>EXP(SUMPRODUCT((rl_eff&lt;=$C4686)*(rl_key=slv_key)*(rl_status="taken")*rl_ln1p))</f>
        <v/>
      </c>
      <c r="K4686" s="201">
        <f>COUNTIFS(rl_key,slv_key,rl_eff,"&gt;="&amp;$B4686,rl_eff,"&lt;="&amp;$C4686,rl_status,"taken")</f>
        <v/>
      </c>
      <c r="L4686" s="201">
        <f>SUMIFS(rl_daysafter,rl_key,slv_key,rl_effmonth,$B4686,rl_first,1,rl_status,"taken")</f>
        <v/>
      </c>
      <c r="M4686" s="209">
        <f>IF($K4686=0,0,MIN(1,$L4686/$D4686))</f>
        <v/>
      </c>
      <c r="N4686" s="208">
        <f>IF($K4686=0,$J4686,(1-$M4686)*$I4686+$M4686*$J4686)</f>
        <v/>
      </c>
      <c r="P4686" s="208">
        <f>MIN(1,MAX(0,(nr_MEndPm1-$G4686+0.5)/nr_TermMonths))-MIN(1,MAX(0,(nr_MStartPm1-1-$G4686+0.5)/nr_TermMonths))</f>
        <v/>
      </c>
      <c r="Q4686" s="208">
        <f>MIN(1,MAX(0,(nr_MEndP-$G4686+0.5)/nr_TermMonths))-MIN(1,MAX(0,(nr_MStartP-1-$G4686+0.5)/nr_TermMonths))</f>
        <v/>
      </c>
      <c r="R4686" s="208">
        <f>MIN(1,MAX(0,(nr_MEndP1-$G4686+0.5)/nr_TermMonths))-MIN(1,MAX(0,(nr_MStartP1-1-$G4686+0.5)/nr_TermMonths))</f>
        <v/>
      </c>
      <c r="S4686" s="72">
        <f>$H4686*$Q4686*$N4686</f>
        <v/>
      </c>
      <c r="T4686" s="72">
        <f>SUM($S$4675:$S4686)</f>
        <v/>
      </c>
      <c r="U4686" s="72">
        <f>$H4686*$Q4686*$J4686</f>
        <v/>
      </c>
    </row>
    <row r="4687">
      <c r="A4687" s="145" t="n">
        <v>13</v>
      </c>
      <c r="B4687" s="204">
        <f>EDATE($B4686,1)</f>
        <v/>
      </c>
      <c r="C4687" s="205">
        <f>EOMONTH($B4687,0)</f>
        <v/>
      </c>
      <c r="D4687" s="201">
        <f>$C4687-$B4687+1</f>
        <v/>
      </c>
      <c r="E4687" s="201">
        <f>MONTH($B4687)</f>
        <v/>
      </c>
      <c r="F4687" s="235">
        <f>($B4687+$C4687+1)/2</f>
        <v/>
      </c>
      <c r="G4687" s="201">
        <f>YEAR($B4687)*12+MONTH($B4687)-1</f>
        <v/>
      </c>
      <c r="H4687" s="207">
        <f>IF(OR(nr_SeasonOn="OFF",$M$4672=0,$N$4672=0),1,12*INDEX(se_block,$M$4672,$E4687)/$N$4672)</f>
        <v/>
      </c>
      <c r="I4687" s="208">
        <f>EXP(SUMPRODUCT((rl_eff&lt;$B4687)*(rl_key=slv_key)*(rl_status="taken")*rl_ln1p))</f>
        <v/>
      </c>
      <c r="J4687" s="208">
        <f>EXP(SUMPRODUCT((rl_eff&lt;=$C4687)*(rl_key=slv_key)*(rl_status="taken")*rl_ln1p))</f>
        <v/>
      </c>
      <c r="K4687" s="201">
        <f>COUNTIFS(rl_key,slv_key,rl_eff,"&gt;="&amp;$B4687,rl_eff,"&lt;="&amp;$C4687,rl_status,"taken")</f>
        <v/>
      </c>
      <c r="L4687" s="201">
        <f>SUMIFS(rl_daysafter,rl_key,slv_key,rl_effmonth,$B4687,rl_first,1,rl_status,"taken")</f>
        <v/>
      </c>
      <c r="M4687" s="209">
        <f>IF($K4687=0,0,MIN(1,$L4687/$D4687))</f>
        <v/>
      </c>
      <c r="N4687" s="208">
        <f>IF($K4687=0,$J4687,(1-$M4687)*$I4687+$M4687*$J4687)</f>
        <v/>
      </c>
      <c r="P4687" s="208">
        <f>MIN(1,MAX(0,(nr_MEndPm1-$G4687+0.5)/nr_TermMonths))-MIN(1,MAX(0,(nr_MStartPm1-1-$G4687+0.5)/nr_TermMonths))</f>
        <v/>
      </c>
      <c r="Q4687" s="208">
        <f>MIN(1,MAX(0,(nr_MEndP-$G4687+0.5)/nr_TermMonths))-MIN(1,MAX(0,(nr_MStartP-1-$G4687+0.5)/nr_TermMonths))</f>
        <v/>
      </c>
      <c r="R4687" s="208">
        <f>MIN(1,MAX(0,(nr_MEndP1-$G4687+0.5)/nr_TermMonths))-MIN(1,MAX(0,(nr_MStartP1-1-$G4687+0.5)/nr_TermMonths))</f>
        <v/>
      </c>
      <c r="S4687" s="72">
        <f>$H4687*$Q4687*$N4687</f>
        <v/>
      </c>
      <c r="T4687" s="72">
        <f>SUM($S$4675:$S4687)</f>
        <v/>
      </c>
      <c r="U4687" s="72">
        <f>$H4687*$Q4687*$J4687</f>
        <v/>
      </c>
    </row>
    <row r="4688">
      <c r="A4688" s="145" t="n">
        <v>14</v>
      </c>
      <c r="B4688" s="204">
        <f>EDATE($B4687,1)</f>
        <v/>
      </c>
      <c r="C4688" s="205">
        <f>EOMONTH($B4688,0)</f>
        <v/>
      </c>
      <c r="D4688" s="201">
        <f>$C4688-$B4688+1</f>
        <v/>
      </c>
      <c r="E4688" s="201">
        <f>MONTH($B4688)</f>
        <v/>
      </c>
      <c r="F4688" s="235">
        <f>($B4688+$C4688+1)/2</f>
        <v/>
      </c>
      <c r="G4688" s="201">
        <f>YEAR($B4688)*12+MONTH($B4688)-1</f>
        <v/>
      </c>
      <c r="H4688" s="207">
        <f>IF(OR(nr_SeasonOn="OFF",$M$4672=0,$N$4672=0),1,12*INDEX(se_block,$M$4672,$E4688)/$N$4672)</f>
        <v/>
      </c>
      <c r="I4688" s="208">
        <f>EXP(SUMPRODUCT((rl_eff&lt;$B4688)*(rl_key=slv_key)*(rl_status="taken")*rl_ln1p))</f>
        <v/>
      </c>
      <c r="J4688" s="208">
        <f>EXP(SUMPRODUCT((rl_eff&lt;=$C4688)*(rl_key=slv_key)*(rl_status="taken")*rl_ln1p))</f>
        <v/>
      </c>
      <c r="K4688" s="201">
        <f>COUNTIFS(rl_key,slv_key,rl_eff,"&gt;="&amp;$B4688,rl_eff,"&lt;="&amp;$C4688,rl_status,"taken")</f>
        <v/>
      </c>
      <c r="L4688" s="201">
        <f>SUMIFS(rl_daysafter,rl_key,slv_key,rl_effmonth,$B4688,rl_first,1,rl_status,"taken")</f>
        <v/>
      </c>
      <c r="M4688" s="209">
        <f>IF($K4688=0,0,MIN(1,$L4688/$D4688))</f>
        <v/>
      </c>
      <c r="N4688" s="208">
        <f>IF($K4688=0,$J4688,(1-$M4688)*$I4688+$M4688*$J4688)</f>
        <v/>
      </c>
      <c r="P4688" s="208">
        <f>MIN(1,MAX(0,(nr_MEndPm1-$G4688+0.5)/nr_TermMonths))-MIN(1,MAX(0,(nr_MStartPm1-1-$G4688+0.5)/nr_TermMonths))</f>
        <v/>
      </c>
      <c r="Q4688" s="208">
        <f>MIN(1,MAX(0,(nr_MEndP-$G4688+0.5)/nr_TermMonths))-MIN(1,MAX(0,(nr_MStartP-1-$G4688+0.5)/nr_TermMonths))</f>
        <v/>
      </c>
      <c r="R4688" s="208">
        <f>MIN(1,MAX(0,(nr_MEndP1-$G4688+0.5)/nr_TermMonths))-MIN(1,MAX(0,(nr_MStartP1-1-$G4688+0.5)/nr_TermMonths))</f>
        <v/>
      </c>
      <c r="S4688" s="72">
        <f>$H4688*$Q4688*$N4688</f>
        <v/>
      </c>
      <c r="T4688" s="72">
        <f>SUM($S$4675:$S4688)</f>
        <v/>
      </c>
      <c r="U4688" s="72">
        <f>$H4688*$Q4688*$J4688</f>
        <v/>
      </c>
    </row>
    <row r="4689">
      <c r="A4689" s="145" t="n">
        <v>15</v>
      </c>
      <c r="B4689" s="204">
        <f>EDATE($B4688,1)</f>
        <v/>
      </c>
      <c r="C4689" s="205">
        <f>EOMONTH($B4689,0)</f>
        <v/>
      </c>
      <c r="D4689" s="201">
        <f>$C4689-$B4689+1</f>
        <v/>
      </c>
      <c r="E4689" s="201">
        <f>MONTH($B4689)</f>
        <v/>
      </c>
      <c r="F4689" s="235">
        <f>($B4689+$C4689+1)/2</f>
        <v/>
      </c>
      <c r="G4689" s="201">
        <f>YEAR($B4689)*12+MONTH($B4689)-1</f>
        <v/>
      </c>
      <c r="H4689" s="207">
        <f>IF(OR(nr_SeasonOn="OFF",$M$4672=0,$N$4672=0),1,12*INDEX(se_block,$M$4672,$E4689)/$N$4672)</f>
        <v/>
      </c>
      <c r="I4689" s="208">
        <f>EXP(SUMPRODUCT((rl_eff&lt;$B4689)*(rl_key=slv_key)*(rl_status="taken")*rl_ln1p))</f>
        <v/>
      </c>
      <c r="J4689" s="208">
        <f>EXP(SUMPRODUCT((rl_eff&lt;=$C4689)*(rl_key=slv_key)*(rl_status="taken")*rl_ln1p))</f>
        <v/>
      </c>
      <c r="K4689" s="201">
        <f>COUNTIFS(rl_key,slv_key,rl_eff,"&gt;="&amp;$B4689,rl_eff,"&lt;="&amp;$C4689,rl_status,"taken")</f>
        <v/>
      </c>
      <c r="L4689" s="201">
        <f>SUMIFS(rl_daysafter,rl_key,slv_key,rl_effmonth,$B4689,rl_first,1,rl_status,"taken")</f>
        <v/>
      </c>
      <c r="M4689" s="209">
        <f>IF($K4689=0,0,MIN(1,$L4689/$D4689))</f>
        <v/>
      </c>
      <c r="N4689" s="208">
        <f>IF($K4689=0,$J4689,(1-$M4689)*$I4689+$M4689*$J4689)</f>
        <v/>
      </c>
      <c r="P4689" s="208">
        <f>MIN(1,MAX(0,(nr_MEndPm1-$G4689+0.5)/nr_TermMonths))-MIN(1,MAX(0,(nr_MStartPm1-1-$G4689+0.5)/nr_TermMonths))</f>
        <v/>
      </c>
      <c r="Q4689" s="208">
        <f>MIN(1,MAX(0,(nr_MEndP-$G4689+0.5)/nr_TermMonths))-MIN(1,MAX(0,(nr_MStartP-1-$G4689+0.5)/nr_TermMonths))</f>
        <v/>
      </c>
      <c r="R4689" s="208">
        <f>MIN(1,MAX(0,(nr_MEndP1-$G4689+0.5)/nr_TermMonths))-MIN(1,MAX(0,(nr_MStartP1-1-$G4689+0.5)/nr_TermMonths))</f>
        <v/>
      </c>
      <c r="S4689" s="72">
        <f>$H4689*$Q4689*$N4689</f>
        <v/>
      </c>
      <c r="T4689" s="72">
        <f>SUM($S$4675:$S4689)</f>
        <v/>
      </c>
      <c r="U4689" s="72">
        <f>$H4689*$Q4689*$J4689</f>
        <v/>
      </c>
    </row>
    <row r="4690">
      <c r="A4690" s="145" t="n">
        <v>16</v>
      </c>
      <c r="B4690" s="204">
        <f>EDATE($B4689,1)</f>
        <v/>
      </c>
      <c r="C4690" s="205">
        <f>EOMONTH($B4690,0)</f>
        <v/>
      </c>
      <c r="D4690" s="201">
        <f>$C4690-$B4690+1</f>
        <v/>
      </c>
      <c r="E4690" s="201">
        <f>MONTH($B4690)</f>
        <v/>
      </c>
      <c r="F4690" s="235">
        <f>($B4690+$C4690+1)/2</f>
        <v/>
      </c>
      <c r="G4690" s="201">
        <f>YEAR($B4690)*12+MONTH($B4690)-1</f>
        <v/>
      </c>
      <c r="H4690" s="207">
        <f>IF(OR(nr_SeasonOn="OFF",$M$4672=0,$N$4672=0),1,12*INDEX(se_block,$M$4672,$E4690)/$N$4672)</f>
        <v/>
      </c>
      <c r="I4690" s="208">
        <f>EXP(SUMPRODUCT((rl_eff&lt;$B4690)*(rl_key=slv_key)*(rl_status="taken")*rl_ln1p))</f>
        <v/>
      </c>
      <c r="J4690" s="208">
        <f>EXP(SUMPRODUCT((rl_eff&lt;=$C4690)*(rl_key=slv_key)*(rl_status="taken")*rl_ln1p))</f>
        <v/>
      </c>
      <c r="K4690" s="201">
        <f>COUNTIFS(rl_key,slv_key,rl_eff,"&gt;="&amp;$B4690,rl_eff,"&lt;="&amp;$C4690,rl_status,"taken")</f>
        <v/>
      </c>
      <c r="L4690" s="201">
        <f>SUMIFS(rl_daysafter,rl_key,slv_key,rl_effmonth,$B4690,rl_first,1,rl_status,"taken")</f>
        <v/>
      </c>
      <c r="M4690" s="209">
        <f>IF($K4690=0,0,MIN(1,$L4690/$D4690))</f>
        <v/>
      </c>
      <c r="N4690" s="208">
        <f>IF($K4690=0,$J4690,(1-$M4690)*$I4690+$M4690*$J4690)</f>
        <v/>
      </c>
      <c r="P4690" s="208">
        <f>MIN(1,MAX(0,(nr_MEndPm1-$G4690+0.5)/nr_TermMonths))-MIN(1,MAX(0,(nr_MStartPm1-1-$G4690+0.5)/nr_TermMonths))</f>
        <v/>
      </c>
      <c r="Q4690" s="208">
        <f>MIN(1,MAX(0,(nr_MEndP-$G4690+0.5)/nr_TermMonths))-MIN(1,MAX(0,(nr_MStartP-1-$G4690+0.5)/nr_TermMonths))</f>
        <v/>
      </c>
      <c r="R4690" s="208">
        <f>MIN(1,MAX(0,(nr_MEndP1-$G4690+0.5)/nr_TermMonths))-MIN(1,MAX(0,(nr_MStartP1-1-$G4690+0.5)/nr_TermMonths))</f>
        <v/>
      </c>
      <c r="S4690" s="72">
        <f>$H4690*$Q4690*$N4690</f>
        <v/>
      </c>
      <c r="T4690" s="72">
        <f>SUM($S$4675:$S4690)</f>
        <v/>
      </c>
      <c r="U4690" s="72">
        <f>$H4690*$Q4690*$J4690</f>
        <v/>
      </c>
    </row>
    <row r="4691">
      <c r="A4691" s="145" t="n">
        <v>17</v>
      </c>
      <c r="B4691" s="204">
        <f>EDATE($B4690,1)</f>
        <v/>
      </c>
      <c r="C4691" s="205">
        <f>EOMONTH($B4691,0)</f>
        <v/>
      </c>
      <c r="D4691" s="201">
        <f>$C4691-$B4691+1</f>
        <v/>
      </c>
      <c r="E4691" s="201">
        <f>MONTH($B4691)</f>
        <v/>
      </c>
      <c r="F4691" s="235">
        <f>($B4691+$C4691+1)/2</f>
        <v/>
      </c>
      <c r="G4691" s="201">
        <f>YEAR($B4691)*12+MONTH($B4691)-1</f>
        <v/>
      </c>
      <c r="H4691" s="207">
        <f>IF(OR(nr_SeasonOn="OFF",$M$4672=0,$N$4672=0),1,12*INDEX(se_block,$M$4672,$E4691)/$N$4672)</f>
        <v/>
      </c>
      <c r="I4691" s="208">
        <f>EXP(SUMPRODUCT((rl_eff&lt;$B4691)*(rl_key=slv_key)*(rl_status="taken")*rl_ln1p))</f>
        <v/>
      </c>
      <c r="J4691" s="208">
        <f>EXP(SUMPRODUCT((rl_eff&lt;=$C4691)*(rl_key=slv_key)*(rl_status="taken")*rl_ln1p))</f>
        <v/>
      </c>
      <c r="K4691" s="201">
        <f>COUNTIFS(rl_key,slv_key,rl_eff,"&gt;="&amp;$B4691,rl_eff,"&lt;="&amp;$C4691,rl_status,"taken")</f>
        <v/>
      </c>
      <c r="L4691" s="201">
        <f>SUMIFS(rl_daysafter,rl_key,slv_key,rl_effmonth,$B4691,rl_first,1,rl_status,"taken")</f>
        <v/>
      </c>
      <c r="M4691" s="209">
        <f>IF($K4691=0,0,MIN(1,$L4691/$D4691))</f>
        <v/>
      </c>
      <c r="N4691" s="208">
        <f>IF($K4691=0,$J4691,(1-$M4691)*$I4691+$M4691*$J4691)</f>
        <v/>
      </c>
      <c r="P4691" s="208">
        <f>MIN(1,MAX(0,(nr_MEndPm1-$G4691+0.5)/nr_TermMonths))-MIN(1,MAX(0,(nr_MStartPm1-1-$G4691+0.5)/nr_TermMonths))</f>
        <v/>
      </c>
      <c r="Q4691" s="208">
        <f>MIN(1,MAX(0,(nr_MEndP-$G4691+0.5)/nr_TermMonths))-MIN(1,MAX(0,(nr_MStartP-1-$G4691+0.5)/nr_TermMonths))</f>
        <v/>
      </c>
      <c r="R4691" s="208">
        <f>MIN(1,MAX(0,(nr_MEndP1-$G4691+0.5)/nr_TermMonths))-MIN(1,MAX(0,(nr_MStartP1-1-$G4691+0.5)/nr_TermMonths))</f>
        <v/>
      </c>
      <c r="S4691" s="72">
        <f>$H4691*$Q4691*$N4691</f>
        <v/>
      </c>
      <c r="T4691" s="72">
        <f>SUM($S$4675:$S4691)</f>
        <v/>
      </c>
      <c r="U4691" s="72">
        <f>$H4691*$Q4691*$J4691</f>
        <v/>
      </c>
    </row>
    <row r="4692">
      <c r="A4692" s="145" t="n">
        <v>18</v>
      </c>
      <c r="B4692" s="204">
        <f>EDATE($B4691,1)</f>
        <v/>
      </c>
      <c r="C4692" s="205">
        <f>EOMONTH($B4692,0)</f>
        <v/>
      </c>
      <c r="D4692" s="201">
        <f>$C4692-$B4692+1</f>
        <v/>
      </c>
      <c r="E4692" s="201">
        <f>MONTH($B4692)</f>
        <v/>
      </c>
      <c r="F4692" s="235">
        <f>($B4692+$C4692+1)/2</f>
        <v/>
      </c>
      <c r="G4692" s="201">
        <f>YEAR($B4692)*12+MONTH($B4692)-1</f>
        <v/>
      </c>
      <c r="H4692" s="207">
        <f>IF(OR(nr_SeasonOn="OFF",$M$4672=0,$N$4672=0),1,12*INDEX(se_block,$M$4672,$E4692)/$N$4672)</f>
        <v/>
      </c>
      <c r="I4692" s="208">
        <f>EXP(SUMPRODUCT((rl_eff&lt;$B4692)*(rl_key=slv_key)*(rl_status="taken")*rl_ln1p))</f>
        <v/>
      </c>
      <c r="J4692" s="208">
        <f>EXP(SUMPRODUCT((rl_eff&lt;=$C4692)*(rl_key=slv_key)*(rl_status="taken")*rl_ln1p))</f>
        <v/>
      </c>
      <c r="K4692" s="201">
        <f>COUNTIFS(rl_key,slv_key,rl_eff,"&gt;="&amp;$B4692,rl_eff,"&lt;="&amp;$C4692,rl_status,"taken")</f>
        <v/>
      </c>
      <c r="L4692" s="201">
        <f>SUMIFS(rl_daysafter,rl_key,slv_key,rl_effmonth,$B4692,rl_first,1,rl_status,"taken")</f>
        <v/>
      </c>
      <c r="M4692" s="209">
        <f>IF($K4692=0,0,MIN(1,$L4692/$D4692))</f>
        <v/>
      </c>
      <c r="N4692" s="208">
        <f>IF($K4692=0,$J4692,(1-$M4692)*$I4692+$M4692*$J4692)</f>
        <v/>
      </c>
      <c r="P4692" s="208">
        <f>MIN(1,MAX(0,(nr_MEndPm1-$G4692+0.5)/nr_TermMonths))-MIN(1,MAX(0,(nr_MStartPm1-1-$G4692+0.5)/nr_TermMonths))</f>
        <v/>
      </c>
      <c r="Q4692" s="208">
        <f>MIN(1,MAX(0,(nr_MEndP-$G4692+0.5)/nr_TermMonths))-MIN(1,MAX(0,(nr_MStartP-1-$G4692+0.5)/nr_TermMonths))</f>
        <v/>
      </c>
      <c r="R4692" s="208">
        <f>MIN(1,MAX(0,(nr_MEndP1-$G4692+0.5)/nr_TermMonths))-MIN(1,MAX(0,(nr_MStartP1-1-$G4692+0.5)/nr_TermMonths))</f>
        <v/>
      </c>
      <c r="S4692" s="72">
        <f>$H4692*$Q4692*$N4692</f>
        <v/>
      </c>
      <c r="T4692" s="72">
        <f>SUM($S$4675:$S4692)</f>
        <v/>
      </c>
      <c r="U4692" s="72">
        <f>$H4692*$Q4692*$J4692</f>
        <v/>
      </c>
    </row>
    <row r="4693">
      <c r="A4693" s="145" t="n">
        <v>19</v>
      </c>
      <c r="B4693" s="204">
        <f>EDATE($B4692,1)</f>
        <v/>
      </c>
      <c r="C4693" s="205">
        <f>EOMONTH($B4693,0)</f>
        <v/>
      </c>
      <c r="D4693" s="201">
        <f>$C4693-$B4693+1</f>
        <v/>
      </c>
      <c r="E4693" s="201">
        <f>MONTH($B4693)</f>
        <v/>
      </c>
      <c r="F4693" s="235">
        <f>($B4693+$C4693+1)/2</f>
        <v/>
      </c>
      <c r="G4693" s="201">
        <f>YEAR($B4693)*12+MONTH($B4693)-1</f>
        <v/>
      </c>
      <c r="H4693" s="207">
        <f>IF(OR(nr_SeasonOn="OFF",$M$4672=0,$N$4672=0),1,12*INDEX(se_block,$M$4672,$E4693)/$N$4672)</f>
        <v/>
      </c>
      <c r="I4693" s="208">
        <f>EXP(SUMPRODUCT((rl_eff&lt;$B4693)*(rl_key=slv_key)*(rl_status="taken")*rl_ln1p))</f>
        <v/>
      </c>
      <c r="J4693" s="208">
        <f>EXP(SUMPRODUCT((rl_eff&lt;=$C4693)*(rl_key=slv_key)*(rl_status="taken")*rl_ln1p))</f>
        <v/>
      </c>
      <c r="K4693" s="201">
        <f>COUNTIFS(rl_key,slv_key,rl_eff,"&gt;="&amp;$B4693,rl_eff,"&lt;="&amp;$C4693,rl_status,"taken")</f>
        <v/>
      </c>
      <c r="L4693" s="201">
        <f>SUMIFS(rl_daysafter,rl_key,slv_key,rl_effmonth,$B4693,rl_first,1,rl_status,"taken")</f>
        <v/>
      </c>
      <c r="M4693" s="209">
        <f>IF($K4693=0,0,MIN(1,$L4693/$D4693))</f>
        <v/>
      </c>
      <c r="N4693" s="208">
        <f>IF($K4693=0,$J4693,(1-$M4693)*$I4693+$M4693*$J4693)</f>
        <v/>
      </c>
      <c r="P4693" s="208">
        <f>MIN(1,MAX(0,(nr_MEndPm1-$G4693+0.5)/nr_TermMonths))-MIN(1,MAX(0,(nr_MStartPm1-1-$G4693+0.5)/nr_TermMonths))</f>
        <v/>
      </c>
      <c r="Q4693" s="208">
        <f>MIN(1,MAX(0,(nr_MEndP-$G4693+0.5)/nr_TermMonths))-MIN(1,MAX(0,(nr_MStartP-1-$G4693+0.5)/nr_TermMonths))</f>
        <v/>
      </c>
      <c r="R4693" s="208">
        <f>MIN(1,MAX(0,(nr_MEndP1-$G4693+0.5)/nr_TermMonths))-MIN(1,MAX(0,(nr_MStartP1-1-$G4693+0.5)/nr_TermMonths))</f>
        <v/>
      </c>
      <c r="S4693" s="72">
        <f>$H4693*$Q4693*$N4693</f>
        <v/>
      </c>
      <c r="T4693" s="72">
        <f>SUM($S$4675:$S4693)</f>
        <v/>
      </c>
      <c r="U4693" s="72">
        <f>$H4693*$Q4693*$J4693</f>
        <v/>
      </c>
    </row>
    <row r="4694">
      <c r="A4694" s="145" t="n">
        <v>20</v>
      </c>
      <c r="B4694" s="204">
        <f>EDATE($B4693,1)</f>
        <v/>
      </c>
      <c r="C4694" s="205">
        <f>EOMONTH($B4694,0)</f>
        <v/>
      </c>
      <c r="D4694" s="201">
        <f>$C4694-$B4694+1</f>
        <v/>
      </c>
      <c r="E4694" s="201">
        <f>MONTH($B4694)</f>
        <v/>
      </c>
      <c r="F4694" s="235">
        <f>($B4694+$C4694+1)/2</f>
        <v/>
      </c>
      <c r="G4694" s="201">
        <f>YEAR($B4694)*12+MONTH($B4694)-1</f>
        <v/>
      </c>
      <c r="H4694" s="207">
        <f>IF(OR(nr_SeasonOn="OFF",$M$4672=0,$N$4672=0),1,12*INDEX(se_block,$M$4672,$E4694)/$N$4672)</f>
        <v/>
      </c>
      <c r="I4694" s="208">
        <f>EXP(SUMPRODUCT((rl_eff&lt;$B4694)*(rl_key=slv_key)*(rl_status="taken")*rl_ln1p))</f>
        <v/>
      </c>
      <c r="J4694" s="208">
        <f>EXP(SUMPRODUCT((rl_eff&lt;=$C4694)*(rl_key=slv_key)*(rl_status="taken")*rl_ln1p))</f>
        <v/>
      </c>
      <c r="K4694" s="201">
        <f>COUNTIFS(rl_key,slv_key,rl_eff,"&gt;="&amp;$B4694,rl_eff,"&lt;="&amp;$C4694,rl_status,"taken")</f>
        <v/>
      </c>
      <c r="L4694" s="201">
        <f>SUMIFS(rl_daysafter,rl_key,slv_key,rl_effmonth,$B4694,rl_first,1,rl_status,"taken")</f>
        <v/>
      </c>
      <c r="M4694" s="209">
        <f>IF($K4694=0,0,MIN(1,$L4694/$D4694))</f>
        <v/>
      </c>
      <c r="N4694" s="208">
        <f>IF($K4694=0,$J4694,(1-$M4694)*$I4694+$M4694*$J4694)</f>
        <v/>
      </c>
      <c r="P4694" s="208">
        <f>MIN(1,MAX(0,(nr_MEndPm1-$G4694+0.5)/nr_TermMonths))-MIN(1,MAX(0,(nr_MStartPm1-1-$G4694+0.5)/nr_TermMonths))</f>
        <v/>
      </c>
      <c r="Q4694" s="208">
        <f>MIN(1,MAX(0,(nr_MEndP-$G4694+0.5)/nr_TermMonths))-MIN(1,MAX(0,(nr_MStartP-1-$G4694+0.5)/nr_TermMonths))</f>
        <v/>
      </c>
      <c r="R4694" s="208">
        <f>MIN(1,MAX(0,(nr_MEndP1-$G4694+0.5)/nr_TermMonths))-MIN(1,MAX(0,(nr_MStartP1-1-$G4694+0.5)/nr_TermMonths))</f>
        <v/>
      </c>
      <c r="S4694" s="72">
        <f>$H4694*$Q4694*$N4694</f>
        <v/>
      </c>
      <c r="T4694" s="72">
        <f>SUM($S$4675:$S4694)</f>
        <v/>
      </c>
      <c r="U4694" s="72">
        <f>$H4694*$Q4694*$J4694</f>
        <v/>
      </c>
    </row>
    <row r="4695">
      <c r="A4695" s="145" t="n">
        <v>21</v>
      </c>
      <c r="B4695" s="204">
        <f>EDATE($B4694,1)</f>
        <v/>
      </c>
      <c r="C4695" s="205">
        <f>EOMONTH($B4695,0)</f>
        <v/>
      </c>
      <c r="D4695" s="201">
        <f>$C4695-$B4695+1</f>
        <v/>
      </c>
      <c r="E4695" s="201">
        <f>MONTH($B4695)</f>
        <v/>
      </c>
      <c r="F4695" s="235">
        <f>($B4695+$C4695+1)/2</f>
        <v/>
      </c>
      <c r="G4695" s="201">
        <f>YEAR($B4695)*12+MONTH($B4695)-1</f>
        <v/>
      </c>
      <c r="H4695" s="207">
        <f>IF(OR(nr_SeasonOn="OFF",$M$4672=0,$N$4672=0),1,12*INDEX(se_block,$M$4672,$E4695)/$N$4672)</f>
        <v/>
      </c>
      <c r="I4695" s="208">
        <f>EXP(SUMPRODUCT((rl_eff&lt;$B4695)*(rl_key=slv_key)*(rl_status="taken")*rl_ln1p))</f>
        <v/>
      </c>
      <c r="J4695" s="208">
        <f>EXP(SUMPRODUCT((rl_eff&lt;=$C4695)*(rl_key=slv_key)*(rl_status="taken")*rl_ln1p))</f>
        <v/>
      </c>
      <c r="K4695" s="201">
        <f>COUNTIFS(rl_key,slv_key,rl_eff,"&gt;="&amp;$B4695,rl_eff,"&lt;="&amp;$C4695,rl_status,"taken")</f>
        <v/>
      </c>
      <c r="L4695" s="201">
        <f>SUMIFS(rl_daysafter,rl_key,slv_key,rl_effmonth,$B4695,rl_first,1,rl_status,"taken")</f>
        <v/>
      </c>
      <c r="M4695" s="209">
        <f>IF($K4695=0,0,MIN(1,$L4695/$D4695))</f>
        <v/>
      </c>
      <c r="N4695" s="208">
        <f>IF($K4695=0,$J4695,(1-$M4695)*$I4695+$M4695*$J4695)</f>
        <v/>
      </c>
      <c r="P4695" s="208">
        <f>MIN(1,MAX(0,(nr_MEndPm1-$G4695+0.5)/nr_TermMonths))-MIN(1,MAX(0,(nr_MStartPm1-1-$G4695+0.5)/nr_TermMonths))</f>
        <v/>
      </c>
      <c r="Q4695" s="208">
        <f>MIN(1,MAX(0,(nr_MEndP-$G4695+0.5)/nr_TermMonths))-MIN(1,MAX(0,(nr_MStartP-1-$G4695+0.5)/nr_TermMonths))</f>
        <v/>
      </c>
      <c r="R4695" s="208">
        <f>MIN(1,MAX(0,(nr_MEndP1-$G4695+0.5)/nr_TermMonths))-MIN(1,MAX(0,(nr_MStartP1-1-$G4695+0.5)/nr_TermMonths))</f>
        <v/>
      </c>
      <c r="S4695" s="72">
        <f>$H4695*$Q4695*$N4695</f>
        <v/>
      </c>
      <c r="T4695" s="72">
        <f>SUM($S$4675:$S4695)</f>
        <v/>
      </c>
      <c r="U4695" s="72">
        <f>$H4695*$Q4695*$J4695</f>
        <v/>
      </c>
    </row>
    <row r="4696">
      <c r="A4696" s="145" t="n">
        <v>22</v>
      </c>
      <c r="B4696" s="204">
        <f>EDATE($B4695,1)</f>
        <v/>
      </c>
      <c r="C4696" s="205">
        <f>EOMONTH($B4696,0)</f>
        <v/>
      </c>
      <c r="D4696" s="201">
        <f>$C4696-$B4696+1</f>
        <v/>
      </c>
      <c r="E4696" s="201">
        <f>MONTH($B4696)</f>
        <v/>
      </c>
      <c r="F4696" s="235">
        <f>($B4696+$C4696+1)/2</f>
        <v/>
      </c>
      <c r="G4696" s="201">
        <f>YEAR($B4696)*12+MONTH($B4696)-1</f>
        <v/>
      </c>
      <c r="H4696" s="207">
        <f>IF(OR(nr_SeasonOn="OFF",$M$4672=0,$N$4672=0),1,12*INDEX(se_block,$M$4672,$E4696)/$N$4672)</f>
        <v/>
      </c>
      <c r="I4696" s="208">
        <f>EXP(SUMPRODUCT((rl_eff&lt;$B4696)*(rl_key=slv_key)*(rl_status="taken")*rl_ln1p))</f>
        <v/>
      </c>
      <c r="J4696" s="208">
        <f>EXP(SUMPRODUCT((rl_eff&lt;=$C4696)*(rl_key=slv_key)*(rl_status="taken")*rl_ln1p))</f>
        <v/>
      </c>
      <c r="K4696" s="201">
        <f>COUNTIFS(rl_key,slv_key,rl_eff,"&gt;="&amp;$B4696,rl_eff,"&lt;="&amp;$C4696,rl_status,"taken")</f>
        <v/>
      </c>
      <c r="L4696" s="201">
        <f>SUMIFS(rl_daysafter,rl_key,slv_key,rl_effmonth,$B4696,rl_first,1,rl_status,"taken")</f>
        <v/>
      </c>
      <c r="M4696" s="209">
        <f>IF($K4696=0,0,MIN(1,$L4696/$D4696))</f>
        <v/>
      </c>
      <c r="N4696" s="208">
        <f>IF($K4696=0,$J4696,(1-$M4696)*$I4696+$M4696*$J4696)</f>
        <v/>
      </c>
      <c r="P4696" s="208">
        <f>MIN(1,MAX(0,(nr_MEndPm1-$G4696+0.5)/nr_TermMonths))-MIN(1,MAX(0,(nr_MStartPm1-1-$G4696+0.5)/nr_TermMonths))</f>
        <v/>
      </c>
      <c r="Q4696" s="208">
        <f>MIN(1,MAX(0,(nr_MEndP-$G4696+0.5)/nr_TermMonths))-MIN(1,MAX(0,(nr_MStartP-1-$G4696+0.5)/nr_TermMonths))</f>
        <v/>
      </c>
      <c r="R4696" s="208">
        <f>MIN(1,MAX(0,(nr_MEndP1-$G4696+0.5)/nr_TermMonths))-MIN(1,MAX(0,(nr_MStartP1-1-$G4696+0.5)/nr_TermMonths))</f>
        <v/>
      </c>
      <c r="S4696" s="72">
        <f>$H4696*$Q4696*$N4696</f>
        <v/>
      </c>
      <c r="T4696" s="72">
        <f>SUM($S$4675:$S4696)</f>
        <v/>
      </c>
      <c r="U4696" s="72">
        <f>$H4696*$Q4696*$J4696</f>
        <v/>
      </c>
    </row>
    <row r="4697">
      <c r="A4697" s="145" t="n">
        <v>23</v>
      </c>
      <c r="B4697" s="204">
        <f>EDATE($B4696,1)</f>
        <v/>
      </c>
      <c r="C4697" s="205">
        <f>EOMONTH($B4697,0)</f>
        <v/>
      </c>
      <c r="D4697" s="201">
        <f>$C4697-$B4697+1</f>
        <v/>
      </c>
      <c r="E4697" s="201">
        <f>MONTH($B4697)</f>
        <v/>
      </c>
      <c r="F4697" s="235">
        <f>($B4697+$C4697+1)/2</f>
        <v/>
      </c>
      <c r="G4697" s="201">
        <f>YEAR($B4697)*12+MONTH($B4697)-1</f>
        <v/>
      </c>
      <c r="H4697" s="207">
        <f>IF(OR(nr_SeasonOn="OFF",$M$4672=0,$N$4672=0),1,12*INDEX(se_block,$M$4672,$E4697)/$N$4672)</f>
        <v/>
      </c>
      <c r="I4697" s="208">
        <f>EXP(SUMPRODUCT((rl_eff&lt;$B4697)*(rl_key=slv_key)*(rl_status="taken")*rl_ln1p))</f>
        <v/>
      </c>
      <c r="J4697" s="208">
        <f>EXP(SUMPRODUCT((rl_eff&lt;=$C4697)*(rl_key=slv_key)*(rl_status="taken")*rl_ln1p))</f>
        <v/>
      </c>
      <c r="K4697" s="201">
        <f>COUNTIFS(rl_key,slv_key,rl_eff,"&gt;="&amp;$B4697,rl_eff,"&lt;="&amp;$C4697,rl_status,"taken")</f>
        <v/>
      </c>
      <c r="L4697" s="201">
        <f>SUMIFS(rl_daysafter,rl_key,slv_key,rl_effmonth,$B4697,rl_first,1,rl_status,"taken")</f>
        <v/>
      </c>
      <c r="M4697" s="209">
        <f>IF($K4697=0,0,MIN(1,$L4697/$D4697))</f>
        <v/>
      </c>
      <c r="N4697" s="208">
        <f>IF($K4697=0,$J4697,(1-$M4697)*$I4697+$M4697*$J4697)</f>
        <v/>
      </c>
      <c r="P4697" s="208">
        <f>MIN(1,MAX(0,(nr_MEndPm1-$G4697+0.5)/nr_TermMonths))-MIN(1,MAX(0,(nr_MStartPm1-1-$G4697+0.5)/nr_TermMonths))</f>
        <v/>
      </c>
      <c r="Q4697" s="208">
        <f>MIN(1,MAX(0,(nr_MEndP-$G4697+0.5)/nr_TermMonths))-MIN(1,MAX(0,(nr_MStartP-1-$G4697+0.5)/nr_TermMonths))</f>
        <v/>
      </c>
      <c r="R4697" s="208">
        <f>MIN(1,MAX(0,(nr_MEndP1-$G4697+0.5)/nr_TermMonths))-MIN(1,MAX(0,(nr_MStartP1-1-$G4697+0.5)/nr_TermMonths))</f>
        <v/>
      </c>
      <c r="S4697" s="72">
        <f>$H4697*$Q4697*$N4697</f>
        <v/>
      </c>
      <c r="T4697" s="72">
        <f>SUM($S$4675:$S4697)</f>
        <v/>
      </c>
      <c r="U4697" s="72">
        <f>$H4697*$Q4697*$J4697</f>
        <v/>
      </c>
    </row>
    <row r="4698">
      <c r="A4698" s="145" t="n">
        <v>24</v>
      </c>
      <c r="B4698" s="204">
        <f>EDATE($B4697,1)</f>
        <v/>
      </c>
      <c r="C4698" s="205">
        <f>EOMONTH($B4698,0)</f>
        <v/>
      </c>
      <c r="D4698" s="201">
        <f>$C4698-$B4698+1</f>
        <v/>
      </c>
      <c r="E4698" s="201">
        <f>MONTH($B4698)</f>
        <v/>
      </c>
      <c r="F4698" s="235">
        <f>($B4698+$C4698+1)/2</f>
        <v/>
      </c>
      <c r="G4698" s="201">
        <f>YEAR($B4698)*12+MONTH($B4698)-1</f>
        <v/>
      </c>
      <c r="H4698" s="207">
        <f>IF(OR(nr_SeasonOn="OFF",$M$4672=0,$N$4672=0),1,12*INDEX(se_block,$M$4672,$E4698)/$N$4672)</f>
        <v/>
      </c>
      <c r="I4698" s="208">
        <f>EXP(SUMPRODUCT((rl_eff&lt;$B4698)*(rl_key=slv_key)*(rl_status="taken")*rl_ln1p))</f>
        <v/>
      </c>
      <c r="J4698" s="208">
        <f>EXP(SUMPRODUCT((rl_eff&lt;=$C4698)*(rl_key=slv_key)*(rl_status="taken")*rl_ln1p))</f>
        <v/>
      </c>
      <c r="K4698" s="201">
        <f>COUNTIFS(rl_key,slv_key,rl_eff,"&gt;="&amp;$B4698,rl_eff,"&lt;="&amp;$C4698,rl_status,"taken")</f>
        <v/>
      </c>
      <c r="L4698" s="201">
        <f>SUMIFS(rl_daysafter,rl_key,slv_key,rl_effmonth,$B4698,rl_first,1,rl_status,"taken")</f>
        <v/>
      </c>
      <c r="M4698" s="209">
        <f>IF($K4698=0,0,MIN(1,$L4698/$D4698))</f>
        <v/>
      </c>
      <c r="N4698" s="208">
        <f>IF($K4698=0,$J4698,(1-$M4698)*$I4698+$M4698*$J4698)</f>
        <v/>
      </c>
      <c r="P4698" s="208">
        <f>MIN(1,MAX(0,(nr_MEndPm1-$G4698+0.5)/nr_TermMonths))-MIN(1,MAX(0,(nr_MStartPm1-1-$G4698+0.5)/nr_TermMonths))</f>
        <v/>
      </c>
      <c r="Q4698" s="208">
        <f>MIN(1,MAX(0,(nr_MEndP-$G4698+0.5)/nr_TermMonths))-MIN(1,MAX(0,(nr_MStartP-1-$G4698+0.5)/nr_TermMonths))</f>
        <v/>
      </c>
      <c r="R4698" s="208">
        <f>MIN(1,MAX(0,(nr_MEndP1-$G4698+0.5)/nr_TermMonths))-MIN(1,MAX(0,(nr_MStartP1-1-$G4698+0.5)/nr_TermMonths))</f>
        <v/>
      </c>
      <c r="S4698" s="72">
        <f>$H4698*$Q4698*$N4698</f>
        <v/>
      </c>
      <c r="T4698" s="72">
        <f>SUM($S$4675:$S4698)</f>
        <v/>
      </c>
      <c r="U4698" s="72">
        <f>$H4698*$Q4698*$J4698</f>
        <v/>
      </c>
    </row>
    <row r="4699">
      <c r="A4699" s="145" t="n">
        <v>25</v>
      </c>
      <c r="B4699" s="204">
        <f>EDATE($B4698,1)</f>
        <v/>
      </c>
      <c r="C4699" s="205">
        <f>EOMONTH($B4699,0)</f>
        <v/>
      </c>
      <c r="D4699" s="201">
        <f>$C4699-$B4699+1</f>
        <v/>
      </c>
      <c r="E4699" s="201">
        <f>MONTH($B4699)</f>
        <v/>
      </c>
      <c r="F4699" s="235">
        <f>($B4699+$C4699+1)/2</f>
        <v/>
      </c>
      <c r="G4699" s="201">
        <f>YEAR($B4699)*12+MONTH($B4699)-1</f>
        <v/>
      </c>
      <c r="H4699" s="207">
        <f>IF(OR(nr_SeasonOn="OFF",$M$4672=0,$N$4672=0),1,12*INDEX(se_block,$M$4672,$E4699)/$N$4672)</f>
        <v/>
      </c>
      <c r="I4699" s="208">
        <f>EXP(SUMPRODUCT((rl_eff&lt;$B4699)*(rl_key=slv_key)*(rl_status="taken")*rl_ln1p))</f>
        <v/>
      </c>
      <c r="J4699" s="208">
        <f>EXP(SUMPRODUCT((rl_eff&lt;=$C4699)*(rl_key=slv_key)*(rl_status="taken")*rl_ln1p))</f>
        <v/>
      </c>
      <c r="K4699" s="201">
        <f>COUNTIFS(rl_key,slv_key,rl_eff,"&gt;="&amp;$B4699,rl_eff,"&lt;="&amp;$C4699,rl_status,"taken")</f>
        <v/>
      </c>
      <c r="L4699" s="201">
        <f>SUMIFS(rl_daysafter,rl_key,slv_key,rl_effmonth,$B4699,rl_first,1,rl_status,"taken")</f>
        <v/>
      </c>
      <c r="M4699" s="209">
        <f>IF($K4699=0,0,MIN(1,$L4699/$D4699))</f>
        <v/>
      </c>
      <c r="N4699" s="208">
        <f>IF($K4699=0,$J4699,(1-$M4699)*$I4699+$M4699*$J4699)</f>
        <v/>
      </c>
      <c r="P4699" s="208">
        <f>MIN(1,MAX(0,(nr_MEndPm1-$G4699+0.5)/nr_TermMonths))-MIN(1,MAX(0,(nr_MStartPm1-1-$G4699+0.5)/nr_TermMonths))</f>
        <v/>
      </c>
      <c r="Q4699" s="208">
        <f>MIN(1,MAX(0,(nr_MEndP-$G4699+0.5)/nr_TermMonths))-MIN(1,MAX(0,(nr_MStartP-1-$G4699+0.5)/nr_TermMonths))</f>
        <v/>
      </c>
      <c r="R4699" s="208">
        <f>MIN(1,MAX(0,(nr_MEndP1-$G4699+0.5)/nr_TermMonths))-MIN(1,MAX(0,(nr_MStartP1-1-$G4699+0.5)/nr_TermMonths))</f>
        <v/>
      </c>
      <c r="S4699" s="72">
        <f>$H4699*$Q4699*$N4699</f>
        <v/>
      </c>
      <c r="T4699" s="72">
        <f>SUM($S$4675:$S4699)</f>
        <v/>
      </c>
      <c r="U4699" s="72">
        <f>$H4699*$Q4699*$J4699</f>
        <v/>
      </c>
    </row>
    <row r="4700">
      <c r="A4700" s="145" t="n">
        <v>26</v>
      </c>
      <c r="B4700" s="204">
        <f>EDATE($B4699,1)</f>
        <v/>
      </c>
      <c r="C4700" s="205">
        <f>EOMONTH($B4700,0)</f>
        <v/>
      </c>
      <c r="D4700" s="201">
        <f>$C4700-$B4700+1</f>
        <v/>
      </c>
      <c r="E4700" s="201">
        <f>MONTH($B4700)</f>
        <v/>
      </c>
      <c r="F4700" s="235">
        <f>($B4700+$C4700+1)/2</f>
        <v/>
      </c>
      <c r="G4700" s="201">
        <f>YEAR($B4700)*12+MONTH($B4700)-1</f>
        <v/>
      </c>
      <c r="H4700" s="207">
        <f>IF(OR(nr_SeasonOn="OFF",$M$4672=0,$N$4672=0),1,12*INDEX(se_block,$M$4672,$E4700)/$N$4672)</f>
        <v/>
      </c>
      <c r="I4700" s="208">
        <f>EXP(SUMPRODUCT((rl_eff&lt;$B4700)*(rl_key=slv_key)*(rl_status="taken")*rl_ln1p))</f>
        <v/>
      </c>
      <c r="J4700" s="208">
        <f>EXP(SUMPRODUCT((rl_eff&lt;=$C4700)*(rl_key=slv_key)*(rl_status="taken")*rl_ln1p))</f>
        <v/>
      </c>
      <c r="K4700" s="201">
        <f>COUNTIFS(rl_key,slv_key,rl_eff,"&gt;="&amp;$B4700,rl_eff,"&lt;="&amp;$C4700,rl_status,"taken")</f>
        <v/>
      </c>
      <c r="L4700" s="201">
        <f>SUMIFS(rl_daysafter,rl_key,slv_key,rl_effmonth,$B4700,rl_first,1,rl_status,"taken")</f>
        <v/>
      </c>
      <c r="M4700" s="209">
        <f>IF($K4700=0,0,MIN(1,$L4700/$D4700))</f>
        <v/>
      </c>
      <c r="N4700" s="208">
        <f>IF($K4700=0,$J4700,(1-$M4700)*$I4700+$M4700*$J4700)</f>
        <v/>
      </c>
      <c r="P4700" s="208">
        <f>MIN(1,MAX(0,(nr_MEndPm1-$G4700+0.5)/nr_TermMonths))-MIN(1,MAX(0,(nr_MStartPm1-1-$G4700+0.5)/nr_TermMonths))</f>
        <v/>
      </c>
      <c r="Q4700" s="208">
        <f>MIN(1,MAX(0,(nr_MEndP-$G4700+0.5)/nr_TermMonths))-MIN(1,MAX(0,(nr_MStartP-1-$G4700+0.5)/nr_TermMonths))</f>
        <v/>
      </c>
      <c r="R4700" s="208">
        <f>MIN(1,MAX(0,(nr_MEndP1-$G4700+0.5)/nr_TermMonths))-MIN(1,MAX(0,(nr_MStartP1-1-$G4700+0.5)/nr_TermMonths))</f>
        <v/>
      </c>
      <c r="S4700" s="72">
        <f>$H4700*$Q4700*$N4700</f>
        <v/>
      </c>
      <c r="T4700" s="72">
        <f>SUM($S$4675:$S4700)</f>
        <v/>
      </c>
      <c r="U4700" s="72">
        <f>$H4700*$Q4700*$J4700</f>
        <v/>
      </c>
    </row>
    <row r="4701">
      <c r="A4701" s="145" t="n">
        <v>27</v>
      </c>
      <c r="B4701" s="204">
        <f>EDATE($B4700,1)</f>
        <v/>
      </c>
      <c r="C4701" s="205">
        <f>EOMONTH($B4701,0)</f>
        <v/>
      </c>
      <c r="D4701" s="201">
        <f>$C4701-$B4701+1</f>
        <v/>
      </c>
      <c r="E4701" s="201">
        <f>MONTH($B4701)</f>
        <v/>
      </c>
      <c r="F4701" s="235">
        <f>($B4701+$C4701+1)/2</f>
        <v/>
      </c>
      <c r="G4701" s="201">
        <f>YEAR($B4701)*12+MONTH($B4701)-1</f>
        <v/>
      </c>
      <c r="H4701" s="207">
        <f>IF(OR(nr_SeasonOn="OFF",$M$4672=0,$N$4672=0),1,12*INDEX(se_block,$M$4672,$E4701)/$N$4672)</f>
        <v/>
      </c>
      <c r="I4701" s="208">
        <f>EXP(SUMPRODUCT((rl_eff&lt;$B4701)*(rl_key=slv_key)*(rl_status="taken")*rl_ln1p))</f>
        <v/>
      </c>
      <c r="J4701" s="208">
        <f>EXP(SUMPRODUCT((rl_eff&lt;=$C4701)*(rl_key=slv_key)*(rl_status="taken")*rl_ln1p))</f>
        <v/>
      </c>
      <c r="K4701" s="201">
        <f>COUNTIFS(rl_key,slv_key,rl_eff,"&gt;="&amp;$B4701,rl_eff,"&lt;="&amp;$C4701,rl_status,"taken")</f>
        <v/>
      </c>
      <c r="L4701" s="201">
        <f>SUMIFS(rl_daysafter,rl_key,slv_key,rl_effmonth,$B4701,rl_first,1,rl_status,"taken")</f>
        <v/>
      </c>
      <c r="M4701" s="209">
        <f>IF($K4701=0,0,MIN(1,$L4701/$D4701))</f>
        <v/>
      </c>
      <c r="N4701" s="208">
        <f>IF($K4701=0,$J4701,(1-$M4701)*$I4701+$M4701*$J4701)</f>
        <v/>
      </c>
      <c r="P4701" s="208">
        <f>MIN(1,MAX(0,(nr_MEndPm1-$G4701+0.5)/nr_TermMonths))-MIN(1,MAX(0,(nr_MStartPm1-1-$G4701+0.5)/nr_TermMonths))</f>
        <v/>
      </c>
      <c r="Q4701" s="208">
        <f>MIN(1,MAX(0,(nr_MEndP-$G4701+0.5)/nr_TermMonths))-MIN(1,MAX(0,(nr_MStartP-1-$G4701+0.5)/nr_TermMonths))</f>
        <v/>
      </c>
      <c r="R4701" s="208">
        <f>MIN(1,MAX(0,(nr_MEndP1-$G4701+0.5)/nr_TermMonths))-MIN(1,MAX(0,(nr_MStartP1-1-$G4701+0.5)/nr_TermMonths))</f>
        <v/>
      </c>
      <c r="S4701" s="72">
        <f>$H4701*$Q4701*$N4701</f>
        <v/>
      </c>
      <c r="T4701" s="72">
        <f>SUM($S$4675:$S4701)</f>
        <v/>
      </c>
      <c r="U4701" s="72">
        <f>$H4701*$Q4701*$J4701</f>
        <v/>
      </c>
    </row>
    <row r="4702">
      <c r="A4702" s="145" t="n">
        <v>28</v>
      </c>
      <c r="B4702" s="204">
        <f>EDATE($B4701,1)</f>
        <v/>
      </c>
      <c r="C4702" s="205">
        <f>EOMONTH($B4702,0)</f>
        <v/>
      </c>
      <c r="D4702" s="201">
        <f>$C4702-$B4702+1</f>
        <v/>
      </c>
      <c r="E4702" s="201">
        <f>MONTH($B4702)</f>
        <v/>
      </c>
      <c r="F4702" s="235">
        <f>($B4702+$C4702+1)/2</f>
        <v/>
      </c>
      <c r="G4702" s="201">
        <f>YEAR($B4702)*12+MONTH($B4702)-1</f>
        <v/>
      </c>
      <c r="H4702" s="207">
        <f>IF(OR(nr_SeasonOn="OFF",$M$4672=0,$N$4672=0),1,12*INDEX(se_block,$M$4672,$E4702)/$N$4672)</f>
        <v/>
      </c>
      <c r="I4702" s="208">
        <f>EXP(SUMPRODUCT((rl_eff&lt;$B4702)*(rl_key=slv_key)*(rl_status="taken")*rl_ln1p))</f>
        <v/>
      </c>
      <c r="J4702" s="208">
        <f>EXP(SUMPRODUCT((rl_eff&lt;=$C4702)*(rl_key=slv_key)*(rl_status="taken")*rl_ln1p))</f>
        <v/>
      </c>
      <c r="K4702" s="201">
        <f>COUNTIFS(rl_key,slv_key,rl_eff,"&gt;="&amp;$B4702,rl_eff,"&lt;="&amp;$C4702,rl_status,"taken")</f>
        <v/>
      </c>
      <c r="L4702" s="201">
        <f>SUMIFS(rl_daysafter,rl_key,slv_key,rl_effmonth,$B4702,rl_first,1,rl_status,"taken")</f>
        <v/>
      </c>
      <c r="M4702" s="209">
        <f>IF($K4702=0,0,MIN(1,$L4702/$D4702))</f>
        <v/>
      </c>
      <c r="N4702" s="208">
        <f>IF($K4702=0,$J4702,(1-$M4702)*$I4702+$M4702*$J4702)</f>
        <v/>
      </c>
      <c r="P4702" s="208">
        <f>MIN(1,MAX(0,(nr_MEndPm1-$G4702+0.5)/nr_TermMonths))-MIN(1,MAX(0,(nr_MStartPm1-1-$G4702+0.5)/nr_TermMonths))</f>
        <v/>
      </c>
      <c r="Q4702" s="208">
        <f>MIN(1,MAX(0,(nr_MEndP-$G4702+0.5)/nr_TermMonths))-MIN(1,MAX(0,(nr_MStartP-1-$G4702+0.5)/nr_TermMonths))</f>
        <v/>
      </c>
      <c r="R4702" s="208">
        <f>MIN(1,MAX(0,(nr_MEndP1-$G4702+0.5)/nr_TermMonths))-MIN(1,MAX(0,(nr_MStartP1-1-$G4702+0.5)/nr_TermMonths))</f>
        <v/>
      </c>
      <c r="S4702" s="72">
        <f>$H4702*$Q4702*$N4702</f>
        <v/>
      </c>
      <c r="T4702" s="72">
        <f>SUM($S$4675:$S4702)</f>
        <v/>
      </c>
      <c r="U4702" s="72">
        <f>$H4702*$Q4702*$J4702</f>
        <v/>
      </c>
    </row>
    <row r="4703">
      <c r="A4703" s="145" t="n">
        <v>29</v>
      </c>
      <c r="B4703" s="204">
        <f>EDATE($B4702,1)</f>
        <v/>
      </c>
      <c r="C4703" s="205">
        <f>EOMONTH($B4703,0)</f>
        <v/>
      </c>
      <c r="D4703" s="201">
        <f>$C4703-$B4703+1</f>
        <v/>
      </c>
      <c r="E4703" s="201">
        <f>MONTH($B4703)</f>
        <v/>
      </c>
      <c r="F4703" s="235">
        <f>($B4703+$C4703+1)/2</f>
        <v/>
      </c>
      <c r="G4703" s="201">
        <f>YEAR($B4703)*12+MONTH($B4703)-1</f>
        <v/>
      </c>
      <c r="H4703" s="207">
        <f>IF(OR(nr_SeasonOn="OFF",$M$4672=0,$N$4672=0),1,12*INDEX(se_block,$M$4672,$E4703)/$N$4672)</f>
        <v/>
      </c>
      <c r="I4703" s="208">
        <f>EXP(SUMPRODUCT((rl_eff&lt;$B4703)*(rl_key=slv_key)*(rl_status="taken")*rl_ln1p))</f>
        <v/>
      </c>
      <c r="J4703" s="208">
        <f>EXP(SUMPRODUCT((rl_eff&lt;=$C4703)*(rl_key=slv_key)*(rl_status="taken")*rl_ln1p))</f>
        <v/>
      </c>
      <c r="K4703" s="201">
        <f>COUNTIFS(rl_key,slv_key,rl_eff,"&gt;="&amp;$B4703,rl_eff,"&lt;="&amp;$C4703,rl_status,"taken")</f>
        <v/>
      </c>
      <c r="L4703" s="201">
        <f>SUMIFS(rl_daysafter,rl_key,slv_key,rl_effmonth,$B4703,rl_first,1,rl_status,"taken")</f>
        <v/>
      </c>
      <c r="M4703" s="209">
        <f>IF($K4703=0,0,MIN(1,$L4703/$D4703))</f>
        <v/>
      </c>
      <c r="N4703" s="208">
        <f>IF($K4703=0,$J4703,(1-$M4703)*$I4703+$M4703*$J4703)</f>
        <v/>
      </c>
      <c r="P4703" s="208">
        <f>MIN(1,MAX(0,(nr_MEndPm1-$G4703+0.5)/nr_TermMonths))-MIN(1,MAX(0,(nr_MStartPm1-1-$G4703+0.5)/nr_TermMonths))</f>
        <v/>
      </c>
      <c r="Q4703" s="208">
        <f>MIN(1,MAX(0,(nr_MEndP-$G4703+0.5)/nr_TermMonths))-MIN(1,MAX(0,(nr_MStartP-1-$G4703+0.5)/nr_TermMonths))</f>
        <v/>
      </c>
      <c r="R4703" s="208">
        <f>MIN(1,MAX(0,(nr_MEndP1-$G4703+0.5)/nr_TermMonths))-MIN(1,MAX(0,(nr_MStartP1-1-$G4703+0.5)/nr_TermMonths))</f>
        <v/>
      </c>
      <c r="S4703" s="72">
        <f>$H4703*$Q4703*$N4703</f>
        <v/>
      </c>
      <c r="T4703" s="72">
        <f>SUM($S$4675:$S4703)</f>
        <v/>
      </c>
      <c r="U4703" s="72">
        <f>$H4703*$Q4703*$J4703</f>
        <v/>
      </c>
    </row>
    <row r="4704">
      <c r="A4704" s="145" t="n">
        <v>30</v>
      </c>
      <c r="B4704" s="204">
        <f>EDATE($B4703,1)</f>
        <v/>
      </c>
      <c r="C4704" s="205">
        <f>EOMONTH($B4704,0)</f>
        <v/>
      </c>
      <c r="D4704" s="201">
        <f>$C4704-$B4704+1</f>
        <v/>
      </c>
      <c r="E4704" s="201">
        <f>MONTH($B4704)</f>
        <v/>
      </c>
      <c r="F4704" s="235">
        <f>($B4704+$C4704+1)/2</f>
        <v/>
      </c>
      <c r="G4704" s="201">
        <f>YEAR($B4704)*12+MONTH($B4704)-1</f>
        <v/>
      </c>
      <c r="H4704" s="207">
        <f>IF(OR(nr_SeasonOn="OFF",$M$4672=0,$N$4672=0),1,12*INDEX(se_block,$M$4672,$E4704)/$N$4672)</f>
        <v/>
      </c>
      <c r="I4704" s="208">
        <f>EXP(SUMPRODUCT((rl_eff&lt;$B4704)*(rl_key=slv_key)*(rl_status="taken")*rl_ln1p))</f>
        <v/>
      </c>
      <c r="J4704" s="208">
        <f>EXP(SUMPRODUCT((rl_eff&lt;=$C4704)*(rl_key=slv_key)*(rl_status="taken")*rl_ln1p))</f>
        <v/>
      </c>
      <c r="K4704" s="201">
        <f>COUNTIFS(rl_key,slv_key,rl_eff,"&gt;="&amp;$B4704,rl_eff,"&lt;="&amp;$C4704,rl_status,"taken")</f>
        <v/>
      </c>
      <c r="L4704" s="201">
        <f>SUMIFS(rl_daysafter,rl_key,slv_key,rl_effmonth,$B4704,rl_first,1,rl_status,"taken")</f>
        <v/>
      </c>
      <c r="M4704" s="209">
        <f>IF($K4704=0,0,MIN(1,$L4704/$D4704))</f>
        <v/>
      </c>
      <c r="N4704" s="208">
        <f>IF($K4704=0,$J4704,(1-$M4704)*$I4704+$M4704*$J4704)</f>
        <v/>
      </c>
      <c r="P4704" s="208">
        <f>MIN(1,MAX(0,(nr_MEndPm1-$G4704+0.5)/nr_TermMonths))-MIN(1,MAX(0,(nr_MStartPm1-1-$G4704+0.5)/nr_TermMonths))</f>
        <v/>
      </c>
      <c r="Q4704" s="208">
        <f>MIN(1,MAX(0,(nr_MEndP-$G4704+0.5)/nr_TermMonths))-MIN(1,MAX(0,(nr_MStartP-1-$G4704+0.5)/nr_TermMonths))</f>
        <v/>
      </c>
      <c r="R4704" s="208">
        <f>MIN(1,MAX(0,(nr_MEndP1-$G4704+0.5)/nr_TermMonths))-MIN(1,MAX(0,(nr_MStartP1-1-$G4704+0.5)/nr_TermMonths))</f>
        <v/>
      </c>
      <c r="S4704" s="72">
        <f>$H4704*$Q4704*$N4704</f>
        <v/>
      </c>
      <c r="T4704" s="72">
        <f>SUM($S$4675:$S4704)</f>
        <v/>
      </c>
      <c r="U4704" s="72">
        <f>$H4704*$Q4704*$J4704</f>
        <v/>
      </c>
    </row>
    <row r="4705">
      <c r="A4705" s="145" t="n">
        <v>31</v>
      </c>
      <c r="B4705" s="204">
        <f>EDATE($B4704,1)</f>
        <v/>
      </c>
      <c r="C4705" s="205">
        <f>EOMONTH($B4705,0)</f>
        <v/>
      </c>
      <c r="D4705" s="201">
        <f>$C4705-$B4705+1</f>
        <v/>
      </c>
      <c r="E4705" s="201">
        <f>MONTH($B4705)</f>
        <v/>
      </c>
      <c r="F4705" s="235">
        <f>($B4705+$C4705+1)/2</f>
        <v/>
      </c>
      <c r="G4705" s="201">
        <f>YEAR($B4705)*12+MONTH($B4705)-1</f>
        <v/>
      </c>
      <c r="H4705" s="207">
        <f>IF(OR(nr_SeasonOn="OFF",$M$4672=0,$N$4672=0),1,12*INDEX(se_block,$M$4672,$E4705)/$N$4672)</f>
        <v/>
      </c>
      <c r="I4705" s="208">
        <f>EXP(SUMPRODUCT((rl_eff&lt;$B4705)*(rl_key=slv_key)*(rl_status="taken")*rl_ln1p))</f>
        <v/>
      </c>
      <c r="J4705" s="208">
        <f>EXP(SUMPRODUCT((rl_eff&lt;=$C4705)*(rl_key=slv_key)*(rl_status="taken")*rl_ln1p))</f>
        <v/>
      </c>
      <c r="K4705" s="201">
        <f>COUNTIFS(rl_key,slv_key,rl_eff,"&gt;="&amp;$B4705,rl_eff,"&lt;="&amp;$C4705,rl_status,"taken")</f>
        <v/>
      </c>
      <c r="L4705" s="201">
        <f>SUMIFS(rl_daysafter,rl_key,slv_key,rl_effmonth,$B4705,rl_first,1,rl_status,"taken")</f>
        <v/>
      </c>
      <c r="M4705" s="209">
        <f>IF($K4705=0,0,MIN(1,$L4705/$D4705))</f>
        <v/>
      </c>
      <c r="N4705" s="208">
        <f>IF($K4705=0,$J4705,(1-$M4705)*$I4705+$M4705*$J4705)</f>
        <v/>
      </c>
      <c r="P4705" s="208">
        <f>MIN(1,MAX(0,(nr_MEndPm1-$G4705+0.5)/nr_TermMonths))-MIN(1,MAX(0,(nr_MStartPm1-1-$G4705+0.5)/nr_TermMonths))</f>
        <v/>
      </c>
      <c r="Q4705" s="208">
        <f>MIN(1,MAX(0,(nr_MEndP-$G4705+0.5)/nr_TermMonths))-MIN(1,MAX(0,(nr_MStartP-1-$G4705+0.5)/nr_TermMonths))</f>
        <v/>
      </c>
      <c r="R4705" s="208">
        <f>MIN(1,MAX(0,(nr_MEndP1-$G4705+0.5)/nr_TermMonths))-MIN(1,MAX(0,(nr_MStartP1-1-$G4705+0.5)/nr_TermMonths))</f>
        <v/>
      </c>
      <c r="S4705" s="72">
        <f>$H4705*$Q4705*$N4705</f>
        <v/>
      </c>
      <c r="T4705" s="72">
        <f>SUM($S$4675:$S4705)</f>
        <v/>
      </c>
      <c r="U4705" s="72">
        <f>$H4705*$Q4705*$J4705</f>
        <v/>
      </c>
    </row>
    <row r="4706">
      <c r="A4706" s="145" t="n">
        <v>32</v>
      </c>
      <c r="B4706" s="204">
        <f>EDATE($B4705,1)</f>
        <v/>
      </c>
      <c r="C4706" s="205">
        <f>EOMONTH($B4706,0)</f>
        <v/>
      </c>
      <c r="D4706" s="201">
        <f>$C4706-$B4706+1</f>
        <v/>
      </c>
      <c r="E4706" s="201">
        <f>MONTH($B4706)</f>
        <v/>
      </c>
      <c r="F4706" s="235">
        <f>($B4706+$C4706+1)/2</f>
        <v/>
      </c>
      <c r="G4706" s="201">
        <f>YEAR($B4706)*12+MONTH($B4706)-1</f>
        <v/>
      </c>
      <c r="H4706" s="207">
        <f>IF(OR(nr_SeasonOn="OFF",$M$4672=0,$N$4672=0),1,12*INDEX(se_block,$M$4672,$E4706)/$N$4672)</f>
        <v/>
      </c>
      <c r="I4706" s="208">
        <f>EXP(SUMPRODUCT((rl_eff&lt;$B4706)*(rl_key=slv_key)*(rl_status="taken")*rl_ln1p))</f>
        <v/>
      </c>
      <c r="J4706" s="208">
        <f>EXP(SUMPRODUCT((rl_eff&lt;=$C4706)*(rl_key=slv_key)*(rl_status="taken")*rl_ln1p))</f>
        <v/>
      </c>
      <c r="K4706" s="201">
        <f>COUNTIFS(rl_key,slv_key,rl_eff,"&gt;="&amp;$B4706,rl_eff,"&lt;="&amp;$C4706,rl_status,"taken")</f>
        <v/>
      </c>
      <c r="L4706" s="201">
        <f>SUMIFS(rl_daysafter,rl_key,slv_key,rl_effmonth,$B4706,rl_first,1,rl_status,"taken")</f>
        <v/>
      </c>
      <c r="M4706" s="209">
        <f>IF($K4706=0,0,MIN(1,$L4706/$D4706))</f>
        <v/>
      </c>
      <c r="N4706" s="208">
        <f>IF($K4706=0,$J4706,(1-$M4706)*$I4706+$M4706*$J4706)</f>
        <v/>
      </c>
      <c r="P4706" s="208">
        <f>MIN(1,MAX(0,(nr_MEndPm1-$G4706+0.5)/nr_TermMonths))-MIN(1,MAX(0,(nr_MStartPm1-1-$G4706+0.5)/nr_TermMonths))</f>
        <v/>
      </c>
      <c r="Q4706" s="208">
        <f>MIN(1,MAX(0,(nr_MEndP-$G4706+0.5)/nr_TermMonths))-MIN(1,MAX(0,(nr_MStartP-1-$G4706+0.5)/nr_TermMonths))</f>
        <v/>
      </c>
      <c r="R4706" s="208">
        <f>MIN(1,MAX(0,(nr_MEndP1-$G4706+0.5)/nr_TermMonths))-MIN(1,MAX(0,(nr_MStartP1-1-$G4706+0.5)/nr_TermMonths))</f>
        <v/>
      </c>
      <c r="S4706" s="72">
        <f>$H4706*$Q4706*$N4706</f>
        <v/>
      </c>
      <c r="T4706" s="72">
        <f>SUM($S$4675:$S4706)</f>
        <v/>
      </c>
      <c r="U4706" s="72">
        <f>$H4706*$Q4706*$J4706</f>
        <v/>
      </c>
    </row>
    <row r="4707">
      <c r="A4707" s="145" t="n">
        <v>33</v>
      </c>
      <c r="B4707" s="204">
        <f>EDATE($B4706,1)</f>
        <v/>
      </c>
      <c r="C4707" s="205">
        <f>EOMONTH($B4707,0)</f>
        <v/>
      </c>
      <c r="D4707" s="201">
        <f>$C4707-$B4707+1</f>
        <v/>
      </c>
      <c r="E4707" s="201">
        <f>MONTH($B4707)</f>
        <v/>
      </c>
      <c r="F4707" s="235">
        <f>($B4707+$C4707+1)/2</f>
        <v/>
      </c>
      <c r="G4707" s="201">
        <f>YEAR($B4707)*12+MONTH($B4707)-1</f>
        <v/>
      </c>
      <c r="H4707" s="207">
        <f>IF(OR(nr_SeasonOn="OFF",$M$4672=0,$N$4672=0),1,12*INDEX(se_block,$M$4672,$E4707)/$N$4672)</f>
        <v/>
      </c>
      <c r="I4707" s="208">
        <f>EXP(SUMPRODUCT((rl_eff&lt;$B4707)*(rl_key=slv_key)*(rl_status="taken")*rl_ln1p))</f>
        <v/>
      </c>
      <c r="J4707" s="208">
        <f>EXP(SUMPRODUCT((rl_eff&lt;=$C4707)*(rl_key=slv_key)*(rl_status="taken")*rl_ln1p))</f>
        <v/>
      </c>
      <c r="K4707" s="201">
        <f>COUNTIFS(rl_key,slv_key,rl_eff,"&gt;="&amp;$B4707,rl_eff,"&lt;="&amp;$C4707,rl_status,"taken")</f>
        <v/>
      </c>
      <c r="L4707" s="201">
        <f>SUMIFS(rl_daysafter,rl_key,slv_key,rl_effmonth,$B4707,rl_first,1,rl_status,"taken")</f>
        <v/>
      </c>
      <c r="M4707" s="209">
        <f>IF($K4707=0,0,MIN(1,$L4707/$D4707))</f>
        <v/>
      </c>
      <c r="N4707" s="208">
        <f>IF($K4707=0,$J4707,(1-$M4707)*$I4707+$M4707*$J4707)</f>
        <v/>
      </c>
      <c r="P4707" s="208">
        <f>MIN(1,MAX(0,(nr_MEndPm1-$G4707+0.5)/nr_TermMonths))-MIN(1,MAX(0,(nr_MStartPm1-1-$G4707+0.5)/nr_TermMonths))</f>
        <v/>
      </c>
      <c r="Q4707" s="208">
        <f>MIN(1,MAX(0,(nr_MEndP-$G4707+0.5)/nr_TermMonths))-MIN(1,MAX(0,(nr_MStartP-1-$G4707+0.5)/nr_TermMonths))</f>
        <v/>
      </c>
      <c r="R4707" s="208">
        <f>MIN(1,MAX(0,(nr_MEndP1-$G4707+0.5)/nr_TermMonths))-MIN(1,MAX(0,(nr_MStartP1-1-$G4707+0.5)/nr_TermMonths))</f>
        <v/>
      </c>
      <c r="S4707" s="72">
        <f>$H4707*$Q4707*$N4707</f>
        <v/>
      </c>
      <c r="T4707" s="72">
        <f>SUM($S$4675:$S4707)</f>
        <v/>
      </c>
      <c r="U4707" s="72">
        <f>$H4707*$Q4707*$J4707</f>
        <v/>
      </c>
    </row>
    <row r="4708">
      <c r="A4708" s="145" t="n">
        <v>34</v>
      </c>
      <c r="B4708" s="204">
        <f>EDATE($B4707,1)</f>
        <v/>
      </c>
      <c r="C4708" s="205">
        <f>EOMONTH($B4708,0)</f>
        <v/>
      </c>
      <c r="D4708" s="201">
        <f>$C4708-$B4708+1</f>
        <v/>
      </c>
      <c r="E4708" s="201">
        <f>MONTH($B4708)</f>
        <v/>
      </c>
      <c r="F4708" s="235">
        <f>($B4708+$C4708+1)/2</f>
        <v/>
      </c>
      <c r="G4708" s="201">
        <f>YEAR($B4708)*12+MONTH($B4708)-1</f>
        <v/>
      </c>
      <c r="H4708" s="207">
        <f>IF(OR(nr_SeasonOn="OFF",$M$4672=0,$N$4672=0),1,12*INDEX(se_block,$M$4672,$E4708)/$N$4672)</f>
        <v/>
      </c>
      <c r="I4708" s="208">
        <f>EXP(SUMPRODUCT((rl_eff&lt;$B4708)*(rl_key=slv_key)*(rl_status="taken")*rl_ln1p))</f>
        <v/>
      </c>
      <c r="J4708" s="208">
        <f>EXP(SUMPRODUCT((rl_eff&lt;=$C4708)*(rl_key=slv_key)*(rl_status="taken")*rl_ln1p))</f>
        <v/>
      </c>
      <c r="K4708" s="201">
        <f>COUNTIFS(rl_key,slv_key,rl_eff,"&gt;="&amp;$B4708,rl_eff,"&lt;="&amp;$C4708,rl_status,"taken")</f>
        <v/>
      </c>
      <c r="L4708" s="201">
        <f>SUMIFS(rl_daysafter,rl_key,slv_key,rl_effmonth,$B4708,rl_first,1,rl_status,"taken")</f>
        <v/>
      </c>
      <c r="M4708" s="209">
        <f>IF($K4708=0,0,MIN(1,$L4708/$D4708))</f>
        <v/>
      </c>
      <c r="N4708" s="208">
        <f>IF($K4708=0,$J4708,(1-$M4708)*$I4708+$M4708*$J4708)</f>
        <v/>
      </c>
      <c r="P4708" s="208">
        <f>MIN(1,MAX(0,(nr_MEndPm1-$G4708+0.5)/nr_TermMonths))-MIN(1,MAX(0,(nr_MStartPm1-1-$G4708+0.5)/nr_TermMonths))</f>
        <v/>
      </c>
      <c r="Q4708" s="208">
        <f>MIN(1,MAX(0,(nr_MEndP-$G4708+0.5)/nr_TermMonths))-MIN(1,MAX(0,(nr_MStartP-1-$G4708+0.5)/nr_TermMonths))</f>
        <v/>
      </c>
      <c r="R4708" s="208">
        <f>MIN(1,MAX(0,(nr_MEndP1-$G4708+0.5)/nr_TermMonths))-MIN(1,MAX(0,(nr_MStartP1-1-$G4708+0.5)/nr_TermMonths))</f>
        <v/>
      </c>
      <c r="S4708" s="72">
        <f>$H4708*$Q4708*$N4708</f>
        <v/>
      </c>
      <c r="T4708" s="72">
        <f>SUM($S$4675:$S4708)</f>
        <v/>
      </c>
      <c r="U4708" s="72">
        <f>$H4708*$Q4708*$J4708</f>
        <v/>
      </c>
    </row>
    <row r="4709">
      <c r="A4709" s="145" t="n">
        <v>35</v>
      </c>
      <c r="B4709" s="204">
        <f>EDATE($B4708,1)</f>
        <v/>
      </c>
      <c r="C4709" s="205">
        <f>EOMONTH($B4709,0)</f>
        <v/>
      </c>
      <c r="D4709" s="201">
        <f>$C4709-$B4709+1</f>
        <v/>
      </c>
      <c r="E4709" s="201">
        <f>MONTH($B4709)</f>
        <v/>
      </c>
      <c r="F4709" s="235">
        <f>($B4709+$C4709+1)/2</f>
        <v/>
      </c>
      <c r="G4709" s="201">
        <f>YEAR($B4709)*12+MONTH($B4709)-1</f>
        <v/>
      </c>
      <c r="H4709" s="207">
        <f>IF(OR(nr_SeasonOn="OFF",$M$4672=0,$N$4672=0),1,12*INDEX(se_block,$M$4672,$E4709)/$N$4672)</f>
        <v/>
      </c>
      <c r="I4709" s="208">
        <f>EXP(SUMPRODUCT((rl_eff&lt;$B4709)*(rl_key=slv_key)*(rl_status="taken")*rl_ln1p))</f>
        <v/>
      </c>
      <c r="J4709" s="208">
        <f>EXP(SUMPRODUCT((rl_eff&lt;=$C4709)*(rl_key=slv_key)*(rl_status="taken")*rl_ln1p))</f>
        <v/>
      </c>
      <c r="K4709" s="201">
        <f>COUNTIFS(rl_key,slv_key,rl_eff,"&gt;="&amp;$B4709,rl_eff,"&lt;="&amp;$C4709,rl_status,"taken")</f>
        <v/>
      </c>
      <c r="L4709" s="201">
        <f>SUMIFS(rl_daysafter,rl_key,slv_key,rl_effmonth,$B4709,rl_first,1,rl_status,"taken")</f>
        <v/>
      </c>
      <c r="M4709" s="209">
        <f>IF($K4709=0,0,MIN(1,$L4709/$D4709))</f>
        <v/>
      </c>
      <c r="N4709" s="208">
        <f>IF($K4709=0,$J4709,(1-$M4709)*$I4709+$M4709*$J4709)</f>
        <v/>
      </c>
      <c r="P4709" s="208">
        <f>MIN(1,MAX(0,(nr_MEndPm1-$G4709+0.5)/nr_TermMonths))-MIN(1,MAX(0,(nr_MStartPm1-1-$G4709+0.5)/nr_TermMonths))</f>
        <v/>
      </c>
      <c r="Q4709" s="208">
        <f>MIN(1,MAX(0,(nr_MEndP-$G4709+0.5)/nr_TermMonths))-MIN(1,MAX(0,(nr_MStartP-1-$G4709+0.5)/nr_TermMonths))</f>
        <v/>
      </c>
      <c r="R4709" s="208">
        <f>MIN(1,MAX(0,(nr_MEndP1-$G4709+0.5)/nr_TermMonths))-MIN(1,MAX(0,(nr_MStartP1-1-$G4709+0.5)/nr_TermMonths))</f>
        <v/>
      </c>
      <c r="S4709" s="72">
        <f>$H4709*$Q4709*$N4709</f>
        <v/>
      </c>
      <c r="T4709" s="72">
        <f>SUM($S$4675:$S4709)</f>
        <v/>
      </c>
      <c r="U4709" s="72">
        <f>$H4709*$Q4709*$J4709</f>
        <v/>
      </c>
    </row>
    <row r="4710">
      <c r="A4710" s="145" t="n">
        <v>36</v>
      </c>
      <c r="B4710" s="204">
        <f>EDATE($B4709,1)</f>
        <v/>
      </c>
      <c r="C4710" s="205">
        <f>EOMONTH($B4710,0)</f>
        <v/>
      </c>
      <c r="D4710" s="201">
        <f>$C4710-$B4710+1</f>
        <v/>
      </c>
      <c r="E4710" s="201">
        <f>MONTH($B4710)</f>
        <v/>
      </c>
      <c r="F4710" s="235">
        <f>($B4710+$C4710+1)/2</f>
        <v/>
      </c>
      <c r="G4710" s="201">
        <f>YEAR($B4710)*12+MONTH($B4710)-1</f>
        <v/>
      </c>
      <c r="H4710" s="207">
        <f>IF(OR(nr_SeasonOn="OFF",$M$4672=0,$N$4672=0),1,12*INDEX(se_block,$M$4672,$E4710)/$N$4672)</f>
        <v/>
      </c>
      <c r="I4710" s="208">
        <f>EXP(SUMPRODUCT((rl_eff&lt;$B4710)*(rl_key=slv_key)*(rl_status="taken")*rl_ln1p))</f>
        <v/>
      </c>
      <c r="J4710" s="208">
        <f>EXP(SUMPRODUCT((rl_eff&lt;=$C4710)*(rl_key=slv_key)*(rl_status="taken")*rl_ln1p))</f>
        <v/>
      </c>
      <c r="K4710" s="201">
        <f>COUNTIFS(rl_key,slv_key,rl_eff,"&gt;="&amp;$B4710,rl_eff,"&lt;="&amp;$C4710,rl_status,"taken")</f>
        <v/>
      </c>
      <c r="L4710" s="201">
        <f>SUMIFS(rl_daysafter,rl_key,slv_key,rl_effmonth,$B4710,rl_first,1,rl_status,"taken")</f>
        <v/>
      </c>
      <c r="M4710" s="209">
        <f>IF($K4710=0,0,MIN(1,$L4710/$D4710))</f>
        <v/>
      </c>
      <c r="N4710" s="208">
        <f>IF($K4710=0,$J4710,(1-$M4710)*$I4710+$M4710*$J4710)</f>
        <v/>
      </c>
      <c r="P4710" s="208">
        <f>MIN(1,MAX(0,(nr_MEndPm1-$G4710+0.5)/nr_TermMonths))-MIN(1,MAX(0,(nr_MStartPm1-1-$G4710+0.5)/nr_TermMonths))</f>
        <v/>
      </c>
      <c r="Q4710" s="208">
        <f>MIN(1,MAX(0,(nr_MEndP-$G4710+0.5)/nr_TermMonths))-MIN(1,MAX(0,(nr_MStartP-1-$G4710+0.5)/nr_TermMonths))</f>
        <v/>
      </c>
      <c r="R4710" s="208">
        <f>MIN(1,MAX(0,(nr_MEndP1-$G4710+0.5)/nr_TermMonths))-MIN(1,MAX(0,(nr_MStartP1-1-$G4710+0.5)/nr_TermMonths))</f>
        <v/>
      </c>
      <c r="S4710" s="72">
        <f>$H4710*$Q4710*$N4710</f>
        <v/>
      </c>
      <c r="T4710" s="72">
        <f>SUM($S$4675:$S4710)</f>
        <v/>
      </c>
      <c r="U4710" s="72">
        <f>$H4710*$Q4710*$J4710</f>
        <v/>
      </c>
    </row>
    <row r="4711">
      <c r="A4711" s="145" t="n">
        <v>37</v>
      </c>
      <c r="B4711" s="204">
        <f>EDATE($B4710,1)</f>
        <v/>
      </c>
      <c r="C4711" s="205">
        <f>EOMONTH($B4711,0)</f>
        <v/>
      </c>
      <c r="D4711" s="201">
        <f>$C4711-$B4711+1</f>
        <v/>
      </c>
      <c r="E4711" s="201">
        <f>MONTH($B4711)</f>
        <v/>
      </c>
      <c r="F4711" s="235">
        <f>($B4711+$C4711+1)/2</f>
        <v/>
      </c>
      <c r="G4711" s="201">
        <f>YEAR($B4711)*12+MONTH($B4711)-1</f>
        <v/>
      </c>
      <c r="H4711" s="207">
        <f>IF(OR(nr_SeasonOn="OFF",$M$4672=0,$N$4672=0),1,12*INDEX(se_block,$M$4672,$E4711)/$N$4672)</f>
        <v/>
      </c>
      <c r="I4711" s="208">
        <f>EXP(SUMPRODUCT((rl_eff&lt;$B4711)*(rl_key=slv_key)*(rl_status="taken")*rl_ln1p))</f>
        <v/>
      </c>
      <c r="J4711" s="208">
        <f>EXP(SUMPRODUCT((rl_eff&lt;=$C4711)*(rl_key=slv_key)*(rl_status="taken")*rl_ln1p))</f>
        <v/>
      </c>
      <c r="K4711" s="201">
        <f>COUNTIFS(rl_key,slv_key,rl_eff,"&gt;="&amp;$B4711,rl_eff,"&lt;="&amp;$C4711,rl_status,"taken")</f>
        <v/>
      </c>
      <c r="L4711" s="201">
        <f>SUMIFS(rl_daysafter,rl_key,slv_key,rl_effmonth,$B4711,rl_first,1,rl_status,"taken")</f>
        <v/>
      </c>
      <c r="M4711" s="209">
        <f>IF($K4711=0,0,MIN(1,$L4711/$D4711))</f>
        <v/>
      </c>
      <c r="N4711" s="208">
        <f>IF($K4711=0,$J4711,(1-$M4711)*$I4711+$M4711*$J4711)</f>
        <v/>
      </c>
      <c r="P4711" s="208">
        <f>MIN(1,MAX(0,(nr_MEndPm1-$G4711+0.5)/nr_TermMonths))-MIN(1,MAX(0,(nr_MStartPm1-1-$G4711+0.5)/nr_TermMonths))</f>
        <v/>
      </c>
      <c r="Q4711" s="208">
        <f>MIN(1,MAX(0,(nr_MEndP-$G4711+0.5)/nr_TermMonths))-MIN(1,MAX(0,(nr_MStartP-1-$G4711+0.5)/nr_TermMonths))</f>
        <v/>
      </c>
      <c r="R4711" s="208">
        <f>MIN(1,MAX(0,(nr_MEndP1-$G4711+0.5)/nr_TermMonths))-MIN(1,MAX(0,(nr_MStartP1-1-$G4711+0.5)/nr_TermMonths))</f>
        <v/>
      </c>
      <c r="S4711" s="72">
        <f>$H4711*$Q4711*$N4711</f>
        <v/>
      </c>
      <c r="T4711" s="72">
        <f>SUM($S$4675:$S4711)</f>
        <v/>
      </c>
      <c r="U4711" s="72">
        <f>$H4711*$Q4711*$J4711</f>
        <v/>
      </c>
    </row>
    <row r="4712">
      <c r="A4712" s="145" t="n">
        <v>38</v>
      </c>
      <c r="B4712" s="204">
        <f>EDATE($B4711,1)</f>
        <v/>
      </c>
      <c r="C4712" s="205">
        <f>EOMONTH($B4712,0)</f>
        <v/>
      </c>
      <c r="D4712" s="201">
        <f>$C4712-$B4712+1</f>
        <v/>
      </c>
      <c r="E4712" s="201">
        <f>MONTH($B4712)</f>
        <v/>
      </c>
      <c r="F4712" s="235">
        <f>($B4712+$C4712+1)/2</f>
        <v/>
      </c>
      <c r="G4712" s="201">
        <f>YEAR($B4712)*12+MONTH($B4712)-1</f>
        <v/>
      </c>
      <c r="H4712" s="207">
        <f>IF(OR(nr_SeasonOn="OFF",$M$4672=0,$N$4672=0),1,12*INDEX(se_block,$M$4672,$E4712)/$N$4672)</f>
        <v/>
      </c>
      <c r="I4712" s="208">
        <f>EXP(SUMPRODUCT((rl_eff&lt;$B4712)*(rl_key=slv_key)*(rl_status="taken")*rl_ln1p))</f>
        <v/>
      </c>
      <c r="J4712" s="208">
        <f>EXP(SUMPRODUCT((rl_eff&lt;=$C4712)*(rl_key=slv_key)*(rl_status="taken")*rl_ln1p))</f>
        <v/>
      </c>
      <c r="K4712" s="201">
        <f>COUNTIFS(rl_key,slv_key,rl_eff,"&gt;="&amp;$B4712,rl_eff,"&lt;="&amp;$C4712,rl_status,"taken")</f>
        <v/>
      </c>
      <c r="L4712" s="201">
        <f>SUMIFS(rl_daysafter,rl_key,slv_key,rl_effmonth,$B4712,rl_first,1,rl_status,"taken")</f>
        <v/>
      </c>
      <c r="M4712" s="209">
        <f>IF($K4712=0,0,MIN(1,$L4712/$D4712))</f>
        <v/>
      </c>
      <c r="N4712" s="208">
        <f>IF($K4712=0,$J4712,(1-$M4712)*$I4712+$M4712*$J4712)</f>
        <v/>
      </c>
      <c r="P4712" s="208">
        <f>MIN(1,MAX(0,(nr_MEndPm1-$G4712+0.5)/nr_TermMonths))-MIN(1,MAX(0,(nr_MStartPm1-1-$G4712+0.5)/nr_TermMonths))</f>
        <v/>
      </c>
      <c r="Q4712" s="208">
        <f>MIN(1,MAX(0,(nr_MEndP-$G4712+0.5)/nr_TermMonths))-MIN(1,MAX(0,(nr_MStartP-1-$G4712+0.5)/nr_TermMonths))</f>
        <v/>
      </c>
      <c r="R4712" s="208">
        <f>MIN(1,MAX(0,(nr_MEndP1-$G4712+0.5)/nr_TermMonths))-MIN(1,MAX(0,(nr_MStartP1-1-$G4712+0.5)/nr_TermMonths))</f>
        <v/>
      </c>
      <c r="S4712" s="72">
        <f>$H4712*$Q4712*$N4712</f>
        <v/>
      </c>
      <c r="T4712" s="72">
        <f>SUM($S$4675:$S4712)</f>
        <v/>
      </c>
      <c r="U4712" s="72">
        <f>$H4712*$Q4712*$J4712</f>
        <v/>
      </c>
    </row>
    <row r="4713">
      <c r="A4713" s="145" t="n">
        <v>39</v>
      </c>
      <c r="B4713" s="204">
        <f>EDATE($B4712,1)</f>
        <v/>
      </c>
      <c r="C4713" s="205">
        <f>EOMONTH($B4713,0)</f>
        <v/>
      </c>
      <c r="D4713" s="201">
        <f>$C4713-$B4713+1</f>
        <v/>
      </c>
      <c r="E4713" s="201">
        <f>MONTH($B4713)</f>
        <v/>
      </c>
      <c r="F4713" s="235">
        <f>($B4713+$C4713+1)/2</f>
        <v/>
      </c>
      <c r="G4713" s="201">
        <f>YEAR($B4713)*12+MONTH($B4713)-1</f>
        <v/>
      </c>
      <c r="H4713" s="207">
        <f>IF(OR(nr_SeasonOn="OFF",$M$4672=0,$N$4672=0),1,12*INDEX(se_block,$M$4672,$E4713)/$N$4672)</f>
        <v/>
      </c>
      <c r="I4713" s="208">
        <f>EXP(SUMPRODUCT((rl_eff&lt;$B4713)*(rl_key=slv_key)*(rl_status="taken")*rl_ln1p))</f>
        <v/>
      </c>
      <c r="J4713" s="208">
        <f>EXP(SUMPRODUCT((rl_eff&lt;=$C4713)*(rl_key=slv_key)*(rl_status="taken")*rl_ln1p))</f>
        <v/>
      </c>
      <c r="K4713" s="201">
        <f>COUNTIFS(rl_key,slv_key,rl_eff,"&gt;="&amp;$B4713,rl_eff,"&lt;="&amp;$C4713,rl_status,"taken")</f>
        <v/>
      </c>
      <c r="L4713" s="201">
        <f>SUMIFS(rl_daysafter,rl_key,slv_key,rl_effmonth,$B4713,rl_first,1,rl_status,"taken")</f>
        <v/>
      </c>
      <c r="M4713" s="209">
        <f>IF($K4713=0,0,MIN(1,$L4713/$D4713))</f>
        <v/>
      </c>
      <c r="N4713" s="208">
        <f>IF($K4713=0,$J4713,(1-$M4713)*$I4713+$M4713*$J4713)</f>
        <v/>
      </c>
      <c r="P4713" s="208">
        <f>MIN(1,MAX(0,(nr_MEndPm1-$G4713+0.5)/nr_TermMonths))-MIN(1,MAX(0,(nr_MStartPm1-1-$G4713+0.5)/nr_TermMonths))</f>
        <v/>
      </c>
      <c r="Q4713" s="208">
        <f>MIN(1,MAX(0,(nr_MEndP-$G4713+0.5)/nr_TermMonths))-MIN(1,MAX(0,(nr_MStartP-1-$G4713+0.5)/nr_TermMonths))</f>
        <v/>
      </c>
      <c r="R4713" s="208">
        <f>MIN(1,MAX(0,(nr_MEndP1-$G4713+0.5)/nr_TermMonths))-MIN(1,MAX(0,(nr_MStartP1-1-$G4713+0.5)/nr_TermMonths))</f>
        <v/>
      </c>
      <c r="S4713" s="72">
        <f>$H4713*$Q4713*$N4713</f>
        <v/>
      </c>
      <c r="T4713" s="72">
        <f>SUM($S$4675:$S4713)</f>
        <v/>
      </c>
      <c r="U4713" s="72">
        <f>$H4713*$Q4713*$J4713</f>
        <v/>
      </c>
    </row>
    <row r="4714">
      <c r="A4714" s="145" t="n">
        <v>40</v>
      </c>
      <c r="B4714" s="204">
        <f>EDATE($B4713,1)</f>
        <v/>
      </c>
      <c r="C4714" s="205">
        <f>EOMONTH($B4714,0)</f>
        <v/>
      </c>
      <c r="D4714" s="201">
        <f>$C4714-$B4714+1</f>
        <v/>
      </c>
      <c r="E4714" s="201">
        <f>MONTH($B4714)</f>
        <v/>
      </c>
      <c r="F4714" s="235">
        <f>($B4714+$C4714+1)/2</f>
        <v/>
      </c>
      <c r="G4714" s="201">
        <f>YEAR($B4714)*12+MONTH($B4714)-1</f>
        <v/>
      </c>
      <c r="H4714" s="207">
        <f>IF(OR(nr_SeasonOn="OFF",$M$4672=0,$N$4672=0),1,12*INDEX(se_block,$M$4672,$E4714)/$N$4672)</f>
        <v/>
      </c>
      <c r="I4714" s="208">
        <f>EXP(SUMPRODUCT((rl_eff&lt;$B4714)*(rl_key=slv_key)*(rl_status="taken")*rl_ln1p))</f>
        <v/>
      </c>
      <c r="J4714" s="208">
        <f>EXP(SUMPRODUCT((rl_eff&lt;=$C4714)*(rl_key=slv_key)*(rl_status="taken")*rl_ln1p))</f>
        <v/>
      </c>
      <c r="K4714" s="201">
        <f>COUNTIFS(rl_key,slv_key,rl_eff,"&gt;="&amp;$B4714,rl_eff,"&lt;="&amp;$C4714,rl_status,"taken")</f>
        <v/>
      </c>
      <c r="L4714" s="201">
        <f>SUMIFS(rl_daysafter,rl_key,slv_key,rl_effmonth,$B4714,rl_first,1,rl_status,"taken")</f>
        <v/>
      </c>
      <c r="M4714" s="209">
        <f>IF($K4714=0,0,MIN(1,$L4714/$D4714))</f>
        <v/>
      </c>
      <c r="N4714" s="208">
        <f>IF($K4714=0,$J4714,(1-$M4714)*$I4714+$M4714*$J4714)</f>
        <v/>
      </c>
      <c r="P4714" s="208">
        <f>MIN(1,MAX(0,(nr_MEndPm1-$G4714+0.5)/nr_TermMonths))-MIN(1,MAX(0,(nr_MStartPm1-1-$G4714+0.5)/nr_TermMonths))</f>
        <v/>
      </c>
      <c r="Q4714" s="208">
        <f>MIN(1,MAX(0,(nr_MEndP-$G4714+0.5)/nr_TermMonths))-MIN(1,MAX(0,(nr_MStartP-1-$G4714+0.5)/nr_TermMonths))</f>
        <v/>
      </c>
      <c r="R4714" s="208">
        <f>MIN(1,MAX(0,(nr_MEndP1-$G4714+0.5)/nr_TermMonths))-MIN(1,MAX(0,(nr_MStartP1-1-$G4714+0.5)/nr_TermMonths))</f>
        <v/>
      </c>
      <c r="S4714" s="72">
        <f>$H4714*$Q4714*$N4714</f>
        <v/>
      </c>
      <c r="T4714" s="72">
        <f>SUM($S$4675:$S4714)</f>
        <v/>
      </c>
      <c r="U4714" s="72">
        <f>$H4714*$Q4714*$J4714</f>
        <v/>
      </c>
    </row>
    <row r="4715">
      <c r="A4715" s="145" t="n">
        <v>41</v>
      </c>
      <c r="B4715" s="204">
        <f>EDATE($B4714,1)</f>
        <v/>
      </c>
      <c r="C4715" s="205">
        <f>EOMONTH($B4715,0)</f>
        <v/>
      </c>
      <c r="D4715" s="201">
        <f>$C4715-$B4715+1</f>
        <v/>
      </c>
      <c r="E4715" s="201">
        <f>MONTH($B4715)</f>
        <v/>
      </c>
      <c r="F4715" s="235">
        <f>($B4715+$C4715+1)/2</f>
        <v/>
      </c>
      <c r="G4715" s="201">
        <f>YEAR($B4715)*12+MONTH($B4715)-1</f>
        <v/>
      </c>
      <c r="H4715" s="207">
        <f>IF(OR(nr_SeasonOn="OFF",$M$4672=0,$N$4672=0),1,12*INDEX(se_block,$M$4672,$E4715)/$N$4672)</f>
        <v/>
      </c>
      <c r="I4715" s="208">
        <f>EXP(SUMPRODUCT((rl_eff&lt;$B4715)*(rl_key=slv_key)*(rl_status="taken")*rl_ln1p))</f>
        <v/>
      </c>
      <c r="J4715" s="208">
        <f>EXP(SUMPRODUCT((rl_eff&lt;=$C4715)*(rl_key=slv_key)*(rl_status="taken")*rl_ln1p))</f>
        <v/>
      </c>
      <c r="K4715" s="201">
        <f>COUNTIFS(rl_key,slv_key,rl_eff,"&gt;="&amp;$B4715,rl_eff,"&lt;="&amp;$C4715,rl_status,"taken")</f>
        <v/>
      </c>
      <c r="L4715" s="201">
        <f>SUMIFS(rl_daysafter,rl_key,slv_key,rl_effmonth,$B4715,rl_first,1,rl_status,"taken")</f>
        <v/>
      </c>
      <c r="M4715" s="209">
        <f>IF($K4715=0,0,MIN(1,$L4715/$D4715))</f>
        <v/>
      </c>
      <c r="N4715" s="208">
        <f>IF($K4715=0,$J4715,(1-$M4715)*$I4715+$M4715*$J4715)</f>
        <v/>
      </c>
      <c r="P4715" s="208">
        <f>MIN(1,MAX(0,(nr_MEndPm1-$G4715+0.5)/nr_TermMonths))-MIN(1,MAX(0,(nr_MStartPm1-1-$G4715+0.5)/nr_TermMonths))</f>
        <v/>
      </c>
      <c r="Q4715" s="208">
        <f>MIN(1,MAX(0,(nr_MEndP-$G4715+0.5)/nr_TermMonths))-MIN(1,MAX(0,(nr_MStartP-1-$G4715+0.5)/nr_TermMonths))</f>
        <v/>
      </c>
      <c r="R4715" s="208">
        <f>MIN(1,MAX(0,(nr_MEndP1-$G4715+0.5)/nr_TermMonths))-MIN(1,MAX(0,(nr_MStartP1-1-$G4715+0.5)/nr_TermMonths))</f>
        <v/>
      </c>
      <c r="S4715" s="72">
        <f>$H4715*$Q4715*$N4715</f>
        <v/>
      </c>
      <c r="T4715" s="72">
        <f>SUM($S$4675:$S4715)</f>
        <v/>
      </c>
      <c r="U4715" s="72">
        <f>$H4715*$Q4715*$J4715</f>
        <v/>
      </c>
    </row>
    <row r="4716">
      <c r="A4716" s="145" t="n">
        <v>42</v>
      </c>
      <c r="B4716" s="204">
        <f>EDATE($B4715,1)</f>
        <v/>
      </c>
      <c r="C4716" s="205">
        <f>EOMONTH($B4716,0)</f>
        <v/>
      </c>
      <c r="D4716" s="201">
        <f>$C4716-$B4716+1</f>
        <v/>
      </c>
      <c r="E4716" s="201">
        <f>MONTH($B4716)</f>
        <v/>
      </c>
      <c r="F4716" s="235">
        <f>($B4716+$C4716+1)/2</f>
        <v/>
      </c>
      <c r="G4716" s="201">
        <f>YEAR($B4716)*12+MONTH($B4716)-1</f>
        <v/>
      </c>
      <c r="H4716" s="207">
        <f>IF(OR(nr_SeasonOn="OFF",$M$4672=0,$N$4672=0),1,12*INDEX(se_block,$M$4672,$E4716)/$N$4672)</f>
        <v/>
      </c>
      <c r="I4716" s="208">
        <f>EXP(SUMPRODUCT((rl_eff&lt;$B4716)*(rl_key=slv_key)*(rl_status="taken")*rl_ln1p))</f>
        <v/>
      </c>
      <c r="J4716" s="208">
        <f>EXP(SUMPRODUCT((rl_eff&lt;=$C4716)*(rl_key=slv_key)*(rl_status="taken")*rl_ln1p))</f>
        <v/>
      </c>
      <c r="K4716" s="201">
        <f>COUNTIFS(rl_key,slv_key,rl_eff,"&gt;="&amp;$B4716,rl_eff,"&lt;="&amp;$C4716,rl_status,"taken")</f>
        <v/>
      </c>
      <c r="L4716" s="201">
        <f>SUMIFS(rl_daysafter,rl_key,slv_key,rl_effmonth,$B4716,rl_first,1,rl_status,"taken")</f>
        <v/>
      </c>
      <c r="M4716" s="209">
        <f>IF($K4716=0,0,MIN(1,$L4716/$D4716))</f>
        <v/>
      </c>
      <c r="N4716" s="208">
        <f>IF($K4716=0,$J4716,(1-$M4716)*$I4716+$M4716*$J4716)</f>
        <v/>
      </c>
      <c r="P4716" s="208">
        <f>MIN(1,MAX(0,(nr_MEndPm1-$G4716+0.5)/nr_TermMonths))-MIN(1,MAX(0,(nr_MStartPm1-1-$G4716+0.5)/nr_TermMonths))</f>
        <v/>
      </c>
      <c r="Q4716" s="208">
        <f>MIN(1,MAX(0,(nr_MEndP-$G4716+0.5)/nr_TermMonths))-MIN(1,MAX(0,(nr_MStartP-1-$G4716+0.5)/nr_TermMonths))</f>
        <v/>
      </c>
      <c r="R4716" s="208">
        <f>MIN(1,MAX(0,(nr_MEndP1-$G4716+0.5)/nr_TermMonths))-MIN(1,MAX(0,(nr_MStartP1-1-$G4716+0.5)/nr_TermMonths))</f>
        <v/>
      </c>
      <c r="S4716" s="72">
        <f>$H4716*$Q4716*$N4716</f>
        <v/>
      </c>
      <c r="T4716" s="72">
        <f>SUM($S$4675:$S4716)</f>
        <v/>
      </c>
      <c r="U4716" s="72">
        <f>$H4716*$Q4716*$J4716</f>
        <v/>
      </c>
    </row>
    <row r="4717">
      <c r="A4717" s="145" t="n">
        <v>43</v>
      </c>
      <c r="B4717" s="204">
        <f>EDATE($B4716,1)</f>
        <v/>
      </c>
      <c r="C4717" s="205">
        <f>EOMONTH($B4717,0)</f>
        <v/>
      </c>
      <c r="D4717" s="201">
        <f>$C4717-$B4717+1</f>
        <v/>
      </c>
      <c r="E4717" s="201">
        <f>MONTH($B4717)</f>
        <v/>
      </c>
      <c r="F4717" s="235">
        <f>($B4717+$C4717+1)/2</f>
        <v/>
      </c>
      <c r="G4717" s="201">
        <f>YEAR($B4717)*12+MONTH($B4717)-1</f>
        <v/>
      </c>
      <c r="H4717" s="207">
        <f>IF(OR(nr_SeasonOn="OFF",$M$4672=0,$N$4672=0),1,12*INDEX(se_block,$M$4672,$E4717)/$N$4672)</f>
        <v/>
      </c>
      <c r="I4717" s="208">
        <f>EXP(SUMPRODUCT((rl_eff&lt;$B4717)*(rl_key=slv_key)*(rl_status="taken")*rl_ln1p))</f>
        <v/>
      </c>
      <c r="J4717" s="208">
        <f>EXP(SUMPRODUCT((rl_eff&lt;=$C4717)*(rl_key=slv_key)*(rl_status="taken")*rl_ln1p))</f>
        <v/>
      </c>
      <c r="K4717" s="201">
        <f>COUNTIFS(rl_key,slv_key,rl_eff,"&gt;="&amp;$B4717,rl_eff,"&lt;="&amp;$C4717,rl_status,"taken")</f>
        <v/>
      </c>
      <c r="L4717" s="201">
        <f>SUMIFS(rl_daysafter,rl_key,slv_key,rl_effmonth,$B4717,rl_first,1,rl_status,"taken")</f>
        <v/>
      </c>
      <c r="M4717" s="209">
        <f>IF($K4717=0,0,MIN(1,$L4717/$D4717))</f>
        <v/>
      </c>
      <c r="N4717" s="208">
        <f>IF($K4717=0,$J4717,(1-$M4717)*$I4717+$M4717*$J4717)</f>
        <v/>
      </c>
      <c r="P4717" s="208">
        <f>MIN(1,MAX(0,(nr_MEndPm1-$G4717+0.5)/nr_TermMonths))-MIN(1,MAX(0,(nr_MStartPm1-1-$G4717+0.5)/nr_TermMonths))</f>
        <v/>
      </c>
      <c r="Q4717" s="208">
        <f>MIN(1,MAX(0,(nr_MEndP-$G4717+0.5)/nr_TermMonths))-MIN(1,MAX(0,(nr_MStartP-1-$G4717+0.5)/nr_TermMonths))</f>
        <v/>
      </c>
      <c r="R4717" s="208">
        <f>MIN(1,MAX(0,(nr_MEndP1-$G4717+0.5)/nr_TermMonths))-MIN(1,MAX(0,(nr_MStartP1-1-$G4717+0.5)/nr_TermMonths))</f>
        <v/>
      </c>
      <c r="S4717" s="72">
        <f>$H4717*$Q4717*$N4717</f>
        <v/>
      </c>
      <c r="T4717" s="72">
        <f>SUM($S$4675:$S4717)</f>
        <v/>
      </c>
      <c r="U4717" s="72">
        <f>$H4717*$Q4717*$J4717</f>
        <v/>
      </c>
    </row>
    <row r="4718">
      <c r="A4718" s="145" t="n">
        <v>44</v>
      </c>
      <c r="B4718" s="204">
        <f>EDATE($B4717,1)</f>
        <v/>
      </c>
      <c r="C4718" s="205">
        <f>EOMONTH($B4718,0)</f>
        <v/>
      </c>
      <c r="D4718" s="201">
        <f>$C4718-$B4718+1</f>
        <v/>
      </c>
      <c r="E4718" s="201">
        <f>MONTH($B4718)</f>
        <v/>
      </c>
      <c r="F4718" s="235">
        <f>($B4718+$C4718+1)/2</f>
        <v/>
      </c>
      <c r="G4718" s="201">
        <f>YEAR($B4718)*12+MONTH($B4718)-1</f>
        <v/>
      </c>
      <c r="H4718" s="207">
        <f>IF(OR(nr_SeasonOn="OFF",$M$4672=0,$N$4672=0),1,12*INDEX(se_block,$M$4672,$E4718)/$N$4672)</f>
        <v/>
      </c>
      <c r="I4718" s="208">
        <f>EXP(SUMPRODUCT((rl_eff&lt;$B4718)*(rl_key=slv_key)*(rl_status="taken")*rl_ln1p))</f>
        <v/>
      </c>
      <c r="J4718" s="208">
        <f>EXP(SUMPRODUCT((rl_eff&lt;=$C4718)*(rl_key=slv_key)*(rl_status="taken")*rl_ln1p))</f>
        <v/>
      </c>
      <c r="K4718" s="201">
        <f>COUNTIFS(rl_key,slv_key,rl_eff,"&gt;="&amp;$B4718,rl_eff,"&lt;="&amp;$C4718,rl_status,"taken")</f>
        <v/>
      </c>
      <c r="L4718" s="201">
        <f>SUMIFS(rl_daysafter,rl_key,slv_key,rl_effmonth,$B4718,rl_first,1,rl_status,"taken")</f>
        <v/>
      </c>
      <c r="M4718" s="209">
        <f>IF($K4718=0,0,MIN(1,$L4718/$D4718))</f>
        <v/>
      </c>
      <c r="N4718" s="208">
        <f>IF($K4718=0,$J4718,(1-$M4718)*$I4718+$M4718*$J4718)</f>
        <v/>
      </c>
      <c r="P4718" s="208">
        <f>MIN(1,MAX(0,(nr_MEndPm1-$G4718+0.5)/nr_TermMonths))-MIN(1,MAX(0,(nr_MStartPm1-1-$G4718+0.5)/nr_TermMonths))</f>
        <v/>
      </c>
      <c r="Q4718" s="208">
        <f>MIN(1,MAX(0,(nr_MEndP-$G4718+0.5)/nr_TermMonths))-MIN(1,MAX(0,(nr_MStartP-1-$G4718+0.5)/nr_TermMonths))</f>
        <v/>
      </c>
      <c r="R4718" s="208">
        <f>MIN(1,MAX(0,(nr_MEndP1-$G4718+0.5)/nr_TermMonths))-MIN(1,MAX(0,(nr_MStartP1-1-$G4718+0.5)/nr_TermMonths))</f>
        <v/>
      </c>
      <c r="S4718" s="72">
        <f>$H4718*$Q4718*$N4718</f>
        <v/>
      </c>
      <c r="T4718" s="72">
        <f>SUM($S$4675:$S4718)</f>
        <v/>
      </c>
      <c r="U4718" s="72">
        <f>$H4718*$Q4718*$J4718</f>
        <v/>
      </c>
    </row>
    <row r="4719">
      <c r="A4719" s="145" t="n">
        <v>45</v>
      </c>
      <c r="B4719" s="204">
        <f>EDATE($B4718,1)</f>
        <v/>
      </c>
      <c r="C4719" s="205">
        <f>EOMONTH($B4719,0)</f>
        <v/>
      </c>
      <c r="D4719" s="201">
        <f>$C4719-$B4719+1</f>
        <v/>
      </c>
      <c r="E4719" s="201">
        <f>MONTH($B4719)</f>
        <v/>
      </c>
      <c r="F4719" s="235">
        <f>($B4719+$C4719+1)/2</f>
        <v/>
      </c>
      <c r="G4719" s="201">
        <f>YEAR($B4719)*12+MONTH($B4719)-1</f>
        <v/>
      </c>
      <c r="H4719" s="207">
        <f>IF(OR(nr_SeasonOn="OFF",$M$4672=0,$N$4672=0),1,12*INDEX(se_block,$M$4672,$E4719)/$N$4672)</f>
        <v/>
      </c>
      <c r="I4719" s="208">
        <f>EXP(SUMPRODUCT((rl_eff&lt;$B4719)*(rl_key=slv_key)*(rl_status="taken")*rl_ln1p))</f>
        <v/>
      </c>
      <c r="J4719" s="208">
        <f>EXP(SUMPRODUCT((rl_eff&lt;=$C4719)*(rl_key=slv_key)*(rl_status="taken")*rl_ln1p))</f>
        <v/>
      </c>
      <c r="K4719" s="201">
        <f>COUNTIFS(rl_key,slv_key,rl_eff,"&gt;="&amp;$B4719,rl_eff,"&lt;="&amp;$C4719,rl_status,"taken")</f>
        <v/>
      </c>
      <c r="L4719" s="201">
        <f>SUMIFS(rl_daysafter,rl_key,slv_key,rl_effmonth,$B4719,rl_first,1,rl_status,"taken")</f>
        <v/>
      </c>
      <c r="M4719" s="209">
        <f>IF($K4719=0,0,MIN(1,$L4719/$D4719))</f>
        <v/>
      </c>
      <c r="N4719" s="208">
        <f>IF($K4719=0,$J4719,(1-$M4719)*$I4719+$M4719*$J4719)</f>
        <v/>
      </c>
      <c r="P4719" s="208">
        <f>MIN(1,MAX(0,(nr_MEndPm1-$G4719+0.5)/nr_TermMonths))-MIN(1,MAX(0,(nr_MStartPm1-1-$G4719+0.5)/nr_TermMonths))</f>
        <v/>
      </c>
      <c r="Q4719" s="208">
        <f>MIN(1,MAX(0,(nr_MEndP-$G4719+0.5)/nr_TermMonths))-MIN(1,MAX(0,(nr_MStartP-1-$G4719+0.5)/nr_TermMonths))</f>
        <v/>
      </c>
      <c r="R4719" s="208">
        <f>MIN(1,MAX(0,(nr_MEndP1-$G4719+0.5)/nr_TermMonths))-MIN(1,MAX(0,(nr_MStartP1-1-$G4719+0.5)/nr_TermMonths))</f>
        <v/>
      </c>
      <c r="S4719" s="72">
        <f>$H4719*$Q4719*$N4719</f>
        <v/>
      </c>
      <c r="T4719" s="72">
        <f>SUM($S$4675:$S4719)</f>
        <v/>
      </c>
      <c r="U4719" s="72">
        <f>$H4719*$Q4719*$J4719</f>
        <v/>
      </c>
    </row>
    <row r="4720">
      <c r="A4720" s="145" t="n">
        <v>46</v>
      </c>
      <c r="B4720" s="204">
        <f>EDATE($B4719,1)</f>
        <v/>
      </c>
      <c r="C4720" s="205">
        <f>EOMONTH($B4720,0)</f>
        <v/>
      </c>
      <c r="D4720" s="201">
        <f>$C4720-$B4720+1</f>
        <v/>
      </c>
      <c r="E4720" s="201">
        <f>MONTH($B4720)</f>
        <v/>
      </c>
      <c r="F4720" s="235">
        <f>($B4720+$C4720+1)/2</f>
        <v/>
      </c>
      <c r="G4720" s="201">
        <f>YEAR($B4720)*12+MONTH($B4720)-1</f>
        <v/>
      </c>
      <c r="H4720" s="207">
        <f>IF(OR(nr_SeasonOn="OFF",$M$4672=0,$N$4672=0),1,12*INDEX(se_block,$M$4672,$E4720)/$N$4672)</f>
        <v/>
      </c>
      <c r="I4720" s="208">
        <f>EXP(SUMPRODUCT((rl_eff&lt;$B4720)*(rl_key=slv_key)*(rl_status="taken")*rl_ln1p))</f>
        <v/>
      </c>
      <c r="J4720" s="208">
        <f>EXP(SUMPRODUCT((rl_eff&lt;=$C4720)*(rl_key=slv_key)*(rl_status="taken")*rl_ln1p))</f>
        <v/>
      </c>
      <c r="K4720" s="201">
        <f>COUNTIFS(rl_key,slv_key,rl_eff,"&gt;="&amp;$B4720,rl_eff,"&lt;="&amp;$C4720,rl_status,"taken")</f>
        <v/>
      </c>
      <c r="L4720" s="201">
        <f>SUMIFS(rl_daysafter,rl_key,slv_key,rl_effmonth,$B4720,rl_first,1,rl_status,"taken")</f>
        <v/>
      </c>
      <c r="M4720" s="209">
        <f>IF($K4720=0,0,MIN(1,$L4720/$D4720))</f>
        <v/>
      </c>
      <c r="N4720" s="208">
        <f>IF($K4720=0,$J4720,(1-$M4720)*$I4720+$M4720*$J4720)</f>
        <v/>
      </c>
      <c r="P4720" s="208">
        <f>MIN(1,MAX(0,(nr_MEndPm1-$G4720+0.5)/nr_TermMonths))-MIN(1,MAX(0,(nr_MStartPm1-1-$G4720+0.5)/nr_TermMonths))</f>
        <v/>
      </c>
      <c r="Q4720" s="208">
        <f>MIN(1,MAX(0,(nr_MEndP-$G4720+0.5)/nr_TermMonths))-MIN(1,MAX(0,(nr_MStartP-1-$G4720+0.5)/nr_TermMonths))</f>
        <v/>
      </c>
      <c r="R4720" s="208">
        <f>MIN(1,MAX(0,(nr_MEndP1-$G4720+0.5)/nr_TermMonths))-MIN(1,MAX(0,(nr_MStartP1-1-$G4720+0.5)/nr_TermMonths))</f>
        <v/>
      </c>
      <c r="S4720" s="72">
        <f>$H4720*$Q4720*$N4720</f>
        <v/>
      </c>
      <c r="T4720" s="72">
        <f>SUM($S$4675:$S4720)</f>
        <v/>
      </c>
      <c r="U4720" s="72">
        <f>$H4720*$Q4720*$J4720</f>
        <v/>
      </c>
    </row>
    <row r="4721">
      <c r="A4721" s="145" t="n">
        <v>47</v>
      </c>
      <c r="B4721" s="204">
        <f>EDATE($B4720,1)</f>
        <v/>
      </c>
      <c r="C4721" s="205">
        <f>EOMONTH($B4721,0)</f>
        <v/>
      </c>
      <c r="D4721" s="201">
        <f>$C4721-$B4721+1</f>
        <v/>
      </c>
      <c r="E4721" s="201">
        <f>MONTH($B4721)</f>
        <v/>
      </c>
      <c r="F4721" s="235">
        <f>($B4721+$C4721+1)/2</f>
        <v/>
      </c>
      <c r="G4721" s="201">
        <f>YEAR($B4721)*12+MONTH($B4721)-1</f>
        <v/>
      </c>
      <c r="H4721" s="207">
        <f>IF(OR(nr_SeasonOn="OFF",$M$4672=0,$N$4672=0),1,12*INDEX(se_block,$M$4672,$E4721)/$N$4672)</f>
        <v/>
      </c>
      <c r="I4721" s="208">
        <f>EXP(SUMPRODUCT((rl_eff&lt;$B4721)*(rl_key=slv_key)*(rl_status="taken")*rl_ln1p))</f>
        <v/>
      </c>
      <c r="J4721" s="208">
        <f>EXP(SUMPRODUCT((rl_eff&lt;=$C4721)*(rl_key=slv_key)*(rl_status="taken")*rl_ln1p))</f>
        <v/>
      </c>
      <c r="K4721" s="201">
        <f>COUNTIFS(rl_key,slv_key,rl_eff,"&gt;="&amp;$B4721,rl_eff,"&lt;="&amp;$C4721,rl_status,"taken")</f>
        <v/>
      </c>
      <c r="L4721" s="201">
        <f>SUMIFS(rl_daysafter,rl_key,slv_key,rl_effmonth,$B4721,rl_first,1,rl_status,"taken")</f>
        <v/>
      </c>
      <c r="M4721" s="209">
        <f>IF($K4721=0,0,MIN(1,$L4721/$D4721))</f>
        <v/>
      </c>
      <c r="N4721" s="208">
        <f>IF($K4721=0,$J4721,(1-$M4721)*$I4721+$M4721*$J4721)</f>
        <v/>
      </c>
      <c r="P4721" s="208">
        <f>MIN(1,MAX(0,(nr_MEndPm1-$G4721+0.5)/nr_TermMonths))-MIN(1,MAX(0,(nr_MStartPm1-1-$G4721+0.5)/nr_TermMonths))</f>
        <v/>
      </c>
      <c r="Q4721" s="208">
        <f>MIN(1,MAX(0,(nr_MEndP-$G4721+0.5)/nr_TermMonths))-MIN(1,MAX(0,(nr_MStartP-1-$G4721+0.5)/nr_TermMonths))</f>
        <v/>
      </c>
      <c r="R4721" s="208">
        <f>MIN(1,MAX(0,(nr_MEndP1-$G4721+0.5)/nr_TermMonths))-MIN(1,MAX(0,(nr_MStartP1-1-$G4721+0.5)/nr_TermMonths))</f>
        <v/>
      </c>
      <c r="S4721" s="72">
        <f>$H4721*$Q4721*$N4721</f>
        <v/>
      </c>
      <c r="T4721" s="72">
        <f>SUM($S$4675:$S4721)</f>
        <v/>
      </c>
      <c r="U4721" s="72">
        <f>$H4721*$Q4721*$J4721</f>
        <v/>
      </c>
    </row>
    <row r="4722">
      <c r="A4722" s="145" t="n">
        <v>48</v>
      </c>
      <c r="B4722" s="204">
        <f>EDATE($B4721,1)</f>
        <v/>
      </c>
      <c r="C4722" s="205">
        <f>EOMONTH($B4722,0)</f>
        <v/>
      </c>
      <c r="D4722" s="201">
        <f>$C4722-$B4722+1</f>
        <v/>
      </c>
      <c r="E4722" s="201">
        <f>MONTH($B4722)</f>
        <v/>
      </c>
      <c r="F4722" s="235">
        <f>($B4722+$C4722+1)/2</f>
        <v/>
      </c>
      <c r="G4722" s="201">
        <f>YEAR($B4722)*12+MONTH($B4722)-1</f>
        <v/>
      </c>
      <c r="H4722" s="207">
        <f>IF(OR(nr_SeasonOn="OFF",$M$4672=0,$N$4672=0),1,12*INDEX(se_block,$M$4672,$E4722)/$N$4672)</f>
        <v/>
      </c>
      <c r="I4722" s="208">
        <f>EXP(SUMPRODUCT((rl_eff&lt;$B4722)*(rl_key=slv_key)*(rl_status="taken")*rl_ln1p))</f>
        <v/>
      </c>
      <c r="J4722" s="208">
        <f>EXP(SUMPRODUCT((rl_eff&lt;=$C4722)*(rl_key=slv_key)*(rl_status="taken")*rl_ln1p))</f>
        <v/>
      </c>
      <c r="K4722" s="201">
        <f>COUNTIFS(rl_key,slv_key,rl_eff,"&gt;="&amp;$B4722,rl_eff,"&lt;="&amp;$C4722,rl_status,"taken")</f>
        <v/>
      </c>
      <c r="L4722" s="201">
        <f>SUMIFS(rl_daysafter,rl_key,slv_key,rl_effmonth,$B4722,rl_first,1,rl_status,"taken")</f>
        <v/>
      </c>
      <c r="M4722" s="209">
        <f>IF($K4722=0,0,MIN(1,$L4722/$D4722))</f>
        <v/>
      </c>
      <c r="N4722" s="208">
        <f>IF($K4722=0,$J4722,(1-$M4722)*$I4722+$M4722*$J4722)</f>
        <v/>
      </c>
      <c r="P4722" s="208">
        <f>MIN(1,MAX(0,(nr_MEndPm1-$G4722+0.5)/nr_TermMonths))-MIN(1,MAX(0,(nr_MStartPm1-1-$G4722+0.5)/nr_TermMonths))</f>
        <v/>
      </c>
      <c r="Q4722" s="208">
        <f>MIN(1,MAX(0,(nr_MEndP-$G4722+0.5)/nr_TermMonths))-MIN(1,MAX(0,(nr_MStartP-1-$G4722+0.5)/nr_TermMonths))</f>
        <v/>
      </c>
      <c r="R4722" s="208">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33"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37" t="n">
        <v>1.1024</v>
      </c>
    </row>
    <row r="5">
      <c r="A5" s="20" t="inlineStr">
        <is>
          <t>Oracle E_CY(P-1), monthly convention</t>
        </is>
      </c>
      <c r="B5" s="237" t="n">
        <v>1.0428</v>
      </c>
    </row>
    <row r="6">
      <c r="A6" s="20" t="inlineStr">
        <is>
          <t>Oracle E_CY(P), monthly convention</t>
        </is>
      </c>
      <c r="B6" s="237" t="n">
        <v>1.1101025</v>
      </c>
    </row>
    <row r="7">
      <c r="A7" s="20" t="inlineStr">
        <is>
          <t>Oracle E_CY(P+1), monthly convention</t>
        </is>
      </c>
      <c r="B7" s="237" t="n">
        <v>1.1557975</v>
      </c>
    </row>
    <row r="8">
      <c r="A8" s="20" t="inlineStr">
        <is>
          <t>Oracle CY P earned mod, monthly convention</t>
        </is>
      </c>
      <c r="B8" s="237" t="n">
        <v>0.8659874179431073</v>
      </c>
    </row>
    <row r="9">
      <c r="A9" s="20" t="inlineStr">
        <is>
          <t>Oracle A_rate(P)</t>
        </is>
      </c>
      <c r="B9" s="237" t="n">
        <v>0.9930614515326286</v>
      </c>
    </row>
    <row r="10">
      <c r="A10" s="20" t="inlineStr">
        <is>
          <t>Oracle A_rate(P+1)</t>
        </is>
      </c>
      <c r="B10" s="237" t="n">
        <v>0.9538002980625931</v>
      </c>
    </row>
    <row r="11">
      <c r="A11" s="20" t="inlineStr">
        <is>
          <t>Oracle A_mod(P)</t>
        </is>
      </c>
      <c r="B11" s="237" t="n">
        <v>0.9815385101309201</v>
      </c>
    </row>
    <row r="12">
      <c r="A12" s="20" t="inlineStr">
        <is>
          <t>Oracle CY plan LR(P), monthly convention</t>
        </is>
      </c>
      <c r="B12" s="237" t="n">
        <v>0.6335732374437604</v>
      </c>
    </row>
    <row r="13">
      <c r="A13" s="20" t="inlineStr">
        <is>
          <t>Oracle CY LR(P+1), monthly convention</t>
        </is>
      </c>
      <c r="B13" s="237" t="n">
        <v>0.5948002961422484</v>
      </c>
    </row>
    <row r="14">
      <c r="A14" s="20" t="inlineStr">
        <is>
          <t>Oracle earned chg vs indication</t>
        </is>
      </c>
      <c r="B14" s="237" t="n">
        <v>0.006987028301886911</v>
      </c>
    </row>
    <row r="15">
      <c r="A15" s="20" t="inlineStr">
        <is>
          <t>Oracle CY plan LR(P), continuous closed form</t>
        </is>
      </c>
      <c r="B15" s="237" t="n">
        <v>0.6335640322999739</v>
      </c>
    </row>
    <row r="16">
      <c r="A16" s="20" t="inlineStr">
        <is>
          <t>Oracle E_CY(P), continuous closed form</t>
        </is>
      </c>
      <c r="B16" s="237" t="n">
        <v>1.1101025</v>
      </c>
    </row>
    <row r="17">
      <c r="A17" s="20" t="inlineStr">
        <is>
          <t>Oracle solver required change (worked example)</t>
        </is>
      </c>
      <c r="B17" s="237" t="n">
        <v>0.05000000000000093</v>
      </c>
    </row>
    <row r="19">
      <c r="A19" s="18" t="inlineStr">
        <is>
          <t>Worked-example input fingerprint (expected vs live)</t>
        </is>
      </c>
    </row>
    <row r="20">
      <c r="A20" s="233" t="inlineStr">
        <is>
          <t>Input</t>
        </is>
      </c>
      <c r="B20" s="233" t="inlineStr">
        <is>
          <t>Expected</t>
        </is>
      </c>
      <c r="C20" s="233" t="inlineStr">
        <is>
          <t>Live</t>
        </is>
      </c>
      <c r="D20" s="233"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2026-07-31T01:30:10Z</dcterms:created>
  <dcterms:modified xsi:type="dcterms:W3CDTF">2026-07-31T01:30:13Z</dcterms:modified>
</cp:coreProperties>
</file>